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actual solution" sheetId="3" r:id="rId6"/>
    <sheet state="visible" name="Sheet2" sheetId="4" r:id="rId7"/>
    <sheet state="visible" name="second" sheetId="5" r:id="rId8"/>
    <sheet state="visible" name="Copy of second" sheetId="6" r:id="rId9"/>
  </sheets>
  <definedNames>
    <definedName hidden="1" localSheetId="5" name="_xlnm._FilterDatabase">'Copy of second'!$C$1:$AJ$596</definedName>
  </definedNames>
  <calcPr/>
</workbook>
</file>

<file path=xl/sharedStrings.xml><?xml version="1.0" encoding="utf-8"?>
<sst xmlns="http://schemas.openxmlformats.org/spreadsheetml/2006/main" count="3036" uniqueCount="617">
  <si>
    <t>color</t>
  </si>
  <si>
    <t>start</t>
  </si>
  <si>
    <t>faded plum bags contain 5 wavy cyan bags.</t>
  </si>
  <si>
    <t>dull aqua bags contain 4 dark fuchsia bags, 1 shiny purple bag.</t>
  </si>
  <si>
    <t>dotted olive bags contain 1 striped gray bag.</t>
  </si>
  <si>
    <t>vibrant brown bags contain 4 dark tan bags, 4 mirrored gray bags.</t>
  </si>
  <si>
    <t>shiny black bags contain 3 mirrored black bags.</t>
  </si>
  <si>
    <t>dull bronze bags contain 2 plaid aqua bags, 4 shiny magenta bags, 2 faded green bags, 3 dotted gold bags.</t>
  </si>
  <si>
    <t>wavy plum bags contain 5 dim indigo bags.</t>
  </si>
  <si>
    <t>drab brown bags contain 5 clear fuchsia bags.</t>
  </si>
  <si>
    <t>vibrant maroon bags contain 3 shiny coral bags, 1 dim indigo bag, 4 muted crimson bags, 5 clear black bags.</t>
  </si>
  <si>
    <t>posh magenta bags contain no other bags.</t>
  </si>
  <si>
    <t>dull brown bags contain 3 dim violet bags, 3 striped silver bags, 1 shiny purple bag.</t>
  </si>
  <si>
    <t>pale gray bags contain 3 plaid magenta bags, 3 clear teal bags, 3 pale white bags.</t>
  </si>
  <si>
    <t>plaid turquoise bags contain 4 bright orange bags, 5 drab white bags, 4 dotted coral bags.</t>
  </si>
  <si>
    <t>dotted silver bags contain 2 pale silver bags, 4 dark teal bags, 5 posh gold bags, 1 bright orange bag.</t>
  </si>
  <si>
    <t>light red bags contain 1 dark violet bag, 1 mirrored coral bag, 3 drab tan bags, 4 muted olive bags.</t>
  </si>
  <si>
    <t>shiny brown bags contain 5 vibrant lavender bags, 4 dark lavender bags.</t>
  </si>
  <si>
    <t>plaid plum bags contain 1 faded green bag.</t>
  </si>
  <si>
    <t>vibrant lavender bags contain 4 bright chartreuse bags, 3 dark teal bags, 4 muted aqua bags.</t>
  </si>
  <si>
    <t>muted yellow bags contain 5 posh yellow bags, 3 dim olive bags, 1 light cyan bag, 1 plaid gray bag.</t>
  </si>
  <si>
    <t>light beige bags contain 2 wavy orange bags, 5 vibrant salmon bags, 2 dim brown bags.</t>
  </si>
  <si>
    <t>muted indigo bags contain 3 dim brown bags, 3 drab brown bags.</t>
  </si>
  <si>
    <t>dim bronze bags contain 4 dim black bags, 5 wavy turquoise bags, 5 bright violet bags, 2 dark bronze bags.</t>
  </si>
  <si>
    <t>shiny teal bags contain 5 plaid chartreuse bags.</t>
  </si>
  <si>
    <t>pale aqua bags contain 2 striped lime bags, 4 dark turquoise bags, 3 dull tomato bags, 2 mirrored lavender bags.</t>
  </si>
  <si>
    <t>plaid violet bags contain 2 light olive bags.</t>
  </si>
  <si>
    <t>dotted maroon bags contain 5 striped maroon bags, 2 shiny turquoise bags, 2 dull gold bags, 4 pale olive bags.</t>
  </si>
  <si>
    <t>dim chartreuse bags contain 5 striped plum bags.</t>
  </si>
  <si>
    <t>plaid gold bags contain 1 striped green bag, 3 plaid coral bags, 4 dotted violet bags.</t>
  </si>
  <si>
    <t>faded tomato bags contain 2 dark indigo bags.</t>
  </si>
  <si>
    <t>posh plum bags contain 1 wavy chartreuse bag, 4 vibrant blue bags.</t>
  </si>
  <si>
    <t>drab bronze bags contain 2 mirrored gray bags, 3 vibrant plum bags.</t>
  </si>
  <si>
    <t>muted blue bags contain 1 bright brown bag, 2 pale coral bags, 5 plaid purple bags, 4 dim lavender bags.</t>
  </si>
  <si>
    <t>striped indigo bags contain 5 dark salmon bags.</t>
  </si>
  <si>
    <t>shiny tan bags contain 2 faded bronze bags, 3 mirrored lavender bags, 2 mirrored cyan bags.</t>
  </si>
  <si>
    <t>dim red bags contain 5 dull salmon bags, 3 dim purple bags, 2 striped crimson bags.</t>
  </si>
  <si>
    <t>plaid gray bags contain 5 bright violet bags, 4 vibrant aqua bags, 4 dull tomato bags.</t>
  </si>
  <si>
    <t>dotted white bags contain 1 drab brown bag, 5 light brown bags.</t>
  </si>
  <si>
    <t>plaid tan bags contain 3 striped teal bags, 2 dotted brown bags.</t>
  </si>
  <si>
    <t>vibrant black bags contain 3 plaid tan bags, 4 muted white bags, 4 drab orange bags, 5 muted aqua bags.</t>
  </si>
  <si>
    <t>drab purple bags contain 5 muted violet bags, 2 vibrant blue bags, 4 pale olive bags.</t>
  </si>
  <si>
    <t>mirrored beige bags contain 1 plaid gray bag, 2 mirrored lime bags, 3 dark brown bags.</t>
  </si>
  <si>
    <t>vibrant olive bags contain 5 shiny indigo bags.</t>
  </si>
  <si>
    <t>drab green bags contain 1 muted violet bag.</t>
  </si>
  <si>
    <t>faded turquoise bags contain 2 striped brown bags, 3 vibrant white bags, 1 dull lavender bag, 5 bright olive bags.</t>
  </si>
  <si>
    <t>shiny maroon bags contain 1 dim bronze bag.</t>
  </si>
  <si>
    <t>dull white bags contain 1 muted salmon bag, 4 dim olive bags, 5 drab white bags, 1 dotted teal bag.</t>
  </si>
  <si>
    <t>dim white bags contain 3 mirrored lavender bags.</t>
  </si>
  <si>
    <t>clear beige bags contain 5 shiny cyan bags, 3 clear chartreuse bags.</t>
  </si>
  <si>
    <t>plaid tomato bags contain 5 muted beige bags.</t>
  </si>
  <si>
    <t>bright teal bags contain 5 shiny gold bags, 4 clear beige bags, 5 vibrant chartreuse bags.</t>
  </si>
  <si>
    <t>dotted salmon bags contain 1 clear fuchsia bag, 2 muted maroon bags, 4 posh yellow bags, 1 drab chartreuse bag.</t>
  </si>
  <si>
    <t>light gold bags contain 4 light maroon bags.</t>
  </si>
  <si>
    <t>faded cyan bags contain 2 posh magenta bags, 2 dark violet bags.</t>
  </si>
  <si>
    <t>drab cyan bags contain 5 faded purple bags, 4 striped crimson bags, 1 shiny maroon bag, 4 drab tomato bags.</t>
  </si>
  <si>
    <t>dotted black bags contain 3 striped turquoise bags, 4 dark tan bags, 4 vibrant lavender bags.</t>
  </si>
  <si>
    <t>faded purple bags contain 4 dull purple bags.</t>
  </si>
  <si>
    <t>dim violet bags contain 2 clear blue bags.</t>
  </si>
  <si>
    <t>wavy gray bags contain 4 muted crimson bags, 2 mirrored silver bags, 5 vibrant chartreuse bags.</t>
  </si>
  <si>
    <t>posh tan bags contain 4 drab tan bags, 3 muted crimson bags, 2 striped crimson bags, 2 plaid fuchsia bags.</t>
  </si>
  <si>
    <t>mirrored magenta bags contain 5 pale bronze bags.</t>
  </si>
  <si>
    <t>plaid brown bags contain 1 bright chartreuse bag.</t>
  </si>
  <si>
    <t>drab orange bags contain 4 drab teal bags, 1 dark bronze bag, 2 clear purple bags.</t>
  </si>
  <si>
    <t>dim green bags contain 5 dull maroon bags, 1 dull green bag.</t>
  </si>
  <si>
    <t>faded teal bags contain 2 bright yellow bags, 2 posh red bags, 2 posh indigo bags.</t>
  </si>
  <si>
    <t>dim gray bags contain 4 wavy blue bags, 2 shiny maroon bags, 1 pale cyan bag.</t>
  </si>
  <si>
    <t>light crimson bags contain 1 wavy plum bag, 3 muted magenta bags, 3 plaid aqua bags, 2 striped chartreuse bags.</t>
  </si>
  <si>
    <t>clear white bags contain 2 posh magenta bags, 5 bright white bags, 5 drab bronze bags, 3 vibrant beige bags.</t>
  </si>
  <si>
    <t>drab magenta bags contain 4 pale olive bags.</t>
  </si>
  <si>
    <t>plaid silver bags contain 4 bright violet bags, 3 dim brown bags, 1 dark teal bag.</t>
  </si>
  <si>
    <t>bright bronze bags contain 4 posh white bags, 3 dull salmon bags.</t>
  </si>
  <si>
    <t>drab maroon bags contain 3 clear black bags, 2 dotted orange bags.</t>
  </si>
  <si>
    <t>dark fuchsia bags contain 3 faded chartreuse bags, 5 clear green bags, 4 bright brown bags.</t>
  </si>
  <si>
    <t>vibrant salmon bags contain 1 bright red bag, 5 clear black bags, 2 clear green bags.</t>
  </si>
  <si>
    <t>shiny crimson bags contain 4 muted fuchsia bags, 2 plaid red bags, 3 clear green bags.</t>
  </si>
  <si>
    <t>plaid crimson bags contain 4 bright gold bags, 2 clear turquoise bags, 3 faded magenta bags.</t>
  </si>
  <si>
    <t>dim turquoise bags contain 3 drab brown bags, 5 plaid cyan bags, 3 plaid teal bags, 5 shiny silver bags.</t>
  </si>
  <si>
    <t>clear crimson bags contain 3 plaid blue bags, 2 drab tomato bags, 2 dull cyan bags, 3 mirrored fuchsia bags.</t>
  </si>
  <si>
    <t>pale tomato bags contain 1 dull yellow bag, 3 muted aqua bags.</t>
  </si>
  <si>
    <t>dim orange bags contain 1 posh magenta bag, 2 wavy gray bags, 5 faded indigo bags.</t>
  </si>
  <si>
    <t>mirrored orange bags contain 1 posh bronze bag, 2 faded white bags, 1 light orange bag, 2 posh red bags.</t>
  </si>
  <si>
    <t>striped turquoise bags contain 5 muted salmon bags, 5 dark white bags, 1 mirrored purple bag, 3 pale chartreuse bags.</t>
  </si>
  <si>
    <t>dotted coral bags contain 3 bright brown bags, 2 posh yellow bags, 3 drab maroon bags.</t>
  </si>
  <si>
    <t>wavy maroon bags contain 2 clear lime bags.</t>
  </si>
  <si>
    <t>mirrored indigo bags contain 1 mirrored cyan bag, 1 posh plum bag, 2 plaid silver bags.</t>
  </si>
  <si>
    <t>wavy indigo bags contain 5 dark violet bags, 5 drab black bags, 4 dark orange bags, 5 muted green bags.</t>
  </si>
  <si>
    <t>striped tomato bags contain 4 dark indigo bags, 5 light lavender bags.</t>
  </si>
  <si>
    <t>pale lime bags contain 2 bright orange bags.</t>
  </si>
  <si>
    <t>muted maroon bags contain 2 bright violet bags, 1 shiny coral bag, 1 posh gray bag.</t>
  </si>
  <si>
    <t>drab lavender bags contain 1 muted magenta bag.</t>
  </si>
  <si>
    <t>bright fuchsia bags contain 1 striped lime bag.</t>
  </si>
  <si>
    <t>wavy beige bags contain 2 bright brown bags, 1 pale black bag, 1 drab tomato bag, 4 vibrant blue bags.</t>
  </si>
  <si>
    <t>shiny olive bags contain 2 dim teal bags, 1 mirrored cyan bag, 4 dim yellow bags, 4 muted aqua bags.</t>
  </si>
  <si>
    <t>posh coral bags contain no other bags.</t>
  </si>
  <si>
    <t>dark green bags contain 2 posh brown bags, 2 muted white bags, 4 bright fuchsia bags.</t>
  </si>
  <si>
    <t>shiny green bags contain 1 faded crimson bag, 3 striped purple bags, 4 shiny salmon bags, 2 dark bronze bags.</t>
  </si>
  <si>
    <t>clear coral bags contain no other bags.</t>
  </si>
  <si>
    <t>dull salmon bags contain 1 muted white bag.</t>
  </si>
  <si>
    <t>dark lavender bags contain 2 plaid gray bags, 4 muted olive bags.</t>
  </si>
  <si>
    <t>bright silver bags contain 5 pale black bags.</t>
  </si>
  <si>
    <t>posh green bags contain 5 muted olive bags, 4 dotted crimson bags, 4 dotted brown bags.</t>
  </si>
  <si>
    <t>dotted fuchsia bags contain 5 shiny chartreuse bags, 1 dotted coral bag, 1 shiny cyan bag.</t>
  </si>
  <si>
    <t>dim fuchsia bags contain 1 striped orange bag, 1 clear crimson bag.</t>
  </si>
  <si>
    <t>dotted cyan bags contain 5 muted olive bags, 3 shiny white bags.</t>
  </si>
  <si>
    <t>dark beige bags contain 4 light teal bags, 4 drab teal bags, 5 wavy beige bags.</t>
  </si>
  <si>
    <t>striped magenta bags contain 5 plaid purple bags, 3 dotted crimson bags, 2 dull tomato bags.</t>
  </si>
  <si>
    <t>striped blue bags contain 3 dim aqua bags.</t>
  </si>
  <si>
    <t>light silver bags contain 3 shiny green bags, 2 vibrant black bags, 1 wavy turquoise bag, 3 faded bronze bags.</t>
  </si>
  <si>
    <t>pale indigo bags contain 4 pale silver bags, 3 dotted tomato bags, 1 dark violet bag, 3 clear lime bags.</t>
  </si>
  <si>
    <t>mirrored turquoise bags contain 1 pale salmon bag, 2 dotted crimson bags, 1 drab tomato bag, 2 muted green bags.</t>
  </si>
  <si>
    <t>striped beige bags contain 3 dotted tomato bags, 4 vibrant purple bags, 2 plaid tomato bags, 4 dark salmon bags.</t>
  </si>
  <si>
    <t>pale silver bags contain 5 dark lavender bags, 4 drab tan bags, 5 clear yellow bags.</t>
  </si>
  <si>
    <t>dark lime bags contain 3 pale aqua bags, 5 posh green bags.</t>
  </si>
  <si>
    <t>faded coral bags contain 3 dull tomato bags, 4 dark bronze bags, 3 drab tomato bags, 2 bright white bags.</t>
  </si>
  <si>
    <t>mirrored lavender bags contain 3 mirrored cyan bags.</t>
  </si>
  <si>
    <t>bright crimson bags contain 2 mirrored silver bags.</t>
  </si>
  <si>
    <t>striped gray bags contain 3 dotted coral bags, 4 muted maroon bags, 4 dark teal bags, 5 pale bronze bags.</t>
  </si>
  <si>
    <t>dotted magenta bags contain 2 dim teal bags, 2 wavy turquoise bags, 5 dull turquoise bags.</t>
  </si>
  <si>
    <t>posh white bags contain 4 drab tomato bags, 2 muted aqua bags.</t>
  </si>
  <si>
    <t>striped red bags contain 2 plaid blue bags, 1 light plum bag, 3 bright white bags.</t>
  </si>
  <si>
    <t>pale white bags contain 1 light purple bag.</t>
  </si>
  <si>
    <t>shiny coral bags contain no other bags.</t>
  </si>
  <si>
    <t>dark magenta bags contain 4 pale tan bags, 1 posh chartreuse bag, 2 pale yellow bags, 2 pale indigo bags.</t>
  </si>
  <si>
    <t>light gray bags contain 4 pale green bags, 5 dotted green bags, 4 shiny gray bags.</t>
  </si>
  <si>
    <t>dim gold bags contain 3 clear violet bags, 5 plaid aqua bags, 2 bright tomato bags, 2 wavy teal bags.</t>
  </si>
  <si>
    <t>dim crimson bags contain 4 muted blue bags, 2 light tan bags.</t>
  </si>
  <si>
    <t>wavy tan bags contain 1 posh plum bag, 3 mirrored gray bags, 1 muted purple bag.</t>
  </si>
  <si>
    <t>posh brown bags contain 4 mirrored black bags.</t>
  </si>
  <si>
    <t>bright plum bags contain 3 vibrant plum bags, 3 mirrored crimson bags.</t>
  </si>
  <si>
    <t>faded black bags contain 1 pale lime bag, 2 pale tomato bags.</t>
  </si>
  <si>
    <t>mirrored yellow bags contain 1 pale aqua bag, 4 dull aqua bags, 4 shiny white bags, 3 clear lime bags.</t>
  </si>
  <si>
    <t>muted tan bags contain 2 clear brown bags.</t>
  </si>
  <si>
    <t>drab white bags contain 5 dull coral bags, 2 drab green bags, 4 wavy tomato bags, 5 mirrored cyan bags.</t>
  </si>
  <si>
    <t>dull black bags contain 4 vibrant tan bags, 1 shiny chartreuse bag, 5 pale gold bags.</t>
  </si>
  <si>
    <t>posh maroon bags contain 5 dark coral bags, 5 faded yellow bags, 2 light lavender bags, 2 wavy teal bags.</t>
  </si>
  <si>
    <t>drab coral bags contain 4 posh chartreuse bags, 2 dim red bags.</t>
  </si>
  <si>
    <t>posh indigo bags contain 2 plaid brown bags, 4 muted green bags.</t>
  </si>
  <si>
    <t>drab aqua bags contain 2 pale magenta bags, 2 posh orange bags.</t>
  </si>
  <si>
    <t>drab crimson bags contain 2 pale bronze bags, 4 dotted blue bags, 2 dim silver bags.</t>
  </si>
  <si>
    <t>drab silver bags contain 5 clear blue bags, 4 pale bronze bags.</t>
  </si>
  <si>
    <t>clear salmon bags contain 2 pale aqua bags, 1 plaid gray bag, 1 clear coral bag.</t>
  </si>
  <si>
    <t>wavy chartreuse bags contain no other bags.</t>
  </si>
  <si>
    <t>dull plum bags contain 3 plaid gray bags, 3 plaid aqua bags, 2 mirrored beige bags, 2 wavy magenta bags.</t>
  </si>
  <si>
    <t>faded gray bags contain 2 dull cyan bags, 3 light lime bags, 3 bright lavender bags, 5 wavy plum bags.</t>
  </si>
  <si>
    <t>striped teal bags contain 4 drab maroon bags.</t>
  </si>
  <si>
    <t>clear lavender bags contain 3 clear coral bags, 5 bright crimson bags, 5 drab brown bags, 2 dim indigo bags.</t>
  </si>
  <si>
    <t>mirrored maroon bags contain 1 clear gray bag, 3 shiny salmon bags, 3 mirrored violet bags.</t>
  </si>
  <si>
    <t>muted turquoise bags contain 2 drab teal bags, 2 plaid plum bags, 4 plaid coral bags, 2 wavy chartreuse bags.</t>
  </si>
  <si>
    <t>dark white bags contain 4 bright fuchsia bags, 1 dull white bag, 3 shiny indigo bags, 3 dim white bags.</t>
  </si>
  <si>
    <t>drab red bags contain 3 dotted teal bags, 2 striped purple bags.</t>
  </si>
  <si>
    <t>muted teal bags contain 3 dark violet bags, 4 plaid chartreuse bags, 2 pale crimson bags.</t>
  </si>
  <si>
    <t>wavy red bags contain 2 clear crimson bags.</t>
  </si>
  <si>
    <t>striped olive bags contain 2 mirrored lavender bags.</t>
  </si>
  <si>
    <t>dull teal bags contain 4 pale teal bags, 5 pale violet bags, 2 drab white bags.</t>
  </si>
  <si>
    <t>light black bags contain 1 dark red bag, 2 plaid tan bags.</t>
  </si>
  <si>
    <t>clear orange bags contain 5 bright cyan bags.</t>
  </si>
  <si>
    <t>pale yellow bags contain 2 bright lavender bags.</t>
  </si>
  <si>
    <t>posh cyan bags contain 4 clear coral bags.</t>
  </si>
  <si>
    <t>drab tomato bags contain 4 vibrant blue bags, 5 faded beige bags, 3 clear coral bags, 2 mirrored white bags.</t>
  </si>
  <si>
    <t>pale orange bags contain 2 light aqua bags.</t>
  </si>
  <si>
    <t>dull tomato bags contain 5 plaid aqua bags, 2 posh magenta bags, 3 vibrant aqua bags.</t>
  </si>
  <si>
    <t>pale turquoise bags contain 1 pale coral bag, 3 dim teal bags.</t>
  </si>
  <si>
    <t>plaid maroon bags contain 5 posh maroon bags.</t>
  </si>
  <si>
    <t>vibrant beige bags contain 5 dull coral bags.</t>
  </si>
  <si>
    <t>bright purple bags contain 2 vibrant salmon bags, 5 dotted purple bags, 5 clear silver bags.</t>
  </si>
  <si>
    <t>dull coral bags contain 4 vibrant aqua bags, 3 dotted brown bags, 4 shiny coral bags.</t>
  </si>
  <si>
    <t>drab gray bags contain 4 vibrant lavender bags.</t>
  </si>
  <si>
    <t>dull lavender bags contain 3 vibrant lavender bags, 1 posh red bag, 4 drab tan bags, 3 light purple bags.</t>
  </si>
  <si>
    <t>striped maroon bags contain 3 bright silver bags.</t>
  </si>
  <si>
    <t>mirrored silver bags contain 5 clear blue bags, 3 posh magenta bags, 2 bright brown bags.</t>
  </si>
  <si>
    <t>faded yellow bags contain 2 muted maroon bags.</t>
  </si>
  <si>
    <t>striped purple bags contain 2 dotted yellow bags, 1 clear cyan bag, 2 dark teal bags.</t>
  </si>
  <si>
    <t>clear gray bags contain 5 dim black bags, 1 faded green bag, 5 muted crimson bags.</t>
  </si>
  <si>
    <t>plaid cyan bags contain 2 dark teal bags, 1 pale lime bag, 1 wavy beige bag.</t>
  </si>
  <si>
    <t>bright orange bags contain 5 mirrored brown bags, 2 dotted gold bags.</t>
  </si>
  <si>
    <t>dotted turquoise bags contain 3 plaid gray bags, 3 clear chartreuse bags.</t>
  </si>
  <si>
    <t>vibrant turquoise bags contain 1 muted brown bag, 3 dim purple bags, 1 posh gray bag, 5 pale bronze bags.</t>
  </si>
  <si>
    <t>striped lime bags contain 1 shiny gold bag.</t>
  </si>
  <si>
    <t>light violet bags contain 4 mirrored purple bags, 5 clear blue bags.</t>
  </si>
  <si>
    <t>striped orange bags contain 3 light gold bags, 3 light olive bags, 3 muted crimson bags, 2 pale cyan bags.</t>
  </si>
  <si>
    <t>drab turquoise bags contain 3 dim magenta bags, 4 pale black bags.</t>
  </si>
  <si>
    <t>pale salmon bags contain 2 mirrored cyan bags, 4 vibrant blue bags.</t>
  </si>
  <si>
    <t>shiny yellow bags contain 5 vibrant tomato bags, 3 muted salmon bags, 5 wavy tomato bags.</t>
  </si>
  <si>
    <t>plaid lime bags contain 2 pale yellow bags, 2 shiny red bags, 3 muted crimson bags, 4 dull green bags.</t>
  </si>
  <si>
    <t>muted cyan bags contain 4 bright green bags, 5 striped bronze bags, 1 vibrant lavender bag, 4 posh violet bags.</t>
  </si>
  <si>
    <t>dull cyan bags contain 5 dark lavender bags, 5 drab green bags, 1 bright crimson bag, 4 mirrored silver bags.</t>
  </si>
  <si>
    <t>pale beige bags contain 3 posh coral bags.</t>
  </si>
  <si>
    <t>shiny chartreuse bags contain 4 mirrored silver bags.</t>
  </si>
  <si>
    <t>dark silver bags contain 2 dull turquoise bags, 1 muted maroon bag, 5 vibrant magenta bags.</t>
  </si>
  <si>
    <t>mirrored violet bags contain 4 dark brown bags.</t>
  </si>
  <si>
    <t>clear aqua bags contain 2 striped beige bags, 1 dotted indigo bag, 5 faded violet bags, 5 vibrant violet bags.</t>
  </si>
  <si>
    <t>plaid teal bags contain 3 mirrored lavender bags, 4 posh gray bags.</t>
  </si>
  <si>
    <t>wavy olive bags contain 3 dull blue bags, 5 bright salmon bags, 5 shiny purple bags.</t>
  </si>
  <si>
    <t>pale lavender bags contain 4 light purple bags, 2 dotted gray bags, 2 pale plum bags, 3 shiny silver bags.</t>
  </si>
  <si>
    <t>shiny blue bags contain 2 vibrant white bags, 3 light gold bags, 3 mirrored lavender bags, 1 drab plum bag.</t>
  </si>
  <si>
    <t>light coral bags contain 4 light teal bags, 1 striped chartreuse bag, 5 dotted chartreuse bags.</t>
  </si>
  <si>
    <t>pale brown bags contain 2 dim gold bags, 2 clear turquoise bags, 3 bright cyan bags, 4 clear maroon bags.</t>
  </si>
  <si>
    <t>vibrant tomato bags contain 3 dark brown bags, 1 vibrant blue bag.</t>
  </si>
  <si>
    <t>dull olive bags contain 5 mirrored yellow bags, 2 shiny cyan bags.</t>
  </si>
  <si>
    <t>light chartreuse bags contain 2 dull aqua bags, 4 dull brown bags, 1 clear fuchsia bag, 4 bright yellow bags.</t>
  </si>
  <si>
    <t>posh gray bags contain 4 posh green bags, 1 mirrored gray bag.</t>
  </si>
  <si>
    <t>bright yellow bags contain 4 pale aqua bags.</t>
  </si>
  <si>
    <t>bright gold bags contain 3 pale indigo bags, 3 dull crimson bags.</t>
  </si>
  <si>
    <t>dotted red bags contain 4 pale turquoise bags, 4 muted blue bags, 1 bright bronze bag, 2 light blue bags.</t>
  </si>
  <si>
    <t>clear brown bags contain 1 mirrored yellow bag.</t>
  </si>
  <si>
    <t>light plum bags contain 2 bright violet bags.</t>
  </si>
  <si>
    <t>dim purple bags contain 3 faded chartreuse bags, 5 light teal bags.</t>
  </si>
  <si>
    <t>dull yellow bags contain 5 muted aqua bags, 3 dotted coral bags, 2 drab maroon bags.</t>
  </si>
  <si>
    <t>shiny gold bags contain 4 pale black bags, 4 dim violet bags, 3 muted yellow bags.</t>
  </si>
  <si>
    <t>mirrored crimson bags contain 1 striped teal bag, 5 mirrored cyan bags.</t>
  </si>
  <si>
    <t>shiny lavender bags contain 4 bright brown bags, 3 bright tan bags, 5 dotted crimson bags, 4 pale black bags.</t>
  </si>
  <si>
    <t>vibrant cyan bags contain 1 dim yellow bag, 5 bright tan bags.</t>
  </si>
  <si>
    <t>wavy gold bags contain 2 dark brown bags, 1 dull yellow bag.</t>
  </si>
  <si>
    <t>dark cyan bags contain 4 dim white bags, 2 mirrored indigo bags, 4 muted white bags, 2 bright white bags.</t>
  </si>
  <si>
    <t>posh lime bags contain 4 shiny plum bags, 3 plaid fuchsia bags.</t>
  </si>
  <si>
    <t>posh purple bags contain 3 muted salmon bags.</t>
  </si>
  <si>
    <t>pale magenta bags contain 1 drab gold bag, 1 dark white bag, 3 posh silver bags.</t>
  </si>
  <si>
    <t>dim plum bags contain 4 dark chartreuse bags, 4 mirrored lavender bags.</t>
  </si>
  <si>
    <t>plaid indigo bags contain 2 clear lime bags, 5 dull tomato bags.</t>
  </si>
  <si>
    <t>dark blue bags contain 1 bright olive bag, 1 dull bronze bag, 1 shiny gold bag.</t>
  </si>
  <si>
    <t>dull red bags contain 2 wavy teal bags, 3 wavy crimson bags, 1 faded olive bag.</t>
  </si>
  <si>
    <t>striped yellow bags contain 4 drab salmon bags.</t>
  </si>
  <si>
    <t>vibrant magenta bags contain 4 light beige bags, 2 dark red bags, 1 plaid magenta bag, 5 dim magenta bags.</t>
  </si>
  <si>
    <t>plaid red bags contain 2 striped red bags, 4 light plum bags, 3 mirrored silver bags.</t>
  </si>
  <si>
    <t>wavy orange bags contain 5 vibrant white bags, 1 posh coral bag, 5 muted purple bags, 2 light coral bags.</t>
  </si>
  <si>
    <t>pale green bags contain 5 pale aqua bags, 1 clear gray bag.</t>
  </si>
  <si>
    <t>dotted chartreuse bags contain 4 muted violet bags, 5 striped teal bags.</t>
  </si>
  <si>
    <t>light turquoise bags contain 5 dull turquoise bags, 2 dark aqua bags, 1 dull teal bag.</t>
  </si>
  <si>
    <t>shiny violet bags contain 2 pale indigo bags.</t>
  </si>
  <si>
    <t>light white bags contain 3 mirrored indigo bags, 1 faded blue bag, 1 plaid white bag, 1 posh plum bag.</t>
  </si>
  <si>
    <t>muted beige bags contain 4 drab gold bags.</t>
  </si>
  <si>
    <t>faded silver bags contain 2 drab white bags, 5 pale white bags, 3 clear lime bags.</t>
  </si>
  <si>
    <t>faded red bags contain 1 bright turquoise bag, 5 faded coral bags, 2 drab purple bags, 5 bright olive bags.</t>
  </si>
  <si>
    <t>shiny bronze bags contain 4 plaid purple bags, 5 bright red bags, 1 muted white bag, 2 dull fuchsia bags.</t>
  </si>
  <si>
    <t>dull gold bags contain 1 dotted orange bag.</t>
  </si>
  <si>
    <t>muted olive bags contain 1 clear coral bag, 1 posh magenta bag, 2 bright violet bags, 1 wavy chartreuse bag.</t>
  </si>
  <si>
    <t>dotted bronze bags contain 1 plaid beige bag, 3 clear olive bags, 2 light lime bags, 5 dull beige bags.</t>
  </si>
  <si>
    <t>shiny orange bags contain 5 pale brown bags, 5 clear tomato bags.</t>
  </si>
  <si>
    <t>wavy salmon bags contain 2 shiny maroon bags.</t>
  </si>
  <si>
    <t>wavy crimson bags contain 5 bright violet bags, 3 plaid violet bags.</t>
  </si>
  <si>
    <t>bright coral bags contain 1 dull bronze bag, 5 dotted gold bags, 1 posh gray bag.</t>
  </si>
  <si>
    <t>dotted crimson bags contain 2 posh magenta bags, 4 mirrored white bags.</t>
  </si>
  <si>
    <t>bright violet bags contain no other bags.</t>
  </si>
  <si>
    <t>drab blue bags contain 5 shiny gold bags, 1 shiny brown bag, 4 dark silver bags.</t>
  </si>
  <si>
    <t>posh salmon bags contain 4 dim purple bags, 1 striped lime bag, 1 muted gray bag, 2 drab gold bags.</t>
  </si>
  <si>
    <t>dim coral bags contain 3 dark red bags, 2 faded crimson bags.</t>
  </si>
  <si>
    <t>dark aqua bags contain 3 dotted salmon bags, 4 pale olive bags, 1 vibrant aqua bag, 5 dull lavender bags.</t>
  </si>
  <si>
    <t>dark orange bags contain 4 mirrored teal bags, 5 clear salmon bags.</t>
  </si>
  <si>
    <t>vibrant red bags contain 3 vibrant blue bags.</t>
  </si>
  <si>
    <t>muted lime bags contain 1 dull silver bag.</t>
  </si>
  <si>
    <t>clear tan bags contain 2 striped beige bags, 1 posh coral bag, 1 wavy teal bag, 2 faded plum bags.</t>
  </si>
  <si>
    <t>vibrant coral bags contain 2 faded blue bags, 4 bright turquoise bags.</t>
  </si>
  <si>
    <t>dark olive bags contain 2 dark indigo bags.</t>
  </si>
  <si>
    <t>dotted blue bags contain 5 faded cyan bags, 4 striped aqua bags, 4 dotted gold bags.</t>
  </si>
  <si>
    <t>bright maroon bags contain 1 dark bronze bag, 3 vibrant aqua bags, 4 dim magenta bags, 3 clear crimson bags.</t>
  </si>
  <si>
    <t>bright cyan bags contain 2 wavy tomato bags.</t>
  </si>
  <si>
    <t>plaid olive bags contain 3 striped indigo bags, 5 dim purple bags, 3 striped bronze bags, 2 light teal bags.</t>
  </si>
  <si>
    <t>plaid chartreuse bags contain 3 plaid yellow bags, 1 faded brown bag, 1 vibrant tan bag, 4 wavy fuchsia bags.</t>
  </si>
  <si>
    <t>dull maroon bags contain 3 muted yellow bags.</t>
  </si>
  <si>
    <t>light fuchsia bags contain 5 drab maroon bags, 5 muted silver bags.</t>
  </si>
  <si>
    <t>dull orange bags contain 4 dim indigo bags, 4 posh beige bags, 1 bright red bag.</t>
  </si>
  <si>
    <t>dull blue bags contain 5 wavy yellow bags, 4 posh gray bags.</t>
  </si>
  <si>
    <t>plaid yellow bags contain 1 bright fuchsia bag, 1 faded beige bag, 1 wavy beige bag, 4 light green bags.</t>
  </si>
  <si>
    <t>clear black bags contain 1 dull tomato bag.</t>
  </si>
  <si>
    <t>muted coral bags contain 5 drab indigo bags.</t>
  </si>
  <si>
    <t>plaid magenta bags contain 3 posh salmon bags.</t>
  </si>
  <si>
    <t>clear tomato bags contain 5 dotted brown bags, 3 dim tomato bags, 3 drab brown bags.</t>
  </si>
  <si>
    <t>clear yellow bags contain 3 clear black bags, 2 mirrored black bags.</t>
  </si>
  <si>
    <t>dark gray bags contain 5 light bronze bags, 4 dotted coral bags, 4 dim chartreuse bags.</t>
  </si>
  <si>
    <t>light magenta bags contain 4 wavy turquoise bags, 1 mirrored green bag, 2 plaid chartreuse bags.</t>
  </si>
  <si>
    <t>shiny indigo bags contain 1 bright silver bag, 2 pale tomato bags, 4 light teal bags, 4 posh coral bags.</t>
  </si>
  <si>
    <t>muted gray bags contain 3 faded beige bags, 1 dark teal bag, 3 muted violet bags, 3 muted white bags.</t>
  </si>
  <si>
    <t>wavy lavender bags contain 1 clear chartreuse bag, 2 clear maroon bags, 5 dull plum bags.</t>
  </si>
  <si>
    <t>faded olive bags contain 4 mirrored yellow bags, 4 vibrant tomato bags, 5 muted olive bags.</t>
  </si>
  <si>
    <t>muted crimson bags contain 1 mirrored gray bag, 4 dim violet bags.</t>
  </si>
  <si>
    <t>drab chartreuse bags contain 1 pale olive bag, 1 vibrant plum bag.</t>
  </si>
  <si>
    <t>wavy cyan bags contain 2 mirrored coral bags.</t>
  </si>
  <si>
    <t>mirrored plum bags contain 3 bright turquoise bags, 3 dark beige bags, 4 mirrored beige bags.</t>
  </si>
  <si>
    <t>plaid lavender bags contain 1 drab white bag.</t>
  </si>
  <si>
    <t>muted gold bags contain 1 clear black bag, 2 light orange bags, 4 dotted red bags, 4 dull silver bags.</t>
  </si>
  <si>
    <t>faded bronze bags contain 4 posh plum bags.</t>
  </si>
  <si>
    <t>clear turquoise bags contain 1 light gold bag, 1 clear beige bag, 2 striped chartreuse bags.</t>
  </si>
  <si>
    <t>vibrant gray bags contain 1 plaid white bag.</t>
  </si>
  <si>
    <t>bright tan bags contain 3 drab silver bags, 2 faded yellow bags, 2 bright green bags.</t>
  </si>
  <si>
    <t>pale bronze bags contain 5 posh coral bags, 4 clear coral bags, 1 dotted orange bag, 4 wavy chartreuse bags.</t>
  </si>
  <si>
    <t>clear plum bags contain 1 dim plum bag, 4 light gold bags.</t>
  </si>
  <si>
    <t>posh turquoise bags contain 3 wavy bronze bags, 4 shiny purple bags.</t>
  </si>
  <si>
    <t>posh teal bags contain 2 striped magenta bags, 3 dark magenta bags, 5 faded silver bags, 5 mirrored chartreuse bags.</t>
  </si>
  <si>
    <t>dim yellow bags contain 4 pale bronze bags, 3 shiny tan bags.</t>
  </si>
  <si>
    <t>faded lavender bags contain 3 dull white bags, 3 striped teal bags.</t>
  </si>
  <si>
    <t>wavy magenta bags contain 2 pale aqua bags, 4 shiny indigo bags.</t>
  </si>
  <si>
    <t>dim brown bags contain 2 bright brown bags, 3 striped chartreuse bags, 5 dull purple bags, 1 light cyan bag.</t>
  </si>
  <si>
    <t>light lime bags contain 5 clear crimson bags, 4 plaid indigo bags, 1 pale silver bag.</t>
  </si>
  <si>
    <t>striped silver bags contain 3 posh green bags, 3 muted violet bags, 1 drab green bag.</t>
  </si>
  <si>
    <t>bright brown bags contain no other bags.</t>
  </si>
  <si>
    <t>vibrant fuchsia bags contain 4 dull olive bags, 2 mirrored gold bags, 3 mirrored bronze bags, 1 posh crimson bag.</t>
  </si>
  <si>
    <t>plaid purple bags contain 3 faded beige bags, 1 drab green bag, 2 striped chartreuse bags.</t>
  </si>
  <si>
    <t>wavy violet bags contain 2 vibrant gray bags, 5 wavy fuchsia bags.</t>
  </si>
  <si>
    <t>dark maroon bags contain 5 pale chartreuse bags, 5 striped brown bags.</t>
  </si>
  <si>
    <t>pale coral bags contain 3 vibrant plum bags.</t>
  </si>
  <si>
    <t>dark black bags contain 4 striped salmon bags, 4 dim bronze bags.</t>
  </si>
  <si>
    <t>plaid bronze bags contain 2 mirrored black bags, 1 drab bronze bag, 4 plaid purple bags, 5 dull tomato bags.</t>
  </si>
  <si>
    <t>faded orange bags contain 5 plaid indigo bags.</t>
  </si>
  <si>
    <t>light lavender bags contain 2 shiny magenta bags, 5 dim lavender bags, 1 dotted crimson bag.</t>
  </si>
  <si>
    <t>dull chartreuse bags contain 4 clear lime bags.</t>
  </si>
  <si>
    <t>dark gold bags contain 4 light magenta bags.</t>
  </si>
  <si>
    <t>dim black bags contain 4 shiny silver bags, 1 dull tomato bag.</t>
  </si>
  <si>
    <t>plaid salmon bags contain 3 light magenta bags, 4 dull fuchsia bags, 2 striped salmon bags.</t>
  </si>
  <si>
    <t>vibrant bronze bags contain 5 mirrored white bags, 1 dull coral bag.</t>
  </si>
  <si>
    <t>wavy brown bags contain 1 light gold bag, 4 drab purple bags, 3 muted violet bags, 4 muted fuchsia bags.</t>
  </si>
  <si>
    <t>dotted lavender bags contain 4 dotted indigo bags, 2 dull lavender bags.</t>
  </si>
  <si>
    <t>dotted gold bags contain 1 posh magenta bag, 2 posh yellow bags.</t>
  </si>
  <si>
    <t>faded brown bags contain 4 muted blue bags, 3 wavy teal bags.</t>
  </si>
  <si>
    <t>light yellow bags contain 3 clear black bags, 1 dotted crimson bag.</t>
  </si>
  <si>
    <t>striped salmon bags contain 1 dull yellow bag, 5 mirrored gray bags, 5 light lavender bags, 5 mirrored brown bags.</t>
  </si>
  <si>
    <t>light blue bags contain 5 mirrored purple bags, 3 dim violet bags, 2 pale tomato bags.</t>
  </si>
  <si>
    <t>faded gold bags contain 3 plaid gray bags.</t>
  </si>
  <si>
    <t>shiny aqua bags contain 1 striped crimson bag, 5 pale black bags.</t>
  </si>
  <si>
    <t>shiny lime bags contain 4 dark green bags.</t>
  </si>
  <si>
    <t>vibrant tan bags contain 3 clear silver bags, 3 pale white bags.</t>
  </si>
  <si>
    <t>vibrant aqua bags contain no other bags.</t>
  </si>
  <si>
    <t>vibrant teal bags contain 3 wavy tan bags.</t>
  </si>
  <si>
    <t>light maroon bags contain 3 vibrant silver bags.</t>
  </si>
  <si>
    <t>faded crimson bags contain 3 plaid red bags.</t>
  </si>
  <si>
    <t>light teal bags contain 2 dark teal bags, 1 faded beige bag, 4 dull cyan bags.</t>
  </si>
  <si>
    <t>mirrored coral bags contain 2 vibrant plum bags.</t>
  </si>
  <si>
    <t>muted black bags contain 2 drab magenta bags, 1 mirrored gray bag, 4 drab tan bags, 1 dim indigo bag.</t>
  </si>
  <si>
    <t>striped gold bags contain 1 dark lavender bag, 4 drab brown bags, 2 bright silver bags, 2 striped teal bags.</t>
  </si>
  <si>
    <t>light purple bags contain 3 posh gray bags.</t>
  </si>
  <si>
    <t>dull silver bags contain 2 clear chartreuse bags, 3 plaid silver bags, 1 drab salmon bag, 2 wavy teal bags.</t>
  </si>
  <si>
    <t>clear bronze bags contain 4 dull red bags.</t>
  </si>
  <si>
    <t>wavy yellow bags contain 3 dull tomato bags, 2 posh green bags, 4 plaid aqua bags, 2 faded purple bags.</t>
  </si>
  <si>
    <t>muted purple bags contain 5 pale black bags, 2 muted salmon bags, 2 muted yellow bags.</t>
  </si>
  <si>
    <t>plaid aqua bags contain no other bags.</t>
  </si>
  <si>
    <t>drab plum bags contain 3 drab turquoise bags.</t>
  </si>
  <si>
    <t>muted orange bags contain 1 faded blue bag, 5 plaid brown bags, 4 mirrored chartreuse bags.</t>
  </si>
  <si>
    <t>dim silver bags contain 4 dark fuchsia bags, 2 clear cyan bags, 2 dark green bags, 4 dotted silver bags.</t>
  </si>
  <si>
    <t>pale tan bags contain 5 shiny silver bags, 5 drab indigo bags.</t>
  </si>
  <si>
    <t>wavy tomato bags contain 4 clear black bags, 4 plaid gray bags.</t>
  </si>
  <si>
    <t>posh bronze bags contain 4 drab green bags.</t>
  </si>
  <si>
    <t>clear blue bags contain 3 bright brown bags, 5 dull tomato bags, 1 clear black bag, 5 bright violet bags.</t>
  </si>
  <si>
    <t>striped plum bags contain 4 plaid yellow bags, 3 dark teal bags, 2 mirrored lavender bags, 1 dotted salmon bag.</t>
  </si>
  <si>
    <t>muted salmon bags contain 1 dull cyan bag, 2 clear coral bags, 1 posh coral bag.</t>
  </si>
  <si>
    <t>light aqua bags contain 4 clear maroon bags, 4 striped black bags.</t>
  </si>
  <si>
    <t>bright blue bags contain 4 drab violet bags, 4 light indigo bags, 3 muted indigo bags.</t>
  </si>
  <si>
    <t>light brown bags contain 5 striped lavender bags.</t>
  </si>
  <si>
    <t>light salmon bags contain 1 drab beige bag, 5 faded orange bags, 4 plaid coral bags, 5 light chartreuse bags.</t>
  </si>
  <si>
    <t>posh beige bags contain 1 shiny red bag.</t>
  </si>
  <si>
    <t>dotted orange bags contain 2 dotted brown bags, 3 mirrored silver bags, 1 dull tomato bag.</t>
  </si>
  <si>
    <t>wavy purple bags contain 1 mirrored green bag, 1 clear maroon bag.</t>
  </si>
  <si>
    <t>dark coral bags contain 5 bright chartreuse bags, 4 clear lime bags.</t>
  </si>
  <si>
    <t>dim lime bags contain 3 bright olive bags, 3 dull gold bags.</t>
  </si>
  <si>
    <t>pale plum bags contain 1 light orange bag, 3 drab orange bags, 5 mirrored purple bags.</t>
  </si>
  <si>
    <t>dim beige bags contain 5 pale fuchsia bags, 4 mirrored fuchsia bags, 4 plaid teal bags, 1 shiny orange bag.</t>
  </si>
  <si>
    <t>drab tan bags contain 5 plaid silver bags, 3 muted crimson bags, 1 clear salmon bag.</t>
  </si>
  <si>
    <t>posh blue bags contain 4 plaid aqua bags, 2 drab salmon bags, 4 pale teal bags, 2 drab gold bags.</t>
  </si>
  <si>
    <t>drab violet bags contain 3 shiny white bags.</t>
  </si>
  <si>
    <t>shiny plum bags contain 3 mirrored green bags, 2 dark yellow bags, 3 pale salmon bags.</t>
  </si>
  <si>
    <t>pale fuchsia bags contain 5 faded violet bags.</t>
  </si>
  <si>
    <t>clear fuchsia bags contain 2 dark lavender bags, 3 posh green bags.</t>
  </si>
  <si>
    <t>mirrored lime bags contain 3 light bronze bags.</t>
  </si>
  <si>
    <t>plaid white bags contain 1 dim lavender bag, 4 dim olive bags, 3 clear yellow bags.</t>
  </si>
  <si>
    <t>striped violet bags contain 4 plaid plum bags, 3 plaid black bags, 4 pale teal bags, 5 wavy magenta bags.</t>
  </si>
  <si>
    <t>dark purple bags contain 2 shiny gold bags, 3 faded blue bags.</t>
  </si>
  <si>
    <t>mirrored blue bags contain 1 drab fuchsia bag, 4 posh white bags, 3 wavy red bags.</t>
  </si>
  <si>
    <t>pale black bags contain 2 dim olive bags, 5 bright brown bags.</t>
  </si>
  <si>
    <t>dark brown bags contain 5 dotted purple bags, 2 striped silver bags.</t>
  </si>
  <si>
    <t>muted lavender bags contain 3 posh brown bags, 2 clear yellow bags, 3 posh coral bags, 1 shiny tan bag.</t>
  </si>
  <si>
    <t>muted bronze bags contain 1 drab teal bag, 5 drab tomato bags, 1 drab magenta bag, 5 posh maroon bags.</t>
  </si>
  <si>
    <t>posh violet bags contain 5 bright white bags, 5 vibrant tan bags.</t>
  </si>
  <si>
    <t>clear green bags contain 3 mirrored silver bags, 2 dotted orange bags.</t>
  </si>
  <si>
    <t>dotted plum bags contain 3 plaid yellow bags, 1 wavy yellow bag, 1 drab cyan bag.</t>
  </si>
  <si>
    <t>drab olive bags contain 1 shiny indigo bag.</t>
  </si>
  <si>
    <t>wavy turquoise bags contain 3 muted yellow bags.</t>
  </si>
  <si>
    <t>dark violet bags contain 2 bright crimson bags, 4 bright fuchsia bags, 2 dull blue bags.</t>
  </si>
  <si>
    <t>posh gold bags contain 3 drab teal bags.</t>
  </si>
  <si>
    <t>dim cyan bags contain 5 clear olive bags, 4 bright turquoise bags, 1 pale gray bag.</t>
  </si>
  <si>
    <t>posh red bags contain 1 bright salmon bag.</t>
  </si>
  <si>
    <t>dull tan bags contain 4 plaid cyan bags.</t>
  </si>
  <si>
    <t>faded indigo bags contain 3 light gold bags, 5 dotted brown bags, 3 dotted cyan bags, 2 drab teal bags.</t>
  </si>
  <si>
    <t>clear violet bags contain 1 wavy turquoise bag, 1 vibrant chartreuse bag, 1 dark violet bag, 3 bright bronze bags.</t>
  </si>
  <si>
    <t>clear indigo bags contain 1 mirrored tan bag, 4 faded indigo bags.</t>
  </si>
  <si>
    <t>bright turquoise bags contain 1 drab teal bag, 4 dull salmon bags, 4 pale olive bags, 2 faded chartreuse bags.</t>
  </si>
  <si>
    <t>muted tomato bags contain 1 dark purple bag, 3 striped tan bags.</t>
  </si>
  <si>
    <t>posh silver bags contain 4 muted gray bags.</t>
  </si>
  <si>
    <t>mirrored olive bags contain 5 bright lavender bags, 2 clear blue bags, 5 dotted crimson bags, 5 pale black bags.</t>
  </si>
  <si>
    <t>shiny tomato bags contain 1 mirrored purple bag, 4 posh gold bags, 3 vibrant plum bags.</t>
  </si>
  <si>
    <t>striped coral bags contain 5 clear orange bags, 3 muted coral bags, 4 bright green bags, 1 clear chartreuse bag.</t>
  </si>
  <si>
    <t>mirrored chartreuse bags contain 4 clear blue bags.</t>
  </si>
  <si>
    <t>pale maroon bags contain 1 muted indigo bag.</t>
  </si>
  <si>
    <t>striped black bags contain 3 striped gray bags, 1 striped lime bag, 4 bright cyan bags, 4 light orange bags.</t>
  </si>
  <si>
    <t>dim maroon bags contain 4 dull cyan bags.</t>
  </si>
  <si>
    <t>bright beige bags contain 2 pale fuchsia bags, 5 vibrant beige bags, 1 light lavender bag.</t>
  </si>
  <si>
    <t>shiny gray bags contain 2 striped lime bags, 1 pale black bag, 4 wavy tomato bags, 2 vibrant brown bags.</t>
  </si>
  <si>
    <t>drab lime bags contain 5 muted bronze bags, 2 posh indigo bags.</t>
  </si>
  <si>
    <t>dull gray bags contain 2 dull plum bags, 4 dim white bags, 2 shiny purple bags.</t>
  </si>
  <si>
    <t>light olive bags contain 4 clear salmon bags, 1 dim indigo bag.</t>
  </si>
  <si>
    <t>vibrant violet bags contain 5 striped tan bags, 1 pale lime bag, 4 posh plum bags, 4 mirrored black bags.</t>
  </si>
  <si>
    <t>posh lavender bags contain 4 pale tomato bags.</t>
  </si>
  <si>
    <t>plaid coral bags contain 3 mirrored olive bags, 2 muted black bags, 3 light plum bags.</t>
  </si>
  <si>
    <t>vibrant blue bags contain 4 mirrored silver bags.</t>
  </si>
  <si>
    <t>dim aqua bags contain 5 dim maroon bags.</t>
  </si>
  <si>
    <t>wavy bronze bags contain 5 wavy plum bags, 1 bright cyan bag, 2 drab chartreuse bags.</t>
  </si>
  <si>
    <t>muted plum bags contain 3 plaid silver bags, 5 faded black bags, 3 drab maroon bags.</t>
  </si>
  <si>
    <t>dull turquoise bags contain 4 plaid silver bags.</t>
  </si>
  <si>
    <t>plaid blue bags contain 3 plaid purple bags.</t>
  </si>
  <si>
    <t>dotted tan bags contain 5 plaid chartreuse bags, 4 dotted coral bags, 4 posh green bags, 1 striped turquoise bag.</t>
  </si>
  <si>
    <t>plaid black bags contain 2 drab salmon bags, 5 posh maroon bags.</t>
  </si>
  <si>
    <t>light cyan bags contain 2 dotted orange bags, 5 drab green bags, 1 bright lavender bag.</t>
  </si>
  <si>
    <t>dull fuchsia bags contain 2 posh red bags, 4 mirrored beige bags, 2 dull salmon bags, 4 striped purple bags.</t>
  </si>
  <si>
    <t>dark turquoise bags contain 4 drab tomato bags, 3 dotted chartreuse bags, 5 muted salmon bags, 4 posh magenta bags.</t>
  </si>
  <si>
    <t>vibrant silver bags contain 3 dark brown bags, 2 wavy beige bags, 5 dull turquoise bags, 2 drab tan bags.</t>
  </si>
  <si>
    <t>dotted tomato bags contain 3 drab tan bags, 2 striped magenta bags, 5 dim violet bags, 4 wavy tomato bags.</t>
  </si>
  <si>
    <t>vibrant white bags contain 5 bright crimson bags, 2 mirrored white bags, 5 mirrored indigo bags, 4 wavy teal bags.</t>
  </si>
  <si>
    <t>shiny fuchsia bags contain 1 pale lime bag.</t>
  </si>
  <si>
    <t>wavy fuchsia bags contain 4 clear cyan bags.</t>
  </si>
  <si>
    <t>dotted gray bags contain 3 striped chartreuse bags, 1 dark fuchsia bag.</t>
  </si>
  <si>
    <t>bright tomato bags contain 4 wavy orange bags, 2 dotted salmon bags, 1 striped gray bag, 3 pale tomato bags.</t>
  </si>
  <si>
    <t>clear chartreuse bags contain 3 clear purple bags.</t>
  </si>
  <si>
    <t>dim teal bags contain 3 faded silver bags, 5 vibrant silver bags, 2 wavy fuchsia bags.</t>
  </si>
  <si>
    <t>dotted yellow bags contain 5 bright bronze bags, 4 drab teal bags.</t>
  </si>
  <si>
    <t>dark indigo bags contain 5 plaid red bags, 5 dim purple bags.</t>
  </si>
  <si>
    <t>wavy black bags contain 5 shiny tomato bags, 2 clear gray bags, 4 dim lavender bags, 3 clear blue bags.</t>
  </si>
  <si>
    <t>striped green bags contain 3 light crimson bags, 5 mirrored cyan bags, 2 mirrored maroon bags, 2 faded yellow bags.</t>
  </si>
  <si>
    <t>dull lime bags contain 3 pale yellow bags.</t>
  </si>
  <si>
    <t>faded chartreuse bags contain 2 wavy teal bags, 3 dim olive bags, 2 dull purple bags, 5 vibrant plum bags.</t>
  </si>
  <si>
    <t>dark yellow bags contain 2 muted brown bags.</t>
  </si>
  <si>
    <t>plaid beige bags contain 3 pale green bags, 3 bright purple bags, 5 faded black bags, 1 drab brown bag.</t>
  </si>
  <si>
    <t>faded maroon bags contain 5 drab tomato bags.</t>
  </si>
  <si>
    <t>muted silver bags contain 3 striped lime bags, 3 dim orange bags, 3 muted aqua bags, 1 plaid black bag.</t>
  </si>
  <si>
    <t>pale violet bags contain 1 mirrored gray bag, 1 dull gold bag, 1 wavy crimson bag, 1 pale magenta bag.</t>
  </si>
  <si>
    <t>dim olive bags contain no other bags.</t>
  </si>
  <si>
    <t>mirrored bronze bags contain 2 drab white bags.</t>
  </si>
  <si>
    <t>dull green bags contain 1 striped silver bag, 2 bright orange bags, 4 dull yellow bags, 4 dotted chartreuse bags.</t>
  </si>
  <si>
    <t>bright gray bags contain 1 striped gray bag, 5 dull teal bags, 4 light beige bags, 2 vibrant orange bags.</t>
  </si>
  <si>
    <t>light indigo bags contain 1 dim maroon bag, 4 dark indigo bags, 1 dark brown bag, 2 muted beige bags.</t>
  </si>
  <si>
    <t>bright magenta bags contain 2 muted lime bags.</t>
  </si>
  <si>
    <t>posh crimson bags contain 4 pale indigo bags, 2 faded green bags.</t>
  </si>
  <si>
    <t>vibrant plum bags contain 1 posh gray bag, 3 mirrored silver bags, 4 bright brown bags, 2 posh magenta bags.</t>
  </si>
  <si>
    <t>wavy lime bags contain 4 wavy black bags, 4 shiny cyan bags, 5 striped aqua bags, 4 plaid gray bags.</t>
  </si>
  <si>
    <t>shiny silver bags contain 5 dotted crimson bags, 2 wavy turquoise bags, 1 shiny coral bag.</t>
  </si>
  <si>
    <t>dark tan bags contain 5 clear silver bags.</t>
  </si>
  <si>
    <t>mirrored brown bags contain 1 dotted brown bag, 2 plaid gray bags, 5 dull tomato bags, 5 clear black bags.</t>
  </si>
  <si>
    <t>muted brown bags contain 3 drab magenta bags, 4 plaid aqua bags, 5 dim black bags.</t>
  </si>
  <si>
    <t>posh black bags contain 2 bright turquoise bags, 3 mirrored maroon bags, 1 dull white bag.</t>
  </si>
  <si>
    <t>wavy aqua bags contain 3 drab green bags, 3 clear magenta bags.</t>
  </si>
  <si>
    <t>vibrant chartreuse bags contain 3 muted violet bags.</t>
  </si>
  <si>
    <t>wavy silver bags contain 2 muted yellow bags, 4 plaid violet bags.</t>
  </si>
  <si>
    <t>shiny salmon bags contain 1 clear yellow bag.</t>
  </si>
  <si>
    <t>clear purple bags contain 2 posh green bags, 2 muted gray bags.</t>
  </si>
  <si>
    <t>clear cyan bags contain 5 posh gray bags, 5 plaid aqua bags, 1 wavy tomato bag, 1 dim lavender bag.</t>
  </si>
  <si>
    <t>wavy coral bags contain 5 dim yellow bags, 3 clear yellow bags.</t>
  </si>
  <si>
    <t>wavy green bags contain 4 plaid bronze bags, 4 dull coral bags.</t>
  </si>
  <si>
    <t>mirrored gold bags contain 5 bright lavender bags.</t>
  </si>
  <si>
    <t>muted fuchsia bags contain 1 dotted purple bag.</t>
  </si>
  <si>
    <t>clear maroon bags contain 3 muted gray bags, 2 bright chartreuse bags, 3 dotted gold bags.</t>
  </si>
  <si>
    <t>faded salmon bags contain 5 clear green bags.</t>
  </si>
  <si>
    <t>striped aqua bags contain 5 pale yellow bags, 1 dotted salmon bag, 1 wavy teal bag, 1 muted yellow bag.</t>
  </si>
  <si>
    <t>plaid fuchsia bags contain 2 dim olive bags.</t>
  </si>
  <si>
    <t>pale chartreuse bags contain 3 posh magenta bags, 3 mirrored yellow bags.</t>
  </si>
  <si>
    <t>shiny beige bags contain 1 mirrored indigo bag.</t>
  </si>
  <si>
    <t>posh aqua bags contain 3 pale silver bags, 3 shiny tan bags, 5 striped blue bags, 5 dull salmon bags.</t>
  </si>
  <si>
    <t>dull magenta bags contain 5 dotted lime bags, 4 bright plum bags, 5 vibrant turquoise bags.</t>
  </si>
  <si>
    <t>posh tomato bags contain 5 shiny tan bags, 1 wavy salmon bag.</t>
  </si>
  <si>
    <t>clear red bags contain 5 clear black bags.</t>
  </si>
  <si>
    <t>dotted aqua bags contain 1 clear black bag.</t>
  </si>
  <si>
    <t>clear olive bags contain 1 plaid gray bag, 3 clear cyan bags.</t>
  </si>
  <si>
    <t>dotted green bags contain 3 light red bags.</t>
  </si>
  <si>
    <t>clear teal bags contain 5 faded coral bags, 3 wavy plum bags, 5 bright orange bags, 1 clear purple bag.</t>
  </si>
  <si>
    <t>plaid orange bags contain 4 pale chartreuse bags, 1 dark silver bag, 2 drab tomato bags.</t>
  </si>
  <si>
    <t>pale teal bags contain 1 drab black bag.</t>
  </si>
  <si>
    <t>posh chartreuse bags contain 1 dotted gold bag, 4 bright salmon bags.</t>
  </si>
  <si>
    <t>pale red bags contain 2 vibrant plum bags, 4 wavy cyan bags, 2 dotted white bags, 1 posh silver bag.</t>
  </si>
  <si>
    <t>faded violet bags contain 1 mirrored white bag, 4 muted green bags, 5 mirrored olive bags, 1 dim brown bag.</t>
  </si>
  <si>
    <t>faded fuchsia bags contain 2 dark brown bags.</t>
  </si>
  <si>
    <t>dotted brown bags contain 4 clear blue bags.</t>
  </si>
  <si>
    <t>dark teal bags contain 5 dull cyan bags.</t>
  </si>
  <si>
    <t>bright salmon bags contain 2 pale black bags, 5 dotted chartreuse bags, 2 striped chartreuse bags.</t>
  </si>
  <si>
    <t>pale blue bags contain 4 shiny gold bags, 2 clear white bags, 1 dotted coral bag.</t>
  </si>
  <si>
    <t>dim tan bags contain 3 plaid yellow bags, 5 clear blue bags, 2 clear cyan bags.</t>
  </si>
  <si>
    <t>dull beige bags contain 5 shiny maroon bags, 4 mirrored bronze bags, 4 dark plum bags.</t>
  </si>
  <si>
    <t>clear magenta bags contain 5 dim bronze bags, 5 wavy olive bags.</t>
  </si>
  <si>
    <t>bright black bags contain 2 bright bronze bags, 5 mirrored gold bags, 4 dark yellow bags.</t>
  </si>
  <si>
    <t>muted aqua bags contain 2 dark teal bags.</t>
  </si>
  <si>
    <t>faded blue bags contain 4 clear salmon bags, 1 light cyan bag, 5 wavy tomato bags.</t>
  </si>
  <si>
    <t>dotted indigo bags contain 2 shiny maroon bags, 2 wavy tan bags, 4 dim tomato bags, 1 posh plum bag.</t>
  </si>
  <si>
    <t>striped chartreuse bags contain 2 dotted orange bags, 3 bright lavender bags.</t>
  </si>
  <si>
    <t>dim indigo bags contain 4 shiny coral bags, 4 mirrored olive bags.</t>
  </si>
  <si>
    <t>dotted purple bags contain 4 mirrored white bags, 1 posh yellow bag, 5 drab maroon bags.</t>
  </si>
  <si>
    <t>muted chartreuse bags contain 5 bright silver bags, 2 bright brown bags.</t>
  </si>
  <si>
    <t>shiny purple bags contain 3 dim maroon bags, 2 mirrored lime bags, 2 light lavender bags, 3 dotted salmon bags.</t>
  </si>
  <si>
    <t>faded white bags contain 3 vibrant white bags, 5 muted gray bags.</t>
  </si>
  <si>
    <t>muted red bags contain 3 posh coral bags.</t>
  </si>
  <si>
    <t>mirrored tan bags contain 1 dotted gold bag, 2 dark coral bags, 3 light purple bags.</t>
  </si>
  <si>
    <t>dim blue bags contain 3 dull blue bags, 4 posh plum bags.</t>
  </si>
  <si>
    <t>bright indigo bags contain 1 muted white bag, 1 wavy fuchsia bag.</t>
  </si>
  <si>
    <t>striped crimson bags contain 3 dotted coral bags.</t>
  </si>
  <si>
    <t>light orange bags contain 3 striped chartreuse bags, 4 bright silver bags, 5 clear cyan bags.</t>
  </si>
  <si>
    <t>posh yellow bags contain 3 bright brown bags.</t>
  </si>
  <si>
    <t>dotted beige bags contain 1 plaid red bag.</t>
  </si>
  <si>
    <t>faded aqua bags contain 3 drab tan bags.</t>
  </si>
  <si>
    <t>shiny red bags contain 3 striped lime bags, 5 wavy teal bags, 2 muted olive bags, 1 shiny chartreuse bag.</t>
  </si>
  <si>
    <t>light tomato bags contain 4 muted green bags.</t>
  </si>
  <si>
    <t>bright olive bags contain 4 shiny maroon bags, 1 striped tan bag, 2 drab teal bags, 3 mirrored chartreuse bags.</t>
  </si>
  <si>
    <t>mirrored white bags contain 4 vibrant aqua bags, 4 clear blue bags, 4 bright violet bags, 1 muted olive bag.</t>
  </si>
  <si>
    <t>posh olive bags contain 2 shiny maroon bags, 3 faded coral bags, 1 dark turquoise bag.</t>
  </si>
  <si>
    <t>vibrant lime bags contain 1 light lime bag, 5 bright lime bags, 4 vibrant olive bags.</t>
  </si>
  <si>
    <t>striped brown bags contain 3 clear chartreuse bags, 4 drab magenta bags.</t>
  </si>
  <si>
    <t>striped lavender bags contain 1 wavy plum bag.</t>
  </si>
  <si>
    <t>wavy white bags contain 4 dotted red bags.</t>
  </si>
  <si>
    <t>dark bronze bags contain 2 posh green bags, 1 dotted crimson bag, 5 bright lavender bags, 1 shiny coral bag.</t>
  </si>
  <si>
    <t>mirrored black bags contain 3 muted salmon bags.</t>
  </si>
  <si>
    <t>shiny magenta bags contain 4 dotted orange bags, 4 bright silver bags, 3 posh coral bags.</t>
  </si>
  <si>
    <t>light bronze bags contain 3 dotted coral bags.</t>
  </si>
  <si>
    <t>mirrored gray bags contain 1 muted olive bag, 1 bright violet bag.</t>
  </si>
  <si>
    <t>bright lavender bags contain 1 dull tomato bag, 2 clear blue bags.</t>
  </si>
  <si>
    <t>drab yellow bags contain 3 dim tomato bags, 3 striped green bags.</t>
  </si>
  <si>
    <t>dark chartreuse bags contain 5 vibrant violet bags, 4 shiny tan bags, 4 dark orange bags, 1 dull tan bag.</t>
  </si>
  <si>
    <t>vibrant indigo bags contain 3 mirrored violet bags, 3 light teal bags, 2 dim red bags.</t>
  </si>
  <si>
    <t>plaid green bags contain 3 wavy blue bags, 4 wavy yellow bags, 1 dull lavender bag.</t>
  </si>
  <si>
    <t>mirrored purple bags contain 5 vibrant silver bags.</t>
  </si>
  <si>
    <t>vibrant yellow bags contain 4 plaid brown bags, 3 drab bronze bags, 5 posh bronze bags, 3 mirrored lime bags.</t>
  </si>
  <si>
    <t>pale gold bags contain 4 shiny indigo bags, 4 clear maroon bags.</t>
  </si>
  <si>
    <t>shiny cyan bags contain 3 dim olive bags.</t>
  </si>
  <si>
    <t>dim salmon bags contain 5 faded beige bags, 2 faded orange bags, 2 shiny purple bags.</t>
  </si>
  <si>
    <t>dark crimson bags contain 3 dull aqua bags, 1 wavy olive bag, 3 posh plum bags, 3 bright brown bags.</t>
  </si>
  <si>
    <t>vibrant gold bags contain 3 wavy gray bags, 4 clear white bags, 1 faded salmon bag, 3 drab aqua bags.</t>
  </si>
  <si>
    <t>faded magenta bags contain 5 plaid aqua bags, 4 faded purple bags, 5 wavy bronze bags.</t>
  </si>
  <si>
    <t>drab black bags contain 3 pale aqua bags, 2 clear coral bags, 2 mirrored silver bags, 5 dark cyan bags.</t>
  </si>
  <si>
    <t>bright green bags contain 1 shiny aqua bag, 5 drab salmon bags, 5 wavy tomato bags, 4 faded beige bags.</t>
  </si>
  <si>
    <t>bright aqua bags contain 2 vibrant magenta bags, 3 dim indigo bags, 5 dark fuchsia bags.</t>
  </si>
  <si>
    <t>pale olive bags contain 1 dotted brown bag.</t>
  </si>
  <si>
    <t>mirrored fuchsia bags contain 1 dull brown bag, 3 light cyan bags.</t>
  </si>
  <si>
    <t>mirrored red bags contain 3 plaid lavender bags.</t>
  </si>
  <si>
    <t>wavy blue bags contain 5 wavy turquoise bags, 3 light green bags, 4 dim indigo bags, 3 posh coral bags.</t>
  </si>
  <si>
    <t>clear silver bags contain 4 plaid gray bags.</t>
  </si>
  <si>
    <t>muted white bags contain 2 dotted salmon bags, 4 mirrored white bags, 3 clear cyan bags, 2 muted chartreuse bags.</t>
  </si>
  <si>
    <t>dim tomato bags contain 3 drab white bags, 1 posh gray bag, 3 dark cyan bags, 5 posh green bags.</t>
  </si>
  <si>
    <t>drab beige bags contain 1 light orange bag, 3 bright salmon bags, 3 pale silver bags.</t>
  </si>
  <si>
    <t>clear gold bags contain 2 vibrant white bags, 2 plaid yellow bags.</t>
  </si>
  <si>
    <t>vibrant orange bags contain 5 muted chartreuse bags.</t>
  </si>
  <si>
    <t>striped tan bags contain 1 wavy gold bag, 3 mirrored black bags, 1 shiny aqua bag, 5 vibrant red bags.</t>
  </si>
  <si>
    <t>bright lime bags contain 4 dim indigo bags, 3 dull tomato bags.</t>
  </si>
  <si>
    <t>bright red bags contain 5 drab magenta bags, 1 clear salmon bag.</t>
  </si>
  <si>
    <t>vibrant green bags contain 4 plaid tomato bags.</t>
  </si>
  <si>
    <t>light tan bags contain 5 muted green bags.</t>
  </si>
  <si>
    <t>striped white bags contain 1 faded silver bag, 2 vibrant red bags.</t>
  </si>
  <si>
    <t>dull violet bags contain 5 dull turquoise bags.</t>
  </si>
  <si>
    <t>drab salmon bags contain 3 posh magenta bags, 1 dark teal bag.</t>
  </si>
  <si>
    <t>mirrored cyan bags contain 2 dim violet bags, 1 plaid aqua bag, 1 vibrant blue bag, 1 posh magenta bag.</t>
  </si>
  <si>
    <t>wavy teal bags contain 1 bright crimson bag, 2 light cyan bags, 4 striped silver bags.</t>
  </si>
  <si>
    <t>vibrant purple bags contain 5 shiny magenta bags, 1 dotted orange bag, 2 wavy teal bags.</t>
  </si>
  <si>
    <t>faded beige bags contain 1 posh green bag, 5 clear coral bags.</t>
  </si>
  <si>
    <t>faded lime bags contain 1 wavy gray bag, 1 light orange bag, 5 clear bronze bags.</t>
  </si>
  <si>
    <t>mirrored green bags contain 5 drab bronze bags, 3 muted violet bags, 1 clear blue bag.</t>
  </si>
  <si>
    <t>light green bags contain 5 mirrored lavender bags, 3 drab gold bags.</t>
  </si>
  <si>
    <t>pale crimson bags contain 3 pale chartreuse bags.</t>
  </si>
  <si>
    <t>mirrored aqua bags contain 4 drab plum bags.</t>
  </si>
  <si>
    <t>dull crimson bags contain 2 bright white bags, 5 drab olive bags, 5 pale salmon bags.</t>
  </si>
  <si>
    <t>dull purple bags contain 1 posh magenta bag, 3 mirrored brown bags.</t>
  </si>
  <si>
    <t>bright white bags contain 4 vibrant blue bags, 3 dull brown bags, 4 drab green bags.</t>
  </si>
  <si>
    <t>drab indigo bags contain 2 bright salmon bags, 2 muted maroon bags, 2 clear gray bags.</t>
  </si>
  <si>
    <t>striped fuchsia bags contain 2 drab gold bags, 4 mirrored white bags, 3 muted black bags, 1 dark teal bag.</t>
  </si>
  <si>
    <t>dark tomato bags contain 3 muted fuchsia bags, 1 dotted lavender bag, 4 drab turquoise bags.</t>
  </si>
  <si>
    <t>mirrored tomato bags contain 5 dark olive bags, 4 light black bags, 4 dark magenta bags.</t>
  </si>
  <si>
    <t>dark plum bags contain 4 wavy yellow bags, 4 shiny salmon bags.</t>
  </si>
  <si>
    <t>dark salmon bags contain 1 dim bronze bag, 4 pale indigo bags, 5 dotted chartreuse bags.</t>
  </si>
  <si>
    <t>dotted lime bags contain 1 shiny brown bag, 3 faded lavender bags.</t>
  </si>
  <si>
    <t>dark red bags contain 3 posh green bags, 1 vibrant bronze bag, 2 dull maroon bags.</t>
  </si>
  <si>
    <t>dim lavender bags contain 2 dark turquoise bags.</t>
  </si>
  <si>
    <t>striped cyan bags contain 1 clear chartreuse bag.</t>
  </si>
  <si>
    <t>dull indigo bags contain 5 shiny brown bags.</t>
  </si>
  <si>
    <t>faded green bags contain 1 drab maroon bag.</t>
  </si>
  <si>
    <t>drab fuchsia bags contain 2 clear olive bags, 1 bright cyan bag.</t>
  </si>
  <si>
    <t>drab gold bags contain 2 dull turquoise bags, 5 dim lavender bags, 4 light teal bags.</t>
  </si>
  <si>
    <t>dotted violet bags contain 3 drab tomato bags, 5 dark lavender bags, 4 bright fuchsia bags.</t>
  </si>
  <si>
    <t>shiny turquoise bags contain 4 light black bags.</t>
  </si>
  <si>
    <t>muted green bags contain 3 vibrant bronze bags, 4 dim olive bags, 2 posh yellow bags, 2 dull cyan bags.</t>
  </si>
  <si>
    <t>pale purple bags contain 2 drab yellow bags, 3 bright crimson bags.</t>
  </si>
  <si>
    <t>posh fuchsia bags contain 1 dull tan bag, 2 dim orange bags.</t>
  </si>
  <si>
    <t>drab teal bags contain 1 dim violet bag, 2 drab green bags, 5 mirrored lavender bags, 2 faded purple bags.</t>
  </si>
  <si>
    <t>mirrored teal bags contain 4 vibrant aqua bags, 2 dull turquoise bags, 4 vibrant bronze bags, 3 mirrored olive bags.</t>
  </si>
  <si>
    <t>muted violet bags contain 3 wavy chartreuse bags.</t>
  </si>
  <si>
    <t>mirrored salmon bags contain 3 clear cyan bags, 5 posh plum bags, 1 shiny coral bag.</t>
  </si>
  <si>
    <t>vibrant crimson bags contain 4 dotted chartreuse bags, 2 wavy yellow bags, 3 drab green bags.</t>
  </si>
  <si>
    <t>dotted teal bags contain 3 clear black bags, 1 faded blue bag, 1 clear beige bag, 4 striped brown bags.</t>
  </si>
  <si>
    <t>posh orange bags contain 1 dim olive bag.</t>
  </si>
  <si>
    <t>striped bronze bags contain 1 dull salmon bag, 4 wavy teal bags, 1 pale salmon bag, 2 dim aqua bags.</t>
  </si>
  <si>
    <t>clear lime bags contain 1 dim lavender bag, 1 drab magenta bag.</t>
  </si>
  <si>
    <t>muted magenta bags contain 1 shiny indigo bag, 4 mirrored cyan bags, 4 shiny cyan bags, 2 posh bronze bags.</t>
  </si>
  <si>
    <t>bright chartreuse bags contain 5 drab white bags, 3 dotted purple bags.</t>
  </si>
  <si>
    <t>dim magenta bags contain 2 dull turquoise bags, 1 dull coral bag, 3 dark violet bags, 4 muted crimson bags.</t>
  </si>
  <si>
    <t>pale cyan bags contain 5 dotted coral bags, 4 drab chartreuse bags, 4 dull plum bags.</t>
  </si>
  <si>
    <t>shiny white bags contain 2 drab salmon bags, 3 shiny silver bags.</t>
  </si>
  <si>
    <t>faded tan bags contain 4 posh magenta bags, 1 pale teal bag.</t>
  </si>
  <si>
    <t>lookup results</t>
  </si>
  <si>
    <t>shiny gold</t>
  </si>
  <si>
    <t>ZZZ</t>
  </si>
  <si>
    <t>contains</t>
  </si>
  <si>
    <t>splited</t>
  </si>
  <si>
    <t>count1</t>
  </si>
  <si>
    <t>color1</t>
  </si>
  <si>
    <t>cnt1</t>
  </si>
  <si>
    <t>col1</t>
  </si>
  <si>
    <t>cnt2</t>
  </si>
  <si>
    <t>col2</t>
  </si>
  <si>
    <t>cnt3</t>
  </si>
  <si>
    <t>col3</t>
  </si>
  <si>
    <t>cnt4</t>
  </si>
  <si>
    <t>col4</t>
  </si>
  <si>
    <t>value</t>
  </si>
  <si>
    <t>??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</si>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</sst>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name val="Arial"/>
    </font>
    <font/>
    <font>
      <sz val="11.0"/>
      <color rgb="FF7E3794"/>
      <name val="Arial"/>
    </font>
    <font>
      <b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>
        <v>5.0</v>
      </c>
      <c r="C1" s="2" t="s">
        <v>0</v>
      </c>
      <c r="D1" s="2" t="s">
        <v>1</v>
      </c>
      <c r="E1" s="3" t="str">
        <f>MID(F1,2,300)</f>
        <v>shiny gold</v>
      </c>
      <c r="F1" s="3" t="str">
        <f>VLOOKUP("_*",D2:D596,1,false)</f>
        <v>_shiny gold</v>
      </c>
      <c r="G1" s="3">
        <f>COUNTA(F2:F596)</f>
        <v>6</v>
      </c>
      <c r="H1" s="3" t="str">
        <f>MID(I1,2,300)</f>
        <v>bright teal</v>
      </c>
      <c r="I1" s="3" t="str">
        <f>VLOOKUP("_*",G2:G596,1,false)</f>
        <v>_bright teal</v>
      </c>
      <c r="J1" s="3">
        <f>COUNTA(I2:I596)</f>
        <v>1</v>
      </c>
      <c r="K1" s="3" t="str">
        <f>MID(L1,2,300)</f>
        <v>striped lime</v>
      </c>
      <c r="L1" s="3" t="str">
        <f>VLOOKUP("_*",J2:J596,1,false)</f>
        <v>_striped lime</v>
      </c>
      <c r="M1" s="3">
        <f>COUNTA(L2:L596)</f>
        <v>7</v>
      </c>
      <c r="AU1" s="4"/>
      <c r="AV1" s="4"/>
      <c r="AW1" s="5"/>
      <c r="AX1" s="4"/>
      <c r="AY1" s="4"/>
      <c r="AZ1" s="5"/>
      <c r="BA1" s="4"/>
      <c r="BB1" s="4"/>
      <c r="BC1" s="5"/>
      <c r="BD1" s="4"/>
      <c r="BE1" s="4"/>
      <c r="BF1" s="5"/>
      <c r="BG1" s="4"/>
      <c r="BH1" s="4"/>
      <c r="BI1" s="5"/>
      <c r="BJ1" s="4"/>
      <c r="BK1" s="4"/>
      <c r="BL1" s="5"/>
      <c r="BM1" s="4"/>
      <c r="BN1" s="4"/>
      <c r="BO1" s="5"/>
      <c r="BP1" s="4"/>
      <c r="BQ1" s="4"/>
      <c r="BR1" s="5"/>
    </row>
    <row r="2">
      <c r="A2" s="6"/>
      <c r="B2" s="6" t="s">
        <v>2</v>
      </c>
      <c r="C2" s="3" t="str">
        <f t="shared" ref="C2:C595" si="1">"_"&amp;LEFT(B2,SEARCH(" ",B2,SEARCH(" ",B2) + 1)-1)</f>
        <v>_faded plum</v>
      </c>
      <c r="D2" s="3" t="str">
        <f>"_shiny gold"</f>
        <v>_shiny gold</v>
      </c>
      <c r="E2" s="3" t="b">
        <f t="shared" ref="E2:E595" si="2">ISNUMBER(SEARCH(E$1,$B2,$B$1))</f>
        <v>0</v>
      </c>
      <c r="F2" s="3" t="str">
        <f>IFERROR(__xludf.DUMMYFUNCTION("FILTER($C2:$C596,E2:E596)"),"_bright teal")</f>
        <v>_bright teal</v>
      </c>
      <c r="G2" s="3" t="str">
        <f t="shared" ref="G2:G595" si="3">IF(F2="", IF(AND(ISNA(HLOOKUP(INDEX(D:D,ROW()-G$1),$A$1:G$1,1,false)),ISNA(VLOOKUP(INDEX(D:D,ROW()-G$1),$A:$A,1,false))),INDEX(D:D,ROW()-G$1),"ZZZ"), IF(AND(ISNA(HLOOKUP(F2,$A$1:G$1,1,false)),ISNA(VLOOKUP(F2,$A:$A,1,false))),F2,"ZZZ"))
</f>
        <v>_bright teal</v>
      </c>
      <c r="H2" s="3" t="b">
        <f t="shared" ref="H2:H595" si="4">ISNUMBER(SEARCH(H$1,$B2,$B$1))</f>
        <v>0</v>
      </c>
      <c r="I2" s="3" t="str">
        <f>IFERROR(__xludf.DUMMYFUNCTION("FILTER($C2:$C596,H2:H596)"),"#N/A")</f>
        <v>#N/A</v>
      </c>
      <c r="J2" s="3" t="str">
        <f t="shared" ref="J2:J595" si="5">IF(I2="", IF(AND(ISNA(HLOOKUP(INDEX(G:G,ROW()-J$1),$A$1:J$1,1,false)),ISNA(VLOOKUP(INDEX(G:G,ROW()-J$1),$A:$A,1,false))),INDEX(G:G,ROW()-J$1),"ZZZ"), IF(AND(ISNA(HLOOKUP(I2,$A$1:J$1,1,false)),ISNA(VLOOKUP(I2,$A:$A,1,false))),I2,"ZZZ"))
</f>
        <v>#N/A</v>
      </c>
      <c r="K2" s="3" t="b">
        <f t="shared" ref="K2:K595" si="6">ISNUMBER(SEARCH(K$1,$B2,$B$1))</f>
        <v>0</v>
      </c>
      <c r="L2" s="3" t="str">
        <f>IFERROR(__xludf.DUMMYFUNCTION("FILTER($C2:$C596,K2:K596)"),"_pale aqua")</f>
        <v>_pale aqua</v>
      </c>
      <c r="M2" s="3" t="str">
        <f t="shared" ref="M2:M595" si="7">IF(L2="", IF(AND(ISNA(HLOOKUP(INDEX(J:J,ROW()-M$1),$A$1:M$1,1,false)),ISNA(VLOOKUP(INDEX(J:J,ROW()-M$1),$A:$A,1,false))),INDEX(J:J,ROW()-M$1),"ZZZ"), IF(AND(ISNA(HLOOKUP(L2,$A$1:M$1,1,false)),ISNA(VLOOKUP(L2,$A:$A,1,false))),L2,"ZZZ"))
</f>
        <v>_pale aqua</v>
      </c>
      <c r="AU2" s="7"/>
      <c r="AV2" s="6"/>
      <c r="AW2" s="4"/>
      <c r="AX2" s="7"/>
      <c r="AY2" s="8"/>
      <c r="AZ2" s="7"/>
      <c r="BA2" s="7"/>
      <c r="BB2" s="4"/>
      <c r="BC2" s="4"/>
      <c r="BD2" s="7"/>
      <c r="BE2" s="4"/>
      <c r="BF2" s="4"/>
      <c r="BG2" s="7"/>
      <c r="BH2" s="7"/>
      <c r="BI2" s="7"/>
      <c r="BJ2" s="7"/>
      <c r="BK2" s="4"/>
      <c r="BL2" s="4"/>
      <c r="BM2" s="7"/>
      <c r="BN2" s="4"/>
      <c r="BO2" s="4"/>
      <c r="BP2" s="7"/>
      <c r="BQ2" s="7"/>
      <c r="BR2" s="7"/>
    </row>
    <row r="3">
      <c r="A3" s="9"/>
      <c r="B3" s="6" t="s">
        <v>3</v>
      </c>
      <c r="C3" s="3" t="str">
        <f t="shared" si="1"/>
        <v>_dull aqua</v>
      </c>
      <c r="D3" s="3" t="str">
        <f t="shared" ref="D3:D595" si="8">NA()</f>
        <v>#N/A</v>
      </c>
      <c r="E3" s="3" t="b">
        <f t="shared" si="2"/>
        <v>0</v>
      </c>
      <c r="F3" s="3" t="str">
        <f>IFERROR(__xludf.DUMMYFUNCTION("""COMPUTED_VALUE"""),"_striped lime")</f>
        <v>_striped lime</v>
      </c>
      <c r="G3" s="3" t="str">
        <f t="shared" si="3"/>
        <v>_striped lime</v>
      </c>
      <c r="H3" s="3" t="b">
        <f t="shared" si="4"/>
        <v>0</v>
      </c>
      <c r="J3" s="3" t="str">
        <f t="shared" si="5"/>
        <v>ZZZ</v>
      </c>
      <c r="K3" s="3" t="b">
        <f t="shared" si="6"/>
        <v>0</v>
      </c>
      <c r="L3" s="3" t="str">
        <f>IFERROR(__xludf.DUMMYFUNCTION("""COMPUTED_VALUE"""),"_bright fuchsia")</f>
        <v>_bright fuchsia</v>
      </c>
      <c r="M3" s="3" t="str">
        <f t="shared" si="7"/>
        <v>_bright fuchsia</v>
      </c>
      <c r="AU3" s="7"/>
      <c r="AV3" s="6"/>
      <c r="AW3" s="4"/>
      <c r="AX3" s="7"/>
      <c r="AY3" s="6"/>
      <c r="AZ3" s="4"/>
      <c r="BA3" s="7"/>
      <c r="BB3" s="6"/>
      <c r="BC3" s="6"/>
      <c r="BD3" s="7"/>
      <c r="BE3" s="6"/>
      <c r="BF3" s="6"/>
      <c r="BG3" s="7"/>
      <c r="BH3" s="6"/>
      <c r="BI3" s="6"/>
      <c r="BJ3" s="7"/>
      <c r="BK3" s="6"/>
      <c r="BL3" s="6"/>
      <c r="BM3" s="7"/>
      <c r="BN3" s="6"/>
      <c r="BO3" s="6"/>
      <c r="BP3" s="7"/>
      <c r="BQ3" s="6"/>
      <c r="BR3" s="6"/>
    </row>
    <row r="4">
      <c r="A4" s="6"/>
      <c r="B4" s="6" t="s">
        <v>4</v>
      </c>
      <c r="C4" s="3" t="str">
        <f t="shared" si="1"/>
        <v>_dotted olive</v>
      </c>
      <c r="D4" s="3" t="str">
        <f t="shared" si="8"/>
        <v>#N/A</v>
      </c>
      <c r="E4" s="3" t="b">
        <f t="shared" si="2"/>
        <v>0</v>
      </c>
      <c r="F4" s="3" t="str">
        <f>IFERROR(__xludf.DUMMYFUNCTION("""COMPUTED_VALUE"""),"_dark blue")</f>
        <v>_dark blue</v>
      </c>
      <c r="G4" s="3" t="str">
        <f t="shared" si="3"/>
        <v>_dark blue</v>
      </c>
      <c r="H4" s="3" t="b">
        <f t="shared" si="4"/>
        <v>0</v>
      </c>
      <c r="J4" s="3" t="str">
        <f t="shared" si="5"/>
        <v>_striped lime</v>
      </c>
      <c r="K4" s="3" t="b">
        <f t="shared" si="6"/>
        <v>0</v>
      </c>
      <c r="L4" s="3" t="str">
        <f>IFERROR(__xludf.DUMMYFUNCTION("""COMPUTED_VALUE"""),"_posh salmon")</f>
        <v>_posh salmon</v>
      </c>
      <c r="M4" s="3" t="str">
        <f t="shared" si="7"/>
        <v>_posh salmon</v>
      </c>
      <c r="AU4" s="7"/>
      <c r="AV4" s="6"/>
      <c r="AW4" s="4"/>
      <c r="AX4" s="7"/>
      <c r="AY4" s="6"/>
      <c r="AZ4" s="6"/>
      <c r="BA4" s="7"/>
      <c r="BB4" s="6"/>
      <c r="BC4" s="6"/>
      <c r="BD4" s="7"/>
      <c r="BE4" s="6"/>
      <c r="BF4" s="6"/>
      <c r="BG4" s="7"/>
      <c r="BH4" s="6"/>
      <c r="BI4" s="6"/>
      <c r="BJ4" s="7"/>
      <c r="BK4" s="6"/>
      <c r="BL4" s="6"/>
      <c r="BM4" s="7"/>
      <c r="BN4" s="6"/>
      <c r="BO4" s="6"/>
      <c r="BP4" s="7"/>
      <c r="BQ4" s="6"/>
      <c r="BR4" s="6"/>
    </row>
    <row r="5">
      <c r="A5" s="6"/>
      <c r="B5" s="6" t="s">
        <v>5</v>
      </c>
      <c r="C5" s="3" t="str">
        <f t="shared" si="1"/>
        <v>_vibrant brown</v>
      </c>
      <c r="D5" s="3" t="str">
        <f t="shared" si="8"/>
        <v>#N/A</v>
      </c>
      <c r="E5" s="3" t="b">
        <f t="shared" si="2"/>
        <v>0</v>
      </c>
      <c r="F5" s="3" t="str">
        <f>IFERROR(__xludf.DUMMYFUNCTION("""COMPUTED_VALUE"""),"_drab blue")</f>
        <v>_drab blue</v>
      </c>
      <c r="G5" s="3" t="str">
        <f t="shared" si="3"/>
        <v>_drab blue</v>
      </c>
      <c r="H5" s="3" t="b">
        <f t="shared" si="4"/>
        <v>0</v>
      </c>
      <c r="J5" s="3" t="str">
        <f t="shared" si="5"/>
        <v>_dark blue</v>
      </c>
      <c r="K5" s="3" t="b">
        <f t="shared" si="6"/>
        <v>0</v>
      </c>
      <c r="L5" s="3" t="str">
        <f>IFERROR(__xludf.DUMMYFUNCTION("""COMPUTED_VALUE"""),"_striped black")</f>
        <v>_striped black</v>
      </c>
      <c r="M5" s="3" t="str">
        <f t="shared" si="7"/>
        <v>_striped black</v>
      </c>
      <c r="AU5" s="7"/>
      <c r="AV5" s="6"/>
      <c r="AW5" s="4"/>
      <c r="AX5" s="7"/>
      <c r="AY5" s="6"/>
      <c r="AZ5" s="6"/>
      <c r="BA5" s="7"/>
      <c r="BB5" s="6"/>
      <c r="BC5" s="6"/>
      <c r="BD5" s="7"/>
      <c r="BE5" s="6"/>
      <c r="BF5" s="6"/>
      <c r="BG5" s="7"/>
      <c r="BH5" s="6"/>
      <c r="BI5" s="6"/>
      <c r="BJ5" s="7"/>
      <c r="BK5" s="6"/>
      <c r="BL5" s="6"/>
      <c r="BM5" s="7"/>
      <c r="BN5" s="6"/>
      <c r="BO5" s="6"/>
      <c r="BP5" s="7"/>
      <c r="BQ5" s="6"/>
      <c r="BR5" s="6"/>
    </row>
    <row r="6">
      <c r="A6" s="6"/>
      <c r="B6" s="6" t="s">
        <v>6</v>
      </c>
      <c r="C6" s="3" t="str">
        <f t="shared" si="1"/>
        <v>_shiny black</v>
      </c>
      <c r="D6" s="3" t="str">
        <f t="shared" si="8"/>
        <v>#N/A</v>
      </c>
      <c r="E6" s="3" t="b">
        <f t="shared" si="2"/>
        <v>0</v>
      </c>
      <c r="F6" s="3" t="str">
        <f>IFERROR(__xludf.DUMMYFUNCTION("""COMPUTED_VALUE"""),"_dark purple")</f>
        <v>_dark purple</v>
      </c>
      <c r="G6" s="3" t="str">
        <f t="shared" si="3"/>
        <v>_dark purple</v>
      </c>
      <c r="H6" s="3" t="b">
        <f t="shared" si="4"/>
        <v>0</v>
      </c>
      <c r="J6" s="3" t="str">
        <f t="shared" si="5"/>
        <v>_drab blue</v>
      </c>
      <c r="K6" s="3" t="b">
        <f t="shared" si="6"/>
        <v>0</v>
      </c>
      <c r="L6" s="3" t="str">
        <f>IFERROR(__xludf.DUMMYFUNCTION("""COMPUTED_VALUE"""),"_shiny gray")</f>
        <v>_shiny gray</v>
      </c>
      <c r="M6" s="3" t="str">
        <f t="shared" si="7"/>
        <v>_shiny gray</v>
      </c>
      <c r="AU6" s="7"/>
      <c r="AV6" s="6"/>
      <c r="AW6" s="6"/>
      <c r="AX6" s="7"/>
      <c r="AY6" s="6"/>
      <c r="AZ6" s="6"/>
      <c r="BA6" s="7"/>
      <c r="BB6" s="6"/>
      <c r="BC6" s="6"/>
      <c r="BD6" s="7"/>
      <c r="BE6" s="6"/>
      <c r="BF6" s="6"/>
      <c r="BG6" s="7"/>
      <c r="BH6" s="6"/>
      <c r="BI6" s="6"/>
      <c r="BJ6" s="7"/>
      <c r="BK6" s="6"/>
      <c r="BL6" s="8"/>
      <c r="BM6" s="7"/>
      <c r="BN6" s="6"/>
      <c r="BO6" s="6"/>
      <c r="BP6" s="7"/>
      <c r="BQ6" s="6"/>
      <c r="BR6" s="6"/>
    </row>
    <row r="7">
      <c r="A7" s="6"/>
      <c r="B7" s="6" t="s">
        <v>7</v>
      </c>
      <c r="C7" s="3" t="str">
        <f t="shared" si="1"/>
        <v>_dull bronze</v>
      </c>
      <c r="D7" s="3" t="str">
        <f t="shared" si="8"/>
        <v>#N/A</v>
      </c>
      <c r="E7" s="3" t="b">
        <f t="shared" si="2"/>
        <v>0</v>
      </c>
      <c r="F7" s="3" t="str">
        <f>IFERROR(__xludf.DUMMYFUNCTION("""COMPUTED_VALUE"""),"_pale blue")</f>
        <v>_pale blue</v>
      </c>
      <c r="G7" s="3" t="str">
        <f t="shared" si="3"/>
        <v>_pale blue</v>
      </c>
      <c r="H7" s="3" t="b">
        <f t="shared" si="4"/>
        <v>0</v>
      </c>
      <c r="J7" s="3" t="str">
        <f t="shared" si="5"/>
        <v>_dark purple</v>
      </c>
      <c r="K7" s="3" t="b">
        <f t="shared" si="6"/>
        <v>0</v>
      </c>
      <c r="L7" s="3" t="str">
        <f>IFERROR(__xludf.DUMMYFUNCTION("""COMPUTED_VALUE"""),"_muted silver")</f>
        <v>_muted silver</v>
      </c>
      <c r="M7" s="3" t="str">
        <f t="shared" si="7"/>
        <v>_muted silver</v>
      </c>
      <c r="AU7" s="7"/>
      <c r="AV7" s="6"/>
      <c r="AW7" s="6"/>
      <c r="AX7" s="7"/>
      <c r="AY7" s="6"/>
      <c r="AZ7" s="6"/>
      <c r="BA7" s="7"/>
      <c r="BB7" s="6"/>
      <c r="BC7" s="6"/>
      <c r="BD7" s="7"/>
      <c r="BE7" s="6"/>
      <c r="BF7" s="6"/>
      <c r="BG7" s="7"/>
      <c r="BH7" s="6"/>
      <c r="BI7" s="6"/>
      <c r="BJ7" s="7"/>
      <c r="BK7" s="6"/>
      <c r="BL7" s="6"/>
      <c r="BM7" s="7"/>
      <c r="BN7" s="6"/>
      <c r="BO7" s="8"/>
      <c r="BP7" s="7"/>
      <c r="BQ7" s="6"/>
      <c r="BR7" s="6"/>
    </row>
    <row r="8">
      <c r="A8" s="6"/>
      <c r="B8" s="6" t="s">
        <v>8</v>
      </c>
      <c r="C8" s="3" t="str">
        <f t="shared" si="1"/>
        <v>_wavy plum</v>
      </c>
      <c r="D8" s="3" t="str">
        <f t="shared" si="8"/>
        <v>#N/A</v>
      </c>
      <c r="E8" s="3" t="b">
        <f t="shared" si="2"/>
        <v>0</v>
      </c>
      <c r="G8" s="3" t="str">
        <f t="shared" si="3"/>
        <v>ZZZ</v>
      </c>
      <c r="H8" s="3" t="b">
        <f t="shared" si="4"/>
        <v>0</v>
      </c>
      <c r="J8" s="3" t="str">
        <f t="shared" si="5"/>
        <v>_pale blue</v>
      </c>
      <c r="K8" s="3" t="b">
        <f t="shared" si="6"/>
        <v>0</v>
      </c>
      <c r="L8" s="3" t="str">
        <f>IFERROR(__xludf.DUMMYFUNCTION("""COMPUTED_VALUE"""),"_shiny red")</f>
        <v>_shiny red</v>
      </c>
      <c r="M8" s="3" t="str">
        <f t="shared" si="7"/>
        <v>_shiny red</v>
      </c>
      <c r="AU8" s="7"/>
      <c r="AV8" s="6"/>
      <c r="AW8" s="6"/>
      <c r="AX8" s="7"/>
      <c r="AY8" s="6"/>
      <c r="AZ8" s="6"/>
      <c r="BA8" s="7"/>
      <c r="BB8" s="6"/>
      <c r="BC8" s="6"/>
      <c r="BD8" s="7"/>
      <c r="BE8" s="6"/>
      <c r="BF8" s="6"/>
      <c r="BG8" s="7"/>
      <c r="BH8" s="6"/>
      <c r="BI8" s="6"/>
      <c r="BJ8" s="7"/>
      <c r="BK8" s="6"/>
      <c r="BL8" s="6"/>
      <c r="BM8" s="7"/>
      <c r="BN8" s="6"/>
      <c r="BO8" s="6"/>
      <c r="BP8" s="7"/>
      <c r="BQ8" s="6"/>
      <c r="BR8" s="8"/>
    </row>
    <row r="9">
      <c r="A9" s="6"/>
      <c r="B9" s="6" t="s">
        <v>9</v>
      </c>
      <c r="C9" s="3" t="str">
        <f t="shared" si="1"/>
        <v>_drab brown</v>
      </c>
      <c r="D9" s="3" t="str">
        <f t="shared" si="8"/>
        <v>#N/A</v>
      </c>
      <c r="E9" s="3" t="b">
        <f t="shared" si="2"/>
        <v>0</v>
      </c>
      <c r="G9" s="3" t="str">
        <f t="shared" si="3"/>
        <v>#N/A</v>
      </c>
      <c r="H9" s="3" t="b">
        <f t="shared" si="4"/>
        <v>0</v>
      </c>
      <c r="J9" s="3" t="str">
        <f t="shared" si="5"/>
        <v>ZZZ</v>
      </c>
      <c r="K9" s="3" t="b">
        <f t="shared" si="6"/>
        <v>0</v>
      </c>
      <c r="M9" s="3" t="str">
        <f t="shared" si="7"/>
        <v>#N/A</v>
      </c>
      <c r="AU9" s="7"/>
      <c r="AV9" s="6"/>
      <c r="AW9" s="8"/>
      <c r="AX9" s="7"/>
      <c r="AY9" s="6"/>
      <c r="AZ9" s="6"/>
      <c r="BA9" s="7"/>
      <c r="BB9" s="6"/>
      <c r="BC9" s="8"/>
      <c r="BD9" s="7"/>
      <c r="BE9" s="6"/>
      <c r="BF9" s="6"/>
      <c r="BG9" s="7"/>
      <c r="BH9" s="6"/>
      <c r="BI9" s="6"/>
      <c r="BJ9" s="7"/>
      <c r="BK9" s="6"/>
      <c r="BL9" s="6"/>
      <c r="BM9" s="7"/>
      <c r="BN9" s="6"/>
      <c r="BO9" s="6"/>
      <c r="BP9" s="7"/>
      <c r="BQ9" s="6"/>
      <c r="BR9" s="6"/>
    </row>
    <row r="10">
      <c r="A10" s="6"/>
      <c r="B10" s="6" t="s">
        <v>10</v>
      </c>
      <c r="C10" s="3" t="str">
        <f t="shared" si="1"/>
        <v>_vibrant maroon</v>
      </c>
      <c r="D10" s="3" t="str">
        <f t="shared" si="8"/>
        <v>#N/A</v>
      </c>
      <c r="E10" s="3" t="b">
        <f t="shared" si="2"/>
        <v>0</v>
      </c>
      <c r="G10" s="3" t="str">
        <f t="shared" si="3"/>
        <v>#N/A</v>
      </c>
      <c r="H10" s="3" t="b">
        <f t="shared" si="4"/>
        <v>0</v>
      </c>
      <c r="J10" s="3" t="str">
        <f t="shared" si="5"/>
        <v>#N/A</v>
      </c>
      <c r="K10" s="3" t="b">
        <f t="shared" si="6"/>
        <v>0</v>
      </c>
      <c r="M10" s="3" t="str">
        <f t="shared" si="7"/>
        <v>ZZZ</v>
      </c>
      <c r="AU10" s="7"/>
      <c r="AV10" s="6"/>
      <c r="AW10" s="8"/>
      <c r="AX10" s="7"/>
      <c r="AY10" s="6"/>
      <c r="AZ10" s="8"/>
      <c r="BA10" s="7"/>
      <c r="BB10" s="6"/>
      <c r="BC10" s="6"/>
      <c r="BD10" s="7"/>
      <c r="BE10" s="6"/>
      <c r="BF10" s="6"/>
      <c r="BG10" s="7"/>
      <c r="BH10" s="6"/>
      <c r="BI10" s="6"/>
      <c r="BJ10" s="7"/>
      <c r="BK10" s="6"/>
      <c r="BL10" s="6"/>
      <c r="BM10" s="7"/>
      <c r="BN10" s="6"/>
      <c r="BO10" s="6"/>
      <c r="BP10" s="7"/>
      <c r="BQ10" s="6"/>
      <c r="BR10" s="6"/>
    </row>
    <row r="11">
      <c r="A11" s="6"/>
      <c r="B11" s="6" t="s">
        <v>11</v>
      </c>
      <c r="C11" s="3" t="str">
        <f t="shared" si="1"/>
        <v>_posh magenta</v>
      </c>
      <c r="D11" s="3" t="str">
        <f t="shared" si="8"/>
        <v>#N/A</v>
      </c>
      <c r="E11" s="3" t="b">
        <f t="shared" si="2"/>
        <v>0</v>
      </c>
      <c r="G11" s="3" t="str">
        <f t="shared" si="3"/>
        <v>#N/A</v>
      </c>
      <c r="H11" s="3" t="b">
        <f t="shared" si="4"/>
        <v>0</v>
      </c>
      <c r="J11" s="3" t="str">
        <f t="shared" si="5"/>
        <v>#N/A</v>
      </c>
      <c r="K11" s="3" t="b">
        <f t="shared" si="6"/>
        <v>0</v>
      </c>
      <c r="M11" s="3" t="str">
        <f t="shared" si="7"/>
        <v>ZZZ</v>
      </c>
      <c r="AU11" s="7"/>
      <c r="AV11" s="6"/>
      <c r="AW11" s="8"/>
      <c r="AX11" s="7"/>
      <c r="AY11" s="6"/>
      <c r="AZ11" s="8"/>
      <c r="BA11" s="7"/>
      <c r="BB11" s="6"/>
      <c r="BC11" s="6"/>
      <c r="BD11" s="7"/>
      <c r="BE11" s="6"/>
      <c r="BF11" s="6"/>
      <c r="BG11" s="7"/>
      <c r="BH11" s="6"/>
      <c r="BI11" s="6"/>
      <c r="BJ11" s="7"/>
      <c r="BK11" s="6"/>
      <c r="BL11" s="6"/>
      <c r="BM11" s="7"/>
      <c r="BN11" s="6"/>
      <c r="BO11" s="6"/>
      <c r="BP11" s="7"/>
      <c r="BQ11" s="6"/>
      <c r="BR11" s="6"/>
    </row>
    <row r="12">
      <c r="A12" s="6"/>
      <c r="B12" s="6" t="s">
        <v>12</v>
      </c>
      <c r="C12" s="3" t="str">
        <f t="shared" si="1"/>
        <v>_dull brown</v>
      </c>
      <c r="D12" s="3" t="str">
        <f t="shared" si="8"/>
        <v>#N/A</v>
      </c>
      <c r="E12" s="3" t="b">
        <f t="shared" si="2"/>
        <v>0</v>
      </c>
      <c r="G12" s="3" t="str">
        <f t="shared" si="3"/>
        <v>#N/A</v>
      </c>
      <c r="H12" s="3" t="b">
        <f t="shared" si="4"/>
        <v>0</v>
      </c>
      <c r="J12" s="3" t="str">
        <f t="shared" si="5"/>
        <v>#N/A</v>
      </c>
      <c r="K12" s="3" t="b">
        <f t="shared" si="6"/>
        <v>0</v>
      </c>
      <c r="M12" s="3" t="str">
        <f t="shared" si="7"/>
        <v>_dark blue</v>
      </c>
      <c r="AU12" s="7"/>
      <c r="AV12" s="6"/>
      <c r="AW12" s="8"/>
      <c r="AX12" s="7"/>
      <c r="AY12" s="6"/>
      <c r="AZ12" s="8"/>
      <c r="BA12" s="7"/>
      <c r="BB12" s="6"/>
      <c r="BC12" s="6"/>
      <c r="BD12" s="7"/>
      <c r="BE12" s="6"/>
      <c r="BF12" s="6"/>
      <c r="BG12" s="7"/>
      <c r="BH12" s="6"/>
      <c r="BI12" s="6"/>
      <c r="BJ12" s="7"/>
      <c r="BK12" s="6"/>
      <c r="BL12" s="6"/>
      <c r="BM12" s="7"/>
      <c r="BN12" s="6"/>
      <c r="BO12" s="6"/>
      <c r="BP12" s="7"/>
      <c r="BQ12" s="6"/>
      <c r="BR12" s="6"/>
    </row>
    <row r="13">
      <c r="A13" s="6"/>
      <c r="B13" s="6" t="s">
        <v>13</v>
      </c>
      <c r="C13" s="3" t="str">
        <f t="shared" si="1"/>
        <v>_pale gray</v>
      </c>
      <c r="D13" s="3" t="str">
        <f t="shared" si="8"/>
        <v>#N/A</v>
      </c>
      <c r="E13" s="3" t="b">
        <f t="shared" si="2"/>
        <v>0</v>
      </c>
      <c r="G13" s="3" t="str">
        <f t="shared" si="3"/>
        <v>#N/A</v>
      </c>
      <c r="H13" s="3" t="b">
        <f t="shared" si="4"/>
        <v>0</v>
      </c>
      <c r="J13" s="3" t="str">
        <f t="shared" si="5"/>
        <v>#N/A</v>
      </c>
      <c r="K13" s="3" t="b">
        <f t="shared" si="6"/>
        <v>0</v>
      </c>
      <c r="M13" s="3" t="str">
        <f t="shared" si="7"/>
        <v>_drab blue</v>
      </c>
      <c r="AU13" s="7"/>
      <c r="AV13" s="6"/>
      <c r="AW13" s="8"/>
      <c r="AX13" s="7"/>
      <c r="AY13" s="6"/>
      <c r="AZ13" s="8"/>
      <c r="BA13" s="7"/>
      <c r="BB13" s="6"/>
      <c r="BC13" s="6"/>
      <c r="BD13" s="7"/>
      <c r="BE13" s="6"/>
      <c r="BF13" s="6"/>
      <c r="BG13" s="7"/>
      <c r="BH13" s="6"/>
      <c r="BI13" s="6"/>
      <c r="BJ13" s="7"/>
      <c r="BK13" s="6"/>
      <c r="BL13" s="6"/>
      <c r="BM13" s="7"/>
      <c r="BN13" s="6"/>
      <c r="BO13" s="6"/>
      <c r="BP13" s="7"/>
      <c r="BQ13" s="6"/>
      <c r="BR13" s="6"/>
    </row>
    <row r="14">
      <c r="A14" s="6"/>
      <c r="B14" s="6" t="s">
        <v>14</v>
      </c>
      <c r="C14" s="3" t="str">
        <f t="shared" si="1"/>
        <v>_plaid turquoise</v>
      </c>
      <c r="D14" s="3" t="str">
        <f t="shared" si="8"/>
        <v>#N/A</v>
      </c>
      <c r="E14" s="3" t="b">
        <f t="shared" si="2"/>
        <v>0</v>
      </c>
      <c r="G14" s="3" t="str">
        <f t="shared" si="3"/>
        <v>#N/A</v>
      </c>
      <c r="H14" s="3" t="b">
        <f t="shared" si="4"/>
        <v>0</v>
      </c>
      <c r="J14" s="3" t="str">
        <f t="shared" si="5"/>
        <v>#N/A</v>
      </c>
      <c r="K14" s="3" t="b">
        <f t="shared" si="6"/>
        <v>0</v>
      </c>
      <c r="M14" s="3" t="str">
        <f t="shared" si="7"/>
        <v>_dark purple</v>
      </c>
      <c r="AU14" s="7"/>
      <c r="AV14" s="6"/>
      <c r="AW14" s="8"/>
      <c r="AX14" s="7"/>
      <c r="AY14" s="6"/>
      <c r="AZ14" s="8"/>
      <c r="BA14" s="7"/>
      <c r="BB14" s="6"/>
      <c r="BC14" s="6"/>
      <c r="BD14" s="7"/>
      <c r="BE14" s="6"/>
      <c r="BF14" s="6"/>
      <c r="BG14" s="7"/>
      <c r="BH14" s="6"/>
      <c r="BI14" s="6"/>
      <c r="BJ14" s="7"/>
      <c r="BK14" s="6"/>
      <c r="BL14" s="6"/>
      <c r="BM14" s="7"/>
      <c r="BN14" s="6"/>
      <c r="BO14" s="6"/>
      <c r="BP14" s="7"/>
      <c r="BQ14" s="6"/>
      <c r="BR14" s="6"/>
    </row>
    <row r="15">
      <c r="A15" s="6"/>
      <c r="B15" s="6" t="s">
        <v>15</v>
      </c>
      <c r="C15" s="3" t="str">
        <f t="shared" si="1"/>
        <v>_dotted silver</v>
      </c>
      <c r="D15" s="3" t="str">
        <f t="shared" si="8"/>
        <v>#N/A</v>
      </c>
      <c r="E15" s="3" t="b">
        <f t="shared" si="2"/>
        <v>0</v>
      </c>
      <c r="G15" s="3" t="str">
        <f t="shared" si="3"/>
        <v>#N/A</v>
      </c>
      <c r="H15" s="3" t="b">
        <f t="shared" si="4"/>
        <v>0</v>
      </c>
      <c r="J15" s="3" t="str">
        <f t="shared" si="5"/>
        <v>#N/A</v>
      </c>
      <c r="K15" s="3" t="b">
        <f t="shared" si="6"/>
        <v>0</v>
      </c>
      <c r="M15" s="3" t="str">
        <f t="shared" si="7"/>
        <v>_pale blue</v>
      </c>
      <c r="AU15" s="7"/>
      <c r="AV15" s="6"/>
      <c r="AW15" s="8"/>
      <c r="AX15" s="7"/>
      <c r="AY15" s="6"/>
      <c r="AZ15" s="8"/>
      <c r="BA15" s="7"/>
      <c r="BB15" s="6"/>
      <c r="BC15" s="6"/>
      <c r="BD15" s="7"/>
      <c r="BE15" s="6"/>
      <c r="BF15" s="6"/>
      <c r="BG15" s="7"/>
      <c r="BH15" s="6"/>
      <c r="BI15" s="6"/>
      <c r="BJ15" s="7"/>
      <c r="BK15" s="6"/>
      <c r="BL15" s="6"/>
      <c r="BM15" s="7"/>
      <c r="BN15" s="6"/>
      <c r="BO15" s="6"/>
      <c r="BP15" s="7"/>
      <c r="BQ15" s="6"/>
      <c r="BR15" s="6"/>
    </row>
    <row r="16">
      <c r="A16" s="6"/>
      <c r="B16" s="6" t="s">
        <v>16</v>
      </c>
      <c r="C16" s="3" t="str">
        <f t="shared" si="1"/>
        <v>_light red</v>
      </c>
      <c r="D16" s="3" t="str">
        <f t="shared" si="8"/>
        <v>#N/A</v>
      </c>
      <c r="E16" s="3" t="b">
        <f t="shared" si="2"/>
        <v>0</v>
      </c>
      <c r="G16" s="3" t="str">
        <f t="shared" si="3"/>
        <v>#N/A</v>
      </c>
      <c r="H16" s="3" t="b">
        <f t="shared" si="4"/>
        <v>0</v>
      </c>
      <c r="J16" s="3" t="str">
        <f t="shared" si="5"/>
        <v>#N/A</v>
      </c>
      <c r="K16" s="3" t="b">
        <f t="shared" si="6"/>
        <v>0</v>
      </c>
      <c r="M16" s="3" t="str">
        <f t="shared" si="7"/>
        <v>ZZZ</v>
      </c>
      <c r="AU16" s="7"/>
      <c r="AV16" s="6"/>
      <c r="AW16" s="8"/>
      <c r="AX16" s="7"/>
      <c r="AY16" s="6"/>
      <c r="AZ16" s="8"/>
      <c r="BA16" s="7"/>
      <c r="BB16" s="6"/>
      <c r="BC16" s="6"/>
      <c r="BD16" s="7"/>
      <c r="BE16" s="6"/>
      <c r="BF16" s="8"/>
      <c r="BG16" s="7"/>
      <c r="BH16" s="6"/>
      <c r="BI16" s="6"/>
      <c r="BJ16" s="7"/>
      <c r="BK16" s="6"/>
      <c r="BL16" s="6"/>
      <c r="BM16" s="7"/>
      <c r="BN16" s="6"/>
      <c r="BO16" s="6"/>
      <c r="BP16" s="7"/>
      <c r="BQ16" s="6"/>
      <c r="BR16" s="6"/>
    </row>
    <row r="17">
      <c r="A17" s="6"/>
      <c r="B17" s="6" t="s">
        <v>17</v>
      </c>
      <c r="C17" s="3" t="str">
        <f t="shared" si="1"/>
        <v>_shiny brown</v>
      </c>
      <c r="D17" s="3" t="str">
        <f t="shared" si="8"/>
        <v>#N/A</v>
      </c>
      <c r="E17" s="3" t="b">
        <f t="shared" si="2"/>
        <v>0</v>
      </c>
      <c r="G17" s="3" t="str">
        <f t="shared" si="3"/>
        <v>#N/A</v>
      </c>
      <c r="H17" s="3" t="b">
        <f t="shared" si="4"/>
        <v>0</v>
      </c>
      <c r="J17" s="3" t="str">
        <f t="shared" si="5"/>
        <v>#N/A</v>
      </c>
      <c r="K17" s="3" t="b">
        <f t="shared" si="6"/>
        <v>0</v>
      </c>
      <c r="M17" s="3" t="str">
        <f t="shared" si="7"/>
        <v>#N/A</v>
      </c>
      <c r="AU17" s="7"/>
      <c r="AV17" s="6"/>
      <c r="AW17" s="8"/>
      <c r="AX17" s="7"/>
      <c r="AY17" s="6"/>
      <c r="AZ17" s="8"/>
      <c r="BA17" s="7"/>
      <c r="BB17" s="6"/>
      <c r="BC17" s="8"/>
      <c r="BD17" s="7"/>
      <c r="BE17" s="6"/>
      <c r="BF17" s="6"/>
      <c r="BG17" s="7"/>
      <c r="BH17" s="6"/>
      <c r="BI17" s="8"/>
      <c r="BJ17" s="7"/>
      <c r="BK17" s="6"/>
      <c r="BL17" s="6"/>
      <c r="BM17" s="7"/>
      <c r="BN17" s="6"/>
      <c r="BO17" s="6"/>
      <c r="BP17" s="7"/>
      <c r="BQ17" s="6"/>
      <c r="BR17" s="6"/>
    </row>
    <row r="18">
      <c r="A18" s="6"/>
      <c r="B18" s="6" t="s">
        <v>18</v>
      </c>
      <c r="C18" s="3" t="str">
        <f t="shared" si="1"/>
        <v>_plaid plum</v>
      </c>
      <c r="D18" s="3" t="str">
        <f t="shared" si="8"/>
        <v>#N/A</v>
      </c>
      <c r="E18" s="3" t="b">
        <f t="shared" si="2"/>
        <v>0</v>
      </c>
      <c r="G18" s="3" t="str">
        <f t="shared" si="3"/>
        <v>#N/A</v>
      </c>
      <c r="H18" s="3" t="b">
        <f t="shared" si="4"/>
        <v>0</v>
      </c>
      <c r="J18" s="3" t="str">
        <f t="shared" si="5"/>
        <v>#N/A</v>
      </c>
      <c r="K18" s="3" t="b">
        <f t="shared" si="6"/>
        <v>0</v>
      </c>
      <c r="M18" s="3" t="str">
        <f t="shared" si="7"/>
        <v>#N/A</v>
      </c>
      <c r="AU18" s="7"/>
      <c r="AV18" s="6"/>
      <c r="AW18" s="8"/>
      <c r="AX18" s="7"/>
      <c r="AY18" s="6"/>
      <c r="AZ18" s="8"/>
      <c r="BA18" s="7"/>
      <c r="BB18" s="6"/>
      <c r="BC18" s="8"/>
      <c r="BD18" s="7"/>
      <c r="BE18" s="6"/>
      <c r="BF18" s="6"/>
      <c r="BG18" s="7"/>
      <c r="BH18" s="6"/>
      <c r="BI18" s="6"/>
      <c r="BJ18" s="7"/>
      <c r="BK18" s="6"/>
      <c r="BL18" s="6"/>
      <c r="BM18" s="7"/>
      <c r="BN18" s="6"/>
      <c r="BO18" s="6"/>
      <c r="BP18" s="7"/>
      <c r="BQ18" s="6"/>
      <c r="BR18" s="6"/>
    </row>
    <row r="19">
      <c r="A19" s="6"/>
      <c r="B19" s="6" t="s">
        <v>19</v>
      </c>
      <c r="C19" s="3" t="str">
        <f t="shared" si="1"/>
        <v>_vibrant lavender</v>
      </c>
      <c r="D19" s="3" t="str">
        <f t="shared" si="8"/>
        <v>#N/A</v>
      </c>
      <c r="E19" s="3" t="b">
        <f t="shared" si="2"/>
        <v>0</v>
      </c>
      <c r="G19" s="3" t="str">
        <f t="shared" si="3"/>
        <v>#N/A</v>
      </c>
      <c r="H19" s="3" t="b">
        <f t="shared" si="4"/>
        <v>0</v>
      </c>
      <c r="J19" s="3" t="str">
        <f t="shared" si="5"/>
        <v>#N/A</v>
      </c>
      <c r="K19" s="3" t="b">
        <f t="shared" si="6"/>
        <v>0</v>
      </c>
      <c r="M19" s="3" t="str">
        <f t="shared" si="7"/>
        <v>#N/A</v>
      </c>
      <c r="AU19" s="7"/>
      <c r="AV19" s="6"/>
      <c r="AW19" s="8"/>
      <c r="AX19" s="7"/>
      <c r="AY19" s="6"/>
      <c r="AZ19" s="8"/>
      <c r="BA19" s="7"/>
      <c r="BB19" s="6"/>
      <c r="BC19" s="8"/>
      <c r="BD19" s="7"/>
      <c r="BE19" s="6"/>
      <c r="BF19" s="6"/>
      <c r="BG19" s="7"/>
      <c r="BH19" s="6"/>
      <c r="BI19" s="6"/>
      <c r="BJ19" s="7"/>
      <c r="BK19" s="6"/>
      <c r="BL19" s="6"/>
      <c r="BM19" s="7"/>
      <c r="BN19" s="6"/>
      <c r="BO19" s="6"/>
      <c r="BP19" s="7"/>
      <c r="BQ19" s="6"/>
      <c r="BR19" s="6"/>
    </row>
    <row r="20">
      <c r="A20" s="6"/>
      <c r="B20" s="6" t="s">
        <v>20</v>
      </c>
      <c r="C20" s="3" t="str">
        <f t="shared" si="1"/>
        <v>_muted yellow</v>
      </c>
      <c r="D20" s="3" t="str">
        <f t="shared" si="8"/>
        <v>#N/A</v>
      </c>
      <c r="E20" s="3" t="b">
        <f t="shared" si="2"/>
        <v>0</v>
      </c>
      <c r="G20" s="3" t="str">
        <f t="shared" si="3"/>
        <v>#N/A</v>
      </c>
      <c r="H20" s="3" t="b">
        <f t="shared" si="4"/>
        <v>0</v>
      </c>
      <c r="J20" s="3" t="str">
        <f t="shared" si="5"/>
        <v>#N/A</v>
      </c>
      <c r="K20" s="3" t="b">
        <f t="shared" si="6"/>
        <v>0</v>
      </c>
      <c r="M20" s="3" t="str">
        <f t="shared" si="7"/>
        <v>#N/A</v>
      </c>
      <c r="AU20" s="7"/>
      <c r="AV20" s="6"/>
      <c r="AW20" s="8"/>
      <c r="AX20" s="7"/>
      <c r="AY20" s="6"/>
      <c r="AZ20" s="8"/>
      <c r="BA20" s="7"/>
      <c r="BB20" s="6"/>
      <c r="BC20" s="8"/>
      <c r="BD20" s="7"/>
      <c r="BE20" s="6"/>
      <c r="BF20" s="6"/>
      <c r="BG20" s="7"/>
      <c r="BH20" s="6"/>
      <c r="BI20" s="6"/>
      <c r="BJ20" s="7"/>
      <c r="BK20" s="6"/>
      <c r="BL20" s="6"/>
      <c r="BM20" s="7"/>
      <c r="BN20" s="6"/>
      <c r="BO20" s="6"/>
      <c r="BP20" s="7"/>
      <c r="BQ20" s="6"/>
      <c r="BR20" s="6"/>
    </row>
    <row r="21">
      <c r="A21" s="6"/>
      <c r="B21" s="6" t="s">
        <v>21</v>
      </c>
      <c r="C21" s="3" t="str">
        <f t="shared" si="1"/>
        <v>_light beige</v>
      </c>
      <c r="D21" s="3" t="str">
        <f t="shared" si="8"/>
        <v>#N/A</v>
      </c>
      <c r="E21" s="3" t="b">
        <f t="shared" si="2"/>
        <v>0</v>
      </c>
      <c r="G21" s="3" t="str">
        <f t="shared" si="3"/>
        <v>#N/A</v>
      </c>
      <c r="H21" s="3" t="b">
        <f t="shared" si="4"/>
        <v>0</v>
      </c>
      <c r="J21" s="3" t="str">
        <f t="shared" si="5"/>
        <v>#N/A</v>
      </c>
      <c r="K21" s="3" t="b">
        <f t="shared" si="6"/>
        <v>0</v>
      </c>
      <c r="M21" s="3" t="str">
        <f t="shared" si="7"/>
        <v>#N/A</v>
      </c>
      <c r="AU21" s="7"/>
      <c r="AV21" s="6"/>
      <c r="AW21" s="8"/>
      <c r="AX21" s="7"/>
      <c r="AY21" s="6"/>
      <c r="AZ21" s="8"/>
      <c r="BA21" s="7"/>
      <c r="BB21" s="6"/>
      <c r="BC21" s="8"/>
      <c r="BD21" s="7"/>
      <c r="BE21" s="6"/>
      <c r="BF21" s="6"/>
      <c r="BG21" s="7"/>
      <c r="BH21" s="6"/>
      <c r="BI21" s="6"/>
      <c r="BJ21" s="7"/>
      <c r="BK21" s="6"/>
      <c r="BL21" s="8"/>
      <c r="BM21" s="7"/>
      <c r="BN21" s="6"/>
      <c r="BO21" s="6"/>
      <c r="BP21" s="7"/>
      <c r="BQ21" s="6"/>
      <c r="BR21" s="6"/>
    </row>
    <row r="22">
      <c r="A22" s="6"/>
      <c r="B22" s="6" t="s">
        <v>22</v>
      </c>
      <c r="C22" s="3" t="str">
        <f t="shared" si="1"/>
        <v>_muted indigo</v>
      </c>
      <c r="D22" s="3" t="str">
        <f t="shared" si="8"/>
        <v>#N/A</v>
      </c>
      <c r="E22" s="3" t="b">
        <f t="shared" si="2"/>
        <v>0</v>
      </c>
      <c r="G22" s="3" t="str">
        <f t="shared" si="3"/>
        <v>#N/A</v>
      </c>
      <c r="H22" s="3" t="b">
        <f t="shared" si="4"/>
        <v>0</v>
      </c>
      <c r="J22" s="3" t="str">
        <f t="shared" si="5"/>
        <v>#N/A</v>
      </c>
      <c r="K22" s="3" t="b">
        <f t="shared" si="6"/>
        <v>0</v>
      </c>
      <c r="M22" s="3" t="str">
        <f t="shared" si="7"/>
        <v>#N/A</v>
      </c>
      <c r="AU22" s="7"/>
      <c r="AV22" s="6"/>
      <c r="AW22" s="8"/>
      <c r="AX22" s="7"/>
      <c r="AY22" s="6"/>
      <c r="AZ22" s="8"/>
      <c r="BA22" s="7"/>
      <c r="BB22" s="6"/>
      <c r="BC22" s="8"/>
      <c r="BD22" s="7"/>
      <c r="BE22" s="6"/>
      <c r="BF22" s="6"/>
      <c r="BG22" s="7"/>
      <c r="BH22" s="6"/>
      <c r="BI22" s="6"/>
      <c r="BJ22" s="7"/>
      <c r="BK22" s="6"/>
      <c r="BL22" s="6"/>
      <c r="BM22" s="7"/>
      <c r="BN22" s="6"/>
      <c r="BO22" s="8"/>
      <c r="BP22" s="7"/>
      <c r="BQ22" s="6"/>
      <c r="BR22" s="6"/>
    </row>
    <row r="23">
      <c r="A23" s="6"/>
      <c r="B23" s="6" t="s">
        <v>23</v>
      </c>
      <c r="C23" s="3" t="str">
        <f t="shared" si="1"/>
        <v>_dim bronze</v>
      </c>
      <c r="D23" s="3" t="str">
        <f t="shared" si="8"/>
        <v>#N/A</v>
      </c>
      <c r="E23" s="3" t="b">
        <f t="shared" si="2"/>
        <v>0</v>
      </c>
      <c r="G23" s="3" t="str">
        <f t="shared" si="3"/>
        <v>#N/A</v>
      </c>
      <c r="H23" s="3" t="b">
        <f t="shared" si="4"/>
        <v>0</v>
      </c>
      <c r="J23" s="3" t="str">
        <f t="shared" si="5"/>
        <v>#N/A</v>
      </c>
      <c r="K23" s="3" t="b">
        <f t="shared" si="6"/>
        <v>0</v>
      </c>
      <c r="M23" s="3" t="str">
        <f t="shared" si="7"/>
        <v>#N/A</v>
      </c>
      <c r="AU23" s="7"/>
      <c r="AV23" s="6"/>
      <c r="AW23" s="8"/>
      <c r="AX23" s="7"/>
      <c r="AY23" s="6"/>
      <c r="AZ23" s="8"/>
      <c r="BA23" s="7"/>
      <c r="BB23" s="6"/>
      <c r="BC23" s="8"/>
      <c r="BD23" s="7"/>
      <c r="BE23" s="6"/>
      <c r="BF23" s="6"/>
      <c r="BG23" s="7"/>
      <c r="BH23" s="6"/>
      <c r="BI23" s="6"/>
      <c r="BJ23" s="7"/>
      <c r="BK23" s="6"/>
      <c r="BL23" s="6"/>
      <c r="BM23" s="7"/>
      <c r="BN23" s="6"/>
      <c r="BO23" s="6"/>
      <c r="BP23" s="7"/>
      <c r="BQ23" s="6"/>
      <c r="BR23" s="8"/>
    </row>
    <row r="24">
      <c r="A24" s="6"/>
      <c r="B24" s="6" t="s">
        <v>24</v>
      </c>
      <c r="C24" s="3" t="str">
        <f t="shared" si="1"/>
        <v>_shiny teal</v>
      </c>
      <c r="D24" s="3" t="str">
        <f t="shared" si="8"/>
        <v>#N/A</v>
      </c>
      <c r="E24" s="3" t="b">
        <f t="shared" si="2"/>
        <v>0</v>
      </c>
      <c r="G24" s="3" t="str">
        <f t="shared" si="3"/>
        <v>#N/A</v>
      </c>
      <c r="H24" s="3" t="b">
        <f t="shared" si="4"/>
        <v>0</v>
      </c>
      <c r="J24" s="3" t="str">
        <f t="shared" si="5"/>
        <v>#N/A</v>
      </c>
      <c r="K24" s="3" t="b">
        <f t="shared" si="6"/>
        <v>0</v>
      </c>
      <c r="M24" s="3" t="str">
        <f t="shared" si="7"/>
        <v>#N/A</v>
      </c>
      <c r="AU24" s="7"/>
      <c r="AV24" s="6"/>
      <c r="AW24" s="8"/>
      <c r="AX24" s="7"/>
      <c r="AY24" s="6"/>
      <c r="AZ24" s="8"/>
      <c r="BA24" s="7"/>
      <c r="BB24" s="6"/>
      <c r="BC24" s="8"/>
      <c r="BD24" s="7"/>
      <c r="BE24" s="6"/>
      <c r="BF24" s="8"/>
      <c r="BG24" s="7"/>
      <c r="BH24" s="6"/>
      <c r="BI24" s="6"/>
      <c r="BJ24" s="7"/>
      <c r="BK24" s="6"/>
      <c r="BL24" s="6"/>
      <c r="BM24" s="7"/>
      <c r="BN24" s="6"/>
      <c r="BO24" s="6"/>
      <c r="BP24" s="7"/>
      <c r="BQ24" s="6"/>
      <c r="BR24" s="6"/>
    </row>
    <row r="25">
      <c r="A25" s="6"/>
      <c r="B25" s="6" t="s">
        <v>25</v>
      </c>
      <c r="C25" s="3" t="str">
        <f t="shared" si="1"/>
        <v>_pale aqua</v>
      </c>
      <c r="D25" s="3" t="str">
        <f t="shared" si="8"/>
        <v>#N/A</v>
      </c>
      <c r="E25" s="3" t="b">
        <f t="shared" si="2"/>
        <v>0</v>
      </c>
      <c r="G25" s="3" t="str">
        <f t="shared" si="3"/>
        <v>#N/A</v>
      </c>
      <c r="H25" s="3" t="b">
        <f t="shared" si="4"/>
        <v>0</v>
      </c>
      <c r="J25" s="3" t="str">
        <f t="shared" si="5"/>
        <v>#N/A</v>
      </c>
      <c r="K25" s="3" t="b">
        <f t="shared" si="6"/>
        <v>1</v>
      </c>
      <c r="M25" s="3" t="str">
        <f t="shared" si="7"/>
        <v>#N/A</v>
      </c>
      <c r="AU25" s="7"/>
      <c r="AV25" s="6"/>
      <c r="AW25" s="8"/>
      <c r="AX25" s="7"/>
      <c r="AY25" s="6"/>
      <c r="AZ25" s="8"/>
      <c r="BA25" s="7"/>
      <c r="BB25" s="6"/>
      <c r="BC25" s="8"/>
      <c r="BD25" s="7"/>
      <c r="BE25" s="6"/>
      <c r="BF25" s="8"/>
      <c r="BG25" s="7"/>
      <c r="BH25" s="6"/>
      <c r="BI25" s="8"/>
      <c r="BJ25" s="7"/>
      <c r="BK25" s="6"/>
      <c r="BL25" s="6"/>
      <c r="BM25" s="7"/>
      <c r="BN25" s="6"/>
      <c r="BO25" s="6"/>
      <c r="BP25" s="7"/>
      <c r="BQ25" s="6"/>
      <c r="BR25" s="6"/>
    </row>
    <row r="26">
      <c r="A26" s="6"/>
      <c r="B26" s="6" t="s">
        <v>26</v>
      </c>
      <c r="C26" s="3" t="str">
        <f t="shared" si="1"/>
        <v>_plaid violet</v>
      </c>
      <c r="D26" s="3" t="str">
        <f t="shared" si="8"/>
        <v>#N/A</v>
      </c>
      <c r="E26" s="3" t="b">
        <f t="shared" si="2"/>
        <v>0</v>
      </c>
      <c r="G26" s="3" t="str">
        <f t="shared" si="3"/>
        <v>#N/A</v>
      </c>
      <c r="H26" s="3" t="b">
        <f t="shared" si="4"/>
        <v>0</v>
      </c>
      <c r="J26" s="3" t="str">
        <f t="shared" si="5"/>
        <v>#N/A</v>
      </c>
      <c r="K26" s="3" t="b">
        <f t="shared" si="6"/>
        <v>0</v>
      </c>
      <c r="M26" s="3" t="str">
        <f t="shared" si="7"/>
        <v>#N/A</v>
      </c>
      <c r="AU26" s="7"/>
      <c r="AV26" s="6"/>
      <c r="AW26" s="8"/>
      <c r="AX26" s="7"/>
      <c r="AY26" s="6"/>
      <c r="AZ26" s="8"/>
      <c r="BA26" s="7"/>
      <c r="BB26" s="6"/>
      <c r="BC26" s="8"/>
      <c r="BD26" s="7"/>
      <c r="BE26" s="6"/>
      <c r="BF26" s="8"/>
      <c r="BG26" s="7"/>
      <c r="BH26" s="6"/>
      <c r="BI26" s="8"/>
      <c r="BJ26" s="7"/>
      <c r="BK26" s="6"/>
      <c r="BL26" s="6"/>
      <c r="BM26" s="7"/>
      <c r="BN26" s="6"/>
      <c r="BO26" s="6"/>
      <c r="BP26" s="7"/>
      <c r="BQ26" s="6"/>
      <c r="BR26" s="6"/>
    </row>
    <row r="27">
      <c r="A27" s="6"/>
      <c r="B27" s="6" t="s">
        <v>27</v>
      </c>
      <c r="C27" s="3" t="str">
        <f t="shared" si="1"/>
        <v>_dotted maroon</v>
      </c>
      <c r="D27" s="3" t="str">
        <f t="shared" si="8"/>
        <v>#N/A</v>
      </c>
      <c r="E27" s="3" t="b">
        <f t="shared" si="2"/>
        <v>0</v>
      </c>
      <c r="G27" s="3" t="str">
        <f t="shared" si="3"/>
        <v>#N/A</v>
      </c>
      <c r="H27" s="3" t="b">
        <f t="shared" si="4"/>
        <v>0</v>
      </c>
      <c r="J27" s="3" t="str">
        <f t="shared" si="5"/>
        <v>#N/A</v>
      </c>
      <c r="K27" s="3" t="b">
        <f t="shared" si="6"/>
        <v>0</v>
      </c>
      <c r="M27" s="3" t="str">
        <f t="shared" si="7"/>
        <v>#N/A</v>
      </c>
      <c r="AU27" s="7"/>
      <c r="AV27" s="6"/>
      <c r="AW27" s="8"/>
      <c r="AX27" s="7"/>
      <c r="AY27" s="6"/>
      <c r="AZ27" s="8"/>
      <c r="BA27" s="7"/>
      <c r="BB27" s="6"/>
      <c r="BC27" s="8"/>
      <c r="BD27" s="7"/>
      <c r="BE27" s="6"/>
      <c r="BF27" s="8"/>
      <c r="BG27" s="7"/>
      <c r="BH27" s="6"/>
      <c r="BI27" s="8"/>
      <c r="BJ27" s="7"/>
      <c r="BK27" s="6"/>
      <c r="BL27" s="6"/>
      <c r="BM27" s="7"/>
      <c r="BN27" s="6"/>
      <c r="BO27" s="6"/>
      <c r="BP27" s="7"/>
      <c r="BQ27" s="6"/>
      <c r="BR27" s="6"/>
    </row>
    <row r="28">
      <c r="A28" s="6"/>
      <c r="B28" s="6" t="s">
        <v>28</v>
      </c>
      <c r="C28" s="3" t="str">
        <f t="shared" si="1"/>
        <v>_dim chartreuse</v>
      </c>
      <c r="D28" s="3" t="str">
        <f t="shared" si="8"/>
        <v>#N/A</v>
      </c>
      <c r="E28" s="3" t="b">
        <f t="shared" si="2"/>
        <v>0</v>
      </c>
      <c r="G28" s="3" t="str">
        <f t="shared" si="3"/>
        <v>#N/A</v>
      </c>
      <c r="H28" s="3" t="b">
        <f t="shared" si="4"/>
        <v>0</v>
      </c>
      <c r="J28" s="3" t="str">
        <f t="shared" si="5"/>
        <v>#N/A</v>
      </c>
      <c r="K28" s="3" t="b">
        <f t="shared" si="6"/>
        <v>0</v>
      </c>
      <c r="M28" s="3" t="str">
        <f t="shared" si="7"/>
        <v>#N/A</v>
      </c>
      <c r="AU28" s="7"/>
      <c r="AV28" s="6"/>
      <c r="AW28" s="8"/>
      <c r="AX28" s="7"/>
      <c r="AY28" s="6"/>
      <c r="AZ28" s="8"/>
      <c r="BA28" s="7"/>
      <c r="BB28" s="6"/>
      <c r="BC28" s="8"/>
      <c r="BD28" s="7"/>
      <c r="BE28" s="6"/>
      <c r="BF28" s="8"/>
      <c r="BG28" s="7"/>
      <c r="BH28" s="6"/>
      <c r="BI28" s="8"/>
      <c r="BJ28" s="7"/>
      <c r="BK28" s="6"/>
      <c r="BL28" s="6"/>
      <c r="BM28" s="7"/>
      <c r="BN28" s="6"/>
      <c r="BO28" s="6"/>
      <c r="BP28" s="7"/>
      <c r="BQ28" s="6"/>
      <c r="BR28" s="6"/>
    </row>
    <row r="29">
      <c r="A29" s="6"/>
      <c r="B29" s="6" t="s">
        <v>29</v>
      </c>
      <c r="C29" s="3" t="str">
        <f t="shared" si="1"/>
        <v>_plaid gold</v>
      </c>
      <c r="D29" s="3" t="str">
        <f t="shared" si="8"/>
        <v>#N/A</v>
      </c>
      <c r="E29" s="3" t="b">
        <f t="shared" si="2"/>
        <v>0</v>
      </c>
      <c r="G29" s="3" t="str">
        <f t="shared" si="3"/>
        <v>#N/A</v>
      </c>
      <c r="H29" s="3" t="b">
        <f t="shared" si="4"/>
        <v>0</v>
      </c>
      <c r="J29" s="3" t="str">
        <f t="shared" si="5"/>
        <v>#N/A</v>
      </c>
      <c r="K29" s="3" t="b">
        <f t="shared" si="6"/>
        <v>0</v>
      </c>
      <c r="M29" s="3" t="str">
        <f t="shared" si="7"/>
        <v>#N/A</v>
      </c>
      <c r="AU29" s="7"/>
      <c r="AV29" s="6"/>
      <c r="AW29" s="8"/>
      <c r="AX29" s="7"/>
      <c r="AY29" s="6"/>
      <c r="AZ29" s="8"/>
      <c r="BA29" s="7"/>
      <c r="BB29" s="6"/>
      <c r="BC29" s="8"/>
      <c r="BD29" s="7"/>
      <c r="BE29" s="6"/>
      <c r="BF29" s="8"/>
      <c r="BG29" s="7"/>
      <c r="BH29" s="6"/>
      <c r="BI29" s="8"/>
      <c r="BJ29" s="7"/>
      <c r="BK29" s="6"/>
      <c r="BL29" s="8"/>
      <c r="BM29" s="7"/>
      <c r="BN29" s="6"/>
      <c r="BO29" s="6"/>
      <c r="BP29" s="7"/>
      <c r="BQ29" s="6"/>
      <c r="BR29" s="6"/>
    </row>
    <row r="30">
      <c r="A30" s="6"/>
      <c r="B30" s="6" t="s">
        <v>30</v>
      </c>
      <c r="C30" s="3" t="str">
        <f t="shared" si="1"/>
        <v>_faded tomato</v>
      </c>
      <c r="D30" s="3" t="str">
        <f t="shared" si="8"/>
        <v>#N/A</v>
      </c>
      <c r="E30" s="3" t="b">
        <f t="shared" si="2"/>
        <v>0</v>
      </c>
      <c r="G30" s="3" t="str">
        <f t="shared" si="3"/>
        <v>#N/A</v>
      </c>
      <c r="H30" s="3" t="b">
        <f t="shared" si="4"/>
        <v>0</v>
      </c>
      <c r="J30" s="3" t="str">
        <f t="shared" si="5"/>
        <v>#N/A</v>
      </c>
      <c r="K30" s="3" t="b">
        <f t="shared" si="6"/>
        <v>0</v>
      </c>
      <c r="M30" s="3" t="str">
        <f t="shared" si="7"/>
        <v>#N/A</v>
      </c>
      <c r="AU30" s="7"/>
      <c r="AV30" s="6"/>
      <c r="AW30" s="8"/>
      <c r="AX30" s="7"/>
      <c r="AY30" s="6"/>
      <c r="AZ30" s="8"/>
      <c r="BA30" s="7"/>
      <c r="BB30" s="6"/>
      <c r="BC30" s="8"/>
      <c r="BD30" s="7"/>
      <c r="BE30" s="6"/>
      <c r="BF30" s="8"/>
      <c r="BG30" s="7"/>
      <c r="BH30" s="6"/>
      <c r="BI30" s="8"/>
      <c r="BJ30" s="7"/>
      <c r="BK30" s="6"/>
      <c r="BL30" s="8"/>
      <c r="BM30" s="7"/>
      <c r="BN30" s="6"/>
      <c r="BO30" s="8"/>
      <c r="BP30" s="7"/>
      <c r="BQ30" s="6"/>
      <c r="BR30" s="6"/>
    </row>
    <row r="31">
      <c r="A31" s="6"/>
      <c r="B31" s="6" t="s">
        <v>31</v>
      </c>
      <c r="C31" s="3" t="str">
        <f t="shared" si="1"/>
        <v>_posh plum</v>
      </c>
      <c r="D31" s="3" t="str">
        <f t="shared" si="8"/>
        <v>#N/A</v>
      </c>
      <c r="E31" s="3" t="b">
        <f t="shared" si="2"/>
        <v>0</v>
      </c>
      <c r="G31" s="3" t="str">
        <f t="shared" si="3"/>
        <v>#N/A</v>
      </c>
      <c r="H31" s="3" t="b">
        <f t="shared" si="4"/>
        <v>0</v>
      </c>
      <c r="J31" s="3" t="str">
        <f t="shared" si="5"/>
        <v>#N/A</v>
      </c>
      <c r="K31" s="3" t="b">
        <f t="shared" si="6"/>
        <v>0</v>
      </c>
      <c r="M31" s="3" t="str">
        <f t="shared" si="7"/>
        <v>#N/A</v>
      </c>
      <c r="AU31" s="7"/>
      <c r="AV31" s="6"/>
      <c r="AW31" s="8"/>
      <c r="AX31" s="7"/>
      <c r="AY31" s="6"/>
      <c r="AZ31" s="8"/>
      <c r="BA31" s="7"/>
      <c r="BB31" s="6"/>
      <c r="BC31" s="8"/>
      <c r="BD31" s="7"/>
      <c r="BE31" s="6"/>
      <c r="BF31" s="8"/>
      <c r="BG31" s="7"/>
      <c r="BH31" s="6"/>
      <c r="BI31" s="8"/>
      <c r="BJ31" s="7"/>
      <c r="BK31" s="6"/>
      <c r="BL31" s="8"/>
      <c r="BM31" s="7"/>
      <c r="BN31" s="6"/>
      <c r="BO31" s="8"/>
      <c r="BP31" s="7"/>
      <c r="BQ31" s="6"/>
      <c r="BR31" s="8"/>
    </row>
    <row r="32">
      <c r="A32" s="6"/>
      <c r="B32" s="6" t="s">
        <v>32</v>
      </c>
      <c r="C32" s="3" t="str">
        <f t="shared" si="1"/>
        <v>_drab bronze</v>
      </c>
      <c r="D32" s="3" t="str">
        <f t="shared" si="8"/>
        <v>#N/A</v>
      </c>
      <c r="E32" s="3" t="b">
        <f t="shared" si="2"/>
        <v>0</v>
      </c>
      <c r="G32" s="3" t="str">
        <f t="shared" si="3"/>
        <v>#N/A</v>
      </c>
      <c r="H32" s="3" t="b">
        <f t="shared" si="4"/>
        <v>0</v>
      </c>
      <c r="J32" s="3" t="str">
        <f t="shared" si="5"/>
        <v>#N/A</v>
      </c>
      <c r="K32" s="3" t="b">
        <f t="shared" si="6"/>
        <v>0</v>
      </c>
      <c r="M32" s="3" t="str">
        <f t="shared" si="7"/>
        <v>#N/A</v>
      </c>
      <c r="AU32" s="7"/>
      <c r="AV32" s="6"/>
      <c r="AW32" s="8"/>
      <c r="AX32" s="7"/>
      <c r="AY32" s="6"/>
      <c r="AZ32" s="8"/>
      <c r="BA32" s="7"/>
      <c r="BB32" s="6"/>
      <c r="BC32" s="8"/>
      <c r="BD32" s="7"/>
      <c r="BE32" s="6"/>
      <c r="BF32" s="8"/>
      <c r="BG32" s="7"/>
      <c r="BH32" s="6"/>
      <c r="BI32" s="8"/>
      <c r="BJ32" s="7"/>
      <c r="BK32" s="6"/>
      <c r="BL32" s="8"/>
      <c r="BM32" s="7"/>
      <c r="BN32" s="6"/>
      <c r="BO32" s="8"/>
      <c r="BP32" s="7"/>
      <c r="BQ32" s="6"/>
      <c r="BR32" s="8"/>
    </row>
    <row r="33">
      <c r="A33" s="6"/>
      <c r="B33" s="6" t="s">
        <v>33</v>
      </c>
      <c r="C33" s="3" t="str">
        <f t="shared" si="1"/>
        <v>_muted blue</v>
      </c>
      <c r="D33" s="3" t="str">
        <f t="shared" si="8"/>
        <v>#N/A</v>
      </c>
      <c r="E33" s="3" t="b">
        <f t="shared" si="2"/>
        <v>0</v>
      </c>
      <c r="G33" s="3" t="str">
        <f t="shared" si="3"/>
        <v>#N/A</v>
      </c>
      <c r="H33" s="3" t="b">
        <f t="shared" si="4"/>
        <v>0</v>
      </c>
      <c r="J33" s="3" t="str">
        <f t="shared" si="5"/>
        <v>#N/A</v>
      </c>
      <c r="K33" s="3" t="b">
        <f t="shared" si="6"/>
        <v>0</v>
      </c>
      <c r="M33" s="3" t="str">
        <f t="shared" si="7"/>
        <v>#N/A</v>
      </c>
      <c r="AU33" s="7"/>
      <c r="AV33" s="6"/>
      <c r="AW33" s="8"/>
      <c r="AX33" s="7"/>
      <c r="AY33" s="6"/>
      <c r="AZ33" s="8"/>
      <c r="BA33" s="7"/>
      <c r="BB33" s="6"/>
      <c r="BC33" s="8"/>
      <c r="BD33" s="7"/>
      <c r="BE33" s="6"/>
      <c r="BF33" s="8"/>
      <c r="BG33" s="7"/>
      <c r="BH33" s="6"/>
      <c r="BI33" s="8"/>
      <c r="BJ33" s="7"/>
      <c r="BK33" s="6"/>
      <c r="BL33" s="8"/>
      <c r="BM33" s="7"/>
      <c r="BN33" s="6"/>
      <c r="BO33" s="8"/>
      <c r="BP33" s="7"/>
      <c r="BQ33" s="6"/>
      <c r="BR33" s="8"/>
    </row>
    <row r="34">
      <c r="A34" s="6"/>
      <c r="B34" s="6" t="s">
        <v>34</v>
      </c>
      <c r="C34" s="3" t="str">
        <f t="shared" si="1"/>
        <v>_striped indigo</v>
      </c>
      <c r="D34" s="3" t="str">
        <f t="shared" si="8"/>
        <v>#N/A</v>
      </c>
      <c r="E34" s="3" t="b">
        <f t="shared" si="2"/>
        <v>0</v>
      </c>
      <c r="G34" s="3" t="str">
        <f t="shared" si="3"/>
        <v>#N/A</v>
      </c>
      <c r="H34" s="3" t="b">
        <f t="shared" si="4"/>
        <v>0</v>
      </c>
      <c r="J34" s="3" t="str">
        <f t="shared" si="5"/>
        <v>#N/A</v>
      </c>
      <c r="K34" s="3" t="b">
        <f t="shared" si="6"/>
        <v>0</v>
      </c>
      <c r="M34" s="3" t="str">
        <f t="shared" si="7"/>
        <v>#N/A</v>
      </c>
      <c r="AU34" s="7"/>
      <c r="AV34" s="6"/>
      <c r="AW34" s="8"/>
      <c r="AX34" s="7"/>
      <c r="AY34" s="6"/>
      <c r="AZ34" s="8"/>
      <c r="BA34" s="7"/>
      <c r="BB34" s="6"/>
      <c r="BC34" s="8"/>
      <c r="BD34" s="7"/>
      <c r="BE34" s="6"/>
      <c r="BF34" s="8"/>
      <c r="BG34" s="7"/>
      <c r="BH34" s="6"/>
      <c r="BI34" s="8"/>
      <c r="BJ34" s="7"/>
      <c r="BK34" s="6"/>
      <c r="BL34" s="8"/>
      <c r="BM34" s="7"/>
      <c r="BN34" s="6"/>
      <c r="BO34" s="8"/>
      <c r="BP34" s="7"/>
      <c r="BQ34" s="6"/>
      <c r="BR34" s="8"/>
    </row>
    <row r="35">
      <c r="A35" s="6"/>
      <c r="B35" s="6" t="s">
        <v>35</v>
      </c>
      <c r="C35" s="3" t="str">
        <f t="shared" si="1"/>
        <v>_shiny tan</v>
      </c>
      <c r="D35" s="3" t="str">
        <f t="shared" si="8"/>
        <v>#N/A</v>
      </c>
      <c r="E35" s="3" t="b">
        <f t="shared" si="2"/>
        <v>0</v>
      </c>
      <c r="G35" s="3" t="str">
        <f t="shared" si="3"/>
        <v>#N/A</v>
      </c>
      <c r="H35" s="3" t="b">
        <f t="shared" si="4"/>
        <v>0</v>
      </c>
      <c r="J35" s="3" t="str">
        <f t="shared" si="5"/>
        <v>#N/A</v>
      </c>
      <c r="K35" s="3" t="b">
        <f t="shared" si="6"/>
        <v>0</v>
      </c>
      <c r="M35" s="3" t="str">
        <f t="shared" si="7"/>
        <v>#N/A</v>
      </c>
      <c r="AU35" s="7"/>
      <c r="AV35" s="6"/>
      <c r="AW35" s="8"/>
      <c r="AX35" s="7"/>
      <c r="AY35" s="6"/>
      <c r="AZ35" s="8"/>
      <c r="BA35" s="7"/>
      <c r="BB35" s="6"/>
      <c r="BC35" s="8"/>
      <c r="BD35" s="7"/>
      <c r="BE35" s="6"/>
      <c r="BF35" s="8"/>
      <c r="BG35" s="7"/>
      <c r="BH35" s="6"/>
      <c r="BI35" s="8"/>
      <c r="BJ35" s="7"/>
      <c r="BK35" s="6"/>
      <c r="BL35" s="8"/>
      <c r="BM35" s="7"/>
      <c r="BN35" s="6"/>
      <c r="BO35" s="8"/>
      <c r="BP35" s="7"/>
      <c r="BQ35" s="6"/>
      <c r="BR35" s="8"/>
    </row>
    <row r="36">
      <c r="A36" s="6"/>
      <c r="B36" s="6" t="s">
        <v>36</v>
      </c>
      <c r="C36" s="3" t="str">
        <f t="shared" si="1"/>
        <v>_dim red</v>
      </c>
      <c r="D36" s="3" t="str">
        <f t="shared" si="8"/>
        <v>#N/A</v>
      </c>
      <c r="E36" s="3" t="b">
        <f t="shared" si="2"/>
        <v>0</v>
      </c>
      <c r="G36" s="3" t="str">
        <f t="shared" si="3"/>
        <v>#N/A</v>
      </c>
      <c r="H36" s="3" t="b">
        <f t="shared" si="4"/>
        <v>0</v>
      </c>
      <c r="J36" s="3" t="str">
        <f t="shared" si="5"/>
        <v>#N/A</v>
      </c>
      <c r="K36" s="3" t="b">
        <f t="shared" si="6"/>
        <v>0</v>
      </c>
      <c r="M36" s="3" t="str">
        <f t="shared" si="7"/>
        <v>#N/A</v>
      </c>
      <c r="AU36" s="7"/>
      <c r="AV36" s="6"/>
      <c r="AW36" s="8"/>
      <c r="AX36" s="7"/>
      <c r="AY36" s="6"/>
      <c r="AZ36" s="8"/>
      <c r="BA36" s="7"/>
      <c r="BB36" s="6"/>
      <c r="BC36" s="8"/>
      <c r="BD36" s="7"/>
      <c r="BE36" s="6"/>
      <c r="BF36" s="8"/>
      <c r="BG36" s="7"/>
      <c r="BH36" s="6"/>
      <c r="BI36" s="8"/>
      <c r="BJ36" s="7"/>
      <c r="BK36" s="6"/>
      <c r="BL36" s="8"/>
      <c r="BM36" s="7"/>
      <c r="BN36" s="6"/>
      <c r="BO36" s="8"/>
      <c r="BP36" s="7"/>
      <c r="BQ36" s="6"/>
      <c r="BR36" s="8"/>
    </row>
    <row r="37">
      <c r="A37" s="6"/>
      <c r="B37" s="6" t="s">
        <v>37</v>
      </c>
      <c r="C37" s="3" t="str">
        <f t="shared" si="1"/>
        <v>_plaid gray</v>
      </c>
      <c r="D37" s="3" t="str">
        <f t="shared" si="8"/>
        <v>#N/A</v>
      </c>
      <c r="E37" s="3" t="b">
        <f t="shared" si="2"/>
        <v>0</v>
      </c>
      <c r="G37" s="3" t="str">
        <f t="shared" si="3"/>
        <v>#N/A</v>
      </c>
      <c r="H37" s="3" t="b">
        <f t="shared" si="4"/>
        <v>0</v>
      </c>
      <c r="J37" s="3" t="str">
        <f t="shared" si="5"/>
        <v>#N/A</v>
      </c>
      <c r="K37" s="3" t="b">
        <f t="shared" si="6"/>
        <v>0</v>
      </c>
      <c r="M37" s="3" t="str">
        <f t="shared" si="7"/>
        <v>#N/A</v>
      </c>
      <c r="AU37" s="7"/>
      <c r="AV37" s="6"/>
      <c r="AW37" s="8"/>
      <c r="AX37" s="7"/>
      <c r="AY37" s="6"/>
      <c r="AZ37" s="8"/>
      <c r="BA37" s="7"/>
      <c r="BB37" s="6"/>
      <c r="BC37" s="8"/>
      <c r="BD37" s="7"/>
      <c r="BE37" s="6"/>
      <c r="BF37" s="8"/>
      <c r="BG37" s="7"/>
      <c r="BH37" s="6"/>
      <c r="BI37" s="8"/>
      <c r="BJ37" s="7"/>
      <c r="BK37" s="6"/>
      <c r="BL37" s="8"/>
      <c r="BM37" s="7"/>
      <c r="BN37" s="6"/>
      <c r="BO37" s="8"/>
      <c r="BP37" s="7"/>
      <c r="BQ37" s="6"/>
      <c r="BR37" s="8"/>
    </row>
    <row r="38">
      <c r="A38" s="6"/>
      <c r="B38" s="6" t="s">
        <v>38</v>
      </c>
      <c r="C38" s="3" t="str">
        <f t="shared" si="1"/>
        <v>_dotted white</v>
      </c>
      <c r="D38" s="3" t="str">
        <f t="shared" si="8"/>
        <v>#N/A</v>
      </c>
      <c r="E38" s="3" t="b">
        <f t="shared" si="2"/>
        <v>0</v>
      </c>
      <c r="G38" s="3" t="str">
        <f t="shared" si="3"/>
        <v>#N/A</v>
      </c>
      <c r="H38" s="3" t="b">
        <f t="shared" si="4"/>
        <v>0</v>
      </c>
      <c r="J38" s="3" t="str">
        <f t="shared" si="5"/>
        <v>#N/A</v>
      </c>
      <c r="K38" s="3" t="b">
        <f t="shared" si="6"/>
        <v>0</v>
      </c>
      <c r="M38" s="3" t="str">
        <f t="shared" si="7"/>
        <v>#N/A</v>
      </c>
      <c r="AU38" s="7"/>
      <c r="AV38" s="6"/>
      <c r="AW38" s="8"/>
      <c r="AX38" s="7"/>
      <c r="AY38" s="6"/>
      <c r="AZ38" s="8"/>
      <c r="BA38" s="7"/>
      <c r="BB38" s="6"/>
      <c r="BC38" s="8"/>
      <c r="BD38" s="7"/>
      <c r="BE38" s="6"/>
      <c r="BF38" s="8"/>
      <c r="BG38" s="7"/>
      <c r="BH38" s="6"/>
      <c r="BI38" s="8"/>
      <c r="BJ38" s="7"/>
      <c r="BK38" s="6"/>
      <c r="BL38" s="8"/>
      <c r="BM38" s="7"/>
      <c r="BN38" s="6"/>
      <c r="BO38" s="8"/>
      <c r="BP38" s="7"/>
      <c r="BQ38" s="6"/>
      <c r="BR38" s="8"/>
    </row>
    <row r="39">
      <c r="A39" s="6"/>
      <c r="B39" s="6" t="s">
        <v>39</v>
      </c>
      <c r="C39" s="3" t="str">
        <f t="shared" si="1"/>
        <v>_plaid tan</v>
      </c>
      <c r="D39" s="3" t="str">
        <f t="shared" si="8"/>
        <v>#N/A</v>
      </c>
      <c r="E39" s="3" t="b">
        <f t="shared" si="2"/>
        <v>0</v>
      </c>
      <c r="G39" s="3" t="str">
        <f t="shared" si="3"/>
        <v>#N/A</v>
      </c>
      <c r="H39" s="3" t="b">
        <f t="shared" si="4"/>
        <v>0</v>
      </c>
      <c r="J39" s="3" t="str">
        <f t="shared" si="5"/>
        <v>#N/A</v>
      </c>
      <c r="K39" s="3" t="b">
        <f t="shared" si="6"/>
        <v>0</v>
      </c>
      <c r="M39" s="3" t="str">
        <f t="shared" si="7"/>
        <v>#N/A</v>
      </c>
      <c r="AU39" s="7"/>
      <c r="AV39" s="6"/>
      <c r="AW39" s="8"/>
      <c r="AX39" s="7"/>
      <c r="AY39" s="6"/>
      <c r="AZ39" s="8"/>
      <c r="BA39" s="7"/>
      <c r="BB39" s="6"/>
      <c r="BC39" s="8"/>
      <c r="BD39" s="7"/>
      <c r="BE39" s="6"/>
      <c r="BF39" s="8"/>
      <c r="BG39" s="7"/>
      <c r="BH39" s="6"/>
      <c r="BI39" s="8"/>
      <c r="BJ39" s="7"/>
      <c r="BK39" s="6"/>
      <c r="BL39" s="8"/>
      <c r="BM39" s="7"/>
      <c r="BN39" s="6"/>
      <c r="BO39" s="8"/>
      <c r="BP39" s="7"/>
      <c r="BQ39" s="6"/>
      <c r="BR39" s="8"/>
    </row>
    <row r="40">
      <c r="A40" s="6"/>
      <c r="B40" s="6" t="s">
        <v>40</v>
      </c>
      <c r="C40" s="3" t="str">
        <f t="shared" si="1"/>
        <v>_vibrant black</v>
      </c>
      <c r="D40" s="3" t="str">
        <f t="shared" si="8"/>
        <v>#N/A</v>
      </c>
      <c r="E40" s="3" t="b">
        <f t="shared" si="2"/>
        <v>0</v>
      </c>
      <c r="G40" s="3" t="str">
        <f t="shared" si="3"/>
        <v>#N/A</v>
      </c>
      <c r="H40" s="3" t="b">
        <f t="shared" si="4"/>
        <v>0</v>
      </c>
      <c r="J40" s="3" t="str">
        <f t="shared" si="5"/>
        <v>#N/A</v>
      </c>
      <c r="K40" s="3" t="b">
        <f t="shared" si="6"/>
        <v>0</v>
      </c>
      <c r="M40" s="3" t="str">
        <f t="shared" si="7"/>
        <v>#N/A</v>
      </c>
      <c r="AU40" s="7"/>
      <c r="AV40" s="6"/>
      <c r="AW40" s="8"/>
      <c r="AX40" s="7"/>
      <c r="AY40" s="6"/>
      <c r="AZ40" s="8"/>
      <c r="BA40" s="7"/>
      <c r="BB40" s="6"/>
      <c r="BC40" s="8"/>
      <c r="BD40" s="7"/>
      <c r="BE40" s="6"/>
      <c r="BF40" s="8"/>
      <c r="BG40" s="7"/>
      <c r="BH40" s="6"/>
      <c r="BI40" s="8"/>
      <c r="BJ40" s="7"/>
      <c r="BK40" s="6"/>
      <c r="BL40" s="8"/>
      <c r="BM40" s="7"/>
      <c r="BN40" s="6"/>
      <c r="BO40" s="8"/>
      <c r="BP40" s="7"/>
      <c r="BQ40" s="6"/>
      <c r="BR40" s="8"/>
    </row>
    <row r="41">
      <c r="A41" s="6"/>
      <c r="B41" s="6" t="s">
        <v>41</v>
      </c>
      <c r="C41" s="3" t="str">
        <f t="shared" si="1"/>
        <v>_drab purple</v>
      </c>
      <c r="D41" s="3" t="str">
        <f t="shared" si="8"/>
        <v>#N/A</v>
      </c>
      <c r="E41" s="3" t="b">
        <f t="shared" si="2"/>
        <v>0</v>
      </c>
      <c r="G41" s="3" t="str">
        <f t="shared" si="3"/>
        <v>#N/A</v>
      </c>
      <c r="H41" s="3" t="b">
        <f t="shared" si="4"/>
        <v>0</v>
      </c>
      <c r="J41" s="3" t="str">
        <f t="shared" si="5"/>
        <v>#N/A</v>
      </c>
      <c r="K41" s="3" t="b">
        <f t="shared" si="6"/>
        <v>0</v>
      </c>
      <c r="M41" s="3" t="str">
        <f t="shared" si="7"/>
        <v>#N/A</v>
      </c>
      <c r="AU41" s="7"/>
      <c r="AV41" s="6"/>
      <c r="AW41" s="8"/>
      <c r="AX41" s="7"/>
      <c r="AY41" s="6"/>
      <c r="AZ41" s="8"/>
      <c r="BA41" s="7"/>
      <c r="BB41" s="6"/>
      <c r="BC41" s="8"/>
      <c r="BD41" s="7"/>
      <c r="BE41" s="6"/>
      <c r="BF41" s="8"/>
      <c r="BG41" s="7"/>
      <c r="BH41" s="6"/>
      <c r="BI41" s="8"/>
      <c r="BJ41" s="7"/>
      <c r="BK41" s="6"/>
      <c r="BL41" s="8"/>
      <c r="BM41" s="7"/>
      <c r="BN41" s="6"/>
      <c r="BO41" s="8"/>
      <c r="BP41" s="7"/>
      <c r="BQ41" s="6"/>
      <c r="BR41" s="8"/>
    </row>
    <row r="42">
      <c r="A42" s="6"/>
      <c r="B42" s="6" t="s">
        <v>42</v>
      </c>
      <c r="C42" s="3" t="str">
        <f t="shared" si="1"/>
        <v>_mirrored beige</v>
      </c>
      <c r="D42" s="3" t="str">
        <f t="shared" si="8"/>
        <v>#N/A</v>
      </c>
      <c r="E42" s="3" t="b">
        <f t="shared" si="2"/>
        <v>0</v>
      </c>
      <c r="G42" s="3" t="str">
        <f t="shared" si="3"/>
        <v>#N/A</v>
      </c>
      <c r="H42" s="3" t="b">
        <f t="shared" si="4"/>
        <v>0</v>
      </c>
      <c r="J42" s="3" t="str">
        <f t="shared" si="5"/>
        <v>#N/A</v>
      </c>
      <c r="K42" s="3" t="b">
        <f t="shared" si="6"/>
        <v>0</v>
      </c>
      <c r="M42" s="3" t="str">
        <f t="shared" si="7"/>
        <v>#N/A</v>
      </c>
      <c r="AU42" s="7"/>
      <c r="AV42" s="6"/>
      <c r="AW42" s="8"/>
      <c r="AX42" s="7"/>
      <c r="AY42" s="6"/>
      <c r="AZ42" s="8"/>
      <c r="BA42" s="7"/>
      <c r="BB42" s="6"/>
      <c r="BC42" s="8"/>
      <c r="BD42" s="7"/>
      <c r="BE42" s="6"/>
      <c r="BF42" s="8"/>
      <c r="BG42" s="7"/>
      <c r="BH42" s="6"/>
      <c r="BI42" s="8"/>
      <c r="BJ42" s="7"/>
      <c r="BK42" s="6"/>
      <c r="BL42" s="8"/>
      <c r="BM42" s="7"/>
      <c r="BN42" s="6"/>
      <c r="BO42" s="8"/>
      <c r="BP42" s="7"/>
      <c r="BQ42" s="6"/>
      <c r="BR42" s="8"/>
    </row>
    <row r="43">
      <c r="A43" s="6"/>
      <c r="B43" s="6" t="s">
        <v>43</v>
      </c>
      <c r="C43" s="3" t="str">
        <f t="shared" si="1"/>
        <v>_vibrant olive</v>
      </c>
      <c r="D43" s="3" t="str">
        <f t="shared" si="8"/>
        <v>#N/A</v>
      </c>
      <c r="E43" s="3" t="b">
        <f t="shared" si="2"/>
        <v>0</v>
      </c>
      <c r="G43" s="3" t="str">
        <f t="shared" si="3"/>
        <v>#N/A</v>
      </c>
      <c r="H43" s="3" t="b">
        <f t="shared" si="4"/>
        <v>0</v>
      </c>
      <c r="J43" s="3" t="str">
        <f t="shared" si="5"/>
        <v>#N/A</v>
      </c>
      <c r="K43" s="3" t="b">
        <f t="shared" si="6"/>
        <v>0</v>
      </c>
      <c r="M43" s="3" t="str">
        <f t="shared" si="7"/>
        <v>#N/A</v>
      </c>
      <c r="AU43" s="7"/>
      <c r="AV43" s="6"/>
      <c r="AW43" s="8"/>
      <c r="AX43" s="7"/>
      <c r="AY43" s="6"/>
      <c r="AZ43" s="8"/>
      <c r="BA43" s="7"/>
      <c r="BB43" s="6"/>
      <c r="BC43" s="8"/>
      <c r="BD43" s="7"/>
      <c r="BE43" s="6"/>
      <c r="BF43" s="8"/>
      <c r="BG43" s="7"/>
      <c r="BH43" s="6"/>
      <c r="BI43" s="8"/>
      <c r="BJ43" s="7"/>
      <c r="BK43" s="6"/>
      <c r="BL43" s="8"/>
      <c r="BM43" s="7"/>
      <c r="BN43" s="6"/>
      <c r="BO43" s="8"/>
      <c r="BP43" s="7"/>
      <c r="BQ43" s="6"/>
      <c r="BR43" s="8"/>
    </row>
    <row r="44">
      <c r="A44" s="6"/>
      <c r="B44" s="6" t="s">
        <v>44</v>
      </c>
      <c r="C44" s="3" t="str">
        <f t="shared" si="1"/>
        <v>_drab green</v>
      </c>
      <c r="D44" s="3" t="str">
        <f t="shared" si="8"/>
        <v>#N/A</v>
      </c>
      <c r="E44" s="3" t="b">
        <f t="shared" si="2"/>
        <v>0</v>
      </c>
      <c r="G44" s="3" t="str">
        <f t="shared" si="3"/>
        <v>#N/A</v>
      </c>
      <c r="H44" s="3" t="b">
        <f t="shared" si="4"/>
        <v>0</v>
      </c>
      <c r="J44" s="3" t="str">
        <f t="shared" si="5"/>
        <v>#N/A</v>
      </c>
      <c r="K44" s="3" t="b">
        <f t="shared" si="6"/>
        <v>0</v>
      </c>
      <c r="M44" s="3" t="str">
        <f t="shared" si="7"/>
        <v>#N/A</v>
      </c>
      <c r="AU44" s="7"/>
      <c r="AV44" s="6"/>
      <c r="AW44" s="8"/>
      <c r="AX44" s="7"/>
      <c r="AY44" s="6"/>
      <c r="AZ44" s="8"/>
      <c r="BA44" s="7"/>
      <c r="BB44" s="6"/>
      <c r="BC44" s="8"/>
      <c r="BD44" s="7"/>
      <c r="BE44" s="6"/>
      <c r="BF44" s="8"/>
      <c r="BG44" s="7"/>
      <c r="BH44" s="6"/>
      <c r="BI44" s="8"/>
      <c r="BJ44" s="7"/>
      <c r="BK44" s="6"/>
      <c r="BL44" s="8"/>
      <c r="BM44" s="7"/>
      <c r="BN44" s="6"/>
      <c r="BO44" s="8"/>
      <c r="BP44" s="7"/>
      <c r="BQ44" s="6"/>
      <c r="BR44" s="8"/>
    </row>
    <row r="45">
      <c r="A45" s="6"/>
      <c r="B45" s="6" t="s">
        <v>45</v>
      </c>
      <c r="C45" s="3" t="str">
        <f t="shared" si="1"/>
        <v>_faded turquoise</v>
      </c>
      <c r="D45" s="3" t="str">
        <f t="shared" si="8"/>
        <v>#N/A</v>
      </c>
      <c r="E45" s="3" t="b">
        <f t="shared" si="2"/>
        <v>0</v>
      </c>
      <c r="G45" s="3" t="str">
        <f t="shared" si="3"/>
        <v>#N/A</v>
      </c>
      <c r="H45" s="3" t="b">
        <f t="shared" si="4"/>
        <v>0</v>
      </c>
      <c r="J45" s="3" t="str">
        <f t="shared" si="5"/>
        <v>#N/A</v>
      </c>
      <c r="K45" s="3" t="b">
        <f t="shared" si="6"/>
        <v>0</v>
      </c>
      <c r="M45" s="3" t="str">
        <f t="shared" si="7"/>
        <v>#N/A</v>
      </c>
      <c r="AU45" s="7"/>
      <c r="AV45" s="6"/>
      <c r="AW45" s="8"/>
      <c r="AX45" s="7"/>
      <c r="AY45" s="6"/>
      <c r="AZ45" s="8"/>
      <c r="BA45" s="7"/>
      <c r="BB45" s="6"/>
      <c r="BC45" s="8"/>
      <c r="BD45" s="7"/>
      <c r="BE45" s="6"/>
      <c r="BF45" s="8"/>
      <c r="BG45" s="7"/>
      <c r="BH45" s="6"/>
      <c r="BI45" s="8"/>
      <c r="BJ45" s="7"/>
      <c r="BK45" s="6"/>
      <c r="BL45" s="8"/>
      <c r="BM45" s="7"/>
      <c r="BN45" s="6"/>
      <c r="BO45" s="8"/>
      <c r="BP45" s="7"/>
      <c r="BQ45" s="6"/>
      <c r="BR45" s="8"/>
    </row>
    <row r="46">
      <c r="A46" s="6"/>
      <c r="B46" s="6" t="s">
        <v>46</v>
      </c>
      <c r="C46" s="3" t="str">
        <f t="shared" si="1"/>
        <v>_shiny maroon</v>
      </c>
      <c r="D46" s="3" t="str">
        <f t="shared" si="8"/>
        <v>#N/A</v>
      </c>
      <c r="E46" s="3" t="b">
        <f t="shared" si="2"/>
        <v>0</v>
      </c>
      <c r="G46" s="3" t="str">
        <f t="shared" si="3"/>
        <v>#N/A</v>
      </c>
      <c r="H46" s="3" t="b">
        <f t="shared" si="4"/>
        <v>0</v>
      </c>
      <c r="J46" s="3" t="str">
        <f t="shared" si="5"/>
        <v>#N/A</v>
      </c>
      <c r="K46" s="3" t="b">
        <f t="shared" si="6"/>
        <v>0</v>
      </c>
      <c r="M46" s="3" t="str">
        <f t="shared" si="7"/>
        <v>#N/A</v>
      </c>
      <c r="AU46" s="7"/>
      <c r="AV46" s="6"/>
      <c r="AW46" s="8"/>
      <c r="AX46" s="7"/>
      <c r="AY46" s="6"/>
      <c r="AZ46" s="8"/>
      <c r="BA46" s="7"/>
      <c r="BB46" s="6"/>
      <c r="BC46" s="8"/>
      <c r="BD46" s="7"/>
      <c r="BE46" s="6"/>
      <c r="BF46" s="8"/>
      <c r="BG46" s="7"/>
      <c r="BH46" s="6"/>
      <c r="BI46" s="8"/>
      <c r="BJ46" s="7"/>
      <c r="BK46" s="6"/>
      <c r="BL46" s="8"/>
      <c r="BM46" s="7"/>
      <c r="BN46" s="6"/>
      <c r="BO46" s="8"/>
      <c r="BP46" s="7"/>
      <c r="BQ46" s="6"/>
      <c r="BR46" s="8"/>
    </row>
    <row r="47">
      <c r="A47" s="6"/>
      <c r="B47" s="6" t="s">
        <v>47</v>
      </c>
      <c r="C47" s="3" t="str">
        <f t="shared" si="1"/>
        <v>_dull white</v>
      </c>
      <c r="D47" s="3" t="str">
        <f t="shared" si="8"/>
        <v>#N/A</v>
      </c>
      <c r="E47" s="3" t="b">
        <f t="shared" si="2"/>
        <v>0</v>
      </c>
      <c r="G47" s="3" t="str">
        <f t="shared" si="3"/>
        <v>#N/A</v>
      </c>
      <c r="H47" s="3" t="b">
        <f t="shared" si="4"/>
        <v>0</v>
      </c>
      <c r="J47" s="3" t="str">
        <f t="shared" si="5"/>
        <v>#N/A</v>
      </c>
      <c r="K47" s="3" t="b">
        <f t="shared" si="6"/>
        <v>0</v>
      </c>
      <c r="M47" s="3" t="str">
        <f t="shared" si="7"/>
        <v>#N/A</v>
      </c>
      <c r="AU47" s="7"/>
      <c r="AV47" s="6"/>
      <c r="AW47" s="8"/>
      <c r="AX47" s="7"/>
      <c r="AY47" s="6"/>
      <c r="AZ47" s="8"/>
      <c r="BA47" s="7"/>
      <c r="BB47" s="6"/>
      <c r="BC47" s="8"/>
      <c r="BD47" s="7"/>
      <c r="BE47" s="6"/>
      <c r="BF47" s="8"/>
      <c r="BG47" s="7"/>
      <c r="BH47" s="6"/>
      <c r="BI47" s="8"/>
      <c r="BJ47" s="7"/>
      <c r="BK47" s="6"/>
      <c r="BL47" s="8"/>
      <c r="BM47" s="7"/>
      <c r="BN47" s="6"/>
      <c r="BO47" s="8"/>
      <c r="BP47" s="7"/>
      <c r="BQ47" s="6"/>
      <c r="BR47" s="8"/>
    </row>
    <row r="48">
      <c r="A48" s="6"/>
      <c r="B48" s="6" t="s">
        <v>48</v>
      </c>
      <c r="C48" s="3" t="str">
        <f t="shared" si="1"/>
        <v>_dim white</v>
      </c>
      <c r="D48" s="3" t="str">
        <f t="shared" si="8"/>
        <v>#N/A</v>
      </c>
      <c r="E48" s="3" t="b">
        <f t="shared" si="2"/>
        <v>0</v>
      </c>
      <c r="G48" s="3" t="str">
        <f t="shared" si="3"/>
        <v>#N/A</v>
      </c>
      <c r="H48" s="3" t="b">
        <f t="shared" si="4"/>
        <v>0</v>
      </c>
      <c r="J48" s="3" t="str">
        <f t="shared" si="5"/>
        <v>#N/A</v>
      </c>
      <c r="K48" s="3" t="b">
        <f t="shared" si="6"/>
        <v>0</v>
      </c>
      <c r="M48" s="3" t="str">
        <f t="shared" si="7"/>
        <v>#N/A</v>
      </c>
      <c r="AU48" s="7"/>
      <c r="AV48" s="6"/>
      <c r="AW48" s="8"/>
      <c r="AX48" s="7"/>
      <c r="AY48" s="6"/>
      <c r="AZ48" s="8"/>
      <c r="BA48" s="7"/>
      <c r="BB48" s="6"/>
      <c r="BC48" s="8"/>
      <c r="BD48" s="7"/>
      <c r="BE48" s="6"/>
      <c r="BF48" s="8"/>
      <c r="BG48" s="7"/>
      <c r="BH48" s="6"/>
      <c r="BI48" s="8"/>
      <c r="BJ48" s="7"/>
      <c r="BK48" s="6"/>
      <c r="BL48" s="8"/>
      <c r="BM48" s="7"/>
      <c r="BN48" s="6"/>
      <c r="BO48" s="8"/>
      <c r="BP48" s="7"/>
      <c r="BQ48" s="6"/>
      <c r="BR48" s="8"/>
    </row>
    <row r="49">
      <c r="A49" s="6"/>
      <c r="B49" s="6" t="s">
        <v>49</v>
      </c>
      <c r="C49" s="3" t="str">
        <f t="shared" si="1"/>
        <v>_clear beige</v>
      </c>
      <c r="D49" s="3" t="str">
        <f t="shared" si="8"/>
        <v>#N/A</v>
      </c>
      <c r="E49" s="3" t="b">
        <f t="shared" si="2"/>
        <v>0</v>
      </c>
      <c r="G49" s="3" t="str">
        <f t="shared" si="3"/>
        <v>#N/A</v>
      </c>
      <c r="H49" s="3" t="b">
        <f t="shared" si="4"/>
        <v>0</v>
      </c>
      <c r="J49" s="3" t="str">
        <f t="shared" si="5"/>
        <v>#N/A</v>
      </c>
      <c r="K49" s="3" t="b">
        <f t="shared" si="6"/>
        <v>0</v>
      </c>
      <c r="M49" s="3" t="str">
        <f t="shared" si="7"/>
        <v>#N/A</v>
      </c>
      <c r="AU49" s="7"/>
      <c r="AV49" s="6"/>
      <c r="AW49" s="8"/>
      <c r="AX49" s="7"/>
      <c r="AY49" s="6"/>
      <c r="AZ49" s="8"/>
      <c r="BA49" s="7"/>
      <c r="BB49" s="6"/>
      <c r="BC49" s="8"/>
      <c r="BD49" s="7"/>
      <c r="BE49" s="6"/>
      <c r="BF49" s="8"/>
      <c r="BG49" s="7"/>
      <c r="BH49" s="6"/>
      <c r="BI49" s="8"/>
      <c r="BJ49" s="7"/>
      <c r="BK49" s="6"/>
      <c r="BL49" s="8"/>
      <c r="BM49" s="7"/>
      <c r="BN49" s="6"/>
      <c r="BO49" s="8"/>
      <c r="BP49" s="7"/>
      <c r="BQ49" s="6"/>
      <c r="BR49" s="8"/>
    </row>
    <row r="50">
      <c r="A50" s="6"/>
      <c r="B50" s="6" t="s">
        <v>50</v>
      </c>
      <c r="C50" s="3" t="str">
        <f t="shared" si="1"/>
        <v>_plaid tomato</v>
      </c>
      <c r="D50" s="3" t="str">
        <f t="shared" si="8"/>
        <v>#N/A</v>
      </c>
      <c r="E50" s="3" t="b">
        <f t="shared" si="2"/>
        <v>0</v>
      </c>
      <c r="G50" s="3" t="str">
        <f t="shared" si="3"/>
        <v>#N/A</v>
      </c>
      <c r="H50" s="3" t="b">
        <f t="shared" si="4"/>
        <v>0</v>
      </c>
      <c r="J50" s="3" t="str">
        <f t="shared" si="5"/>
        <v>#N/A</v>
      </c>
      <c r="K50" s="3" t="b">
        <f t="shared" si="6"/>
        <v>0</v>
      </c>
      <c r="M50" s="3" t="str">
        <f t="shared" si="7"/>
        <v>#N/A</v>
      </c>
      <c r="AU50" s="7"/>
      <c r="AV50" s="6"/>
      <c r="AW50" s="8"/>
      <c r="AX50" s="7"/>
      <c r="AY50" s="6"/>
      <c r="AZ50" s="8"/>
      <c r="BA50" s="7"/>
      <c r="BB50" s="6"/>
      <c r="BC50" s="8"/>
      <c r="BD50" s="7"/>
      <c r="BE50" s="6"/>
      <c r="BF50" s="8"/>
      <c r="BG50" s="7"/>
      <c r="BH50" s="6"/>
      <c r="BI50" s="8"/>
      <c r="BJ50" s="7"/>
      <c r="BK50" s="6"/>
      <c r="BL50" s="8"/>
      <c r="BM50" s="7"/>
      <c r="BN50" s="6"/>
      <c r="BO50" s="8"/>
      <c r="BP50" s="7"/>
      <c r="BQ50" s="6"/>
      <c r="BR50" s="8"/>
    </row>
    <row r="51">
      <c r="A51" s="6"/>
      <c r="B51" s="6" t="s">
        <v>51</v>
      </c>
      <c r="C51" s="3" t="str">
        <f t="shared" si="1"/>
        <v>_bright teal</v>
      </c>
      <c r="D51" s="3" t="str">
        <f t="shared" si="8"/>
        <v>#N/A</v>
      </c>
      <c r="E51" s="3" t="b">
        <f t="shared" si="2"/>
        <v>1</v>
      </c>
      <c r="G51" s="3" t="str">
        <f t="shared" si="3"/>
        <v>#N/A</v>
      </c>
      <c r="H51" s="3" t="b">
        <f t="shared" si="4"/>
        <v>0</v>
      </c>
      <c r="J51" s="3" t="str">
        <f t="shared" si="5"/>
        <v>#N/A</v>
      </c>
      <c r="K51" s="3" t="b">
        <f t="shared" si="6"/>
        <v>0</v>
      </c>
      <c r="M51" s="3" t="str">
        <f t="shared" si="7"/>
        <v>#N/A</v>
      </c>
      <c r="AU51" s="7"/>
      <c r="AV51" s="6"/>
      <c r="AW51" s="8"/>
      <c r="AX51" s="7"/>
      <c r="AY51" s="6"/>
      <c r="AZ51" s="8"/>
      <c r="BA51" s="7"/>
      <c r="BB51" s="6"/>
      <c r="BC51" s="8"/>
      <c r="BD51" s="7"/>
      <c r="BE51" s="6"/>
      <c r="BF51" s="8"/>
      <c r="BG51" s="7"/>
      <c r="BH51" s="6"/>
      <c r="BI51" s="8"/>
      <c r="BJ51" s="7"/>
      <c r="BK51" s="6"/>
      <c r="BL51" s="8"/>
      <c r="BM51" s="7"/>
      <c r="BN51" s="6"/>
      <c r="BO51" s="8"/>
      <c r="BP51" s="7"/>
      <c r="BQ51" s="6"/>
      <c r="BR51" s="8"/>
    </row>
    <row r="52">
      <c r="A52" s="6"/>
      <c r="B52" s="6" t="s">
        <v>52</v>
      </c>
      <c r="C52" s="3" t="str">
        <f t="shared" si="1"/>
        <v>_dotted salmon</v>
      </c>
      <c r="D52" s="3" t="str">
        <f t="shared" si="8"/>
        <v>#N/A</v>
      </c>
      <c r="E52" s="3" t="b">
        <f t="shared" si="2"/>
        <v>0</v>
      </c>
      <c r="G52" s="3" t="str">
        <f t="shared" si="3"/>
        <v>#N/A</v>
      </c>
      <c r="H52" s="3" t="b">
        <f t="shared" si="4"/>
        <v>0</v>
      </c>
      <c r="J52" s="3" t="str">
        <f t="shared" si="5"/>
        <v>#N/A</v>
      </c>
      <c r="K52" s="3" t="b">
        <f t="shared" si="6"/>
        <v>0</v>
      </c>
      <c r="M52" s="3" t="str">
        <f t="shared" si="7"/>
        <v>#N/A</v>
      </c>
      <c r="AU52" s="7"/>
      <c r="AV52" s="6"/>
      <c r="AW52" s="8"/>
      <c r="AX52" s="7"/>
      <c r="AY52" s="6"/>
      <c r="AZ52" s="8"/>
      <c r="BA52" s="7"/>
      <c r="BB52" s="6"/>
      <c r="BC52" s="8"/>
      <c r="BD52" s="7"/>
      <c r="BE52" s="6"/>
      <c r="BF52" s="8"/>
      <c r="BG52" s="7"/>
      <c r="BH52" s="6"/>
      <c r="BI52" s="8"/>
      <c r="BJ52" s="7"/>
      <c r="BK52" s="6"/>
      <c r="BL52" s="8"/>
      <c r="BM52" s="7"/>
      <c r="BN52" s="6"/>
      <c r="BO52" s="8"/>
      <c r="BP52" s="7"/>
      <c r="BQ52" s="6"/>
      <c r="BR52" s="8"/>
    </row>
    <row r="53">
      <c r="A53" s="6"/>
      <c r="B53" s="6" t="s">
        <v>53</v>
      </c>
      <c r="C53" s="3" t="str">
        <f t="shared" si="1"/>
        <v>_light gold</v>
      </c>
      <c r="D53" s="3" t="str">
        <f t="shared" si="8"/>
        <v>#N/A</v>
      </c>
      <c r="E53" s="3" t="b">
        <f t="shared" si="2"/>
        <v>0</v>
      </c>
      <c r="G53" s="3" t="str">
        <f t="shared" si="3"/>
        <v>#N/A</v>
      </c>
      <c r="H53" s="3" t="b">
        <f t="shared" si="4"/>
        <v>0</v>
      </c>
      <c r="J53" s="3" t="str">
        <f t="shared" si="5"/>
        <v>#N/A</v>
      </c>
      <c r="K53" s="3" t="b">
        <f t="shared" si="6"/>
        <v>0</v>
      </c>
      <c r="M53" s="3" t="str">
        <f t="shared" si="7"/>
        <v>#N/A</v>
      </c>
      <c r="AU53" s="7"/>
      <c r="AV53" s="6"/>
      <c r="AW53" s="8"/>
      <c r="AX53" s="7"/>
      <c r="AY53" s="6"/>
      <c r="AZ53" s="8"/>
      <c r="BA53" s="7"/>
      <c r="BB53" s="6"/>
      <c r="BC53" s="8"/>
      <c r="BD53" s="7"/>
      <c r="BE53" s="6"/>
      <c r="BF53" s="8"/>
      <c r="BG53" s="7"/>
      <c r="BH53" s="6"/>
      <c r="BI53" s="8"/>
      <c r="BJ53" s="7"/>
      <c r="BK53" s="6"/>
      <c r="BL53" s="8"/>
      <c r="BM53" s="7"/>
      <c r="BN53" s="6"/>
      <c r="BO53" s="8"/>
      <c r="BP53" s="7"/>
      <c r="BQ53" s="6"/>
      <c r="BR53" s="8"/>
    </row>
    <row r="54">
      <c r="A54" s="6"/>
      <c r="B54" s="6" t="s">
        <v>54</v>
      </c>
      <c r="C54" s="3" t="str">
        <f t="shared" si="1"/>
        <v>_faded cyan</v>
      </c>
      <c r="D54" s="3" t="str">
        <f t="shared" si="8"/>
        <v>#N/A</v>
      </c>
      <c r="E54" s="3" t="b">
        <f t="shared" si="2"/>
        <v>0</v>
      </c>
      <c r="G54" s="3" t="str">
        <f t="shared" si="3"/>
        <v>#N/A</v>
      </c>
      <c r="H54" s="3" t="b">
        <f t="shared" si="4"/>
        <v>0</v>
      </c>
      <c r="J54" s="3" t="str">
        <f t="shared" si="5"/>
        <v>#N/A</v>
      </c>
      <c r="K54" s="3" t="b">
        <f t="shared" si="6"/>
        <v>0</v>
      </c>
      <c r="M54" s="3" t="str">
        <f t="shared" si="7"/>
        <v>#N/A</v>
      </c>
      <c r="AU54" s="7"/>
      <c r="AV54" s="6"/>
      <c r="AW54" s="8"/>
      <c r="AX54" s="7"/>
      <c r="AY54" s="6"/>
      <c r="AZ54" s="8"/>
      <c r="BA54" s="7"/>
      <c r="BB54" s="6"/>
      <c r="BC54" s="8"/>
      <c r="BD54" s="7"/>
      <c r="BE54" s="6"/>
      <c r="BF54" s="8"/>
      <c r="BG54" s="7"/>
      <c r="BH54" s="6"/>
      <c r="BI54" s="8"/>
      <c r="BJ54" s="7"/>
      <c r="BK54" s="6"/>
      <c r="BL54" s="8"/>
      <c r="BM54" s="7"/>
      <c r="BN54" s="6"/>
      <c r="BO54" s="8"/>
      <c r="BP54" s="7"/>
      <c r="BQ54" s="6"/>
      <c r="BR54" s="8"/>
    </row>
    <row r="55">
      <c r="A55" s="6"/>
      <c r="B55" s="6" t="s">
        <v>55</v>
      </c>
      <c r="C55" s="3" t="str">
        <f t="shared" si="1"/>
        <v>_drab cyan</v>
      </c>
      <c r="D55" s="3" t="str">
        <f t="shared" si="8"/>
        <v>#N/A</v>
      </c>
      <c r="E55" s="3" t="b">
        <f t="shared" si="2"/>
        <v>0</v>
      </c>
      <c r="G55" s="3" t="str">
        <f t="shared" si="3"/>
        <v>#N/A</v>
      </c>
      <c r="H55" s="3" t="b">
        <f t="shared" si="4"/>
        <v>0</v>
      </c>
      <c r="J55" s="3" t="str">
        <f t="shared" si="5"/>
        <v>#N/A</v>
      </c>
      <c r="K55" s="3" t="b">
        <f t="shared" si="6"/>
        <v>0</v>
      </c>
      <c r="M55" s="3" t="str">
        <f t="shared" si="7"/>
        <v>#N/A</v>
      </c>
      <c r="AU55" s="7"/>
      <c r="AV55" s="6"/>
      <c r="AW55" s="8"/>
      <c r="AX55" s="7"/>
      <c r="AY55" s="6"/>
      <c r="AZ55" s="8"/>
      <c r="BA55" s="7"/>
      <c r="BB55" s="6"/>
      <c r="BC55" s="8"/>
      <c r="BD55" s="7"/>
      <c r="BE55" s="6"/>
      <c r="BF55" s="8"/>
      <c r="BG55" s="7"/>
      <c r="BH55" s="6"/>
      <c r="BI55" s="8"/>
      <c r="BJ55" s="7"/>
      <c r="BK55" s="6"/>
      <c r="BL55" s="8"/>
      <c r="BM55" s="7"/>
      <c r="BN55" s="6"/>
      <c r="BO55" s="8"/>
      <c r="BP55" s="7"/>
      <c r="BQ55" s="6"/>
      <c r="BR55" s="8"/>
    </row>
    <row r="56">
      <c r="A56" s="6"/>
      <c r="B56" s="6" t="s">
        <v>56</v>
      </c>
      <c r="C56" s="3" t="str">
        <f t="shared" si="1"/>
        <v>_dotted black</v>
      </c>
      <c r="D56" s="3" t="str">
        <f t="shared" si="8"/>
        <v>#N/A</v>
      </c>
      <c r="E56" s="3" t="b">
        <f t="shared" si="2"/>
        <v>0</v>
      </c>
      <c r="G56" s="3" t="str">
        <f t="shared" si="3"/>
        <v>#N/A</v>
      </c>
      <c r="H56" s="3" t="b">
        <f t="shared" si="4"/>
        <v>0</v>
      </c>
      <c r="J56" s="3" t="str">
        <f t="shared" si="5"/>
        <v>#N/A</v>
      </c>
      <c r="K56" s="3" t="b">
        <f t="shared" si="6"/>
        <v>0</v>
      </c>
      <c r="M56" s="3" t="str">
        <f t="shared" si="7"/>
        <v>#N/A</v>
      </c>
      <c r="AU56" s="7"/>
      <c r="AV56" s="6"/>
      <c r="AW56" s="8"/>
      <c r="AX56" s="7"/>
      <c r="AY56" s="6"/>
      <c r="AZ56" s="8"/>
      <c r="BA56" s="7"/>
      <c r="BB56" s="6"/>
      <c r="BC56" s="8"/>
      <c r="BD56" s="7"/>
      <c r="BE56" s="6"/>
      <c r="BF56" s="8"/>
      <c r="BG56" s="7"/>
      <c r="BH56" s="6"/>
      <c r="BI56" s="8"/>
      <c r="BJ56" s="7"/>
      <c r="BK56" s="6"/>
      <c r="BL56" s="8"/>
      <c r="BM56" s="7"/>
      <c r="BN56" s="6"/>
      <c r="BO56" s="8"/>
      <c r="BP56" s="7"/>
      <c r="BQ56" s="6"/>
      <c r="BR56" s="8"/>
    </row>
    <row r="57">
      <c r="A57" s="6"/>
      <c r="B57" s="6" t="s">
        <v>57</v>
      </c>
      <c r="C57" s="3" t="str">
        <f t="shared" si="1"/>
        <v>_faded purple</v>
      </c>
      <c r="D57" s="3" t="str">
        <f t="shared" si="8"/>
        <v>#N/A</v>
      </c>
      <c r="E57" s="3" t="b">
        <f t="shared" si="2"/>
        <v>0</v>
      </c>
      <c r="G57" s="3" t="str">
        <f t="shared" si="3"/>
        <v>#N/A</v>
      </c>
      <c r="H57" s="3" t="b">
        <f t="shared" si="4"/>
        <v>0</v>
      </c>
      <c r="J57" s="3" t="str">
        <f t="shared" si="5"/>
        <v>#N/A</v>
      </c>
      <c r="K57" s="3" t="b">
        <f t="shared" si="6"/>
        <v>0</v>
      </c>
      <c r="M57" s="3" t="str">
        <f t="shared" si="7"/>
        <v>#N/A</v>
      </c>
      <c r="AU57" s="7"/>
      <c r="AV57" s="6"/>
      <c r="AW57" s="8"/>
      <c r="AX57" s="7"/>
      <c r="AY57" s="6"/>
      <c r="AZ57" s="8"/>
      <c r="BA57" s="7"/>
      <c r="BB57" s="6"/>
      <c r="BC57" s="8"/>
      <c r="BD57" s="7"/>
      <c r="BE57" s="6"/>
      <c r="BF57" s="8"/>
      <c r="BG57" s="7"/>
      <c r="BH57" s="6"/>
      <c r="BI57" s="8"/>
      <c r="BJ57" s="7"/>
      <c r="BK57" s="6"/>
      <c r="BL57" s="8"/>
      <c r="BM57" s="7"/>
      <c r="BN57" s="6"/>
      <c r="BO57" s="8"/>
      <c r="BP57" s="7"/>
      <c r="BQ57" s="6"/>
      <c r="BR57" s="8"/>
    </row>
    <row r="58">
      <c r="A58" s="6"/>
      <c r="B58" s="6" t="s">
        <v>58</v>
      </c>
      <c r="C58" s="3" t="str">
        <f t="shared" si="1"/>
        <v>_dim violet</v>
      </c>
      <c r="D58" s="3" t="str">
        <f t="shared" si="8"/>
        <v>#N/A</v>
      </c>
      <c r="E58" s="3" t="b">
        <f t="shared" si="2"/>
        <v>0</v>
      </c>
      <c r="G58" s="3" t="str">
        <f t="shared" si="3"/>
        <v>#N/A</v>
      </c>
      <c r="H58" s="3" t="b">
        <f t="shared" si="4"/>
        <v>0</v>
      </c>
      <c r="J58" s="3" t="str">
        <f t="shared" si="5"/>
        <v>#N/A</v>
      </c>
      <c r="K58" s="3" t="b">
        <f t="shared" si="6"/>
        <v>0</v>
      </c>
      <c r="M58" s="3" t="str">
        <f t="shared" si="7"/>
        <v>#N/A</v>
      </c>
      <c r="AU58" s="7"/>
      <c r="AV58" s="6"/>
      <c r="AW58" s="8"/>
      <c r="AX58" s="7"/>
      <c r="AY58" s="6"/>
      <c r="AZ58" s="8"/>
      <c r="BA58" s="7"/>
      <c r="BB58" s="6"/>
      <c r="BC58" s="8"/>
      <c r="BD58" s="7"/>
      <c r="BE58" s="6"/>
      <c r="BF58" s="8"/>
      <c r="BG58" s="7"/>
      <c r="BH58" s="6"/>
      <c r="BI58" s="8"/>
      <c r="BJ58" s="7"/>
      <c r="BK58" s="6"/>
      <c r="BL58" s="8"/>
      <c r="BM58" s="7"/>
      <c r="BN58" s="6"/>
      <c r="BO58" s="8"/>
      <c r="BP58" s="7"/>
      <c r="BQ58" s="6"/>
      <c r="BR58" s="8"/>
    </row>
    <row r="59">
      <c r="A59" s="6"/>
      <c r="B59" s="6" t="s">
        <v>59</v>
      </c>
      <c r="C59" s="3" t="str">
        <f t="shared" si="1"/>
        <v>_wavy gray</v>
      </c>
      <c r="D59" s="3" t="str">
        <f t="shared" si="8"/>
        <v>#N/A</v>
      </c>
      <c r="E59" s="3" t="b">
        <f t="shared" si="2"/>
        <v>0</v>
      </c>
      <c r="G59" s="3" t="str">
        <f t="shared" si="3"/>
        <v>#N/A</v>
      </c>
      <c r="H59" s="3" t="b">
        <f t="shared" si="4"/>
        <v>0</v>
      </c>
      <c r="J59" s="3" t="str">
        <f t="shared" si="5"/>
        <v>#N/A</v>
      </c>
      <c r="K59" s="3" t="b">
        <f t="shared" si="6"/>
        <v>0</v>
      </c>
      <c r="M59" s="3" t="str">
        <f t="shared" si="7"/>
        <v>#N/A</v>
      </c>
      <c r="AU59" s="7"/>
      <c r="AV59" s="6"/>
      <c r="AW59" s="8"/>
      <c r="AX59" s="7"/>
      <c r="AY59" s="6"/>
      <c r="AZ59" s="8"/>
      <c r="BA59" s="7"/>
      <c r="BB59" s="6"/>
      <c r="BC59" s="8"/>
      <c r="BD59" s="7"/>
      <c r="BE59" s="6"/>
      <c r="BF59" s="8"/>
      <c r="BG59" s="7"/>
      <c r="BH59" s="6"/>
      <c r="BI59" s="8"/>
      <c r="BJ59" s="7"/>
      <c r="BK59" s="6"/>
      <c r="BL59" s="8"/>
      <c r="BM59" s="7"/>
      <c r="BN59" s="6"/>
      <c r="BO59" s="8"/>
      <c r="BP59" s="7"/>
      <c r="BQ59" s="6"/>
      <c r="BR59" s="8"/>
    </row>
    <row r="60">
      <c r="A60" s="6"/>
      <c r="B60" s="6" t="s">
        <v>60</v>
      </c>
      <c r="C60" s="3" t="str">
        <f t="shared" si="1"/>
        <v>_posh tan</v>
      </c>
      <c r="D60" s="3" t="str">
        <f t="shared" si="8"/>
        <v>#N/A</v>
      </c>
      <c r="E60" s="3" t="b">
        <f t="shared" si="2"/>
        <v>0</v>
      </c>
      <c r="G60" s="3" t="str">
        <f t="shared" si="3"/>
        <v>#N/A</v>
      </c>
      <c r="H60" s="3" t="b">
        <f t="shared" si="4"/>
        <v>0</v>
      </c>
      <c r="J60" s="3" t="str">
        <f t="shared" si="5"/>
        <v>#N/A</v>
      </c>
      <c r="K60" s="3" t="b">
        <f t="shared" si="6"/>
        <v>0</v>
      </c>
      <c r="M60" s="3" t="str">
        <f t="shared" si="7"/>
        <v>#N/A</v>
      </c>
      <c r="AU60" s="7"/>
      <c r="AV60" s="6"/>
      <c r="AW60" s="8"/>
      <c r="AX60" s="7"/>
      <c r="AY60" s="6"/>
      <c r="AZ60" s="8"/>
      <c r="BA60" s="7"/>
      <c r="BB60" s="6"/>
      <c r="BC60" s="8"/>
      <c r="BD60" s="7"/>
      <c r="BE60" s="6"/>
      <c r="BF60" s="8"/>
      <c r="BG60" s="7"/>
      <c r="BH60" s="6"/>
      <c r="BI60" s="8"/>
      <c r="BJ60" s="7"/>
      <c r="BK60" s="6"/>
      <c r="BL60" s="8"/>
      <c r="BM60" s="7"/>
      <c r="BN60" s="6"/>
      <c r="BO60" s="8"/>
      <c r="BP60" s="7"/>
      <c r="BQ60" s="6"/>
      <c r="BR60" s="8"/>
    </row>
    <row r="61">
      <c r="A61" s="6"/>
      <c r="B61" s="6" t="s">
        <v>61</v>
      </c>
      <c r="C61" s="3" t="str">
        <f t="shared" si="1"/>
        <v>_mirrored magenta</v>
      </c>
      <c r="D61" s="3" t="str">
        <f t="shared" si="8"/>
        <v>#N/A</v>
      </c>
      <c r="E61" s="3" t="b">
        <f t="shared" si="2"/>
        <v>0</v>
      </c>
      <c r="G61" s="3" t="str">
        <f t="shared" si="3"/>
        <v>#N/A</v>
      </c>
      <c r="H61" s="3" t="b">
        <f t="shared" si="4"/>
        <v>0</v>
      </c>
      <c r="J61" s="3" t="str">
        <f t="shared" si="5"/>
        <v>#N/A</v>
      </c>
      <c r="K61" s="3" t="b">
        <f t="shared" si="6"/>
        <v>0</v>
      </c>
      <c r="M61" s="3" t="str">
        <f t="shared" si="7"/>
        <v>#N/A</v>
      </c>
      <c r="AU61" s="7"/>
      <c r="AV61" s="6"/>
      <c r="AW61" s="8"/>
      <c r="AX61" s="7"/>
      <c r="AY61" s="6"/>
      <c r="AZ61" s="8"/>
      <c r="BA61" s="7"/>
      <c r="BB61" s="6"/>
      <c r="BC61" s="8"/>
      <c r="BD61" s="7"/>
      <c r="BE61" s="6"/>
      <c r="BF61" s="8"/>
      <c r="BG61" s="7"/>
      <c r="BH61" s="6"/>
      <c r="BI61" s="8"/>
      <c r="BJ61" s="7"/>
      <c r="BK61" s="6"/>
      <c r="BL61" s="8"/>
      <c r="BM61" s="7"/>
      <c r="BN61" s="6"/>
      <c r="BO61" s="8"/>
      <c r="BP61" s="7"/>
      <c r="BQ61" s="6"/>
      <c r="BR61" s="8"/>
    </row>
    <row r="62">
      <c r="A62" s="6"/>
      <c r="B62" s="6" t="s">
        <v>62</v>
      </c>
      <c r="C62" s="3" t="str">
        <f t="shared" si="1"/>
        <v>_plaid brown</v>
      </c>
      <c r="D62" s="3" t="str">
        <f t="shared" si="8"/>
        <v>#N/A</v>
      </c>
      <c r="E62" s="3" t="b">
        <f t="shared" si="2"/>
        <v>0</v>
      </c>
      <c r="G62" s="3" t="str">
        <f t="shared" si="3"/>
        <v>#N/A</v>
      </c>
      <c r="H62" s="3" t="b">
        <f t="shared" si="4"/>
        <v>0</v>
      </c>
      <c r="J62" s="3" t="str">
        <f t="shared" si="5"/>
        <v>#N/A</v>
      </c>
      <c r="K62" s="3" t="b">
        <f t="shared" si="6"/>
        <v>0</v>
      </c>
      <c r="M62" s="3" t="str">
        <f t="shared" si="7"/>
        <v>#N/A</v>
      </c>
      <c r="AU62" s="7"/>
      <c r="AV62" s="6"/>
      <c r="AW62" s="8"/>
      <c r="AX62" s="7"/>
      <c r="AY62" s="6"/>
      <c r="AZ62" s="8"/>
      <c r="BA62" s="7"/>
      <c r="BB62" s="6"/>
      <c r="BC62" s="8"/>
      <c r="BD62" s="7"/>
      <c r="BE62" s="6"/>
      <c r="BF62" s="8"/>
      <c r="BG62" s="7"/>
      <c r="BH62" s="6"/>
      <c r="BI62" s="8"/>
      <c r="BJ62" s="7"/>
      <c r="BK62" s="6"/>
      <c r="BL62" s="8"/>
      <c r="BM62" s="7"/>
      <c r="BN62" s="6"/>
      <c r="BO62" s="8"/>
      <c r="BP62" s="7"/>
      <c r="BQ62" s="6"/>
      <c r="BR62" s="8"/>
    </row>
    <row r="63">
      <c r="A63" s="6"/>
      <c r="B63" s="6" t="s">
        <v>63</v>
      </c>
      <c r="C63" s="3" t="str">
        <f t="shared" si="1"/>
        <v>_drab orange</v>
      </c>
      <c r="D63" s="3" t="str">
        <f t="shared" si="8"/>
        <v>#N/A</v>
      </c>
      <c r="E63" s="3" t="b">
        <f t="shared" si="2"/>
        <v>0</v>
      </c>
      <c r="G63" s="3" t="str">
        <f t="shared" si="3"/>
        <v>#N/A</v>
      </c>
      <c r="H63" s="3" t="b">
        <f t="shared" si="4"/>
        <v>0</v>
      </c>
      <c r="J63" s="3" t="str">
        <f t="shared" si="5"/>
        <v>#N/A</v>
      </c>
      <c r="K63" s="3" t="b">
        <f t="shared" si="6"/>
        <v>0</v>
      </c>
      <c r="M63" s="3" t="str">
        <f t="shared" si="7"/>
        <v>#N/A</v>
      </c>
      <c r="AU63" s="7"/>
      <c r="AV63" s="6"/>
      <c r="AW63" s="8"/>
      <c r="AX63" s="7"/>
      <c r="AY63" s="6"/>
      <c r="AZ63" s="8"/>
      <c r="BA63" s="7"/>
      <c r="BB63" s="6"/>
      <c r="BC63" s="8"/>
      <c r="BD63" s="7"/>
      <c r="BE63" s="6"/>
      <c r="BF63" s="8"/>
      <c r="BG63" s="7"/>
      <c r="BH63" s="6"/>
      <c r="BI63" s="8"/>
      <c r="BJ63" s="7"/>
      <c r="BK63" s="6"/>
      <c r="BL63" s="8"/>
      <c r="BM63" s="7"/>
      <c r="BN63" s="6"/>
      <c r="BO63" s="8"/>
      <c r="BP63" s="7"/>
      <c r="BQ63" s="6"/>
      <c r="BR63" s="8"/>
    </row>
    <row r="64">
      <c r="A64" s="6"/>
      <c r="B64" s="6" t="s">
        <v>64</v>
      </c>
      <c r="C64" s="3" t="str">
        <f t="shared" si="1"/>
        <v>_dim green</v>
      </c>
      <c r="D64" s="3" t="str">
        <f t="shared" si="8"/>
        <v>#N/A</v>
      </c>
      <c r="E64" s="3" t="b">
        <f t="shared" si="2"/>
        <v>0</v>
      </c>
      <c r="G64" s="3" t="str">
        <f t="shared" si="3"/>
        <v>#N/A</v>
      </c>
      <c r="H64" s="3" t="b">
        <f t="shared" si="4"/>
        <v>0</v>
      </c>
      <c r="J64" s="3" t="str">
        <f t="shared" si="5"/>
        <v>#N/A</v>
      </c>
      <c r="K64" s="3" t="b">
        <f t="shared" si="6"/>
        <v>0</v>
      </c>
      <c r="M64" s="3" t="str">
        <f t="shared" si="7"/>
        <v>#N/A</v>
      </c>
      <c r="AU64" s="7"/>
      <c r="AV64" s="6"/>
      <c r="AW64" s="8"/>
      <c r="AX64" s="7"/>
      <c r="AY64" s="6"/>
      <c r="AZ64" s="8"/>
      <c r="BA64" s="7"/>
      <c r="BB64" s="6"/>
      <c r="BC64" s="8"/>
      <c r="BD64" s="7"/>
      <c r="BE64" s="6"/>
      <c r="BF64" s="8"/>
      <c r="BG64" s="7"/>
      <c r="BH64" s="6"/>
      <c r="BI64" s="8"/>
      <c r="BJ64" s="7"/>
      <c r="BK64" s="6"/>
      <c r="BL64" s="8"/>
      <c r="BM64" s="7"/>
      <c r="BN64" s="6"/>
      <c r="BO64" s="8"/>
      <c r="BP64" s="7"/>
      <c r="BQ64" s="6"/>
      <c r="BR64" s="8"/>
    </row>
    <row r="65">
      <c r="A65" s="6"/>
      <c r="B65" s="6" t="s">
        <v>65</v>
      </c>
      <c r="C65" s="3" t="str">
        <f t="shared" si="1"/>
        <v>_faded teal</v>
      </c>
      <c r="D65" s="3" t="str">
        <f t="shared" si="8"/>
        <v>#N/A</v>
      </c>
      <c r="E65" s="3" t="b">
        <f t="shared" si="2"/>
        <v>0</v>
      </c>
      <c r="G65" s="3" t="str">
        <f t="shared" si="3"/>
        <v>#N/A</v>
      </c>
      <c r="H65" s="3" t="b">
        <f t="shared" si="4"/>
        <v>0</v>
      </c>
      <c r="J65" s="3" t="str">
        <f t="shared" si="5"/>
        <v>#N/A</v>
      </c>
      <c r="K65" s="3" t="b">
        <f t="shared" si="6"/>
        <v>0</v>
      </c>
      <c r="M65" s="3" t="str">
        <f t="shared" si="7"/>
        <v>#N/A</v>
      </c>
      <c r="AU65" s="7"/>
      <c r="AV65" s="6"/>
      <c r="AW65" s="8"/>
      <c r="AX65" s="7"/>
      <c r="AY65" s="6"/>
      <c r="AZ65" s="8"/>
      <c r="BA65" s="7"/>
      <c r="BB65" s="6"/>
      <c r="BC65" s="8"/>
      <c r="BD65" s="7"/>
      <c r="BE65" s="6"/>
      <c r="BF65" s="8"/>
      <c r="BG65" s="7"/>
      <c r="BH65" s="6"/>
      <c r="BI65" s="8"/>
      <c r="BJ65" s="7"/>
      <c r="BK65" s="6"/>
      <c r="BL65" s="8"/>
      <c r="BM65" s="7"/>
      <c r="BN65" s="6"/>
      <c r="BO65" s="8"/>
      <c r="BP65" s="7"/>
      <c r="BQ65" s="6"/>
      <c r="BR65" s="8"/>
    </row>
    <row r="66">
      <c r="A66" s="6"/>
      <c r="B66" s="6" t="s">
        <v>66</v>
      </c>
      <c r="C66" s="3" t="str">
        <f t="shared" si="1"/>
        <v>_dim gray</v>
      </c>
      <c r="D66" s="3" t="str">
        <f t="shared" si="8"/>
        <v>#N/A</v>
      </c>
      <c r="E66" s="3" t="b">
        <f t="shared" si="2"/>
        <v>0</v>
      </c>
      <c r="G66" s="3" t="str">
        <f t="shared" si="3"/>
        <v>#N/A</v>
      </c>
      <c r="H66" s="3" t="b">
        <f t="shared" si="4"/>
        <v>0</v>
      </c>
      <c r="J66" s="3" t="str">
        <f t="shared" si="5"/>
        <v>#N/A</v>
      </c>
      <c r="K66" s="3" t="b">
        <f t="shared" si="6"/>
        <v>0</v>
      </c>
      <c r="M66" s="3" t="str">
        <f t="shared" si="7"/>
        <v>#N/A</v>
      </c>
      <c r="AU66" s="7"/>
      <c r="AV66" s="6"/>
      <c r="AW66" s="8"/>
      <c r="AX66" s="7"/>
      <c r="AY66" s="6"/>
      <c r="AZ66" s="8"/>
      <c r="BA66" s="7"/>
      <c r="BB66" s="6"/>
      <c r="BC66" s="8"/>
      <c r="BD66" s="7"/>
      <c r="BE66" s="6"/>
      <c r="BF66" s="8"/>
      <c r="BG66" s="7"/>
      <c r="BH66" s="6"/>
      <c r="BI66" s="8"/>
      <c r="BJ66" s="7"/>
      <c r="BK66" s="6"/>
      <c r="BL66" s="8"/>
      <c r="BM66" s="7"/>
      <c r="BN66" s="6"/>
      <c r="BO66" s="8"/>
      <c r="BP66" s="7"/>
      <c r="BQ66" s="6"/>
      <c r="BR66" s="8"/>
    </row>
    <row r="67">
      <c r="A67" s="6"/>
      <c r="B67" s="6" t="s">
        <v>67</v>
      </c>
      <c r="C67" s="3" t="str">
        <f t="shared" si="1"/>
        <v>_light crimson</v>
      </c>
      <c r="D67" s="3" t="str">
        <f t="shared" si="8"/>
        <v>#N/A</v>
      </c>
      <c r="E67" s="3" t="b">
        <f t="shared" si="2"/>
        <v>0</v>
      </c>
      <c r="G67" s="3" t="str">
        <f t="shared" si="3"/>
        <v>#N/A</v>
      </c>
      <c r="H67" s="3" t="b">
        <f t="shared" si="4"/>
        <v>0</v>
      </c>
      <c r="J67" s="3" t="str">
        <f t="shared" si="5"/>
        <v>#N/A</v>
      </c>
      <c r="K67" s="3" t="b">
        <f t="shared" si="6"/>
        <v>0</v>
      </c>
      <c r="M67" s="3" t="str">
        <f t="shared" si="7"/>
        <v>#N/A</v>
      </c>
      <c r="AU67" s="7"/>
      <c r="AV67" s="6"/>
      <c r="AW67" s="8"/>
      <c r="AX67" s="7"/>
      <c r="AY67" s="6"/>
      <c r="AZ67" s="8"/>
      <c r="BA67" s="7"/>
      <c r="BB67" s="6"/>
      <c r="BC67" s="8"/>
      <c r="BD67" s="7"/>
      <c r="BE67" s="6"/>
      <c r="BF67" s="8"/>
      <c r="BG67" s="7"/>
      <c r="BH67" s="6"/>
      <c r="BI67" s="8"/>
      <c r="BJ67" s="7"/>
      <c r="BK67" s="6"/>
      <c r="BL67" s="8"/>
      <c r="BM67" s="7"/>
      <c r="BN67" s="6"/>
      <c r="BO67" s="8"/>
      <c r="BP67" s="7"/>
      <c r="BQ67" s="6"/>
      <c r="BR67" s="8"/>
    </row>
    <row r="68">
      <c r="A68" s="6"/>
      <c r="B68" s="6" t="s">
        <v>68</v>
      </c>
      <c r="C68" s="3" t="str">
        <f t="shared" si="1"/>
        <v>_clear white</v>
      </c>
      <c r="D68" s="3" t="str">
        <f t="shared" si="8"/>
        <v>#N/A</v>
      </c>
      <c r="E68" s="3" t="b">
        <f t="shared" si="2"/>
        <v>0</v>
      </c>
      <c r="G68" s="3" t="str">
        <f t="shared" si="3"/>
        <v>#N/A</v>
      </c>
      <c r="H68" s="3" t="b">
        <f t="shared" si="4"/>
        <v>0</v>
      </c>
      <c r="J68" s="3" t="str">
        <f t="shared" si="5"/>
        <v>#N/A</v>
      </c>
      <c r="K68" s="3" t="b">
        <f t="shared" si="6"/>
        <v>0</v>
      </c>
      <c r="M68" s="3" t="str">
        <f t="shared" si="7"/>
        <v>#N/A</v>
      </c>
      <c r="AU68" s="7"/>
      <c r="AV68" s="6"/>
      <c r="AW68" s="8"/>
      <c r="AX68" s="7"/>
      <c r="AY68" s="6"/>
      <c r="AZ68" s="8"/>
      <c r="BA68" s="7"/>
      <c r="BB68" s="6"/>
      <c r="BC68" s="8"/>
      <c r="BD68" s="7"/>
      <c r="BE68" s="6"/>
      <c r="BF68" s="8"/>
      <c r="BG68" s="7"/>
      <c r="BH68" s="6"/>
      <c r="BI68" s="8"/>
      <c r="BJ68" s="7"/>
      <c r="BK68" s="6"/>
      <c r="BL68" s="8"/>
      <c r="BM68" s="7"/>
      <c r="BN68" s="6"/>
      <c r="BO68" s="8"/>
      <c r="BP68" s="7"/>
      <c r="BQ68" s="6"/>
      <c r="BR68" s="8"/>
    </row>
    <row r="69">
      <c r="A69" s="6"/>
      <c r="B69" s="6" t="s">
        <v>69</v>
      </c>
      <c r="C69" s="3" t="str">
        <f t="shared" si="1"/>
        <v>_drab magenta</v>
      </c>
      <c r="D69" s="3" t="str">
        <f t="shared" si="8"/>
        <v>#N/A</v>
      </c>
      <c r="E69" s="3" t="b">
        <f t="shared" si="2"/>
        <v>0</v>
      </c>
      <c r="G69" s="3" t="str">
        <f t="shared" si="3"/>
        <v>#N/A</v>
      </c>
      <c r="H69" s="3" t="b">
        <f t="shared" si="4"/>
        <v>0</v>
      </c>
      <c r="J69" s="3" t="str">
        <f t="shared" si="5"/>
        <v>#N/A</v>
      </c>
      <c r="K69" s="3" t="b">
        <f t="shared" si="6"/>
        <v>0</v>
      </c>
      <c r="M69" s="3" t="str">
        <f t="shared" si="7"/>
        <v>#N/A</v>
      </c>
      <c r="AU69" s="7"/>
      <c r="AV69" s="6"/>
      <c r="AW69" s="8"/>
      <c r="AX69" s="7"/>
      <c r="AY69" s="6"/>
      <c r="AZ69" s="8"/>
      <c r="BA69" s="7"/>
      <c r="BB69" s="6"/>
      <c r="BC69" s="8"/>
      <c r="BD69" s="7"/>
      <c r="BE69" s="6"/>
      <c r="BF69" s="8"/>
      <c r="BG69" s="7"/>
      <c r="BH69" s="6"/>
      <c r="BI69" s="8"/>
      <c r="BJ69" s="7"/>
      <c r="BK69" s="6"/>
      <c r="BL69" s="8"/>
      <c r="BM69" s="7"/>
      <c r="BN69" s="6"/>
      <c r="BO69" s="8"/>
      <c r="BP69" s="7"/>
      <c r="BQ69" s="6"/>
      <c r="BR69" s="8"/>
    </row>
    <row r="70">
      <c r="A70" s="6"/>
      <c r="B70" s="6" t="s">
        <v>70</v>
      </c>
      <c r="C70" s="3" t="str">
        <f t="shared" si="1"/>
        <v>_plaid silver</v>
      </c>
      <c r="D70" s="3" t="str">
        <f t="shared" si="8"/>
        <v>#N/A</v>
      </c>
      <c r="E70" s="3" t="b">
        <f t="shared" si="2"/>
        <v>0</v>
      </c>
      <c r="G70" s="3" t="str">
        <f t="shared" si="3"/>
        <v>#N/A</v>
      </c>
      <c r="H70" s="3" t="b">
        <f t="shared" si="4"/>
        <v>0</v>
      </c>
      <c r="J70" s="3" t="str">
        <f t="shared" si="5"/>
        <v>#N/A</v>
      </c>
      <c r="K70" s="3" t="b">
        <f t="shared" si="6"/>
        <v>0</v>
      </c>
      <c r="M70" s="3" t="str">
        <f t="shared" si="7"/>
        <v>#N/A</v>
      </c>
      <c r="AU70" s="7"/>
      <c r="AV70" s="6"/>
      <c r="AW70" s="8"/>
      <c r="AX70" s="7"/>
      <c r="AY70" s="6"/>
      <c r="AZ70" s="8"/>
      <c r="BA70" s="7"/>
      <c r="BB70" s="6"/>
      <c r="BC70" s="8"/>
      <c r="BD70" s="7"/>
      <c r="BE70" s="6"/>
      <c r="BF70" s="8"/>
      <c r="BG70" s="7"/>
      <c r="BH70" s="6"/>
      <c r="BI70" s="8"/>
      <c r="BJ70" s="7"/>
      <c r="BK70" s="6"/>
      <c r="BL70" s="8"/>
      <c r="BM70" s="7"/>
      <c r="BN70" s="6"/>
      <c r="BO70" s="8"/>
      <c r="BP70" s="7"/>
      <c r="BQ70" s="6"/>
      <c r="BR70" s="8"/>
    </row>
    <row r="71">
      <c r="A71" s="6"/>
      <c r="B71" s="6" t="s">
        <v>71</v>
      </c>
      <c r="C71" s="3" t="str">
        <f t="shared" si="1"/>
        <v>_bright bronze</v>
      </c>
      <c r="D71" s="3" t="str">
        <f t="shared" si="8"/>
        <v>#N/A</v>
      </c>
      <c r="E71" s="3" t="b">
        <f t="shared" si="2"/>
        <v>0</v>
      </c>
      <c r="G71" s="3" t="str">
        <f t="shared" si="3"/>
        <v>#N/A</v>
      </c>
      <c r="H71" s="3" t="b">
        <f t="shared" si="4"/>
        <v>0</v>
      </c>
      <c r="J71" s="3" t="str">
        <f t="shared" si="5"/>
        <v>#N/A</v>
      </c>
      <c r="K71" s="3" t="b">
        <f t="shared" si="6"/>
        <v>0</v>
      </c>
      <c r="M71" s="3" t="str">
        <f t="shared" si="7"/>
        <v>#N/A</v>
      </c>
      <c r="AU71" s="7"/>
      <c r="AV71" s="6"/>
      <c r="AW71" s="8"/>
      <c r="AX71" s="7"/>
      <c r="AY71" s="6"/>
      <c r="AZ71" s="8"/>
      <c r="BA71" s="7"/>
      <c r="BB71" s="6"/>
      <c r="BC71" s="8"/>
      <c r="BD71" s="7"/>
      <c r="BE71" s="6"/>
      <c r="BF71" s="8"/>
      <c r="BG71" s="7"/>
      <c r="BH71" s="6"/>
      <c r="BI71" s="8"/>
      <c r="BJ71" s="7"/>
      <c r="BK71" s="6"/>
      <c r="BL71" s="8"/>
      <c r="BM71" s="7"/>
      <c r="BN71" s="6"/>
      <c r="BO71" s="8"/>
      <c r="BP71" s="7"/>
      <c r="BQ71" s="6"/>
      <c r="BR71" s="8"/>
    </row>
    <row r="72">
      <c r="A72" s="6"/>
      <c r="B72" s="6" t="s">
        <v>72</v>
      </c>
      <c r="C72" s="3" t="str">
        <f t="shared" si="1"/>
        <v>_drab maroon</v>
      </c>
      <c r="D72" s="3" t="str">
        <f t="shared" si="8"/>
        <v>#N/A</v>
      </c>
      <c r="E72" s="3" t="b">
        <f t="shared" si="2"/>
        <v>0</v>
      </c>
      <c r="G72" s="3" t="str">
        <f t="shared" si="3"/>
        <v>#N/A</v>
      </c>
      <c r="H72" s="3" t="b">
        <f t="shared" si="4"/>
        <v>0</v>
      </c>
      <c r="J72" s="3" t="str">
        <f t="shared" si="5"/>
        <v>#N/A</v>
      </c>
      <c r="K72" s="3" t="b">
        <f t="shared" si="6"/>
        <v>0</v>
      </c>
      <c r="M72" s="3" t="str">
        <f t="shared" si="7"/>
        <v>#N/A</v>
      </c>
      <c r="AU72" s="7"/>
      <c r="AV72" s="6"/>
      <c r="AW72" s="8"/>
      <c r="AX72" s="7"/>
      <c r="AY72" s="6"/>
      <c r="AZ72" s="8"/>
      <c r="BA72" s="7"/>
      <c r="BB72" s="6"/>
      <c r="BC72" s="8"/>
      <c r="BD72" s="7"/>
      <c r="BE72" s="6"/>
      <c r="BF72" s="8"/>
      <c r="BG72" s="7"/>
      <c r="BH72" s="6"/>
      <c r="BI72" s="8"/>
      <c r="BJ72" s="7"/>
      <c r="BK72" s="6"/>
      <c r="BL72" s="8"/>
      <c r="BM72" s="7"/>
      <c r="BN72" s="6"/>
      <c r="BO72" s="8"/>
      <c r="BP72" s="7"/>
      <c r="BQ72" s="6"/>
      <c r="BR72" s="8"/>
    </row>
    <row r="73">
      <c r="A73" s="6"/>
      <c r="B73" s="6" t="s">
        <v>73</v>
      </c>
      <c r="C73" s="3" t="str">
        <f t="shared" si="1"/>
        <v>_dark fuchsia</v>
      </c>
      <c r="D73" s="3" t="str">
        <f t="shared" si="8"/>
        <v>#N/A</v>
      </c>
      <c r="E73" s="3" t="b">
        <f t="shared" si="2"/>
        <v>0</v>
      </c>
      <c r="G73" s="3" t="str">
        <f t="shared" si="3"/>
        <v>#N/A</v>
      </c>
      <c r="H73" s="3" t="b">
        <f t="shared" si="4"/>
        <v>0</v>
      </c>
      <c r="J73" s="3" t="str">
        <f t="shared" si="5"/>
        <v>#N/A</v>
      </c>
      <c r="K73" s="3" t="b">
        <f t="shared" si="6"/>
        <v>0</v>
      </c>
      <c r="M73" s="3" t="str">
        <f t="shared" si="7"/>
        <v>#N/A</v>
      </c>
      <c r="AU73" s="7"/>
      <c r="AV73" s="6"/>
      <c r="AW73" s="8"/>
      <c r="AX73" s="7"/>
      <c r="AY73" s="6"/>
      <c r="AZ73" s="8"/>
      <c r="BA73" s="7"/>
      <c r="BB73" s="6"/>
      <c r="BC73" s="8"/>
      <c r="BD73" s="7"/>
      <c r="BE73" s="6"/>
      <c r="BF73" s="8"/>
      <c r="BG73" s="7"/>
      <c r="BH73" s="6"/>
      <c r="BI73" s="8"/>
      <c r="BJ73" s="7"/>
      <c r="BK73" s="6"/>
      <c r="BL73" s="8"/>
      <c r="BM73" s="7"/>
      <c r="BN73" s="6"/>
      <c r="BO73" s="8"/>
      <c r="BP73" s="7"/>
      <c r="BQ73" s="6"/>
      <c r="BR73" s="8"/>
    </row>
    <row r="74">
      <c r="A74" s="6"/>
      <c r="B74" s="6" t="s">
        <v>74</v>
      </c>
      <c r="C74" s="3" t="str">
        <f t="shared" si="1"/>
        <v>_vibrant salmon</v>
      </c>
      <c r="D74" s="3" t="str">
        <f t="shared" si="8"/>
        <v>#N/A</v>
      </c>
      <c r="E74" s="3" t="b">
        <f t="shared" si="2"/>
        <v>0</v>
      </c>
      <c r="G74" s="3" t="str">
        <f t="shared" si="3"/>
        <v>#N/A</v>
      </c>
      <c r="H74" s="3" t="b">
        <f t="shared" si="4"/>
        <v>0</v>
      </c>
      <c r="J74" s="3" t="str">
        <f t="shared" si="5"/>
        <v>#N/A</v>
      </c>
      <c r="K74" s="3" t="b">
        <f t="shared" si="6"/>
        <v>0</v>
      </c>
      <c r="M74" s="3" t="str">
        <f t="shared" si="7"/>
        <v>#N/A</v>
      </c>
      <c r="AU74" s="7"/>
      <c r="AV74" s="6"/>
      <c r="AW74" s="8"/>
      <c r="AX74" s="7"/>
      <c r="AY74" s="6"/>
      <c r="AZ74" s="8"/>
      <c r="BA74" s="7"/>
      <c r="BB74" s="6"/>
      <c r="BC74" s="8"/>
      <c r="BD74" s="7"/>
      <c r="BE74" s="6"/>
      <c r="BF74" s="8"/>
      <c r="BG74" s="7"/>
      <c r="BH74" s="6"/>
      <c r="BI74" s="8"/>
      <c r="BJ74" s="7"/>
      <c r="BK74" s="6"/>
      <c r="BL74" s="8"/>
      <c r="BM74" s="7"/>
      <c r="BN74" s="6"/>
      <c r="BO74" s="8"/>
      <c r="BP74" s="7"/>
      <c r="BQ74" s="6"/>
      <c r="BR74" s="8"/>
    </row>
    <row r="75">
      <c r="A75" s="6"/>
      <c r="B75" s="6" t="s">
        <v>75</v>
      </c>
      <c r="C75" s="3" t="str">
        <f t="shared" si="1"/>
        <v>_shiny crimson</v>
      </c>
      <c r="D75" s="3" t="str">
        <f t="shared" si="8"/>
        <v>#N/A</v>
      </c>
      <c r="E75" s="3" t="b">
        <f t="shared" si="2"/>
        <v>0</v>
      </c>
      <c r="G75" s="3" t="str">
        <f t="shared" si="3"/>
        <v>#N/A</v>
      </c>
      <c r="H75" s="3" t="b">
        <f t="shared" si="4"/>
        <v>0</v>
      </c>
      <c r="J75" s="3" t="str">
        <f t="shared" si="5"/>
        <v>#N/A</v>
      </c>
      <c r="K75" s="3" t="b">
        <f t="shared" si="6"/>
        <v>0</v>
      </c>
      <c r="M75" s="3" t="str">
        <f t="shared" si="7"/>
        <v>#N/A</v>
      </c>
      <c r="AU75" s="7"/>
      <c r="AV75" s="6"/>
      <c r="AW75" s="8"/>
      <c r="AX75" s="7"/>
      <c r="AY75" s="6"/>
      <c r="AZ75" s="8"/>
      <c r="BA75" s="7"/>
      <c r="BB75" s="6"/>
      <c r="BC75" s="8"/>
      <c r="BD75" s="7"/>
      <c r="BE75" s="6"/>
      <c r="BF75" s="8"/>
      <c r="BG75" s="7"/>
      <c r="BH75" s="6"/>
      <c r="BI75" s="8"/>
      <c r="BJ75" s="7"/>
      <c r="BK75" s="6"/>
      <c r="BL75" s="8"/>
      <c r="BM75" s="7"/>
      <c r="BN75" s="6"/>
      <c r="BO75" s="8"/>
      <c r="BP75" s="7"/>
      <c r="BQ75" s="6"/>
      <c r="BR75" s="8"/>
    </row>
    <row r="76">
      <c r="A76" s="6"/>
      <c r="B76" s="6" t="s">
        <v>76</v>
      </c>
      <c r="C76" s="3" t="str">
        <f t="shared" si="1"/>
        <v>_plaid crimson</v>
      </c>
      <c r="D76" s="3" t="str">
        <f t="shared" si="8"/>
        <v>#N/A</v>
      </c>
      <c r="E76" s="3" t="b">
        <f t="shared" si="2"/>
        <v>0</v>
      </c>
      <c r="G76" s="3" t="str">
        <f t="shared" si="3"/>
        <v>#N/A</v>
      </c>
      <c r="H76" s="3" t="b">
        <f t="shared" si="4"/>
        <v>0</v>
      </c>
      <c r="J76" s="3" t="str">
        <f t="shared" si="5"/>
        <v>#N/A</v>
      </c>
      <c r="K76" s="3" t="b">
        <f t="shared" si="6"/>
        <v>0</v>
      </c>
      <c r="M76" s="3" t="str">
        <f t="shared" si="7"/>
        <v>#N/A</v>
      </c>
      <c r="AU76" s="7"/>
      <c r="AV76" s="6"/>
      <c r="AW76" s="8"/>
      <c r="AX76" s="7"/>
      <c r="AY76" s="6"/>
      <c r="AZ76" s="8"/>
      <c r="BA76" s="7"/>
      <c r="BB76" s="6"/>
      <c r="BC76" s="8"/>
      <c r="BD76" s="7"/>
      <c r="BE76" s="6"/>
      <c r="BF76" s="8"/>
      <c r="BG76" s="7"/>
      <c r="BH76" s="6"/>
      <c r="BI76" s="8"/>
      <c r="BJ76" s="7"/>
      <c r="BK76" s="6"/>
      <c r="BL76" s="8"/>
      <c r="BM76" s="7"/>
      <c r="BN76" s="6"/>
      <c r="BO76" s="8"/>
      <c r="BP76" s="7"/>
      <c r="BQ76" s="6"/>
      <c r="BR76" s="8"/>
    </row>
    <row r="77">
      <c r="A77" s="6"/>
      <c r="B77" s="6" t="s">
        <v>77</v>
      </c>
      <c r="C77" s="3" t="str">
        <f t="shared" si="1"/>
        <v>_dim turquoise</v>
      </c>
      <c r="D77" s="3" t="str">
        <f t="shared" si="8"/>
        <v>#N/A</v>
      </c>
      <c r="E77" s="3" t="b">
        <f t="shared" si="2"/>
        <v>0</v>
      </c>
      <c r="G77" s="3" t="str">
        <f t="shared" si="3"/>
        <v>#N/A</v>
      </c>
      <c r="H77" s="3" t="b">
        <f t="shared" si="4"/>
        <v>0</v>
      </c>
      <c r="J77" s="3" t="str">
        <f t="shared" si="5"/>
        <v>#N/A</v>
      </c>
      <c r="K77" s="3" t="b">
        <f t="shared" si="6"/>
        <v>0</v>
      </c>
      <c r="M77" s="3" t="str">
        <f t="shared" si="7"/>
        <v>#N/A</v>
      </c>
      <c r="AU77" s="7"/>
      <c r="AV77" s="6"/>
      <c r="AW77" s="8"/>
      <c r="AX77" s="7"/>
      <c r="AY77" s="6"/>
      <c r="AZ77" s="8"/>
      <c r="BA77" s="7"/>
      <c r="BB77" s="6"/>
      <c r="BC77" s="8"/>
      <c r="BD77" s="7"/>
      <c r="BE77" s="6"/>
      <c r="BF77" s="8"/>
      <c r="BG77" s="7"/>
      <c r="BH77" s="6"/>
      <c r="BI77" s="8"/>
      <c r="BJ77" s="7"/>
      <c r="BK77" s="6"/>
      <c r="BL77" s="8"/>
      <c r="BM77" s="7"/>
      <c r="BN77" s="6"/>
      <c r="BO77" s="8"/>
      <c r="BP77" s="7"/>
      <c r="BQ77" s="6"/>
      <c r="BR77" s="8"/>
    </row>
    <row r="78">
      <c r="A78" s="6"/>
      <c r="B78" s="6" t="s">
        <v>78</v>
      </c>
      <c r="C78" s="3" t="str">
        <f t="shared" si="1"/>
        <v>_clear crimson</v>
      </c>
      <c r="D78" s="3" t="str">
        <f t="shared" si="8"/>
        <v>#N/A</v>
      </c>
      <c r="E78" s="3" t="b">
        <f t="shared" si="2"/>
        <v>0</v>
      </c>
      <c r="G78" s="3" t="str">
        <f t="shared" si="3"/>
        <v>#N/A</v>
      </c>
      <c r="H78" s="3" t="b">
        <f t="shared" si="4"/>
        <v>0</v>
      </c>
      <c r="J78" s="3" t="str">
        <f t="shared" si="5"/>
        <v>#N/A</v>
      </c>
      <c r="K78" s="3" t="b">
        <f t="shared" si="6"/>
        <v>0</v>
      </c>
      <c r="M78" s="3" t="str">
        <f t="shared" si="7"/>
        <v>#N/A</v>
      </c>
      <c r="AU78" s="7"/>
      <c r="AV78" s="6"/>
      <c r="AW78" s="8"/>
      <c r="AX78" s="7"/>
      <c r="AY78" s="6"/>
      <c r="AZ78" s="8"/>
      <c r="BA78" s="7"/>
      <c r="BB78" s="6"/>
      <c r="BC78" s="8"/>
      <c r="BD78" s="7"/>
      <c r="BE78" s="6"/>
      <c r="BF78" s="8"/>
      <c r="BG78" s="7"/>
      <c r="BH78" s="6"/>
      <c r="BI78" s="8"/>
      <c r="BJ78" s="7"/>
      <c r="BK78" s="6"/>
      <c r="BL78" s="8"/>
      <c r="BM78" s="7"/>
      <c r="BN78" s="6"/>
      <c r="BO78" s="8"/>
      <c r="BP78" s="7"/>
      <c r="BQ78" s="6"/>
      <c r="BR78" s="8"/>
    </row>
    <row r="79">
      <c r="A79" s="6"/>
      <c r="B79" s="6" t="s">
        <v>79</v>
      </c>
      <c r="C79" s="3" t="str">
        <f t="shared" si="1"/>
        <v>_pale tomato</v>
      </c>
      <c r="D79" s="3" t="str">
        <f t="shared" si="8"/>
        <v>#N/A</v>
      </c>
      <c r="E79" s="3" t="b">
        <f t="shared" si="2"/>
        <v>0</v>
      </c>
      <c r="G79" s="3" t="str">
        <f t="shared" si="3"/>
        <v>#N/A</v>
      </c>
      <c r="H79" s="3" t="b">
        <f t="shared" si="4"/>
        <v>0</v>
      </c>
      <c r="J79" s="3" t="str">
        <f t="shared" si="5"/>
        <v>#N/A</v>
      </c>
      <c r="K79" s="3" t="b">
        <f t="shared" si="6"/>
        <v>0</v>
      </c>
      <c r="M79" s="3" t="str">
        <f t="shared" si="7"/>
        <v>#N/A</v>
      </c>
      <c r="AU79" s="7"/>
      <c r="AV79" s="6"/>
      <c r="AW79" s="8"/>
      <c r="AX79" s="7"/>
      <c r="AY79" s="6"/>
      <c r="AZ79" s="8"/>
      <c r="BA79" s="7"/>
      <c r="BB79" s="6"/>
      <c r="BC79" s="8"/>
      <c r="BD79" s="7"/>
      <c r="BE79" s="6"/>
      <c r="BF79" s="8"/>
      <c r="BG79" s="7"/>
      <c r="BH79" s="6"/>
      <c r="BI79" s="8"/>
      <c r="BJ79" s="7"/>
      <c r="BK79" s="6"/>
      <c r="BL79" s="8"/>
      <c r="BM79" s="7"/>
      <c r="BN79" s="6"/>
      <c r="BO79" s="8"/>
      <c r="BP79" s="7"/>
      <c r="BQ79" s="6"/>
      <c r="BR79" s="8"/>
    </row>
    <row r="80">
      <c r="A80" s="6"/>
      <c r="B80" s="6" t="s">
        <v>80</v>
      </c>
      <c r="C80" s="3" t="str">
        <f t="shared" si="1"/>
        <v>_dim orange</v>
      </c>
      <c r="D80" s="3" t="str">
        <f t="shared" si="8"/>
        <v>#N/A</v>
      </c>
      <c r="E80" s="3" t="b">
        <f t="shared" si="2"/>
        <v>0</v>
      </c>
      <c r="G80" s="3" t="str">
        <f t="shared" si="3"/>
        <v>#N/A</v>
      </c>
      <c r="H80" s="3" t="b">
        <f t="shared" si="4"/>
        <v>0</v>
      </c>
      <c r="J80" s="3" t="str">
        <f t="shared" si="5"/>
        <v>#N/A</v>
      </c>
      <c r="K80" s="3" t="b">
        <f t="shared" si="6"/>
        <v>0</v>
      </c>
      <c r="M80" s="3" t="str">
        <f t="shared" si="7"/>
        <v>#N/A</v>
      </c>
      <c r="AU80" s="7"/>
      <c r="AV80" s="6"/>
      <c r="AW80" s="8"/>
      <c r="AX80" s="7"/>
      <c r="AY80" s="6"/>
      <c r="AZ80" s="8"/>
      <c r="BA80" s="7"/>
      <c r="BB80" s="6"/>
      <c r="BC80" s="8"/>
      <c r="BD80" s="7"/>
      <c r="BE80" s="6"/>
      <c r="BF80" s="8"/>
      <c r="BG80" s="7"/>
      <c r="BH80" s="6"/>
      <c r="BI80" s="8"/>
      <c r="BJ80" s="7"/>
      <c r="BK80" s="6"/>
      <c r="BL80" s="8"/>
      <c r="BM80" s="7"/>
      <c r="BN80" s="6"/>
      <c r="BO80" s="8"/>
      <c r="BP80" s="7"/>
      <c r="BQ80" s="6"/>
      <c r="BR80" s="8"/>
    </row>
    <row r="81">
      <c r="A81" s="6"/>
      <c r="B81" s="6" t="s">
        <v>81</v>
      </c>
      <c r="C81" s="3" t="str">
        <f t="shared" si="1"/>
        <v>_mirrored orange</v>
      </c>
      <c r="D81" s="3" t="str">
        <f t="shared" si="8"/>
        <v>#N/A</v>
      </c>
      <c r="E81" s="3" t="b">
        <f t="shared" si="2"/>
        <v>0</v>
      </c>
      <c r="G81" s="3" t="str">
        <f t="shared" si="3"/>
        <v>#N/A</v>
      </c>
      <c r="H81" s="3" t="b">
        <f t="shared" si="4"/>
        <v>0</v>
      </c>
      <c r="J81" s="3" t="str">
        <f t="shared" si="5"/>
        <v>#N/A</v>
      </c>
      <c r="K81" s="3" t="b">
        <f t="shared" si="6"/>
        <v>0</v>
      </c>
      <c r="M81" s="3" t="str">
        <f t="shared" si="7"/>
        <v>#N/A</v>
      </c>
      <c r="AU81" s="7"/>
      <c r="AV81" s="6"/>
      <c r="AW81" s="8"/>
      <c r="AX81" s="7"/>
      <c r="AY81" s="6"/>
      <c r="AZ81" s="8"/>
      <c r="BA81" s="7"/>
      <c r="BB81" s="6"/>
      <c r="BC81" s="8"/>
      <c r="BD81" s="7"/>
      <c r="BE81" s="6"/>
      <c r="BF81" s="8"/>
      <c r="BG81" s="7"/>
      <c r="BH81" s="6"/>
      <c r="BI81" s="8"/>
      <c r="BJ81" s="7"/>
      <c r="BK81" s="6"/>
      <c r="BL81" s="8"/>
      <c r="BM81" s="7"/>
      <c r="BN81" s="6"/>
      <c r="BO81" s="8"/>
      <c r="BP81" s="7"/>
      <c r="BQ81" s="6"/>
      <c r="BR81" s="8"/>
    </row>
    <row r="82">
      <c r="A82" s="6"/>
      <c r="B82" s="6" t="s">
        <v>82</v>
      </c>
      <c r="C82" s="3" t="str">
        <f t="shared" si="1"/>
        <v>_striped turquoise</v>
      </c>
      <c r="D82" s="3" t="str">
        <f t="shared" si="8"/>
        <v>#N/A</v>
      </c>
      <c r="E82" s="3" t="b">
        <f t="shared" si="2"/>
        <v>0</v>
      </c>
      <c r="G82" s="3" t="str">
        <f t="shared" si="3"/>
        <v>#N/A</v>
      </c>
      <c r="H82" s="3" t="b">
        <f t="shared" si="4"/>
        <v>0</v>
      </c>
      <c r="J82" s="3" t="str">
        <f t="shared" si="5"/>
        <v>#N/A</v>
      </c>
      <c r="K82" s="3" t="b">
        <f t="shared" si="6"/>
        <v>0</v>
      </c>
      <c r="M82" s="3" t="str">
        <f t="shared" si="7"/>
        <v>#N/A</v>
      </c>
      <c r="AU82" s="7"/>
      <c r="AV82" s="6"/>
      <c r="AW82" s="8"/>
      <c r="AX82" s="7"/>
      <c r="AY82" s="6"/>
      <c r="AZ82" s="8"/>
      <c r="BA82" s="7"/>
      <c r="BB82" s="6"/>
      <c r="BC82" s="8"/>
      <c r="BD82" s="7"/>
      <c r="BE82" s="6"/>
      <c r="BF82" s="8"/>
      <c r="BG82" s="7"/>
      <c r="BH82" s="6"/>
      <c r="BI82" s="8"/>
      <c r="BJ82" s="7"/>
      <c r="BK82" s="6"/>
      <c r="BL82" s="8"/>
      <c r="BM82" s="7"/>
      <c r="BN82" s="6"/>
      <c r="BO82" s="8"/>
      <c r="BP82" s="7"/>
      <c r="BQ82" s="6"/>
      <c r="BR82" s="8"/>
    </row>
    <row r="83">
      <c r="A83" s="6"/>
      <c r="B83" s="6" t="s">
        <v>83</v>
      </c>
      <c r="C83" s="3" t="str">
        <f t="shared" si="1"/>
        <v>_dotted coral</v>
      </c>
      <c r="D83" s="3" t="str">
        <f t="shared" si="8"/>
        <v>#N/A</v>
      </c>
      <c r="E83" s="3" t="b">
        <f t="shared" si="2"/>
        <v>0</v>
      </c>
      <c r="G83" s="3" t="str">
        <f t="shared" si="3"/>
        <v>#N/A</v>
      </c>
      <c r="H83" s="3" t="b">
        <f t="shared" si="4"/>
        <v>0</v>
      </c>
      <c r="J83" s="3" t="str">
        <f t="shared" si="5"/>
        <v>#N/A</v>
      </c>
      <c r="K83" s="3" t="b">
        <f t="shared" si="6"/>
        <v>0</v>
      </c>
      <c r="M83" s="3" t="str">
        <f t="shared" si="7"/>
        <v>#N/A</v>
      </c>
      <c r="AU83" s="7"/>
      <c r="AV83" s="6"/>
      <c r="AW83" s="8"/>
      <c r="AX83" s="7"/>
      <c r="AY83" s="6"/>
      <c r="AZ83" s="8"/>
      <c r="BA83" s="7"/>
      <c r="BB83" s="6"/>
      <c r="BC83" s="8"/>
      <c r="BD83" s="7"/>
      <c r="BE83" s="6"/>
      <c r="BF83" s="8"/>
      <c r="BG83" s="7"/>
      <c r="BH83" s="6"/>
      <c r="BI83" s="8"/>
      <c r="BJ83" s="7"/>
      <c r="BK83" s="6"/>
      <c r="BL83" s="8"/>
      <c r="BM83" s="7"/>
      <c r="BN83" s="6"/>
      <c r="BO83" s="8"/>
      <c r="BP83" s="7"/>
      <c r="BQ83" s="6"/>
      <c r="BR83" s="8"/>
    </row>
    <row r="84">
      <c r="A84" s="6"/>
      <c r="B84" s="6" t="s">
        <v>84</v>
      </c>
      <c r="C84" s="3" t="str">
        <f t="shared" si="1"/>
        <v>_wavy maroon</v>
      </c>
      <c r="D84" s="3" t="str">
        <f t="shared" si="8"/>
        <v>#N/A</v>
      </c>
      <c r="E84" s="3" t="b">
        <f t="shared" si="2"/>
        <v>0</v>
      </c>
      <c r="G84" s="3" t="str">
        <f t="shared" si="3"/>
        <v>#N/A</v>
      </c>
      <c r="H84" s="3" t="b">
        <f t="shared" si="4"/>
        <v>0</v>
      </c>
      <c r="J84" s="3" t="str">
        <f t="shared" si="5"/>
        <v>#N/A</v>
      </c>
      <c r="K84" s="3" t="b">
        <f t="shared" si="6"/>
        <v>0</v>
      </c>
      <c r="M84" s="3" t="str">
        <f t="shared" si="7"/>
        <v>#N/A</v>
      </c>
      <c r="AU84" s="7"/>
      <c r="AV84" s="6"/>
      <c r="AW84" s="8"/>
      <c r="AX84" s="7"/>
      <c r="AY84" s="6"/>
      <c r="AZ84" s="8"/>
      <c r="BA84" s="7"/>
      <c r="BB84" s="6"/>
      <c r="BC84" s="8"/>
      <c r="BD84" s="7"/>
      <c r="BE84" s="6"/>
      <c r="BF84" s="8"/>
      <c r="BG84" s="7"/>
      <c r="BH84" s="6"/>
      <c r="BI84" s="8"/>
      <c r="BJ84" s="7"/>
      <c r="BK84" s="6"/>
      <c r="BL84" s="8"/>
      <c r="BM84" s="7"/>
      <c r="BN84" s="6"/>
      <c r="BO84" s="8"/>
      <c r="BP84" s="7"/>
      <c r="BQ84" s="6"/>
      <c r="BR84" s="8"/>
    </row>
    <row r="85">
      <c r="A85" s="6"/>
      <c r="B85" s="6" t="s">
        <v>85</v>
      </c>
      <c r="C85" s="3" t="str">
        <f t="shared" si="1"/>
        <v>_mirrored indigo</v>
      </c>
      <c r="D85" s="3" t="str">
        <f t="shared" si="8"/>
        <v>#N/A</v>
      </c>
      <c r="E85" s="3" t="b">
        <f t="shared" si="2"/>
        <v>0</v>
      </c>
      <c r="G85" s="3" t="str">
        <f t="shared" si="3"/>
        <v>#N/A</v>
      </c>
      <c r="H85" s="3" t="b">
        <f t="shared" si="4"/>
        <v>0</v>
      </c>
      <c r="J85" s="3" t="str">
        <f t="shared" si="5"/>
        <v>#N/A</v>
      </c>
      <c r="K85" s="3" t="b">
        <f t="shared" si="6"/>
        <v>0</v>
      </c>
      <c r="M85" s="3" t="str">
        <f t="shared" si="7"/>
        <v>#N/A</v>
      </c>
      <c r="AU85" s="7"/>
      <c r="AV85" s="6"/>
      <c r="AW85" s="8"/>
      <c r="AX85" s="7"/>
      <c r="AY85" s="6"/>
      <c r="AZ85" s="8"/>
      <c r="BA85" s="7"/>
      <c r="BB85" s="6"/>
      <c r="BC85" s="8"/>
      <c r="BD85" s="7"/>
      <c r="BE85" s="6"/>
      <c r="BF85" s="8"/>
      <c r="BG85" s="7"/>
      <c r="BH85" s="6"/>
      <c r="BI85" s="8"/>
      <c r="BJ85" s="7"/>
      <c r="BK85" s="6"/>
      <c r="BL85" s="8"/>
      <c r="BM85" s="7"/>
      <c r="BN85" s="6"/>
      <c r="BO85" s="8"/>
      <c r="BP85" s="7"/>
      <c r="BQ85" s="6"/>
      <c r="BR85" s="8"/>
    </row>
    <row r="86">
      <c r="A86" s="6"/>
      <c r="B86" s="6" t="s">
        <v>86</v>
      </c>
      <c r="C86" s="3" t="str">
        <f t="shared" si="1"/>
        <v>_wavy indigo</v>
      </c>
      <c r="D86" s="3" t="str">
        <f t="shared" si="8"/>
        <v>#N/A</v>
      </c>
      <c r="E86" s="3" t="b">
        <f t="shared" si="2"/>
        <v>0</v>
      </c>
      <c r="G86" s="3" t="str">
        <f t="shared" si="3"/>
        <v>#N/A</v>
      </c>
      <c r="H86" s="3" t="b">
        <f t="shared" si="4"/>
        <v>0</v>
      </c>
      <c r="J86" s="3" t="str">
        <f t="shared" si="5"/>
        <v>#N/A</v>
      </c>
      <c r="K86" s="3" t="b">
        <f t="shared" si="6"/>
        <v>0</v>
      </c>
      <c r="M86" s="3" t="str">
        <f t="shared" si="7"/>
        <v>#N/A</v>
      </c>
      <c r="AU86" s="7"/>
      <c r="AV86" s="6"/>
      <c r="AW86" s="8"/>
      <c r="AX86" s="7"/>
      <c r="AY86" s="6"/>
      <c r="AZ86" s="8"/>
      <c r="BA86" s="7"/>
      <c r="BB86" s="6"/>
      <c r="BC86" s="8"/>
      <c r="BD86" s="7"/>
      <c r="BE86" s="6"/>
      <c r="BF86" s="8"/>
      <c r="BG86" s="7"/>
      <c r="BH86" s="6"/>
      <c r="BI86" s="8"/>
      <c r="BJ86" s="7"/>
      <c r="BK86" s="6"/>
      <c r="BL86" s="8"/>
      <c r="BM86" s="7"/>
      <c r="BN86" s="6"/>
      <c r="BO86" s="8"/>
      <c r="BP86" s="7"/>
      <c r="BQ86" s="6"/>
      <c r="BR86" s="8"/>
    </row>
    <row r="87">
      <c r="A87" s="6"/>
      <c r="B87" s="6" t="s">
        <v>87</v>
      </c>
      <c r="C87" s="3" t="str">
        <f t="shared" si="1"/>
        <v>_striped tomato</v>
      </c>
      <c r="D87" s="3" t="str">
        <f t="shared" si="8"/>
        <v>#N/A</v>
      </c>
      <c r="E87" s="3" t="b">
        <f t="shared" si="2"/>
        <v>0</v>
      </c>
      <c r="G87" s="3" t="str">
        <f t="shared" si="3"/>
        <v>#N/A</v>
      </c>
      <c r="H87" s="3" t="b">
        <f t="shared" si="4"/>
        <v>0</v>
      </c>
      <c r="J87" s="3" t="str">
        <f t="shared" si="5"/>
        <v>#N/A</v>
      </c>
      <c r="K87" s="3" t="b">
        <f t="shared" si="6"/>
        <v>0</v>
      </c>
      <c r="M87" s="3" t="str">
        <f t="shared" si="7"/>
        <v>#N/A</v>
      </c>
      <c r="AU87" s="7"/>
      <c r="AV87" s="6"/>
      <c r="AW87" s="8"/>
      <c r="AX87" s="7"/>
      <c r="AY87" s="6"/>
      <c r="AZ87" s="8"/>
      <c r="BA87" s="7"/>
      <c r="BB87" s="6"/>
      <c r="BC87" s="8"/>
      <c r="BD87" s="7"/>
      <c r="BE87" s="6"/>
      <c r="BF87" s="8"/>
      <c r="BG87" s="7"/>
      <c r="BH87" s="6"/>
      <c r="BI87" s="8"/>
      <c r="BJ87" s="7"/>
      <c r="BK87" s="6"/>
      <c r="BL87" s="8"/>
      <c r="BM87" s="7"/>
      <c r="BN87" s="6"/>
      <c r="BO87" s="8"/>
      <c r="BP87" s="7"/>
      <c r="BQ87" s="6"/>
      <c r="BR87" s="8"/>
    </row>
    <row r="88">
      <c r="A88" s="6"/>
      <c r="B88" s="6" t="s">
        <v>88</v>
      </c>
      <c r="C88" s="3" t="str">
        <f t="shared" si="1"/>
        <v>_pale lime</v>
      </c>
      <c r="D88" s="3" t="str">
        <f t="shared" si="8"/>
        <v>#N/A</v>
      </c>
      <c r="E88" s="3" t="b">
        <f t="shared" si="2"/>
        <v>0</v>
      </c>
      <c r="G88" s="3" t="str">
        <f t="shared" si="3"/>
        <v>#N/A</v>
      </c>
      <c r="H88" s="3" t="b">
        <f t="shared" si="4"/>
        <v>0</v>
      </c>
      <c r="J88" s="3" t="str">
        <f t="shared" si="5"/>
        <v>#N/A</v>
      </c>
      <c r="K88" s="3" t="b">
        <f t="shared" si="6"/>
        <v>0</v>
      </c>
      <c r="M88" s="3" t="str">
        <f t="shared" si="7"/>
        <v>#N/A</v>
      </c>
      <c r="AU88" s="7"/>
      <c r="AV88" s="6"/>
      <c r="AW88" s="8"/>
      <c r="AX88" s="7"/>
      <c r="AY88" s="6"/>
      <c r="AZ88" s="8"/>
      <c r="BA88" s="7"/>
      <c r="BB88" s="6"/>
      <c r="BC88" s="8"/>
      <c r="BD88" s="7"/>
      <c r="BE88" s="6"/>
      <c r="BF88" s="8"/>
      <c r="BG88" s="7"/>
      <c r="BH88" s="6"/>
      <c r="BI88" s="8"/>
      <c r="BJ88" s="7"/>
      <c r="BK88" s="6"/>
      <c r="BL88" s="8"/>
      <c r="BM88" s="7"/>
      <c r="BN88" s="6"/>
      <c r="BO88" s="8"/>
      <c r="BP88" s="7"/>
      <c r="BQ88" s="6"/>
      <c r="BR88" s="8"/>
    </row>
    <row r="89">
      <c r="A89" s="6"/>
      <c r="B89" s="6" t="s">
        <v>89</v>
      </c>
      <c r="C89" s="3" t="str">
        <f t="shared" si="1"/>
        <v>_muted maroon</v>
      </c>
      <c r="D89" s="3" t="str">
        <f t="shared" si="8"/>
        <v>#N/A</v>
      </c>
      <c r="E89" s="3" t="b">
        <f t="shared" si="2"/>
        <v>0</v>
      </c>
      <c r="G89" s="3" t="str">
        <f t="shared" si="3"/>
        <v>#N/A</v>
      </c>
      <c r="H89" s="3" t="b">
        <f t="shared" si="4"/>
        <v>0</v>
      </c>
      <c r="J89" s="3" t="str">
        <f t="shared" si="5"/>
        <v>#N/A</v>
      </c>
      <c r="K89" s="3" t="b">
        <f t="shared" si="6"/>
        <v>0</v>
      </c>
      <c r="M89" s="3" t="str">
        <f t="shared" si="7"/>
        <v>#N/A</v>
      </c>
      <c r="AU89" s="7"/>
      <c r="AV89" s="6"/>
      <c r="AW89" s="8"/>
      <c r="AX89" s="7"/>
      <c r="AY89" s="6"/>
      <c r="AZ89" s="8"/>
      <c r="BA89" s="7"/>
      <c r="BB89" s="6"/>
      <c r="BC89" s="8"/>
      <c r="BD89" s="7"/>
      <c r="BE89" s="6"/>
      <c r="BF89" s="8"/>
      <c r="BG89" s="7"/>
      <c r="BH89" s="6"/>
      <c r="BI89" s="8"/>
      <c r="BJ89" s="7"/>
      <c r="BK89" s="6"/>
      <c r="BL89" s="8"/>
      <c r="BM89" s="7"/>
      <c r="BN89" s="6"/>
      <c r="BO89" s="8"/>
      <c r="BP89" s="7"/>
      <c r="BQ89" s="6"/>
      <c r="BR89" s="8"/>
    </row>
    <row r="90">
      <c r="A90" s="6"/>
      <c r="B90" s="6" t="s">
        <v>90</v>
      </c>
      <c r="C90" s="3" t="str">
        <f t="shared" si="1"/>
        <v>_drab lavender</v>
      </c>
      <c r="D90" s="3" t="str">
        <f t="shared" si="8"/>
        <v>#N/A</v>
      </c>
      <c r="E90" s="3" t="b">
        <f t="shared" si="2"/>
        <v>0</v>
      </c>
      <c r="G90" s="3" t="str">
        <f t="shared" si="3"/>
        <v>#N/A</v>
      </c>
      <c r="H90" s="3" t="b">
        <f t="shared" si="4"/>
        <v>0</v>
      </c>
      <c r="J90" s="3" t="str">
        <f t="shared" si="5"/>
        <v>#N/A</v>
      </c>
      <c r="K90" s="3" t="b">
        <f t="shared" si="6"/>
        <v>0</v>
      </c>
      <c r="M90" s="3" t="str">
        <f t="shared" si="7"/>
        <v>#N/A</v>
      </c>
      <c r="AU90" s="7"/>
      <c r="AV90" s="6"/>
      <c r="AW90" s="8"/>
      <c r="AX90" s="7"/>
      <c r="AY90" s="6"/>
      <c r="AZ90" s="8"/>
      <c r="BA90" s="7"/>
      <c r="BB90" s="6"/>
      <c r="BC90" s="8"/>
      <c r="BD90" s="7"/>
      <c r="BE90" s="6"/>
      <c r="BF90" s="8"/>
      <c r="BG90" s="7"/>
      <c r="BH90" s="6"/>
      <c r="BI90" s="8"/>
      <c r="BJ90" s="7"/>
      <c r="BK90" s="6"/>
      <c r="BL90" s="8"/>
      <c r="BM90" s="7"/>
      <c r="BN90" s="6"/>
      <c r="BO90" s="8"/>
      <c r="BP90" s="7"/>
      <c r="BQ90" s="6"/>
      <c r="BR90" s="8"/>
    </row>
    <row r="91">
      <c r="A91" s="6"/>
      <c r="B91" s="6" t="s">
        <v>91</v>
      </c>
      <c r="C91" s="3" t="str">
        <f t="shared" si="1"/>
        <v>_bright fuchsia</v>
      </c>
      <c r="D91" s="3" t="str">
        <f t="shared" si="8"/>
        <v>#N/A</v>
      </c>
      <c r="E91" s="3" t="b">
        <f t="shared" si="2"/>
        <v>0</v>
      </c>
      <c r="G91" s="3" t="str">
        <f t="shared" si="3"/>
        <v>#N/A</v>
      </c>
      <c r="H91" s="3" t="b">
        <f t="shared" si="4"/>
        <v>0</v>
      </c>
      <c r="J91" s="3" t="str">
        <f t="shared" si="5"/>
        <v>#N/A</v>
      </c>
      <c r="K91" s="3" t="b">
        <f t="shared" si="6"/>
        <v>1</v>
      </c>
      <c r="M91" s="3" t="str">
        <f t="shared" si="7"/>
        <v>#N/A</v>
      </c>
      <c r="AU91" s="7"/>
      <c r="AV91" s="6"/>
      <c r="AW91" s="8"/>
      <c r="AX91" s="7"/>
      <c r="AY91" s="6"/>
      <c r="AZ91" s="8"/>
      <c r="BA91" s="7"/>
      <c r="BB91" s="6"/>
      <c r="BC91" s="8"/>
      <c r="BD91" s="7"/>
      <c r="BE91" s="6"/>
      <c r="BF91" s="8"/>
      <c r="BG91" s="7"/>
      <c r="BH91" s="6"/>
      <c r="BI91" s="8"/>
      <c r="BJ91" s="7"/>
      <c r="BK91" s="6"/>
      <c r="BL91" s="8"/>
      <c r="BM91" s="7"/>
      <c r="BN91" s="6"/>
      <c r="BO91" s="8"/>
      <c r="BP91" s="7"/>
      <c r="BQ91" s="6"/>
      <c r="BR91" s="8"/>
    </row>
    <row r="92">
      <c r="A92" s="6"/>
      <c r="B92" s="6" t="s">
        <v>92</v>
      </c>
      <c r="C92" s="3" t="str">
        <f t="shared" si="1"/>
        <v>_wavy beige</v>
      </c>
      <c r="D92" s="3" t="str">
        <f t="shared" si="8"/>
        <v>#N/A</v>
      </c>
      <c r="E92" s="3" t="b">
        <f t="shared" si="2"/>
        <v>0</v>
      </c>
      <c r="G92" s="3" t="str">
        <f t="shared" si="3"/>
        <v>#N/A</v>
      </c>
      <c r="H92" s="3" t="b">
        <f t="shared" si="4"/>
        <v>0</v>
      </c>
      <c r="J92" s="3" t="str">
        <f t="shared" si="5"/>
        <v>#N/A</v>
      </c>
      <c r="K92" s="3" t="b">
        <f t="shared" si="6"/>
        <v>0</v>
      </c>
      <c r="M92" s="3" t="str">
        <f t="shared" si="7"/>
        <v>#N/A</v>
      </c>
      <c r="AU92" s="7"/>
      <c r="AV92" s="6"/>
      <c r="AW92" s="8"/>
      <c r="AX92" s="7"/>
      <c r="AY92" s="6"/>
      <c r="AZ92" s="8"/>
      <c r="BA92" s="7"/>
      <c r="BB92" s="6"/>
      <c r="BC92" s="8"/>
      <c r="BD92" s="7"/>
      <c r="BE92" s="6"/>
      <c r="BF92" s="8"/>
      <c r="BG92" s="7"/>
      <c r="BH92" s="6"/>
      <c r="BI92" s="8"/>
      <c r="BJ92" s="7"/>
      <c r="BK92" s="6"/>
      <c r="BL92" s="8"/>
      <c r="BM92" s="7"/>
      <c r="BN92" s="6"/>
      <c r="BO92" s="8"/>
      <c r="BP92" s="7"/>
      <c r="BQ92" s="6"/>
      <c r="BR92" s="8"/>
    </row>
    <row r="93">
      <c r="A93" s="6"/>
      <c r="B93" s="6" t="s">
        <v>93</v>
      </c>
      <c r="C93" s="3" t="str">
        <f t="shared" si="1"/>
        <v>_shiny olive</v>
      </c>
      <c r="D93" s="3" t="str">
        <f t="shared" si="8"/>
        <v>#N/A</v>
      </c>
      <c r="E93" s="3" t="b">
        <f t="shared" si="2"/>
        <v>0</v>
      </c>
      <c r="G93" s="3" t="str">
        <f t="shared" si="3"/>
        <v>#N/A</v>
      </c>
      <c r="H93" s="3" t="b">
        <f t="shared" si="4"/>
        <v>0</v>
      </c>
      <c r="J93" s="3" t="str">
        <f t="shared" si="5"/>
        <v>#N/A</v>
      </c>
      <c r="K93" s="3" t="b">
        <f t="shared" si="6"/>
        <v>0</v>
      </c>
      <c r="M93" s="3" t="str">
        <f t="shared" si="7"/>
        <v>#N/A</v>
      </c>
      <c r="AU93" s="7"/>
      <c r="AV93" s="6"/>
      <c r="AW93" s="8"/>
      <c r="AX93" s="7"/>
      <c r="AY93" s="6"/>
      <c r="AZ93" s="8"/>
      <c r="BA93" s="7"/>
      <c r="BB93" s="6"/>
      <c r="BC93" s="8"/>
      <c r="BD93" s="7"/>
      <c r="BE93" s="6"/>
      <c r="BF93" s="8"/>
      <c r="BG93" s="7"/>
      <c r="BH93" s="6"/>
      <c r="BI93" s="8"/>
      <c r="BJ93" s="7"/>
      <c r="BK93" s="6"/>
      <c r="BL93" s="8"/>
      <c r="BM93" s="7"/>
      <c r="BN93" s="6"/>
      <c r="BO93" s="8"/>
      <c r="BP93" s="7"/>
      <c r="BQ93" s="6"/>
      <c r="BR93" s="8"/>
    </row>
    <row r="94">
      <c r="A94" s="6"/>
      <c r="B94" s="6" t="s">
        <v>94</v>
      </c>
      <c r="C94" s="3" t="str">
        <f t="shared" si="1"/>
        <v>_posh coral</v>
      </c>
      <c r="D94" s="3" t="str">
        <f t="shared" si="8"/>
        <v>#N/A</v>
      </c>
      <c r="E94" s="3" t="b">
        <f t="shared" si="2"/>
        <v>0</v>
      </c>
      <c r="G94" s="3" t="str">
        <f t="shared" si="3"/>
        <v>#N/A</v>
      </c>
      <c r="H94" s="3" t="b">
        <f t="shared" si="4"/>
        <v>0</v>
      </c>
      <c r="J94" s="3" t="str">
        <f t="shared" si="5"/>
        <v>#N/A</v>
      </c>
      <c r="K94" s="3" t="b">
        <f t="shared" si="6"/>
        <v>0</v>
      </c>
      <c r="M94" s="3" t="str">
        <f t="shared" si="7"/>
        <v>#N/A</v>
      </c>
      <c r="AU94" s="7"/>
      <c r="AV94" s="6"/>
      <c r="AW94" s="8"/>
      <c r="AX94" s="7"/>
      <c r="AY94" s="6"/>
      <c r="AZ94" s="8"/>
      <c r="BA94" s="7"/>
      <c r="BB94" s="6"/>
      <c r="BC94" s="8"/>
      <c r="BD94" s="7"/>
      <c r="BE94" s="6"/>
      <c r="BF94" s="8"/>
      <c r="BG94" s="7"/>
      <c r="BH94" s="6"/>
      <c r="BI94" s="8"/>
      <c r="BJ94" s="7"/>
      <c r="BK94" s="6"/>
      <c r="BL94" s="8"/>
      <c r="BM94" s="7"/>
      <c r="BN94" s="6"/>
      <c r="BO94" s="8"/>
      <c r="BP94" s="7"/>
      <c r="BQ94" s="6"/>
      <c r="BR94" s="8"/>
    </row>
    <row r="95">
      <c r="A95" s="6"/>
      <c r="B95" s="6" t="s">
        <v>95</v>
      </c>
      <c r="C95" s="3" t="str">
        <f t="shared" si="1"/>
        <v>_dark green</v>
      </c>
      <c r="D95" s="3" t="str">
        <f t="shared" si="8"/>
        <v>#N/A</v>
      </c>
      <c r="E95" s="3" t="b">
        <f t="shared" si="2"/>
        <v>0</v>
      </c>
      <c r="G95" s="3" t="str">
        <f t="shared" si="3"/>
        <v>#N/A</v>
      </c>
      <c r="H95" s="3" t="b">
        <f t="shared" si="4"/>
        <v>0</v>
      </c>
      <c r="J95" s="3" t="str">
        <f t="shared" si="5"/>
        <v>#N/A</v>
      </c>
      <c r="K95" s="3" t="b">
        <f t="shared" si="6"/>
        <v>0</v>
      </c>
      <c r="M95" s="3" t="str">
        <f t="shared" si="7"/>
        <v>#N/A</v>
      </c>
      <c r="AU95" s="7"/>
      <c r="AV95" s="6"/>
      <c r="AW95" s="8"/>
      <c r="AX95" s="7"/>
      <c r="AY95" s="6"/>
      <c r="AZ95" s="8"/>
      <c r="BA95" s="7"/>
      <c r="BB95" s="6"/>
      <c r="BC95" s="8"/>
      <c r="BD95" s="7"/>
      <c r="BE95" s="6"/>
      <c r="BF95" s="8"/>
      <c r="BG95" s="7"/>
      <c r="BH95" s="6"/>
      <c r="BI95" s="8"/>
      <c r="BJ95" s="7"/>
      <c r="BK95" s="6"/>
      <c r="BL95" s="8"/>
      <c r="BM95" s="7"/>
      <c r="BN95" s="6"/>
      <c r="BO95" s="8"/>
      <c r="BP95" s="7"/>
      <c r="BQ95" s="6"/>
      <c r="BR95" s="8"/>
    </row>
    <row r="96">
      <c r="A96" s="6"/>
      <c r="B96" s="6" t="s">
        <v>96</v>
      </c>
      <c r="C96" s="3" t="str">
        <f t="shared" si="1"/>
        <v>_shiny green</v>
      </c>
      <c r="D96" s="3" t="str">
        <f t="shared" si="8"/>
        <v>#N/A</v>
      </c>
      <c r="E96" s="3" t="b">
        <f t="shared" si="2"/>
        <v>0</v>
      </c>
      <c r="G96" s="3" t="str">
        <f t="shared" si="3"/>
        <v>#N/A</v>
      </c>
      <c r="H96" s="3" t="b">
        <f t="shared" si="4"/>
        <v>0</v>
      </c>
      <c r="J96" s="3" t="str">
        <f t="shared" si="5"/>
        <v>#N/A</v>
      </c>
      <c r="K96" s="3" t="b">
        <f t="shared" si="6"/>
        <v>0</v>
      </c>
      <c r="M96" s="3" t="str">
        <f t="shared" si="7"/>
        <v>#N/A</v>
      </c>
      <c r="AU96" s="7"/>
      <c r="AV96" s="6"/>
      <c r="AW96" s="8"/>
      <c r="AX96" s="7"/>
      <c r="AY96" s="6"/>
      <c r="AZ96" s="8"/>
      <c r="BA96" s="7"/>
      <c r="BB96" s="6"/>
      <c r="BC96" s="8"/>
      <c r="BD96" s="7"/>
      <c r="BE96" s="6"/>
      <c r="BF96" s="8"/>
      <c r="BG96" s="7"/>
      <c r="BH96" s="6"/>
      <c r="BI96" s="8"/>
      <c r="BJ96" s="7"/>
      <c r="BK96" s="6"/>
      <c r="BL96" s="8"/>
      <c r="BM96" s="7"/>
      <c r="BN96" s="6"/>
      <c r="BO96" s="8"/>
      <c r="BP96" s="7"/>
      <c r="BQ96" s="6"/>
      <c r="BR96" s="8"/>
    </row>
    <row r="97">
      <c r="A97" s="6"/>
      <c r="B97" s="6" t="s">
        <v>97</v>
      </c>
      <c r="C97" s="3" t="str">
        <f t="shared" si="1"/>
        <v>_clear coral</v>
      </c>
      <c r="D97" s="3" t="str">
        <f t="shared" si="8"/>
        <v>#N/A</v>
      </c>
      <c r="E97" s="3" t="b">
        <f t="shared" si="2"/>
        <v>0</v>
      </c>
      <c r="G97" s="3" t="str">
        <f t="shared" si="3"/>
        <v>#N/A</v>
      </c>
      <c r="H97" s="3" t="b">
        <f t="shared" si="4"/>
        <v>0</v>
      </c>
      <c r="J97" s="3" t="str">
        <f t="shared" si="5"/>
        <v>#N/A</v>
      </c>
      <c r="K97" s="3" t="b">
        <f t="shared" si="6"/>
        <v>0</v>
      </c>
      <c r="M97" s="3" t="str">
        <f t="shared" si="7"/>
        <v>#N/A</v>
      </c>
      <c r="AU97" s="7"/>
      <c r="AV97" s="6"/>
      <c r="AW97" s="8"/>
      <c r="AX97" s="7"/>
      <c r="AY97" s="6"/>
      <c r="AZ97" s="8"/>
      <c r="BA97" s="7"/>
      <c r="BB97" s="6"/>
      <c r="BC97" s="8"/>
      <c r="BD97" s="7"/>
      <c r="BE97" s="6"/>
      <c r="BF97" s="8"/>
      <c r="BG97" s="7"/>
      <c r="BH97" s="6"/>
      <c r="BI97" s="8"/>
      <c r="BJ97" s="7"/>
      <c r="BK97" s="6"/>
      <c r="BL97" s="8"/>
      <c r="BM97" s="7"/>
      <c r="BN97" s="6"/>
      <c r="BO97" s="8"/>
      <c r="BP97" s="7"/>
      <c r="BQ97" s="6"/>
      <c r="BR97" s="8"/>
    </row>
    <row r="98">
      <c r="A98" s="6"/>
      <c r="B98" s="6" t="s">
        <v>98</v>
      </c>
      <c r="C98" s="3" t="str">
        <f t="shared" si="1"/>
        <v>_dull salmon</v>
      </c>
      <c r="D98" s="3" t="str">
        <f t="shared" si="8"/>
        <v>#N/A</v>
      </c>
      <c r="E98" s="3" t="b">
        <f t="shared" si="2"/>
        <v>0</v>
      </c>
      <c r="G98" s="3" t="str">
        <f t="shared" si="3"/>
        <v>#N/A</v>
      </c>
      <c r="H98" s="3" t="b">
        <f t="shared" si="4"/>
        <v>0</v>
      </c>
      <c r="J98" s="3" t="str">
        <f t="shared" si="5"/>
        <v>#N/A</v>
      </c>
      <c r="K98" s="3" t="b">
        <f t="shared" si="6"/>
        <v>0</v>
      </c>
      <c r="M98" s="3" t="str">
        <f t="shared" si="7"/>
        <v>#N/A</v>
      </c>
      <c r="AU98" s="7"/>
      <c r="AV98" s="6"/>
      <c r="AW98" s="8"/>
      <c r="AX98" s="7"/>
      <c r="AY98" s="6"/>
      <c r="AZ98" s="8"/>
      <c r="BA98" s="7"/>
      <c r="BB98" s="6"/>
      <c r="BC98" s="8"/>
      <c r="BD98" s="7"/>
      <c r="BE98" s="6"/>
      <c r="BF98" s="8"/>
      <c r="BG98" s="7"/>
      <c r="BH98" s="6"/>
      <c r="BI98" s="8"/>
      <c r="BJ98" s="7"/>
      <c r="BK98" s="6"/>
      <c r="BL98" s="8"/>
      <c r="BM98" s="7"/>
      <c r="BN98" s="6"/>
      <c r="BO98" s="8"/>
      <c r="BP98" s="7"/>
      <c r="BQ98" s="6"/>
      <c r="BR98" s="8"/>
    </row>
    <row r="99">
      <c r="A99" s="6"/>
      <c r="B99" s="6" t="s">
        <v>99</v>
      </c>
      <c r="C99" s="3" t="str">
        <f t="shared" si="1"/>
        <v>_dark lavender</v>
      </c>
      <c r="D99" s="3" t="str">
        <f t="shared" si="8"/>
        <v>#N/A</v>
      </c>
      <c r="E99" s="3" t="b">
        <f t="shared" si="2"/>
        <v>0</v>
      </c>
      <c r="G99" s="3" t="str">
        <f t="shared" si="3"/>
        <v>#N/A</v>
      </c>
      <c r="H99" s="3" t="b">
        <f t="shared" si="4"/>
        <v>0</v>
      </c>
      <c r="J99" s="3" t="str">
        <f t="shared" si="5"/>
        <v>#N/A</v>
      </c>
      <c r="K99" s="3" t="b">
        <f t="shared" si="6"/>
        <v>0</v>
      </c>
      <c r="M99" s="3" t="str">
        <f t="shared" si="7"/>
        <v>#N/A</v>
      </c>
      <c r="AU99" s="7"/>
      <c r="AV99" s="6"/>
      <c r="AW99" s="8"/>
      <c r="AX99" s="7"/>
      <c r="AY99" s="6"/>
      <c r="AZ99" s="8"/>
      <c r="BA99" s="7"/>
      <c r="BB99" s="6"/>
      <c r="BC99" s="8"/>
      <c r="BD99" s="7"/>
      <c r="BE99" s="6"/>
      <c r="BF99" s="8"/>
      <c r="BG99" s="7"/>
      <c r="BH99" s="6"/>
      <c r="BI99" s="8"/>
      <c r="BJ99" s="7"/>
      <c r="BK99" s="6"/>
      <c r="BL99" s="8"/>
      <c r="BM99" s="7"/>
      <c r="BN99" s="6"/>
      <c r="BO99" s="8"/>
      <c r="BP99" s="7"/>
      <c r="BQ99" s="6"/>
      <c r="BR99" s="8"/>
    </row>
    <row r="100">
      <c r="A100" s="6"/>
      <c r="B100" s="6" t="s">
        <v>100</v>
      </c>
      <c r="C100" s="3" t="str">
        <f t="shared" si="1"/>
        <v>_bright silver</v>
      </c>
      <c r="D100" s="3" t="str">
        <f t="shared" si="8"/>
        <v>#N/A</v>
      </c>
      <c r="E100" s="3" t="b">
        <f t="shared" si="2"/>
        <v>0</v>
      </c>
      <c r="G100" s="3" t="str">
        <f t="shared" si="3"/>
        <v>#N/A</v>
      </c>
      <c r="H100" s="3" t="b">
        <f t="shared" si="4"/>
        <v>0</v>
      </c>
      <c r="J100" s="3" t="str">
        <f t="shared" si="5"/>
        <v>#N/A</v>
      </c>
      <c r="K100" s="3" t="b">
        <f t="shared" si="6"/>
        <v>0</v>
      </c>
      <c r="M100" s="3" t="str">
        <f t="shared" si="7"/>
        <v>#N/A</v>
      </c>
      <c r="AU100" s="7"/>
      <c r="AV100" s="6"/>
      <c r="AW100" s="8"/>
      <c r="AX100" s="7"/>
      <c r="AY100" s="6"/>
      <c r="AZ100" s="8"/>
      <c r="BA100" s="7"/>
      <c r="BB100" s="6"/>
      <c r="BC100" s="8"/>
      <c r="BD100" s="7"/>
      <c r="BE100" s="6"/>
      <c r="BF100" s="8"/>
      <c r="BG100" s="7"/>
      <c r="BH100" s="6"/>
      <c r="BI100" s="8"/>
      <c r="BJ100" s="7"/>
      <c r="BK100" s="6"/>
      <c r="BL100" s="8"/>
      <c r="BM100" s="7"/>
      <c r="BN100" s="6"/>
      <c r="BO100" s="8"/>
      <c r="BP100" s="7"/>
      <c r="BQ100" s="6"/>
      <c r="BR100" s="8"/>
    </row>
    <row r="101">
      <c r="A101" s="6"/>
      <c r="B101" s="6" t="s">
        <v>101</v>
      </c>
      <c r="C101" s="3" t="str">
        <f t="shared" si="1"/>
        <v>_posh green</v>
      </c>
      <c r="D101" s="3" t="str">
        <f t="shared" si="8"/>
        <v>#N/A</v>
      </c>
      <c r="E101" s="3" t="b">
        <f t="shared" si="2"/>
        <v>0</v>
      </c>
      <c r="G101" s="3" t="str">
        <f t="shared" si="3"/>
        <v>#N/A</v>
      </c>
      <c r="H101" s="3" t="b">
        <f t="shared" si="4"/>
        <v>0</v>
      </c>
      <c r="J101" s="3" t="str">
        <f t="shared" si="5"/>
        <v>#N/A</v>
      </c>
      <c r="K101" s="3" t="b">
        <f t="shared" si="6"/>
        <v>0</v>
      </c>
      <c r="M101" s="3" t="str">
        <f t="shared" si="7"/>
        <v>#N/A</v>
      </c>
      <c r="AU101" s="7"/>
      <c r="AV101" s="6"/>
      <c r="AW101" s="8"/>
      <c r="AX101" s="7"/>
      <c r="AY101" s="6"/>
      <c r="AZ101" s="8"/>
      <c r="BA101" s="7"/>
      <c r="BB101" s="6"/>
      <c r="BC101" s="8"/>
      <c r="BD101" s="7"/>
      <c r="BE101" s="6"/>
      <c r="BF101" s="8"/>
      <c r="BG101" s="7"/>
      <c r="BH101" s="6"/>
      <c r="BI101" s="8"/>
      <c r="BJ101" s="7"/>
      <c r="BK101" s="6"/>
      <c r="BL101" s="8"/>
      <c r="BM101" s="7"/>
      <c r="BN101" s="6"/>
      <c r="BO101" s="8"/>
      <c r="BP101" s="7"/>
      <c r="BQ101" s="6"/>
      <c r="BR101" s="8"/>
    </row>
    <row r="102">
      <c r="A102" s="6"/>
      <c r="B102" s="6" t="s">
        <v>102</v>
      </c>
      <c r="C102" s="3" t="str">
        <f t="shared" si="1"/>
        <v>_dotted fuchsia</v>
      </c>
      <c r="D102" s="3" t="str">
        <f t="shared" si="8"/>
        <v>#N/A</v>
      </c>
      <c r="E102" s="3" t="b">
        <f t="shared" si="2"/>
        <v>0</v>
      </c>
      <c r="G102" s="3" t="str">
        <f t="shared" si="3"/>
        <v>#N/A</v>
      </c>
      <c r="H102" s="3" t="b">
        <f t="shared" si="4"/>
        <v>0</v>
      </c>
      <c r="J102" s="3" t="str">
        <f t="shared" si="5"/>
        <v>#N/A</v>
      </c>
      <c r="K102" s="3" t="b">
        <f t="shared" si="6"/>
        <v>0</v>
      </c>
      <c r="M102" s="3" t="str">
        <f t="shared" si="7"/>
        <v>#N/A</v>
      </c>
      <c r="AU102" s="7"/>
      <c r="AV102" s="6"/>
      <c r="AW102" s="8"/>
      <c r="AX102" s="7"/>
      <c r="AY102" s="6"/>
      <c r="AZ102" s="8"/>
      <c r="BA102" s="7"/>
      <c r="BB102" s="6"/>
      <c r="BC102" s="8"/>
      <c r="BD102" s="7"/>
      <c r="BE102" s="6"/>
      <c r="BF102" s="8"/>
      <c r="BG102" s="7"/>
      <c r="BH102" s="6"/>
      <c r="BI102" s="8"/>
      <c r="BJ102" s="7"/>
      <c r="BK102" s="6"/>
      <c r="BL102" s="8"/>
      <c r="BM102" s="7"/>
      <c r="BN102" s="6"/>
      <c r="BO102" s="8"/>
      <c r="BP102" s="7"/>
      <c r="BQ102" s="6"/>
      <c r="BR102" s="8"/>
    </row>
    <row r="103">
      <c r="A103" s="6"/>
      <c r="B103" s="6" t="s">
        <v>103</v>
      </c>
      <c r="C103" s="3" t="str">
        <f t="shared" si="1"/>
        <v>_dim fuchsia</v>
      </c>
      <c r="D103" s="3" t="str">
        <f t="shared" si="8"/>
        <v>#N/A</v>
      </c>
      <c r="E103" s="3" t="b">
        <f t="shared" si="2"/>
        <v>0</v>
      </c>
      <c r="G103" s="3" t="str">
        <f t="shared" si="3"/>
        <v>#N/A</v>
      </c>
      <c r="H103" s="3" t="b">
        <f t="shared" si="4"/>
        <v>0</v>
      </c>
      <c r="J103" s="3" t="str">
        <f t="shared" si="5"/>
        <v>#N/A</v>
      </c>
      <c r="K103" s="3" t="b">
        <f t="shared" si="6"/>
        <v>0</v>
      </c>
      <c r="M103" s="3" t="str">
        <f t="shared" si="7"/>
        <v>#N/A</v>
      </c>
      <c r="AU103" s="7"/>
      <c r="AV103" s="6"/>
      <c r="AW103" s="8"/>
      <c r="AX103" s="7"/>
      <c r="AY103" s="6"/>
      <c r="AZ103" s="8"/>
      <c r="BA103" s="7"/>
      <c r="BB103" s="6"/>
      <c r="BC103" s="8"/>
      <c r="BD103" s="7"/>
      <c r="BE103" s="6"/>
      <c r="BF103" s="8"/>
      <c r="BG103" s="7"/>
      <c r="BH103" s="6"/>
      <c r="BI103" s="8"/>
      <c r="BJ103" s="7"/>
      <c r="BK103" s="6"/>
      <c r="BL103" s="8"/>
      <c r="BM103" s="7"/>
      <c r="BN103" s="6"/>
      <c r="BO103" s="8"/>
      <c r="BP103" s="7"/>
      <c r="BQ103" s="6"/>
      <c r="BR103" s="8"/>
    </row>
    <row r="104">
      <c r="A104" s="6"/>
      <c r="B104" s="6" t="s">
        <v>104</v>
      </c>
      <c r="C104" s="3" t="str">
        <f t="shared" si="1"/>
        <v>_dotted cyan</v>
      </c>
      <c r="D104" s="3" t="str">
        <f t="shared" si="8"/>
        <v>#N/A</v>
      </c>
      <c r="E104" s="3" t="b">
        <f t="shared" si="2"/>
        <v>0</v>
      </c>
      <c r="G104" s="3" t="str">
        <f t="shared" si="3"/>
        <v>#N/A</v>
      </c>
      <c r="H104" s="3" t="b">
        <f t="shared" si="4"/>
        <v>0</v>
      </c>
      <c r="J104" s="3" t="str">
        <f t="shared" si="5"/>
        <v>#N/A</v>
      </c>
      <c r="K104" s="3" t="b">
        <f t="shared" si="6"/>
        <v>0</v>
      </c>
      <c r="M104" s="3" t="str">
        <f t="shared" si="7"/>
        <v>#N/A</v>
      </c>
      <c r="AU104" s="7"/>
      <c r="AV104" s="6"/>
      <c r="AW104" s="8"/>
      <c r="AX104" s="7"/>
      <c r="AY104" s="6"/>
      <c r="AZ104" s="8"/>
      <c r="BA104" s="7"/>
      <c r="BB104" s="6"/>
      <c r="BC104" s="8"/>
      <c r="BD104" s="7"/>
      <c r="BE104" s="6"/>
      <c r="BF104" s="8"/>
      <c r="BG104" s="7"/>
      <c r="BH104" s="6"/>
      <c r="BI104" s="8"/>
      <c r="BJ104" s="7"/>
      <c r="BK104" s="6"/>
      <c r="BL104" s="8"/>
      <c r="BM104" s="7"/>
      <c r="BN104" s="6"/>
      <c r="BO104" s="8"/>
      <c r="BP104" s="7"/>
      <c r="BQ104" s="6"/>
      <c r="BR104" s="8"/>
    </row>
    <row r="105">
      <c r="A105" s="6"/>
      <c r="B105" s="6" t="s">
        <v>105</v>
      </c>
      <c r="C105" s="3" t="str">
        <f t="shared" si="1"/>
        <v>_dark beige</v>
      </c>
      <c r="D105" s="3" t="str">
        <f t="shared" si="8"/>
        <v>#N/A</v>
      </c>
      <c r="E105" s="3" t="b">
        <f t="shared" si="2"/>
        <v>0</v>
      </c>
      <c r="G105" s="3" t="str">
        <f t="shared" si="3"/>
        <v>#N/A</v>
      </c>
      <c r="H105" s="3" t="b">
        <f t="shared" si="4"/>
        <v>0</v>
      </c>
      <c r="J105" s="3" t="str">
        <f t="shared" si="5"/>
        <v>#N/A</v>
      </c>
      <c r="K105" s="3" t="b">
        <f t="shared" si="6"/>
        <v>0</v>
      </c>
      <c r="M105" s="3" t="str">
        <f t="shared" si="7"/>
        <v>#N/A</v>
      </c>
      <c r="AU105" s="7"/>
      <c r="AV105" s="6"/>
      <c r="AW105" s="8"/>
      <c r="AX105" s="7"/>
      <c r="AY105" s="6"/>
      <c r="AZ105" s="8"/>
      <c r="BA105" s="7"/>
      <c r="BB105" s="6"/>
      <c r="BC105" s="8"/>
      <c r="BD105" s="7"/>
      <c r="BE105" s="6"/>
      <c r="BF105" s="8"/>
      <c r="BG105" s="7"/>
      <c r="BH105" s="6"/>
      <c r="BI105" s="8"/>
      <c r="BJ105" s="7"/>
      <c r="BK105" s="6"/>
      <c r="BL105" s="8"/>
      <c r="BM105" s="7"/>
      <c r="BN105" s="6"/>
      <c r="BO105" s="8"/>
      <c r="BP105" s="7"/>
      <c r="BQ105" s="6"/>
      <c r="BR105" s="8"/>
    </row>
    <row r="106">
      <c r="A106" s="6"/>
      <c r="B106" s="6" t="s">
        <v>106</v>
      </c>
      <c r="C106" s="3" t="str">
        <f t="shared" si="1"/>
        <v>_striped magenta</v>
      </c>
      <c r="D106" s="3" t="str">
        <f t="shared" si="8"/>
        <v>#N/A</v>
      </c>
      <c r="E106" s="3" t="b">
        <f t="shared" si="2"/>
        <v>0</v>
      </c>
      <c r="G106" s="3" t="str">
        <f t="shared" si="3"/>
        <v>#N/A</v>
      </c>
      <c r="H106" s="3" t="b">
        <f t="shared" si="4"/>
        <v>0</v>
      </c>
      <c r="J106" s="3" t="str">
        <f t="shared" si="5"/>
        <v>#N/A</v>
      </c>
      <c r="K106" s="3" t="b">
        <f t="shared" si="6"/>
        <v>0</v>
      </c>
      <c r="M106" s="3" t="str">
        <f t="shared" si="7"/>
        <v>#N/A</v>
      </c>
      <c r="AU106" s="7"/>
      <c r="AV106" s="6"/>
      <c r="AW106" s="8"/>
      <c r="AX106" s="7"/>
      <c r="AY106" s="6"/>
      <c r="AZ106" s="8"/>
      <c r="BA106" s="7"/>
      <c r="BB106" s="6"/>
      <c r="BC106" s="8"/>
      <c r="BD106" s="7"/>
      <c r="BE106" s="6"/>
      <c r="BF106" s="8"/>
      <c r="BG106" s="7"/>
      <c r="BH106" s="6"/>
      <c r="BI106" s="8"/>
      <c r="BJ106" s="7"/>
      <c r="BK106" s="6"/>
      <c r="BL106" s="8"/>
      <c r="BM106" s="7"/>
      <c r="BN106" s="6"/>
      <c r="BO106" s="8"/>
      <c r="BP106" s="7"/>
      <c r="BQ106" s="6"/>
      <c r="BR106" s="8"/>
    </row>
    <row r="107">
      <c r="A107" s="6"/>
      <c r="B107" s="6" t="s">
        <v>107</v>
      </c>
      <c r="C107" s="3" t="str">
        <f t="shared" si="1"/>
        <v>_striped blue</v>
      </c>
      <c r="D107" s="3" t="str">
        <f t="shared" si="8"/>
        <v>#N/A</v>
      </c>
      <c r="E107" s="3" t="b">
        <f t="shared" si="2"/>
        <v>0</v>
      </c>
      <c r="G107" s="3" t="str">
        <f t="shared" si="3"/>
        <v>#N/A</v>
      </c>
      <c r="H107" s="3" t="b">
        <f t="shared" si="4"/>
        <v>0</v>
      </c>
      <c r="J107" s="3" t="str">
        <f t="shared" si="5"/>
        <v>#N/A</v>
      </c>
      <c r="K107" s="3" t="b">
        <f t="shared" si="6"/>
        <v>0</v>
      </c>
      <c r="M107" s="3" t="str">
        <f t="shared" si="7"/>
        <v>#N/A</v>
      </c>
      <c r="AU107" s="7"/>
      <c r="AV107" s="6"/>
      <c r="AW107" s="8"/>
      <c r="AX107" s="7"/>
      <c r="AY107" s="6"/>
      <c r="AZ107" s="8"/>
      <c r="BA107" s="7"/>
      <c r="BB107" s="6"/>
      <c r="BC107" s="8"/>
      <c r="BD107" s="7"/>
      <c r="BE107" s="6"/>
      <c r="BF107" s="8"/>
      <c r="BG107" s="7"/>
      <c r="BH107" s="6"/>
      <c r="BI107" s="8"/>
      <c r="BJ107" s="7"/>
      <c r="BK107" s="6"/>
      <c r="BL107" s="8"/>
      <c r="BM107" s="7"/>
      <c r="BN107" s="6"/>
      <c r="BO107" s="8"/>
      <c r="BP107" s="7"/>
      <c r="BQ107" s="6"/>
      <c r="BR107" s="8"/>
    </row>
    <row r="108">
      <c r="A108" s="6"/>
      <c r="B108" s="6" t="s">
        <v>108</v>
      </c>
      <c r="C108" s="3" t="str">
        <f t="shared" si="1"/>
        <v>_light silver</v>
      </c>
      <c r="D108" s="3" t="str">
        <f t="shared" si="8"/>
        <v>#N/A</v>
      </c>
      <c r="E108" s="3" t="b">
        <f t="shared" si="2"/>
        <v>0</v>
      </c>
      <c r="G108" s="3" t="str">
        <f t="shared" si="3"/>
        <v>#N/A</v>
      </c>
      <c r="H108" s="3" t="b">
        <f t="shared" si="4"/>
        <v>0</v>
      </c>
      <c r="J108" s="3" t="str">
        <f t="shared" si="5"/>
        <v>#N/A</v>
      </c>
      <c r="K108" s="3" t="b">
        <f t="shared" si="6"/>
        <v>0</v>
      </c>
      <c r="M108" s="3" t="str">
        <f t="shared" si="7"/>
        <v>#N/A</v>
      </c>
      <c r="AU108" s="7"/>
      <c r="AV108" s="6"/>
      <c r="AW108" s="8"/>
      <c r="AX108" s="7"/>
      <c r="AY108" s="6"/>
      <c r="AZ108" s="8"/>
      <c r="BA108" s="7"/>
      <c r="BB108" s="6"/>
      <c r="BC108" s="8"/>
      <c r="BD108" s="7"/>
      <c r="BE108" s="6"/>
      <c r="BF108" s="8"/>
      <c r="BG108" s="7"/>
      <c r="BH108" s="6"/>
      <c r="BI108" s="8"/>
      <c r="BJ108" s="7"/>
      <c r="BK108" s="6"/>
      <c r="BL108" s="8"/>
      <c r="BM108" s="7"/>
      <c r="BN108" s="6"/>
      <c r="BO108" s="8"/>
      <c r="BP108" s="7"/>
      <c r="BQ108" s="6"/>
      <c r="BR108" s="8"/>
    </row>
    <row r="109">
      <c r="A109" s="6"/>
      <c r="B109" s="6" t="s">
        <v>109</v>
      </c>
      <c r="C109" s="3" t="str">
        <f t="shared" si="1"/>
        <v>_pale indigo</v>
      </c>
      <c r="D109" s="3" t="str">
        <f t="shared" si="8"/>
        <v>#N/A</v>
      </c>
      <c r="E109" s="3" t="b">
        <f t="shared" si="2"/>
        <v>0</v>
      </c>
      <c r="G109" s="3" t="str">
        <f t="shared" si="3"/>
        <v>#N/A</v>
      </c>
      <c r="H109" s="3" t="b">
        <f t="shared" si="4"/>
        <v>0</v>
      </c>
      <c r="J109" s="3" t="str">
        <f t="shared" si="5"/>
        <v>#N/A</v>
      </c>
      <c r="K109" s="3" t="b">
        <f t="shared" si="6"/>
        <v>0</v>
      </c>
      <c r="M109" s="3" t="str">
        <f t="shared" si="7"/>
        <v>#N/A</v>
      </c>
      <c r="AU109" s="7"/>
      <c r="AV109" s="6"/>
      <c r="AW109" s="8"/>
      <c r="AX109" s="7"/>
      <c r="AY109" s="6"/>
      <c r="AZ109" s="8"/>
      <c r="BA109" s="7"/>
      <c r="BB109" s="6"/>
      <c r="BC109" s="8"/>
      <c r="BD109" s="7"/>
      <c r="BE109" s="6"/>
      <c r="BF109" s="8"/>
      <c r="BG109" s="7"/>
      <c r="BH109" s="6"/>
      <c r="BI109" s="8"/>
      <c r="BJ109" s="7"/>
      <c r="BK109" s="6"/>
      <c r="BL109" s="8"/>
      <c r="BM109" s="7"/>
      <c r="BN109" s="6"/>
      <c r="BO109" s="8"/>
      <c r="BP109" s="7"/>
      <c r="BQ109" s="6"/>
      <c r="BR109" s="8"/>
    </row>
    <row r="110">
      <c r="A110" s="6"/>
      <c r="B110" s="6" t="s">
        <v>110</v>
      </c>
      <c r="C110" s="3" t="str">
        <f t="shared" si="1"/>
        <v>_mirrored turquoise</v>
      </c>
      <c r="D110" s="3" t="str">
        <f t="shared" si="8"/>
        <v>#N/A</v>
      </c>
      <c r="E110" s="3" t="b">
        <f t="shared" si="2"/>
        <v>0</v>
      </c>
      <c r="G110" s="3" t="str">
        <f t="shared" si="3"/>
        <v>#N/A</v>
      </c>
      <c r="H110" s="3" t="b">
        <f t="shared" si="4"/>
        <v>0</v>
      </c>
      <c r="J110" s="3" t="str">
        <f t="shared" si="5"/>
        <v>#N/A</v>
      </c>
      <c r="K110" s="3" t="b">
        <f t="shared" si="6"/>
        <v>0</v>
      </c>
      <c r="M110" s="3" t="str">
        <f t="shared" si="7"/>
        <v>#N/A</v>
      </c>
      <c r="AU110" s="7"/>
      <c r="AV110" s="6"/>
      <c r="AW110" s="8"/>
      <c r="AX110" s="7"/>
      <c r="AY110" s="6"/>
      <c r="AZ110" s="8"/>
      <c r="BA110" s="7"/>
      <c r="BB110" s="6"/>
      <c r="BC110" s="8"/>
      <c r="BD110" s="7"/>
      <c r="BE110" s="6"/>
      <c r="BF110" s="8"/>
      <c r="BG110" s="7"/>
      <c r="BH110" s="6"/>
      <c r="BI110" s="8"/>
      <c r="BJ110" s="7"/>
      <c r="BK110" s="6"/>
      <c r="BL110" s="8"/>
      <c r="BM110" s="7"/>
      <c r="BN110" s="6"/>
      <c r="BO110" s="8"/>
      <c r="BP110" s="7"/>
      <c r="BQ110" s="6"/>
      <c r="BR110" s="8"/>
    </row>
    <row r="111">
      <c r="A111" s="6"/>
      <c r="B111" s="6" t="s">
        <v>111</v>
      </c>
      <c r="C111" s="3" t="str">
        <f t="shared" si="1"/>
        <v>_striped beige</v>
      </c>
      <c r="D111" s="3" t="str">
        <f t="shared" si="8"/>
        <v>#N/A</v>
      </c>
      <c r="E111" s="3" t="b">
        <f t="shared" si="2"/>
        <v>0</v>
      </c>
      <c r="G111" s="3" t="str">
        <f t="shared" si="3"/>
        <v>#N/A</v>
      </c>
      <c r="H111" s="3" t="b">
        <f t="shared" si="4"/>
        <v>0</v>
      </c>
      <c r="J111" s="3" t="str">
        <f t="shared" si="5"/>
        <v>#N/A</v>
      </c>
      <c r="K111" s="3" t="b">
        <f t="shared" si="6"/>
        <v>0</v>
      </c>
      <c r="M111" s="3" t="str">
        <f t="shared" si="7"/>
        <v>#N/A</v>
      </c>
      <c r="AU111" s="7"/>
      <c r="AV111" s="6"/>
      <c r="AW111" s="8"/>
      <c r="AX111" s="7"/>
      <c r="AY111" s="6"/>
      <c r="AZ111" s="8"/>
      <c r="BA111" s="7"/>
      <c r="BB111" s="6"/>
      <c r="BC111" s="8"/>
      <c r="BD111" s="7"/>
      <c r="BE111" s="6"/>
      <c r="BF111" s="8"/>
      <c r="BG111" s="7"/>
      <c r="BH111" s="6"/>
      <c r="BI111" s="8"/>
      <c r="BJ111" s="7"/>
      <c r="BK111" s="6"/>
      <c r="BL111" s="8"/>
      <c r="BM111" s="7"/>
      <c r="BN111" s="6"/>
      <c r="BO111" s="8"/>
      <c r="BP111" s="7"/>
      <c r="BQ111" s="6"/>
      <c r="BR111" s="8"/>
    </row>
    <row r="112">
      <c r="A112" s="6"/>
      <c r="B112" s="6" t="s">
        <v>112</v>
      </c>
      <c r="C112" s="3" t="str">
        <f t="shared" si="1"/>
        <v>_pale silver</v>
      </c>
      <c r="D112" s="3" t="str">
        <f t="shared" si="8"/>
        <v>#N/A</v>
      </c>
      <c r="E112" s="3" t="b">
        <f t="shared" si="2"/>
        <v>0</v>
      </c>
      <c r="G112" s="3" t="str">
        <f t="shared" si="3"/>
        <v>#N/A</v>
      </c>
      <c r="H112" s="3" t="b">
        <f t="shared" si="4"/>
        <v>0</v>
      </c>
      <c r="J112" s="3" t="str">
        <f t="shared" si="5"/>
        <v>#N/A</v>
      </c>
      <c r="K112" s="3" t="b">
        <f t="shared" si="6"/>
        <v>0</v>
      </c>
      <c r="M112" s="3" t="str">
        <f t="shared" si="7"/>
        <v>#N/A</v>
      </c>
      <c r="AU112" s="7"/>
      <c r="AV112" s="6"/>
      <c r="AW112" s="8"/>
      <c r="AX112" s="7"/>
      <c r="AY112" s="6"/>
      <c r="AZ112" s="8"/>
      <c r="BA112" s="7"/>
      <c r="BB112" s="6"/>
      <c r="BC112" s="8"/>
      <c r="BD112" s="7"/>
      <c r="BE112" s="6"/>
      <c r="BF112" s="8"/>
      <c r="BG112" s="7"/>
      <c r="BH112" s="6"/>
      <c r="BI112" s="8"/>
      <c r="BJ112" s="7"/>
      <c r="BK112" s="6"/>
      <c r="BL112" s="8"/>
      <c r="BM112" s="7"/>
      <c r="BN112" s="6"/>
      <c r="BO112" s="8"/>
      <c r="BP112" s="7"/>
      <c r="BQ112" s="6"/>
      <c r="BR112" s="8"/>
    </row>
    <row r="113">
      <c r="A113" s="6"/>
      <c r="B113" s="6" t="s">
        <v>113</v>
      </c>
      <c r="C113" s="3" t="str">
        <f t="shared" si="1"/>
        <v>_dark lime</v>
      </c>
      <c r="D113" s="3" t="str">
        <f t="shared" si="8"/>
        <v>#N/A</v>
      </c>
      <c r="E113" s="3" t="b">
        <f t="shared" si="2"/>
        <v>0</v>
      </c>
      <c r="G113" s="3" t="str">
        <f t="shared" si="3"/>
        <v>#N/A</v>
      </c>
      <c r="H113" s="3" t="b">
        <f t="shared" si="4"/>
        <v>0</v>
      </c>
      <c r="J113" s="3" t="str">
        <f t="shared" si="5"/>
        <v>#N/A</v>
      </c>
      <c r="K113" s="3" t="b">
        <f t="shared" si="6"/>
        <v>0</v>
      </c>
      <c r="M113" s="3" t="str">
        <f t="shared" si="7"/>
        <v>#N/A</v>
      </c>
      <c r="AU113" s="7"/>
      <c r="AV113" s="6"/>
      <c r="AW113" s="8"/>
      <c r="AX113" s="7"/>
      <c r="AY113" s="6"/>
      <c r="AZ113" s="8"/>
      <c r="BA113" s="7"/>
      <c r="BB113" s="6"/>
      <c r="BC113" s="8"/>
      <c r="BD113" s="7"/>
      <c r="BE113" s="6"/>
      <c r="BF113" s="8"/>
      <c r="BG113" s="7"/>
      <c r="BH113" s="6"/>
      <c r="BI113" s="8"/>
      <c r="BJ113" s="7"/>
      <c r="BK113" s="6"/>
      <c r="BL113" s="8"/>
      <c r="BM113" s="7"/>
      <c r="BN113" s="6"/>
      <c r="BO113" s="8"/>
      <c r="BP113" s="7"/>
      <c r="BQ113" s="6"/>
      <c r="BR113" s="8"/>
    </row>
    <row r="114">
      <c r="A114" s="6"/>
      <c r="B114" s="6" t="s">
        <v>114</v>
      </c>
      <c r="C114" s="3" t="str">
        <f t="shared" si="1"/>
        <v>_faded coral</v>
      </c>
      <c r="D114" s="3" t="str">
        <f t="shared" si="8"/>
        <v>#N/A</v>
      </c>
      <c r="E114" s="3" t="b">
        <f t="shared" si="2"/>
        <v>0</v>
      </c>
      <c r="G114" s="3" t="str">
        <f t="shared" si="3"/>
        <v>#N/A</v>
      </c>
      <c r="H114" s="3" t="b">
        <f t="shared" si="4"/>
        <v>0</v>
      </c>
      <c r="J114" s="3" t="str">
        <f t="shared" si="5"/>
        <v>#N/A</v>
      </c>
      <c r="K114" s="3" t="b">
        <f t="shared" si="6"/>
        <v>0</v>
      </c>
      <c r="M114" s="3" t="str">
        <f t="shared" si="7"/>
        <v>#N/A</v>
      </c>
      <c r="AU114" s="7"/>
      <c r="AV114" s="6"/>
      <c r="AW114" s="8"/>
      <c r="AX114" s="7"/>
      <c r="AY114" s="6"/>
      <c r="AZ114" s="8"/>
      <c r="BA114" s="7"/>
      <c r="BB114" s="6"/>
      <c r="BC114" s="8"/>
      <c r="BD114" s="7"/>
      <c r="BE114" s="6"/>
      <c r="BF114" s="8"/>
      <c r="BG114" s="7"/>
      <c r="BH114" s="6"/>
      <c r="BI114" s="8"/>
      <c r="BJ114" s="7"/>
      <c r="BK114" s="6"/>
      <c r="BL114" s="8"/>
      <c r="BM114" s="7"/>
      <c r="BN114" s="6"/>
      <c r="BO114" s="8"/>
      <c r="BP114" s="7"/>
      <c r="BQ114" s="6"/>
      <c r="BR114" s="8"/>
    </row>
    <row r="115">
      <c r="A115" s="6"/>
      <c r="B115" s="6" t="s">
        <v>115</v>
      </c>
      <c r="C115" s="3" t="str">
        <f t="shared" si="1"/>
        <v>_mirrored lavender</v>
      </c>
      <c r="D115" s="3" t="str">
        <f t="shared" si="8"/>
        <v>#N/A</v>
      </c>
      <c r="E115" s="3" t="b">
        <f t="shared" si="2"/>
        <v>0</v>
      </c>
      <c r="G115" s="3" t="str">
        <f t="shared" si="3"/>
        <v>#N/A</v>
      </c>
      <c r="H115" s="3" t="b">
        <f t="shared" si="4"/>
        <v>0</v>
      </c>
      <c r="J115" s="3" t="str">
        <f t="shared" si="5"/>
        <v>#N/A</v>
      </c>
      <c r="K115" s="3" t="b">
        <f t="shared" si="6"/>
        <v>0</v>
      </c>
      <c r="M115" s="3" t="str">
        <f t="shared" si="7"/>
        <v>#N/A</v>
      </c>
      <c r="AU115" s="7"/>
      <c r="AV115" s="6"/>
      <c r="AW115" s="8"/>
      <c r="AX115" s="7"/>
      <c r="AY115" s="6"/>
      <c r="AZ115" s="8"/>
      <c r="BA115" s="7"/>
      <c r="BB115" s="6"/>
      <c r="BC115" s="8"/>
      <c r="BD115" s="7"/>
      <c r="BE115" s="6"/>
      <c r="BF115" s="8"/>
      <c r="BG115" s="7"/>
      <c r="BH115" s="6"/>
      <c r="BI115" s="8"/>
      <c r="BJ115" s="7"/>
      <c r="BK115" s="6"/>
      <c r="BL115" s="8"/>
      <c r="BM115" s="7"/>
      <c r="BN115" s="6"/>
      <c r="BO115" s="8"/>
      <c r="BP115" s="7"/>
      <c r="BQ115" s="6"/>
      <c r="BR115" s="8"/>
    </row>
    <row r="116">
      <c r="A116" s="6"/>
      <c r="B116" s="6" t="s">
        <v>116</v>
      </c>
      <c r="C116" s="3" t="str">
        <f t="shared" si="1"/>
        <v>_bright crimson</v>
      </c>
      <c r="D116" s="3" t="str">
        <f t="shared" si="8"/>
        <v>#N/A</v>
      </c>
      <c r="E116" s="3" t="b">
        <f t="shared" si="2"/>
        <v>0</v>
      </c>
      <c r="G116" s="3" t="str">
        <f t="shared" si="3"/>
        <v>#N/A</v>
      </c>
      <c r="H116" s="3" t="b">
        <f t="shared" si="4"/>
        <v>0</v>
      </c>
      <c r="J116" s="3" t="str">
        <f t="shared" si="5"/>
        <v>#N/A</v>
      </c>
      <c r="K116" s="3" t="b">
        <f t="shared" si="6"/>
        <v>0</v>
      </c>
      <c r="M116" s="3" t="str">
        <f t="shared" si="7"/>
        <v>#N/A</v>
      </c>
      <c r="AU116" s="7"/>
      <c r="AV116" s="6"/>
      <c r="AW116" s="8"/>
      <c r="AX116" s="7"/>
      <c r="AY116" s="6"/>
      <c r="AZ116" s="8"/>
      <c r="BA116" s="7"/>
      <c r="BB116" s="6"/>
      <c r="BC116" s="8"/>
      <c r="BD116" s="7"/>
      <c r="BE116" s="6"/>
      <c r="BF116" s="8"/>
      <c r="BG116" s="7"/>
      <c r="BH116" s="6"/>
      <c r="BI116" s="8"/>
      <c r="BJ116" s="7"/>
      <c r="BK116" s="6"/>
      <c r="BL116" s="8"/>
      <c r="BM116" s="7"/>
      <c r="BN116" s="6"/>
      <c r="BO116" s="8"/>
      <c r="BP116" s="7"/>
      <c r="BQ116" s="6"/>
      <c r="BR116" s="8"/>
    </row>
    <row r="117">
      <c r="A117" s="6"/>
      <c r="B117" s="6" t="s">
        <v>117</v>
      </c>
      <c r="C117" s="3" t="str">
        <f t="shared" si="1"/>
        <v>_striped gray</v>
      </c>
      <c r="D117" s="3" t="str">
        <f t="shared" si="8"/>
        <v>#N/A</v>
      </c>
      <c r="E117" s="3" t="b">
        <f t="shared" si="2"/>
        <v>0</v>
      </c>
      <c r="G117" s="3" t="str">
        <f t="shared" si="3"/>
        <v>#N/A</v>
      </c>
      <c r="H117" s="3" t="b">
        <f t="shared" si="4"/>
        <v>0</v>
      </c>
      <c r="J117" s="3" t="str">
        <f t="shared" si="5"/>
        <v>#N/A</v>
      </c>
      <c r="K117" s="3" t="b">
        <f t="shared" si="6"/>
        <v>0</v>
      </c>
      <c r="M117" s="3" t="str">
        <f t="shared" si="7"/>
        <v>#N/A</v>
      </c>
      <c r="AU117" s="7"/>
      <c r="AV117" s="6"/>
      <c r="AW117" s="8"/>
      <c r="AX117" s="7"/>
      <c r="AY117" s="6"/>
      <c r="AZ117" s="8"/>
      <c r="BA117" s="7"/>
      <c r="BB117" s="6"/>
      <c r="BC117" s="8"/>
      <c r="BD117" s="7"/>
      <c r="BE117" s="6"/>
      <c r="BF117" s="8"/>
      <c r="BG117" s="7"/>
      <c r="BH117" s="6"/>
      <c r="BI117" s="8"/>
      <c r="BJ117" s="7"/>
      <c r="BK117" s="6"/>
      <c r="BL117" s="8"/>
      <c r="BM117" s="7"/>
      <c r="BN117" s="6"/>
      <c r="BO117" s="8"/>
      <c r="BP117" s="7"/>
      <c r="BQ117" s="6"/>
      <c r="BR117" s="8"/>
    </row>
    <row r="118">
      <c r="A118" s="6"/>
      <c r="B118" s="6" t="s">
        <v>118</v>
      </c>
      <c r="C118" s="3" t="str">
        <f t="shared" si="1"/>
        <v>_dotted magenta</v>
      </c>
      <c r="D118" s="3" t="str">
        <f t="shared" si="8"/>
        <v>#N/A</v>
      </c>
      <c r="E118" s="3" t="b">
        <f t="shared" si="2"/>
        <v>0</v>
      </c>
      <c r="G118" s="3" t="str">
        <f t="shared" si="3"/>
        <v>#N/A</v>
      </c>
      <c r="H118" s="3" t="b">
        <f t="shared" si="4"/>
        <v>0</v>
      </c>
      <c r="J118" s="3" t="str">
        <f t="shared" si="5"/>
        <v>#N/A</v>
      </c>
      <c r="K118" s="3" t="b">
        <f t="shared" si="6"/>
        <v>0</v>
      </c>
      <c r="M118" s="3" t="str">
        <f t="shared" si="7"/>
        <v>#N/A</v>
      </c>
      <c r="AU118" s="7"/>
      <c r="AV118" s="6"/>
      <c r="AW118" s="8"/>
      <c r="AX118" s="7"/>
      <c r="AY118" s="6"/>
      <c r="AZ118" s="8"/>
      <c r="BA118" s="7"/>
      <c r="BB118" s="6"/>
      <c r="BC118" s="8"/>
      <c r="BD118" s="7"/>
      <c r="BE118" s="6"/>
      <c r="BF118" s="8"/>
      <c r="BG118" s="7"/>
      <c r="BH118" s="6"/>
      <c r="BI118" s="8"/>
      <c r="BJ118" s="7"/>
      <c r="BK118" s="6"/>
      <c r="BL118" s="8"/>
      <c r="BM118" s="7"/>
      <c r="BN118" s="6"/>
      <c r="BO118" s="8"/>
      <c r="BP118" s="7"/>
      <c r="BQ118" s="6"/>
      <c r="BR118" s="8"/>
    </row>
    <row r="119">
      <c r="A119" s="6"/>
      <c r="B119" s="6" t="s">
        <v>119</v>
      </c>
      <c r="C119" s="3" t="str">
        <f t="shared" si="1"/>
        <v>_posh white</v>
      </c>
      <c r="D119" s="3" t="str">
        <f t="shared" si="8"/>
        <v>#N/A</v>
      </c>
      <c r="E119" s="3" t="b">
        <f t="shared" si="2"/>
        <v>0</v>
      </c>
      <c r="G119" s="3" t="str">
        <f t="shared" si="3"/>
        <v>#N/A</v>
      </c>
      <c r="H119" s="3" t="b">
        <f t="shared" si="4"/>
        <v>0</v>
      </c>
      <c r="J119" s="3" t="str">
        <f t="shared" si="5"/>
        <v>#N/A</v>
      </c>
      <c r="K119" s="3" t="b">
        <f t="shared" si="6"/>
        <v>0</v>
      </c>
      <c r="M119" s="3" t="str">
        <f t="shared" si="7"/>
        <v>#N/A</v>
      </c>
      <c r="AU119" s="7"/>
      <c r="AV119" s="6"/>
      <c r="AW119" s="8"/>
      <c r="AX119" s="7"/>
      <c r="AY119" s="6"/>
      <c r="AZ119" s="8"/>
      <c r="BA119" s="7"/>
      <c r="BB119" s="6"/>
      <c r="BC119" s="8"/>
      <c r="BD119" s="7"/>
      <c r="BE119" s="6"/>
      <c r="BF119" s="8"/>
      <c r="BG119" s="7"/>
      <c r="BH119" s="6"/>
      <c r="BI119" s="8"/>
      <c r="BJ119" s="7"/>
      <c r="BK119" s="6"/>
      <c r="BL119" s="8"/>
      <c r="BM119" s="7"/>
      <c r="BN119" s="6"/>
      <c r="BO119" s="8"/>
      <c r="BP119" s="7"/>
      <c r="BQ119" s="6"/>
      <c r="BR119" s="8"/>
    </row>
    <row r="120">
      <c r="A120" s="6"/>
      <c r="B120" s="6" t="s">
        <v>120</v>
      </c>
      <c r="C120" s="3" t="str">
        <f t="shared" si="1"/>
        <v>_striped red</v>
      </c>
      <c r="D120" s="3" t="str">
        <f t="shared" si="8"/>
        <v>#N/A</v>
      </c>
      <c r="E120" s="3" t="b">
        <f t="shared" si="2"/>
        <v>0</v>
      </c>
      <c r="G120" s="3" t="str">
        <f t="shared" si="3"/>
        <v>#N/A</v>
      </c>
      <c r="H120" s="3" t="b">
        <f t="shared" si="4"/>
        <v>0</v>
      </c>
      <c r="J120" s="3" t="str">
        <f t="shared" si="5"/>
        <v>#N/A</v>
      </c>
      <c r="K120" s="3" t="b">
        <f t="shared" si="6"/>
        <v>0</v>
      </c>
      <c r="M120" s="3" t="str">
        <f t="shared" si="7"/>
        <v>#N/A</v>
      </c>
      <c r="AU120" s="7"/>
      <c r="AV120" s="6"/>
      <c r="AW120" s="8"/>
      <c r="AX120" s="7"/>
      <c r="AY120" s="6"/>
      <c r="AZ120" s="8"/>
      <c r="BA120" s="7"/>
      <c r="BB120" s="6"/>
      <c r="BC120" s="8"/>
      <c r="BD120" s="7"/>
      <c r="BE120" s="6"/>
      <c r="BF120" s="8"/>
      <c r="BG120" s="7"/>
      <c r="BH120" s="6"/>
      <c r="BI120" s="8"/>
      <c r="BJ120" s="7"/>
      <c r="BK120" s="6"/>
      <c r="BL120" s="8"/>
      <c r="BM120" s="7"/>
      <c r="BN120" s="6"/>
      <c r="BO120" s="8"/>
      <c r="BP120" s="7"/>
      <c r="BQ120" s="6"/>
      <c r="BR120" s="8"/>
    </row>
    <row r="121">
      <c r="A121" s="6"/>
      <c r="B121" s="6" t="s">
        <v>121</v>
      </c>
      <c r="C121" s="3" t="str">
        <f t="shared" si="1"/>
        <v>_pale white</v>
      </c>
      <c r="D121" s="3" t="str">
        <f t="shared" si="8"/>
        <v>#N/A</v>
      </c>
      <c r="E121" s="3" t="b">
        <f t="shared" si="2"/>
        <v>0</v>
      </c>
      <c r="G121" s="3" t="str">
        <f t="shared" si="3"/>
        <v>#N/A</v>
      </c>
      <c r="H121" s="3" t="b">
        <f t="shared" si="4"/>
        <v>0</v>
      </c>
      <c r="J121" s="3" t="str">
        <f t="shared" si="5"/>
        <v>#N/A</v>
      </c>
      <c r="K121" s="3" t="b">
        <f t="shared" si="6"/>
        <v>0</v>
      </c>
      <c r="M121" s="3" t="str">
        <f t="shared" si="7"/>
        <v>#N/A</v>
      </c>
      <c r="AU121" s="7"/>
      <c r="AV121" s="6"/>
      <c r="AW121" s="8"/>
      <c r="AX121" s="7"/>
      <c r="AY121" s="6"/>
      <c r="AZ121" s="8"/>
      <c r="BA121" s="7"/>
      <c r="BB121" s="6"/>
      <c r="BC121" s="8"/>
      <c r="BD121" s="7"/>
      <c r="BE121" s="6"/>
      <c r="BF121" s="8"/>
      <c r="BG121" s="7"/>
      <c r="BH121" s="6"/>
      <c r="BI121" s="8"/>
      <c r="BJ121" s="7"/>
      <c r="BK121" s="6"/>
      <c r="BL121" s="8"/>
      <c r="BM121" s="7"/>
      <c r="BN121" s="6"/>
      <c r="BO121" s="8"/>
      <c r="BP121" s="7"/>
      <c r="BQ121" s="6"/>
      <c r="BR121" s="8"/>
    </row>
    <row r="122">
      <c r="A122" s="6"/>
      <c r="B122" s="6" t="s">
        <v>122</v>
      </c>
      <c r="C122" s="3" t="str">
        <f t="shared" si="1"/>
        <v>_shiny coral</v>
      </c>
      <c r="D122" s="3" t="str">
        <f t="shared" si="8"/>
        <v>#N/A</v>
      </c>
      <c r="E122" s="3" t="b">
        <f t="shared" si="2"/>
        <v>0</v>
      </c>
      <c r="G122" s="3" t="str">
        <f t="shared" si="3"/>
        <v>#N/A</v>
      </c>
      <c r="H122" s="3" t="b">
        <f t="shared" si="4"/>
        <v>0</v>
      </c>
      <c r="J122" s="3" t="str">
        <f t="shared" si="5"/>
        <v>#N/A</v>
      </c>
      <c r="K122" s="3" t="b">
        <f t="shared" si="6"/>
        <v>0</v>
      </c>
      <c r="M122" s="3" t="str">
        <f t="shared" si="7"/>
        <v>#N/A</v>
      </c>
      <c r="AU122" s="7"/>
      <c r="AV122" s="6"/>
      <c r="AW122" s="8"/>
      <c r="AX122" s="7"/>
      <c r="AY122" s="6"/>
      <c r="AZ122" s="8"/>
      <c r="BA122" s="7"/>
      <c r="BB122" s="6"/>
      <c r="BC122" s="8"/>
      <c r="BD122" s="7"/>
      <c r="BE122" s="6"/>
      <c r="BF122" s="8"/>
      <c r="BG122" s="7"/>
      <c r="BH122" s="6"/>
      <c r="BI122" s="8"/>
      <c r="BJ122" s="7"/>
      <c r="BK122" s="6"/>
      <c r="BL122" s="8"/>
      <c r="BM122" s="7"/>
      <c r="BN122" s="6"/>
      <c r="BO122" s="8"/>
      <c r="BP122" s="7"/>
      <c r="BQ122" s="6"/>
      <c r="BR122" s="8"/>
    </row>
    <row r="123">
      <c r="A123" s="6"/>
      <c r="B123" s="6" t="s">
        <v>123</v>
      </c>
      <c r="C123" s="3" t="str">
        <f t="shared" si="1"/>
        <v>_dark magenta</v>
      </c>
      <c r="D123" s="3" t="str">
        <f t="shared" si="8"/>
        <v>#N/A</v>
      </c>
      <c r="E123" s="3" t="b">
        <f t="shared" si="2"/>
        <v>0</v>
      </c>
      <c r="G123" s="3" t="str">
        <f t="shared" si="3"/>
        <v>#N/A</v>
      </c>
      <c r="H123" s="3" t="b">
        <f t="shared" si="4"/>
        <v>0</v>
      </c>
      <c r="J123" s="3" t="str">
        <f t="shared" si="5"/>
        <v>#N/A</v>
      </c>
      <c r="K123" s="3" t="b">
        <f t="shared" si="6"/>
        <v>0</v>
      </c>
      <c r="M123" s="3" t="str">
        <f t="shared" si="7"/>
        <v>#N/A</v>
      </c>
      <c r="AU123" s="7"/>
      <c r="AV123" s="6"/>
      <c r="AW123" s="8"/>
      <c r="AX123" s="7"/>
      <c r="AY123" s="6"/>
      <c r="AZ123" s="8"/>
      <c r="BA123" s="7"/>
      <c r="BB123" s="6"/>
      <c r="BC123" s="8"/>
      <c r="BD123" s="7"/>
      <c r="BE123" s="6"/>
      <c r="BF123" s="8"/>
      <c r="BG123" s="7"/>
      <c r="BH123" s="6"/>
      <c r="BI123" s="8"/>
      <c r="BJ123" s="7"/>
      <c r="BK123" s="6"/>
      <c r="BL123" s="8"/>
      <c r="BM123" s="7"/>
      <c r="BN123" s="6"/>
      <c r="BO123" s="8"/>
      <c r="BP123" s="7"/>
      <c r="BQ123" s="6"/>
      <c r="BR123" s="8"/>
    </row>
    <row r="124">
      <c r="A124" s="6"/>
      <c r="B124" s="6" t="s">
        <v>124</v>
      </c>
      <c r="C124" s="3" t="str">
        <f t="shared" si="1"/>
        <v>_light gray</v>
      </c>
      <c r="D124" s="3" t="str">
        <f t="shared" si="8"/>
        <v>#N/A</v>
      </c>
      <c r="E124" s="3" t="b">
        <f t="shared" si="2"/>
        <v>0</v>
      </c>
      <c r="G124" s="3" t="str">
        <f t="shared" si="3"/>
        <v>#N/A</v>
      </c>
      <c r="H124" s="3" t="b">
        <f t="shared" si="4"/>
        <v>0</v>
      </c>
      <c r="J124" s="3" t="str">
        <f t="shared" si="5"/>
        <v>#N/A</v>
      </c>
      <c r="K124" s="3" t="b">
        <f t="shared" si="6"/>
        <v>0</v>
      </c>
      <c r="M124" s="3" t="str">
        <f t="shared" si="7"/>
        <v>#N/A</v>
      </c>
      <c r="AU124" s="7"/>
      <c r="AV124" s="6"/>
      <c r="AW124" s="8"/>
      <c r="AX124" s="7"/>
      <c r="AY124" s="6"/>
      <c r="AZ124" s="8"/>
      <c r="BA124" s="7"/>
      <c r="BB124" s="6"/>
      <c r="BC124" s="8"/>
      <c r="BD124" s="7"/>
      <c r="BE124" s="6"/>
      <c r="BF124" s="8"/>
      <c r="BG124" s="7"/>
      <c r="BH124" s="6"/>
      <c r="BI124" s="8"/>
      <c r="BJ124" s="7"/>
      <c r="BK124" s="6"/>
      <c r="BL124" s="8"/>
      <c r="BM124" s="7"/>
      <c r="BN124" s="6"/>
      <c r="BO124" s="8"/>
      <c r="BP124" s="7"/>
      <c r="BQ124" s="6"/>
      <c r="BR124" s="8"/>
    </row>
    <row r="125">
      <c r="A125" s="6"/>
      <c r="B125" s="6" t="s">
        <v>125</v>
      </c>
      <c r="C125" s="3" t="str">
        <f t="shared" si="1"/>
        <v>_dim gold</v>
      </c>
      <c r="D125" s="3" t="str">
        <f t="shared" si="8"/>
        <v>#N/A</v>
      </c>
      <c r="E125" s="3" t="b">
        <f t="shared" si="2"/>
        <v>0</v>
      </c>
      <c r="G125" s="3" t="str">
        <f t="shared" si="3"/>
        <v>#N/A</v>
      </c>
      <c r="H125" s="3" t="b">
        <f t="shared" si="4"/>
        <v>0</v>
      </c>
      <c r="J125" s="3" t="str">
        <f t="shared" si="5"/>
        <v>#N/A</v>
      </c>
      <c r="K125" s="3" t="b">
        <f t="shared" si="6"/>
        <v>0</v>
      </c>
      <c r="M125" s="3" t="str">
        <f t="shared" si="7"/>
        <v>#N/A</v>
      </c>
      <c r="AU125" s="7"/>
      <c r="AV125" s="6"/>
      <c r="AW125" s="8"/>
      <c r="AX125" s="7"/>
      <c r="AY125" s="6"/>
      <c r="AZ125" s="8"/>
      <c r="BA125" s="7"/>
      <c r="BB125" s="6"/>
      <c r="BC125" s="8"/>
      <c r="BD125" s="7"/>
      <c r="BE125" s="6"/>
      <c r="BF125" s="8"/>
      <c r="BG125" s="7"/>
      <c r="BH125" s="6"/>
      <c r="BI125" s="8"/>
      <c r="BJ125" s="7"/>
      <c r="BK125" s="6"/>
      <c r="BL125" s="8"/>
      <c r="BM125" s="7"/>
      <c r="BN125" s="6"/>
      <c r="BO125" s="8"/>
      <c r="BP125" s="7"/>
      <c r="BQ125" s="6"/>
      <c r="BR125" s="8"/>
    </row>
    <row r="126">
      <c r="A126" s="6"/>
      <c r="B126" s="6" t="s">
        <v>126</v>
      </c>
      <c r="C126" s="3" t="str">
        <f t="shared" si="1"/>
        <v>_dim crimson</v>
      </c>
      <c r="D126" s="3" t="str">
        <f t="shared" si="8"/>
        <v>#N/A</v>
      </c>
      <c r="E126" s="3" t="b">
        <f t="shared" si="2"/>
        <v>0</v>
      </c>
      <c r="G126" s="3" t="str">
        <f t="shared" si="3"/>
        <v>#N/A</v>
      </c>
      <c r="H126" s="3" t="b">
        <f t="shared" si="4"/>
        <v>0</v>
      </c>
      <c r="J126" s="3" t="str">
        <f t="shared" si="5"/>
        <v>#N/A</v>
      </c>
      <c r="K126" s="3" t="b">
        <f t="shared" si="6"/>
        <v>0</v>
      </c>
      <c r="M126" s="3" t="str">
        <f t="shared" si="7"/>
        <v>#N/A</v>
      </c>
      <c r="AU126" s="7"/>
      <c r="AV126" s="6"/>
      <c r="AW126" s="8"/>
      <c r="AX126" s="7"/>
      <c r="AY126" s="6"/>
      <c r="AZ126" s="8"/>
      <c r="BA126" s="7"/>
      <c r="BB126" s="6"/>
      <c r="BC126" s="8"/>
      <c r="BD126" s="7"/>
      <c r="BE126" s="6"/>
      <c r="BF126" s="8"/>
      <c r="BG126" s="7"/>
      <c r="BH126" s="6"/>
      <c r="BI126" s="8"/>
      <c r="BJ126" s="7"/>
      <c r="BK126" s="6"/>
      <c r="BL126" s="8"/>
      <c r="BM126" s="7"/>
      <c r="BN126" s="6"/>
      <c r="BO126" s="8"/>
      <c r="BP126" s="7"/>
      <c r="BQ126" s="6"/>
      <c r="BR126" s="8"/>
    </row>
    <row r="127">
      <c r="A127" s="6"/>
      <c r="B127" s="6" t="s">
        <v>127</v>
      </c>
      <c r="C127" s="3" t="str">
        <f t="shared" si="1"/>
        <v>_wavy tan</v>
      </c>
      <c r="D127" s="3" t="str">
        <f t="shared" si="8"/>
        <v>#N/A</v>
      </c>
      <c r="E127" s="3" t="b">
        <f t="shared" si="2"/>
        <v>0</v>
      </c>
      <c r="G127" s="3" t="str">
        <f t="shared" si="3"/>
        <v>#N/A</v>
      </c>
      <c r="H127" s="3" t="b">
        <f t="shared" si="4"/>
        <v>0</v>
      </c>
      <c r="J127" s="3" t="str">
        <f t="shared" si="5"/>
        <v>#N/A</v>
      </c>
      <c r="K127" s="3" t="b">
        <f t="shared" si="6"/>
        <v>0</v>
      </c>
      <c r="M127" s="3" t="str">
        <f t="shared" si="7"/>
        <v>#N/A</v>
      </c>
      <c r="AU127" s="7"/>
      <c r="AV127" s="6"/>
      <c r="AW127" s="8"/>
      <c r="AX127" s="7"/>
      <c r="AY127" s="6"/>
      <c r="AZ127" s="8"/>
      <c r="BA127" s="7"/>
      <c r="BB127" s="6"/>
      <c r="BC127" s="8"/>
      <c r="BD127" s="7"/>
      <c r="BE127" s="6"/>
      <c r="BF127" s="8"/>
      <c r="BG127" s="7"/>
      <c r="BH127" s="6"/>
      <c r="BI127" s="8"/>
      <c r="BJ127" s="7"/>
      <c r="BK127" s="6"/>
      <c r="BL127" s="8"/>
      <c r="BM127" s="7"/>
      <c r="BN127" s="6"/>
      <c r="BO127" s="8"/>
      <c r="BP127" s="7"/>
      <c r="BQ127" s="6"/>
      <c r="BR127" s="8"/>
    </row>
    <row r="128">
      <c r="A128" s="6"/>
      <c r="B128" s="6" t="s">
        <v>128</v>
      </c>
      <c r="C128" s="3" t="str">
        <f t="shared" si="1"/>
        <v>_posh brown</v>
      </c>
      <c r="D128" s="3" t="str">
        <f t="shared" si="8"/>
        <v>#N/A</v>
      </c>
      <c r="E128" s="3" t="b">
        <f t="shared" si="2"/>
        <v>0</v>
      </c>
      <c r="G128" s="3" t="str">
        <f t="shared" si="3"/>
        <v>#N/A</v>
      </c>
      <c r="H128" s="3" t="b">
        <f t="shared" si="4"/>
        <v>0</v>
      </c>
      <c r="J128" s="3" t="str">
        <f t="shared" si="5"/>
        <v>#N/A</v>
      </c>
      <c r="K128" s="3" t="b">
        <f t="shared" si="6"/>
        <v>0</v>
      </c>
      <c r="M128" s="3" t="str">
        <f t="shared" si="7"/>
        <v>#N/A</v>
      </c>
      <c r="AU128" s="7"/>
      <c r="AV128" s="6"/>
      <c r="AW128" s="8"/>
      <c r="AX128" s="7"/>
      <c r="AY128" s="6"/>
      <c r="AZ128" s="8"/>
      <c r="BA128" s="7"/>
      <c r="BB128" s="6"/>
      <c r="BC128" s="8"/>
      <c r="BD128" s="7"/>
      <c r="BE128" s="6"/>
      <c r="BF128" s="8"/>
      <c r="BG128" s="7"/>
      <c r="BH128" s="6"/>
      <c r="BI128" s="8"/>
      <c r="BJ128" s="7"/>
      <c r="BK128" s="6"/>
      <c r="BL128" s="8"/>
      <c r="BM128" s="7"/>
      <c r="BN128" s="6"/>
      <c r="BO128" s="8"/>
      <c r="BP128" s="7"/>
      <c r="BQ128" s="6"/>
      <c r="BR128" s="8"/>
    </row>
    <row r="129">
      <c r="A129" s="6"/>
      <c r="B129" s="6" t="s">
        <v>129</v>
      </c>
      <c r="C129" s="3" t="str">
        <f t="shared" si="1"/>
        <v>_bright plum</v>
      </c>
      <c r="D129" s="3" t="str">
        <f t="shared" si="8"/>
        <v>#N/A</v>
      </c>
      <c r="E129" s="3" t="b">
        <f t="shared" si="2"/>
        <v>0</v>
      </c>
      <c r="G129" s="3" t="str">
        <f t="shared" si="3"/>
        <v>#N/A</v>
      </c>
      <c r="H129" s="3" t="b">
        <f t="shared" si="4"/>
        <v>0</v>
      </c>
      <c r="J129" s="3" t="str">
        <f t="shared" si="5"/>
        <v>#N/A</v>
      </c>
      <c r="K129" s="3" t="b">
        <f t="shared" si="6"/>
        <v>0</v>
      </c>
      <c r="M129" s="3" t="str">
        <f t="shared" si="7"/>
        <v>#N/A</v>
      </c>
      <c r="AU129" s="7"/>
      <c r="AV129" s="6"/>
      <c r="AW129" s="8"/>
      <c r="AX129" s="7"/>
      <c r="AY129" s="6"/>
      <c r="AZ129" s="8"/>
      <c r="BA129" s="7"/>
      <c r="BB129" s="6"/>
      <c r="BC129" s="8"/>
      <c r="BD129" s="7"/>
      <c r="BE129" s="6"/>
      <c r="BF129" s="8"/>
      <c r="BG129" s="7"/>
      <c r="BH129" s="6"/>
      <c r="BI129" s="8"/>
      <c r="BJ129" s="7"/>
      <c r="BK129" s="6"/>
      <c r="BL129" s="8"/>
      <c r="BM129" s="7"/>
      <c r="BN129" s="6"/>
      <c r="BO129" s="8"/>
      <c r="BP129" s="7"/>
      <c r="BQ129" s="6"/>
      <c r="BR129" s="8"/>
    </row>
    <row r="130">
      <c r="A130" s="6"/>
      <c r="B130" s="6" t="s">
        <v>130</v>
      </c>
      <c r="C130" s="3" t="str">
        <f t="shared" si="1"/>
        <v>_faded black</v>
      </c>
      <c r="D130" s="3" t="str">
        <f t="shared" si="8"/>
        <v>#N/A</v>
      </c>
      <c r="E130" s="3" t="b">
        <f t="shared" si="2"/>
        <v>0</v>
      </c>
      <c r="G130" s="3" t="str">
        <f t="shared" si="3"/>
        <v>#N/A</v>
      </c>
      <c r="H130" s="3" t="b">
        <f t="shared" si="4"/>
        <v>0</v>
      </c>
      <c r="J130" s="3" t="str">
        <f t="shared" si="5"/>
        <v>#N/A</v>
      </c>
      <c r="K130" s="3" t="b">
        <f t="shared" si="6"/>
        <v>0</v>
      </c>
      <c r="M130" s="3" t="str">
        <f t="shared" si="7"/>
        <v>#N/A</v>
      </c>
      <c r="AU130" s="7"/>
      <c r="AV130" s="6"/>
      <c r="AW130" s="8"/>
      <c r="AX130" s="7"/>
      <c r="AY130" s="6"/>
      <c r="AZ130" s="8"/>
      <c r="BA130" s="7"/>
      <c r="BB130" s="6"/>
      <c r="BC130" s="8"/>
      <c r="BD130" s="7"/>
      <c r="BE130" s="6"/>
      <c r="BF130" s="8"/>
      <c r="BG130" s="7"/>
      <c r="BH130" s="6"/>
      <c r="BI130" s="8"/>
      <c r="BJ130" s="7"/>
      <c r="BK130" s="6"/>
      <c r="BL130" s="8"/>
      <c r="BM130" s="7"/>
      <c r="BN130" s="6"/>
      <c r="BO130" s="8"/>
      <c r="BP130" s="7"/>
      <c r="BQ130" s="6"/>
      <c r="BR130" s="8"/>
    </row>
    <row r="131">
      <c r="A131" s="6"/>
      <c r="B131" s="6" t="s">
        <v>131</v>
      </c>
      <c r="C131" s="3" t="str">
        <f t="shared" si="1"/>
        <v>_mirrored yellow</v>
      </c>
      <c r="D131" s="3" t="str">
        <f t="shared" si="8"/>
        <v>#N/A</v>
      </c>
      <c r="E131" s="3" t="b">
        <f t="shared" si="2"/>
        <v>0</v>
      </c>
      <c r="G131" s="3" t="str">
        <f t="shared" si="3"/>
        <v>#N/A</v>
      </c>
      <c r="H131" s="3" t="b">
        <f t="shared" si="4"/>
        <v>0</v>
      </c>
      <c r="J131" s="3" t="str">
        <f t="shared" si="5"/>
        <v>#N/A</v>
      </c>
      <c r="K131" s="3" t="b">
        <f t="shared" si="6"/>
        <v>0</v>
      </c>
      <c r="M131" s="3" t="str">
        <f t="shared" si="7"/>
        <v>#N/A</v>
      </c>
      <c r="AU131" s="7"/>
      <c r="AV131" s="6"/>
      <c r="AW131" s="8"/>
      <c r="AX131" s="7"/>
      <c r="AY131" s="6"/>
      <c r="AZ131" s="8"/>
      <c r="BA131" s="7"/>
      <c r="BB131" s="6"/>
      <c r="BC131" s="8"/>
      <c r="BD131" s="7"/>
      <c r="BE131" s="6"/>
      <c r="BF131" s="8"/>
      <c r="BG131" s="7"/>
      <c r="BH131" s="6"/>
      <c r="BI131" s="8"/>
      <c r="BJ131" s="7"/>
      <c r="BK131" s="6"/>
      <c r="BL131" s="8"/>
      <c r="BM131" s="7"/>
      <c r="BN131" s="6"/>
      <c r="BO131" s="8"/>
      <c r="BP131" s="7"/>
      <c r="BQ131" s="6"/>
      <c r="BR131" s="8"/>
    </row>
    <row r="132">
      <c r="A132" s="6"/>
      <c r="B132" s="6" t="s">
        <v>132</v>
      </c>
      <c r="C132" s="3" t="str">
        <f t="shared" si="1"/>
        <v>_muted tan</v>
      </c>
      <c r="D132" s="3" t="str">
        <f t="shared" si="8"/>
        <v>#N/A</v>
      </c>
      <c r="E132" s="3" t="b">
        <f t="shared" si="2"/>
        <v>0</v>
      </c>
      <c r="G132" s="3" t="str">
        <f t="shared" si="3"/>
        <v>#N/A</v>
      </c>
      <c r="H132" s="3" t="b">
        <f t="shared" si="4"/>
        <v>0</v>
      </c>
      <c r="J132" s="3" t="str">
        <f t="shared" si="5"/>
        <v>#N/A</v>
      </c>
      <c r="K132" s="3" t="b">
        <f t="shared" si="6"/>
        <v>0</v>
      </c>
      <c r="M132" s="3" t="str">
        <f t="shared" si="7"/>
        <v>#N/A</v>
      </c>
      <c r="AU132" s="7"/>
      <c r="AV132" s="6"/>
      <c r="AW132" s="8"/>
      <c r="AX132" s="7"/>
      <c r="AY132" s="6"/>
      <c r="AZ132" s="8"/>
      <c r="BA132" s="7"/>
      <c r="BB132" s="6"/>
      <c r="BC132" s="8"/>
      <c r="BD132" s="7"/>
      <c r="BE132" s="6"/>
      <c r="BF132" s="8"/>
      <c r="BG132" s="7"/>
      <c r="BH132" s="6"/>
      <c r="BI132" s="8"/>
      <c r="BJ132" s="7"/>
      <c r="BK132" s="6"/>
      <c r="BL132" s="8"/>
      <c r="BM132" s="7"/>
      <c r="BN132" s="6"/>
      <c r="BO132" s="8"/>
      <c r="BP132" s="7"/>
      <c r="BQ132" s="6"/>
      <c r="BR132" s="8"/>
    </row>
    <row r="133">
      <c r="A133" s="6"/>
      <c r="B133" s="6" t="s">
        <v>133</v>
      </c>
      <c r="C133" s="3" t="str">
        <f t="shared" si="1"/>
        <v>_drab white</v>
      </c>
      <c r="D133" s="3" t="str">
        <f t="shared" si="8"/>
        <v>#N/A</v>
      </c>
      <c r="E133" s="3" t="b">
        <f t="shared" si="2"/>
        <v>0</v>
      </c>
      <c r="G133" s="3" t="str">
        <f t="shared" si="3"/>
        <v>#N/A</v>
      </c>
      <c r="H133" s="3" t="b">
        <f t="shared" si="4"/>
        <v>0</v>
      </c>
      <c r="J133" s="3" t="str">
        <f t="shared" si="5"/>
        <v>#N/A</v>
      </c>
      <c r="K133" s="3" t="b">
        <f t="shared" si="6"/>
        <v>0</v>
      </c>
      <c r="M133" s="3" t="str">
        <f t="shared" si="7"/>
        <v>#N/A</v>
      </c>
      <c r="AU133" s="7"/>
      <c r="AV133" s="6"/>
      <c r="AW133" s="8"/>
      <c r="AX133" s="7"/>
      <c r="AY133" s="6"/>
      <c r="AZ133" s="8"/>
      <c r="BA133" s="7"/>
      <c r="BB133" s="6"/>
      <c r="BC133" s="8"/>
      <c r="BD133" s="7"/>
      <c r="BE133" s="6"/>
      <c r="BF133" s="8"/>
      <c r="BG133" s="7"/>
      <c r="BH133" s="6"/>
      <c r="BI133" s="8"/>
      <c r="BJ133" s="7"/>
      <c r="BK133" s="6"/>
      <c r="BL133" s="8"/>
      <c r="BM133" s="7"/>
      <c r="BN133" s="6"/>
      <c r="BO133" s="8"/>
      <c r="BP133" s="7"/>
      <c r="BQ133" s="6"/>
      <c r="BR133" s="8"/>
    </row>
    <row r="134">
      <c r="A134" s="6"/>
      <c r="B134" s="6" t="s">
        <v>134</v>
      </c>
      <c r="C134" s="3" t="str">
        <f t="shared" si="1"/>
        <v>_dull black</v>
      </c>
      <c r="D134" s="3" t="str">
        <f t="shared" si="8"/>
        <v>#N/A</v>
      </c>
      <c r="E134" s="3" t="b">
        <f t="shared" si="2"/>
        <v>0</v>
      </c>
      <c r="G134" s="3" t="str">
        <f t="shared" si="3"/>
        <v>#N/A</v>
      </c>
      <c r="H134" s="3" t="b">
        <f t="shared" si="4"/>
        <v>0</v>
      </c>
      <c r="J134" s="3" t="str">
        <f t="shared" si="5"/>
        <v>#N/A</v>
      </c>
      <c r="K134" s="3" t="b">
        <f t="shared" si="6"/>
        <v>0</v>
      </c>
      <c r="M134" s="3" t="str">
        <f t="shared" si="7"/>
        <v>#N/A</v>
      </c>
      <c r="AU134" s="7"/>
      <c r="AV134" s="6"/>
      <c r="AW134" s="8"/>
      <c r="AX134" s="7"/>
      <c r="AY134" s="6"/>
      <c r="AZ134" s="8"/>
      <c r="BA134" s="7"/>
      <c r="BB134" s="6"/>
      <c r="BC134" s="8"/>
      <c r="BD134" s="7"/>
      <c r="BE134" s="6"/>
      <c r="BF134" s="8"/>
      <c r="BG134" s="7"/>
      <c r="BH134" s="6"/>
      <c r="BI134" s="8"/>
      <c r="BJ134" s="7"/>
      <c r="BK134" s="6"/>
      <c r="BL134" s="8"/>
      <c r="BM134" s="7"/>
      <c r="BN134" s="6"/>
      <c r="BO134" s="8"/>
      <c r="BP134" s="7"/>
      <c r="BQ134" s="6"/>
      <c r="BR134" s="8"/>
    </row>
    <row r="135">
      <c r="A135" s="6"/>
      <c r="B135" s="6" t="s">
        <v>135</v>
      </c>
      <c r="C135" s="3" t="str">
        <f t="shared" si="1"/>
        <v>_posh maroon</v>
      </c>
      <c r="D135" s="3" t="str">
        <f t="shared" si="8"/>
        <v>#N/A</v>
      </c>
      <c r="E135" s="3" t="b">
        <f t="shared" si="2"/>
        <v>0</v>
      </c>
      <c r="G135" s="3" t="str">
        <f t="shared" si="3"/>
        <v>#N/A</v>
      </c>
      <c r="H135" s="3" t="b">
        <f t="shared" si="4"/>
        <v>0</v>
      </c>
      <c r="J135" s="3" t="str">
        <f t="shared" si="5"/>
        <v>#N/A</v>
      </c>
      <c r="K135" s="3" t="b">
        <f t="shared" si="6"/>
        <v>0</v>
      </c>
      <c r="M135" s="3" t="str">
        <f t="shared" si="7"/>
        <v>#N/A</v>
      </c>
      <c r="AU135" s="7"/>
      <c r="AV135" s="6"/>
      <c r="AW135" s="8"/>
      <c r="AX135" s="7"/>
      <c r="AY135" s="6"/>
      <c r="AZ135" s="8"/>
      <c r="BA135" s="7"/>
      <c r="BB135" s="6"/>
      <c r="BC135" s="8"/>
      <c r="BD135" s="7"/>
      <c r="BE135" s="6"/>
      <c r="BF135" s="8"/>
      <c r="BG135" s="7"/>
      <c r="BH135" s="6"/>
      <c r="BI135" s="8"/>
      <c r="BJ135" s="7"/>
      <c r="BK135" s="6"/>
      <c r="BL135" s="8"/>
      <c r="BM135" s="7"/>
      <c r="BN135" s="6"/>
      <c r="BO135" s="8"/>
      <c r="BP135" s="7"/>
      <c r="BQ135" s="6"/>
      <c r="BR135" s="8"/>
    </row>
    <row r="136">
      <c r="A136" s="6"/>
      <c r="B136" s="6" t="s">
        <v>136</v>
      </c>
      <c r="C136" s="3" t="str">
        <f t="shared" si="1"/>
        <v>_drab coral</v>
      </c>
      <c r="D136" s="3" t="str">
        <f t="shared" si="8"/>
        <v>#N/A</v>
      </c>
      <c r="E136" s="3" t="b">
        <f t="shared" si="2"/>
        <v>0</v>
      </c>
      <c r="G136" s="3" t="str">
        <f t="shared" si="3"/>
        <v>#N/A</v>
      </c>
      <c r="H136" s="3" t="b">
        <f t="shared" si="4"/>
        <v>0</v>
      </c>
      <c r="J136" s="3" t="str">
        <f t="shared" si="5"/>
        <v>#N/A</v>
      </c>
      <c r="K136" s="3" t="b">
        <f t="shared" si="6"/>
        <v>0</v>
      </c>
      <c r="M136" s="3" t="str">
        <f t="shared" si="7"/>
        <v>#N/A</v>
      </c>
      <c r="AU136" s="7"/>
      <c r="AV136" s="6"/>
      <c r="AW136" s="8"/>
      <c r="AX136" s="7"/>
      <c r="AY136" s="6"/>
      <c r="AZ136" s="8"/>
      <c r="BA136" s="7"/>
      <c r="BB136" s="6"/>
      <c r="BC136" s="8"/>
      <c r="BD136" s="7"/>
      <c r="BE136" s="6"/>
      <c r="BF136" s="8"/>
      <c r="BG136" s="7"/>
      <c r="BH136" s="6"/>
      <c r="BI136" s="8"/>
      <c r="BJ136" s="7"/>
      <c r="BK136" s="6"/>
      <c r="BL136" s="8"/>
      <c r="BM136" s="7"/>
      <c r="BN136" s="6"/>
      <c r="BO136" s="8"/>
      <c r="BP136" s="7"/>
      <c r="BQ136" s="6"/>
      <c r="BR136" s="8"/>
    </row>
    <row r="137">
      <c r="A137" s="6"/>
      <c r="B137" s="6" t="s">
        <v>137</v>
      </c>
      <c r="C137" s="3" t="str">
        <f t="shared" si="1"/>
        <v>_posh indigo</v>
      </c>
      <c r="D137" s="3" t="str">
        <f t="shared" si="8"/>
        <v>#N/A</v>
      </c>
      <c r="E137" s="3" t="b">
        <f t="shared" si="2"/>
        <v>0</v>
      </c>
      <c r="G137" s="3" t="str">
        <f t="shared" si="3"/>
        <v>#N/A</v>
      </c>
      <c r="H137" s="3" t="b">
        <f t="shared" si="4"/>
        <v>0</v>
      </c>
      <c r="J137" s="3" t="str">
        <f t="shared" si="5"/>
        <v>#N/A</v>
      </c>
      <c r="K137" s="3" t="b">
        <f t="shared" si="6"/>
        <v>0</v>
      </c>
      <c r="M137" s="3" t="str">
        <f t="shared" si="7"/>
        <v>#N/A</v>
      </c>
      <c r="AU137" s="7"/>
      <c r="AV137" s="6"/>
      <c r="AW137" s="8"/>
      <c r="AX137" s="7"/>
      <c r="AY137" s="6"/>
      <c r="AZ137" s="8"/>
      <c r="BA137" s="7"/>
      <c r="BB137" s="6"/>
      <c r="BC137" s="8"/>
      <c r="BD137" s="7"/>
      <c r="BE137" s="6"/>
      <c r="BF137" s="8"/>
      <c r="BG137" s="7"/>
      <c r="BH137" s="6"/>
      <c r="BI137" s="8"/>
      <c r="BJ137" s="7"/>
      <c r="BK137" s="6"/>
      <c r="BL137" s="8"/>
      <c r="BM137" s="7"/>
      <c r="BN137" s="6"/>
      <c r="BO137" s="8"/>
      <c r="BP137" s="7"/>
      <c r="BQ137" s="6"/>
      <c r="BR137" s="8"/>
    </row>
    <row r="138">
      <c r="A138" s="6"/>
      <c r="B138" s="6" t="s">
        <v>138</v>
      </c>
      <c r="C138" s="3" t="str">
        <f t="shared" si="1"/>
        <v>_drab aqua</v>
      </c>
      <c r="D138" s="3" t="str">
        <f t="shared" si="8"/>
        <v>#N/A</v>
      </c>
      <c r="E138" s="3" t="b">
        <f t="shared" si="2"/>
        <v>0</v>
      </c>
      <c r="G138" s="3" t="str">
        <f t="shared" si="3"/>
        <v>#N/A</v>
      </c>
      <c r="H138" s="3" t="b">
        <f t="shared" si="4"/>
        <v>0</v>
      </c>
      <c r="J138" s="3" t="str">
        <f t="shared" si="5"/>
        <v>#N/A</v>
      </c>
      <c r="K138" s="3" t="b">
        <f t="shared" si="6"/>
        <v>0</v>
      </c>
      <c r="M138" s="3" t="str">
        <f t="shared" si="7"/>
        <v>#N/A</v>
      </c>
      <c r="AU138" s="7"/>
      <c r="AV138" s="6"/>
      <c r="AW138" s="8"/>
      <c r="AX138" s="7"/>
      <c r="AY138" s="6"/>
      <c r="AZ138" s="8"/>
      <c r="BA138" s="7"/>
      <c r="BB138" s="6"/>
      <c r="BC138" s="8"/>
      <c r="BD138" s="7"/>
      <c r="BE138" s="6"/>
      <c r="BF138" s="8"/>
      <c r="BG138" s="7"/>
      <c r="BH138" s="6"/>
      <c r="BI138" s="8"/>
      <c r="BJ138" s="7"/>
      <c r="BK138" s="6"/>
      <c r="BL138" s="8"/>
      <c r="BM138" s="7"/>
      <c r="BN138" s="6"/>
      <c r="BO138" s="8"/>
      <c r="BP138" s="7"/>
      <c r="BQ138" s="6"/>
      <c r="BR138" s="8"/>
    </row>
    <row r="139">
      <c r="A139" s="6"/>
      <c r="B139" s="6" t="s">
        <v>139</v>
      </c>
      <c r="C139" s="3" t="str">
        <f t="shared" si="1"/>
        <v>_drab crimson</v>
      </c>
      <c r="D139" s="3" t="str">
        <f t="shared" si="8"/>
        <v>#N/A</v>
      </c>
      <c r="E139" s="3" t="b">
        <f t="shared" si="2"/>
        <v>0</v>
      </c>
      <c r="G139" s="3" t="str">
        <f t="shared" si="3"/>
        <v>#N/A</v>
      </c>
      <c r="H139" s="3" t="b">
        <f t="shared" si="4"/>
        <v>0</v>
      </c>
      <c r="J139" s="3" t="str">
        <f t="shared" si="5"/>
        <v>#N/A</v>
      </c>
      <c r="K139" s="3" t="b">
        <f t="shared" si="6"/>
        <v>0</v>
      </c>
      <c r="M139" s="3" t="str">
        <f t="shared" si="7"/>
        <v>#N/A</v>
      </c>
      <c r="AU139" s="7"/>
      <c r="AV139" s="6"/>
      <c r="AW139" s="8"/>
      <c r="AX139" s="7"/>
      <c r="AY139" s="6"/>
      <c r="AZ139" s="8"/>
      <c r="BA139" s="7"/>
      <c r="BB139" s="6"/>
      <c r="BC139" s="8"/>
      <c r="BD139" s="7"/>
      <c r="BE139" s="6"/>
      <c r="BF139" s="8"/>
      <c r="BG139" s="7"/>
      <c r="BH139" s="6"/>
      <c r="BI139" s="8"/>
      <c r="BJ139" s="7"/>
      <c r="BK139" s="6"/>
      <c r="BL139" s="8"/>
      <c r="BM139" s="7"/>
      <c r="BN139" s="6"/>
      <c r="BO139" s="8"/>
      <c r="BP139" s="7"/>
      <c r="BQ139" s="6"/>
      <c r="BR139" s="8"/>
    </row>
    <row r="140">
      <c r="A140" s="6"/>
      <c r="B140" s="6" t="s">
        <v>140</v>
      </c>
      <c r="C140" s="3" t="str">
        <f t="shared" si="1"/>
        <v>_drab silver</v>
      </c>
      <c r="D140" s="3" t="str">
        <f t="shared" si="8"/>
        <v>#N/A</v>
      </c>
      <c r="E140" s="3" t="b">
        <f t="shared" si="2"/>
        <v>0</v>
      </c>
      <c r="G140" s="3" t="str">
        <f t="shared" si="3"/>
        <v>#N/A</v>
      </c>
      <c r="H140" s="3" t="b">
        <f t="shared" si="4"/>
        <v>0</v>
      </c>
      <c r="J140" s="3" t="str">
        <f t="shared" si="5"/>
        <v>#N/A</v>
      </c>
      <c r="K140" s="3" t="b">
        <f t="shared" si="6"/>
        <v>0</v>
      </c>
      <c r="M140" s="3" t="str">
        <f t="shared" si="7"/>
        <v>#N/A</v>
      </c>
      <c r="AU140" s="7"/>
      <c r="AV140" s="6"/>
      <c r="AW140" s="8"/>
      <c r="AX140" s="7"/>
      <c r="AY140" s="6"/>
      <c r="AZ140" s="8"/>
      <c r="BA140" s="7"/>
      <c r="BB140" s="6"/>
      <c r="BC140" s="8"/>
      <c r="BD140" s="7"/>
      <c r="BE140" s="6"/>
      <c r="BF140" s="8"/>
      <c r="BG140" s="7"/>
      <c r="BH140" s="6"/>
      <c r="BI140" s="8"/>
      <c r="BJ140" s="7"/>
      <c r="BK140" s="6"/>
      <c r="BL140" s="8"/>
      <c r="BM140" s="7"/>
      <c r="BN140" s="6"/>
      <c r="BO140" s="8"/>
      <c r="BP140" s="7"/>
      <c r="BQ140" s="6"/>
      <c r="BR140" s="8"/>
    </row>
    <row r="141">
      <c r="A141" s="6"/>
      <c r="B141" s="6" t="s">
        <v>141</v>
      </c>
      <c r="C141" s="3" t="str">
        <f t="shared" si="1"/>
        <v>_clear salmon</v>
      </c>
      <c r="D141" s="3" t="str">
        <f t="shared" si="8"/>
        <v>#N/A</v>
      </c>
      <c r="E141" s="3" t="b">
        <f t="shared" si="2"/>
        <v>0</v>
      </c>
      <c r="G141" s="3" t="str">
        <f t="shared" si="3"/>
        <v>#N/A</v>
      </c>
      <c r="H141" s="3" t="b">
        <f t="shared" si="4"/>
        <v>0</v>
      </c>
      <c r="J141" s="3" t="str">
        <f t="shared" si="5"/>
        <v>#N/A</v>
      </c>
      <c r="K141" s="3" t="b">
        <f t="shared" si="6"/>
        <v>0</v>
      </c>
      <c r="M141" s="3" t="str">
        <f t="shared" si="7"/>
        <v>#N/A</v>
      </c>
      <c r="AU141" s="7"/>
      <c r="AV141" s="6"/>
      <c r="AW141" s="8"/>
      <c r="AX141" s="7"/>
      <c r="AY141" s="6"/>
      <c r="AZ141" s="8"/>
      <c r="BA141" s="7"/>
      <c r="BB141" s="6"/>
      <c r="BC141" s="8"/>
      <c r="BD141" s="7"/>
      <c r="BE141" s="6"/>
      <c r="BF141" s="8"/>
      <c r="BG141" s="7"/>
      <c r="BH141" s="6"/>
      <c r="BI141" s="8"/>
      <c r="BJ141" s="7"/>
      <c r="BK141" s="6"/>
      <c r="BL141" s="8"/>
      <c r="BM141" s="7"/>
      <c r="BN141" s="6"/>
      <c r="BO141" s="8"/>
      <c r="BP141" s="7"/>
      <c r="BQ141" s="6"/>
      <c r="BR141" s="8"/>
    </row>
    <row r="142">
      <c r="A142" s="6"/>
      <c r="B142" s="6" t="s">
        <v>142</v>
      </c>
      <c r="C142" s="3" t="str">
        <f t="shared" si="1"/>
        <v>_wavy chartreuse</v>
      </c>
      <c r="D142" s="3" t="str">
        <f t="shared" si="8"/>
        <v>#N/A</v>
      </c>
      <c r="E142" s="3" t="b">
        <f t="shared" si="2"/>
        <v>0</v>
      </c>
      <c r="G142" s="3" t="str">
        <f t="shared" si="3"/>
        <v>#N/A</v>
      </c>
      <c r="H142" s="3" t="b">
        <f t="shared" si="4"/>
        <v>0</v>
      </c>
      <c r="J142" s="3" t="str">
        <f t="shared" si="5"/>
        <v>#N/A</v>
      </c>
      <c r="K142" s="3" t="b">
        <f t="shared" si="6"/>
        <v>0</v>
      </c>
      <c r="M142" s="3" t="str">
        <f t="shared" si="7"/>
        <v>#N/A</v>
      </c>
      <c r="AU142" s="7"/>
      <c r="AV142" s="6"/>
      <c r="AW142" s="8"/>
      <c r="AX142" s="7"/>
      <c r="AY142" s="6"/>
      <c r="AZ142" s="8"/>
      <c r="BA142" s="7"/>
      <c r="BB142" s="6"/>
      <c r="BC142" s="8"/>
      <c r="BD142" s="7"/>
      <c r="BE142" s="6"/>
      <c r="BF142" s="8"/>
      <c r="BG142" s="7"/>
      <c r="BH142" s="6"/>
      <c r="BI142" s="8"/>
      <c r="BJ142" s="7"/>
      <c r="BK142" s="6"/>
      <c r="BL142" s="8"/>
      <c r="BM142" s="7"/>
      <c r="BN142" s="6"/>
      <c r="BO142" s="8"/>
      <c r="BP142" s="7"/>
      <c r="BQ142" s="6"/>
      <c r="BR142" s="8"/>
    </row>
    <row r="143">
      <c r="A143" s="6"/>
      <c r="B143" s="6" t="s">
        <v>143</v>
      </c>
      <c r="C143" s="3" t="str">
        <f t="shared" si="1"/>
        <v>_dull plum</v>
      </c>
      <c r="D143" s="3" t="str">
        <f t="shared" si="8"/>
        <v>#N/A</v>
      </c>
      <c r="E143" s="3" t="b">
        <f t="shared" si="2"/>
        <v>0</v>
      </c>
      <c r="G143" s="3" t="str">
        <f t="shared" si="3"/>
        <v>#N/A</v>
      </c>
      <c r="H143" s="3" t="b">
        <f t="shared" si="4"/>
        <v>0</v>
      </c>
      <c r="J143" s="3" t="str">
        <f t="shared" si="5"/>
        <v>#N/A</v>
      </c>
      <c r="K143" s="3" t="b">
        <f t="shared" si="6"/>
        <v>0</v>
      </c>
      <c r="M143" s="3" t="str">
        <f t="shared" si="7"/>
        <v>#N/A</v>
      </c>
      <c r="AU143" s="7"/>
      <c r="AV143" s="6"/>
      <c r="AW143" s="8"/>
      <c r="AX143" s="7"/>
      <c r="AY143" s="6"/>
      <c r="AZ143" s="8"/>
      <c r="BA143" s="7"/>
      <c r="BB143" s="6"/>
      <c r="BC143" s="8"/>
      <c r="BD143" s="7"/>
      <c r="BE143" s="6"/>
      <c r="BF143" s="8"/>
      <c r="BG143" s="7"/>
      <c r="BH143" s="6"/>
      <c r="BI143" s="8"/>
      <c r="BJ143" s="7"/>
      <c r="BK143" s="6"/>
      <c r="BL143" s="8"/>
      <c r="BM143" s="7"/>
      <c r="BN143" s="6"/>
      <c r="BO143" s="8"/>
      <c r="BP143" s="7"/>
      <c r="BQ143" s="6"/>
      <c r="BR143" s="8"/>
    </row>
    <row r="144">
      <c r="A144" s="6"/>
      <c r="B144" s="6" t="s">
        <v>144</v>
      </c>
      <c r="C144" s="3" t="str">
        <f t="shared" si="1"/>
        <v>_faded gray</v>
      </c>
      <c r="D144" s="3" t="str">
        <f t="shared" si="8"/>
        <v>#N/A</v>
      </c>
      <c r="E144" s="3" t="b">
        <f t="shared" si="2"/>
        <v>0</v>
      </c>
      <c r="G144" s="3" t="str">
        <f t="shared" si="3"/>
        <v>#N/A</v>
      </c>
      <c r="H144" s="3" t="b">
        <f t="shared" si="4"/>
        <v>0</v>
      </c>
      <c r="J144" s="3" t="str">
        <f t="shared" si="5"/>
        <v>#N/A</v>
      </c>
      <c r="K144" s="3" t="b">
        <f t="shared" si="6"/>
        <v>0</v>
      </c>
      <c r="M144" s="3" t="str">
        <f t="shared" si="7"/>
        <v>#N/A</v>
      </c>
      <c r="AU144" s="7"/>
      <c r="AV144" s="6"/>
      <c r="AW144" s="8"/>
      <c r="AX144" s="7"/>
      <c r="AY144" s="6"/>
      <c r="AZ144" s="8"/>
      <c r="BA144" s="7"/>
      <c r="BB144" s="6"/>
      <c r="BC144" s="8"/>
      <c r="BD144" s="7"/>
      <c r="BE144" s="6"/>
      <c r="BF144" s="8"/>
      <c r="BG144" s="7"/>
      <c r="BH144" s="6"/>
      <c r="BI144" s="8"/>
      <c r="BJ144" s="7"/>
      <c r="BK144" s="6"/>
      <c r="BL144" s="8"/>
      <c r="BM144" s="7"/>
      <c r="BN144" s="6"/>
      <c r="BO144" s="8"/>
      <c r="BP144" s="7"/>
      <c r="BQ144" s="6"/>
      <c r="BR144" s="8"/>
    </row>
    <row r="145">
      <c r="A145" s="6"/>
      <c r="B145" s="6" t="s">
        <v>145</v>
      </c>
      <c r="C145" s="3" t="str">
        <f t="shared" si="1"/>
        <v>_striped teal</v>
      </c>
      <c r="D145" s="3" t="str">
        <f t="shared" si="8"/>
        <v>#N/A</v>
      </c>
      <c r="E145" s="3" t="b">
        <f t="shared" si="2"/>
        <v>0</v>
      </c>
      <c r="G145" s="3" t="str">
        <f t="shared" si="3"/>
        <v>#N/A</v>
      </c>
      <c r="H145" s="3" t="b">
        <f t="shared" si="4"/>
        <v>0</v>
      </c>
      <c r="J145" s="3" t="str">
        <f t="shared" si="5"/>
        <v>#N/A</v>
      </c>
      <c r="K145" s="3" t="b">
        <f t="shared" si="6"/>
        <v>0</v>
      </c>
      <c r="M145" s="3" t="str">
        <f t="shared" si="7"/>
        <v>#N/A</v>
      </c>
      <c r="AU145" s="7"/>
      <c r="AV145" s="6"/>
      <c r="AW145" s="8"/>
      <c r="AX145" s="7"/>
      <c r="AY145" s="6"/>
      <c r="AZ145" s="8"/>
      <c r="BA145" s="7"/>
      <c r="BB145" s="6"/>
      <c r="BC145" s="8"/>
      <c r="BD145" s="7"/>
      <c r="BE145" s="6"/>
      <c r="BF145" s="8"/>
      <c r="BG145" s="7"/>
      <c r="BH145" s="6"/>
      <c r="BI145" s="8"/>
      <c r="BJ145" s="7"/>
      <c r="BK145" s="6"/>
      <c r="BL145" s="8"/>
      <c r="BM145" s="7"/>
      <c r="BN145" s="6"/>
      <c r="BO145" s="8"/>
      <c r="BP145" s="7"/>
      <c r="BQ145" s="6"/>
      <c r="BR145" s="8"/>
    </row>
    <row r="146">
      <c r="A146" s="6"/>
      <c r="B146" s="6" t="s">
        <v>146</v>
      </c>
      <c r="C146" s="3" t="str">
        <f t="shared" si="1"/>
        <v>_clear lavender</v>
      </c>
      <c r="D146" s="3" t="str">
        <f t="shared" si="8"/>
        <v>#N/A</v>
      </c>
      <c r="E146" s="3" t="b">
        <f t="shared" si="2"/>
        <v>0</v>
      </c>
      <c r="G146" s="3" t="str">
        <f t="shared" si="3"/>
        <v>#N/A</v>
      </c>
      <c r="H146" s="3" t="b">
        <f t="shared" si="4"/>
        <v>0</v>
      </c>
      <c r="J146" s="3" t="str">
        <f t="shared" si="5"/>
        <v>#N/A</v>
      </c>
      <c r="K146" s="3" t="b">
        <f t="shared" si="6"/>
        <v>0</v>
      </c>
      <c r="M146" s="3" t="str">
        <f t="shared" si="7"/>
        <v>#N/A</v>
      </c>
      <c r="AU146" s="7"/>
      <c r="AV146" s="6"/>
      <c r="AW146" s="8"/>
      <c r="AX146" s="7"/>
      <c r="AY146" s="6"/>
      <c r="AZ146" s="8"/>
      <c r="BA146" s="7"/>
      <c r="BB146" s="6"/>
      <c r="BC146" s="8"/>
      <c r="BD146" s="7"/>
      <c r="BE146" s="6"/>
      <c r="BF146" s="8"/>
      <c r="BG146" s="7"/>
      <c r="BH146" s="6"/>
      <c r="BI146" s="8"/>
      <c r="BJ146" s="7"/>
      <c r="BK146" s="6"/>
      <c r="BL146" s="8"/>
      <c r="BM146" s="7"/>
      <c r="BN146" s="6"/>
      <c r="BO146" s="8"/>
      <c r="BP146" s="7"/>
      <c r="BQ146" s="6"/>
      <c r="BR146" s="8"/>
    </row>
    <row r="147">
      <c r="A147" s="6"/>
      <c r="B147" s="6" t="s">
        <v>147</v>
      </c>
      <c r="C147" s="3" t="str">
        <f t="shared" si="1"/>
        <v>_mirrored maroon</v>
      </c>
      <c r="D147" s="3" t="str">
        <f t="shared" si="8"/>
        <v>#N/A</v>
      </c>
      <c r="E147" s="3" t="b">
        <f t="shared" si="2"/>
        <v>0</v>
      </c>
      <c r="G147" s="3" t="str">
        <f t="shared" si="3"/>
        <v>#N/A</v>
      </c>
      <c r="H147" s="3" t="b">
        <f t="shared" si="4"/>
        <v>0</v>
      </c>
      <c r="J147" s="3" t="str">
        <f t="shared" si="5"/>
        <v>#N/A</v>
      </c>
      <c r="K147" s="3" t="b">
        <f t="shared" si="6"/>
        <v>0</v>
      </c>
      <c r="M147" s="3" t="str">
        <f t="shared" si="7"/>
        <v>#N/A</v>
      </c>
      <c r="AU147" s="7"/>
      <c r="AV147" s="6"/>
      <c r="AW147" s="8"/>
      <c r="AX147" s="7"/>
      <c r="AY147" s="6"/>
      <c r="AZ147" s="8"/>
      <c r="BA147" s="7"/>
      <c r="BB147" s="6"/>
      <c r="BC147" s="8"/>
      <c r="BD147" s="7"/>
      <c r="BE147" s="6"/>
      <c r="BF147" s="8"/>
      <c r="BG147" s="7"/>
      <c r="BH147" s="6"/>
      <c r="BI147" s="8"/>
      <c r="BJ147" s="7"/>
      <c r="BK147" s="6"/>
      <c r="BL147" s="8"/>
      <c r="BM147" s="7"/>
      <c r="BN147" s="6"/>
      <c r="BO147" s="8"/>
      <c r="BP147" s="7"/>
      <c r="BQ147" s="6"/>
      <c r="BR147" s="8"/>
    </row>
    <row r="148">
      <c r="A148" s="6"/>
      <c r="B148" s="6" t="s">
        <v>148</v>
      </c>
      <c r="C148" s="3" t="str">
        <f t="shared" si="1"/>
        <v>_muted turquoise</v>
      </c>
      <c r="D148" s="3" t="str">
        <f t="shared" si="8"/>
        <v>#N/A</v>
      </c>
      <c r="E148" s="3" t="b">
        <f t="shared" si="2"/>
        <v>0</v>
      </c>
      <c r="G148" s="3" t="str">
        <f t="shared" si="3"/>
        <v>#N/A</v>
      </c>
      <c r="H148" s="3" t="b">
        <f t="shared" si="4"/>
        <v>0</v>
      </c>
      <c r="J148" s="3" t="str">
        <f t="shared" si="5"/>
        <v>#N/A</v>
      </c>
      <c r="K148" s="3" t="b">
        <f t="shared" si="6"/>
        <v>0</v>
      </c>
      <c r="M148" s="3" t="str">
        <f t="shared" si="7"/>
        <v>#N/A</v>
      </c>
      <c r="AU148" s="7"/>
      <c r="AV148" s="6"/>
      <c r="AW148" s="8"/>
      <c r="AX148" s="7"/>
      <c r="AY148" s="6"/>
      <c r="AZ148" s="8"/>
      <c r="BA148" s="7"/>
      <c r="BB148" s="6"/>
      <c r="BC148" s="8"/>
      <c r="BD148" s="7"/>
      <c r="BE148" s="6"/>
      <c r="BF148" s="8"/>
      <c r="BG148" s="7"/>
      <c r="BH148" s="6"/>
      <c r="BI148" s="8"/>
      <c r="BJ148" s="7"/>
      <c r="BK148" s="6"/>
      <c r="BL148" s="8"/>
      <c r="BM148" s="7"/>
      <c r="BN148" s="6"/>
      <c r="BO148" s="8"/>
      <c r="BP148" s="7"/>
      <c r="BQ148" s="6"/>
      <c r="BR148" s="8"/>
    </row>
    <row r="149">
      <c r="A149" s="6"/>
      <c r="B149" s="6" t="s">
        <v>149</v>
      </c>
      <c r="C149" s="3" t="str">
        <f t="shared" si="1"/>
        <v>_dark white</v>
      </c>
      <c r="D149" s="3" t="str">
        <f t="shared" si="8"/>
        <v>#N/A</v>
      </c>
      <c r="E149" s="3" t="b">
        <f t="shared" si="2"/>
        <v>0</v>
      </c>
      <c r="G149" s="3" t="str">
        <f t="shared" si="3"/>
        <v>#N/A</v>
      </c>
      <c r="H149" s="3" t="b">
        <f t="shared" si="4"/>
        <v>0</v>
      </c>
      <c r="J149" s="3" t="str">
        <f t="shared" si="5"/>
        <v>#N/A</v>
      </c>
      <c r="K149" s="3" t="b">
        <f t="shared" si="6"/>
        <v>0</v>
      </c>
      <c r="M149" s="3" t="str">
        <f t="shared" si="7"/>
        <v>#N/A</v>
      </c>
      <c r="AU149" s="7"/>
      <c r="AV149" s="6"/>
      <c r="AW149" s="8"/>
      <c r="AX149" s="7"/>
      <c r="AY149" s="6"/>
      <c r="AZ149" s="8"/>
      <c r="BA149" s="7"/>
      <c r="BB149" s="6"/>
      <c r="BC149" s="8"/>
      <c r="BD149" s="7"/>
      <c r="BE149" s="6"/>
      <c r="BF149" s="8"/>
      <c r="BG149" s="7"/>
      <c r="BH149" s="6"/>
      <c r="BI149" s="8"/>
      <c r="BJ149" s="7"/>
      <c r="BK149" s="6"/>
      <c r="BL149" s="8"/>
      <c r="BM149" s="7"/>
      <c r="BN149" s="6"/>
      <c r="BO149" s="8"/>
      <c r="BP149" s="7"/>
      <c r="BQ149" s="6"/>
      <c r="BR149" s="8"/>
    </row>
    <row r="150">
      <c r="A150" s="6"/>
      <c r="B150" s="6" t="s">
        <v>150</v>
      </c>
      <c r="C150" s="3" t="str">
        <f t="shared" si="1"/>
        <v>_drab red</v>
      </c>
      <c r="D150" s="3" t="str">
        <f t="shared" si="8"/>
        <v>#N/A</v>
      </c>
      <c r="E150" s="3" t="b">
        <f t="shared" si="2"/>
        <v>0</v>
      </c>
      <c r="G150" s="3" t="str">
        <f t="shared" si="3"/>
        <v>#N/A</v>
      </c>
      <c r="H150" s="3" t="b">
        <f t="shared" si="4"/>
        <v>0</v>
      </c>
      <c r="J150" s="3" t="str">
        <f t="shared" si="5"/>
        <v>#N/A</v>
      </c>
      <c r="K150" s="3" t="b">
        <f t="shared" si="6"/>
        <v>0</v>
      </c>
      <c r="M150" s="3" t="str">
        <f t="shared" si="7"/>
        <v>#N/A</v>
      </c>
      <c r="AU150" s="7"/>
      <c r="AV150" s="6"/>
      <c r="AW150" s="8"/>
      <c r="AX150" s="7"/>
      <c r="AY150" s="6"/>
      <c r="AZ150" s="8"/>
      <c r="BA150" s="7"/>
      <c r="BB150" s="6"/>
      <c r="BC150" s="8"/>
      <c r="BD150" s="7"/>
      <c r="BE150" s="6"/>
      <c r="BF150" s="8"/>
      <c r="BG150" s="7"/>
      <c r="BH150" s="6"/>
      <c r="BI150" s="8"/>
      <c r="BJ150" s="7"/>
      <c r="BK150" s="6"/>
      <c r="BL150" s="8"/>
      <c r="BM150" s="7"/>
      <c r="BN150" s="6"/>
      <c r="BO150" s="8"/>
      <c r="BP150" s="7"/>
      <c r="BQ150" s="6"/>
      <c r="BR150" s="8"/>
    </row>
    <row r="151">
      <c r="A151" s="6"/>
      <c r="B151" s="6" t="s">
        <v>151</v>
      </c>
      <c r="C151" s="3" t="str">
        <f t="shared" si="1"/>
        <v>_muted teal</v>
      </c>
      <c r="D151" s="3" t="str">
        <f t="shared" si="8"/>
        <v>#N/A</v>
      </c>
      <c r="E151" s="3" t="b">
        <f t="shared" si="2"/>
        <v>0</v>
      </c>
      <c r="G151" s="3" t="str">
        <f t="shared" si="3"/>
        <v>#N/A</v>
      </c>
      <c r="H151" s="3" t="b">
        <f t="shared" si="4"/>
        <v>0</v>
      </c>
      <c r="J151" s="3" t="str">
        <f t="shared" si="5"/>
        <v>#N/A</v>
      </c>
      <c r="K151" s="3" t="b">
        <f t="shared" si="6"/>
        <v>0</v>
      </c>
      <c r="M151" s="3" t="str">
        <f t="shared" si="7"/>
        <v>#N/A</v>
      </c>
      <c r="AU151" s="7"/>
      <c r="AV151" s="6"/>
      <c r="AW151" s="8"/>
      <c r="AX151" s="7"/>
      <c r="AY151" s="6"/>
      <c r="AZ151" s="8"/>
      <c r="BA151" s="7"/>
      <c r="BB151" s="6"/>
      <c r="BC151" s="8"/>
      <c r="BD151" s="7"/>
      <c r="BE151" s="6"/>
      <c r="BF151" s="8"/>
      <c r="BG151" s="7"/>
      <c r="BH151" s="6"/>
      <c r="BI151" s="8"/>
      <c r="BJ151" s="7"/>
      <c r="BK151" s="6"/>
      <c r="BL151" s="8"/>
      <c r="BM151" s="7"/>
      <c r="BN151" s="6"/>
      <c r="BO151" s="8"/>
      <c r="BP151" s="7"/>
      <c r="BQ151" s="6"/>
      <c r="BR151" s="8"/>
    </row>
    <row r="152">
      <c r="A152" s="6"/>
      <c r="B152" s="6" t="s">
        <v>152</v>
      </c>
      <c r="C152" s="3" t="str">
        <f t="shared" si="1"/>
        <v>_wavy red</v>
      </c>
      <c r="D152" s="3" t="str">
        <f t="shared" si="8"/>
        <v>#N/A</v>
      </c>
      <c r="E152" s="3" t="b">
        <f t="shared" si="2"/>
        <v>0</v>
      </c>
      <c r="G152" s="3" t="str">
        <f t="shared" si="3"/>
        <v>#N/A</v>
      </c>
      <c r="H152" s="3" t="b">
        <f t="shared" si="4"/>
        <v>0</v>
      </c>
      <c r="J152" s="3" t="str">
        <f t="shared" si="5"/>
        <v>#N/A</v>
      </c>
      <c r="K152" s="3" t="b">
        <f t="shared" si="6"/>
        <v>0</v>
      </c>
      <c r="M152" s="3" t="str">
        <f t="shared" si="7"/>
        <v>#N/A</v>
      </c>
      <c r="AU152" s="7"/>
      <c r="AV152" s="6"/>
      <c r="AW152" s="8"/>
      <c r="AX152" s="7"/>
      <c r="AY152" s="6"/>
      <c r="AZ152" s="8"/>
      <c r="BA152" s="7"/>
      <c r="BB152" s="6"/>
      <c r="BC152" s="8"/>
      <c r="BD152" s="7"/>
      <c r="BE152" s="6"/>
      <c r="BF152" s="8"/>
      <c r="BG152" s="7"/>
      <c r="BH152" s="6"/>
      <c r="BI152" s="8"/>
      <c r="BJ152" s="7"/>
      <c r="BK152" s="6"/>
      <c r="BL152" s="8"/>
      <c r="BM152" s="7"/>
      <c r="BN152" s="6"/>
      <c r="BO152" s="8"/>
      <c r="BP152" s="7"/>
      <c r="BQ152" s="6"/>
      <c r="BR152" s="8"/>
    </row>
    <row r="153">
      <c r="A153" s="6"/>
      <c r="B153" s="6" t="s">
        <v>153</v>
      </c>
      <c r="C153" s="3" t="str">
        <f t="shared" si="1"/>
        <v>_striped olive</v>
      </c>
      <c r="D153" s="3" t="str">
        <f t="shared" si="8"/>
        <v>#N/A</v>
      </c>
      <c r="E153" s="3" t="b">
        <f t="shared" si="2"/>
        <v>0</v>
      </c>
      <c r="G153" s="3" t="str">
        <f t="shared" si="3"/>
        <v>#N/A</v>
      </c>
      <c r="H153" s="3" t="b">
        <f t="shared" si="4"/>
        <v>0</v>
      </c>
      <c r="J153" s="3" t="str">
        <f t="shared" si="5"/>
        <v>#N/A</v>
      </c>
      <c r="K153" s="3" t="b">
        <f t="shared" si="6"/>
        <v>0</v>
      </c>
      <c r="M153" s="3" t="str">
        <f t="shared" si="7"/>
        <v>#N/A</v>
      </c>
      <c r="AU153" s="7"/>
      <c r="AV153" s="6"/>
      <c r="AW153" s="8"/>
      <c r="AX153" s="7"/>
      <c r="AY153" s="6"/>
      <c r="AZ153" s="8"/>
      <c r="BA153" s="7"/>
      <c r="BB153" s="6"/>
      <c r="BC153" s="8"/>
      <c r="BD153" s="7"/>
      <c r="BE153" s="6"/>
      <c r="BF153" s="8"/>
      <c r="BG153" s="7"/>
      <c r="BH153" s="6"/>
      <c r="BI153" s="8"/>
      <c r="BJ153" s="7"/>
      <c r="BK153" s="6"/>
      <c r="BL153" s="8"/>
      <c r="BM153" s="7"/>
      <c r="BN153" s="6"/>
      <c r="BO153" s="8"/>
      <c r="BP153" s="7"/>
      <c r="BQ153" s="6"/>
      <c r="BR153" s="8"/>
    </row>
    <row r="154">
      <c r="A154" s="6"/>
      <c r="B154" s="6" t="s">
        <v>154</v>
      </c>
      <c r="C154" s="3" t="str">
        <f t="shared" si="1"/>
        <v>_dull teal</v>
      </c>
      <c r="D154" s="3" t="str">
        <f t="shared" si="8"/>
        <v>#N/A</v>
      </c>
      <c r="E154" s="3" t="b">
        <f t="shared" si="2"/>
        <v>0</v>
      </c>
      <c r="G154" s="3" t="str">
        <f t="shared" si="3"/>
        <v>#N/A</v>
      </c>
      <c r="H154" s="3" t="b">
        <f t="shared" si="4"/>
        <v>0</v>
      </c>
      <c r="J154" s="3" t="str">
        <f t="shared" si="5"/>
        <v>#N/A</v>
      </c>
      <c r="K154" s="3" t="b">
        <f t="shared" si="6"/>
        <v>0</v>
      </c>
      <c r="M154" s="3" t="str">
        <f t="shared" si="7"/>
        <v>#N/A</v>
      </c>
      <c r="AU154" s="7"/>
      <c r="AV154" s="6"/>
      <c r="AW154" s="8"/>
      <c r="AX154" s="7"/>
      <c r="AY154" s="6"/>
      <c r="AZ154" s="8"/>
      <c r="BA154" s="7"/>
      <c r="BB154" s="6"/>
      <c r="BC154" s="8"/>
      <c r="BD154" s="7"/>
      <c r="BE154" s="6"/>
      <c r="BF154" s="8"/>
      <c r="BG154" s="7"/>
      <c r="BH154" s="6"/>
      <c r="BI154" s="8"/>
      <c r="BJ154" s="7"/>
      <c r="BK154" s="6"/>
      <c r="BL154" s="8"/>
      <c r="BM154" s="7"/>
      <c r="BN154" s="6"/>
      <c r="BO154" s="8"/>
      <c r="BP154" s="7"/>
      <c r="BQ154" s="6"/>
      <c r="BR154" s="8"/>
    </row>
    <row r="155">
      <c r="A155" s="6"/>
      <c r="B155" s="6" t="s">
        <v>155</v>
      </c>
      <c r="C155" s="3" t="str">
        <f t="shared" si="1"/>
        <v>_light black</v>
      </c>
      <c r="D155" s="3" t="str">
        <f t="shared" si="8"/>
        <v>#N/A</v>
      </c>
      <c r="E155" s="3" t="b">
        <f t="shared" si="2"/>
        <v>0</v>
      </c>
      <c r="G155" s="3" t="str">
        <f t="shared" si="3"/>
        <v>#N/A</v>
      </c>
      <c r="H155" s="3" t="b">
        <f t="shared" si="4"/>
        <v>0</v>
      </c>
      <c r="J155" s="3" t="str">
        <f t="shared" si="5"/>
        <v>#N/A</v>
      </c>
      <c r="K155" s="3" t="b">
        <f t="shared" si="6"/>
        <v>0</v>
      </c>
      <c r="M155" s="3" t="str">
        <f t="shared" si="7"/>
        <v>#N/A</v>
      </c>
      <c r="AU155" s="7"/>
      <c r="AV155" s="6"/>
      <c r="AW155" s="8"/>
      <c r="AX155" s="7"/>
      <c r="AY155" s="6"/>
      <c r="AZ155" s="8"/>
      <c r="BA155" s="7"/>
      <c r="BB155" s="6"/>
      <c r="BC155" s="8"/>
      <c r="BD155" s="7"/>
      <c r="BE155" s="6"/>
      <c r="BF155" s="8"/>
      <c r="BG155" s="7"/>
      <c r="BH155" s="6"/>
      <c r="BI155" s="8"/>
      <c r="BJ155" s="7"/>
      <c r="BK155" s="6"/>
      <c r="BL155" s="8"/>
      <c r="BM155" s="7"/>
      <c r="BN155" s="6"/>
      <c r="BO155" s="8"/>
      <c r="BP155" s="7"/>
      <c r="BQ155" s="6"/>
      <c r="BR155" s="8"/>
    </row>
    <row r="156">
      <c r="A156" s="6"/>
      <c r="B156" s="6" t="s">
        <v>156</v>
      </c>
      <c r="C156" s="3" t="str">
        <f t="shared" si="1"/>
        <v>_clear orange</v>
      </c>
      <c r="D156" s="3" t="str">
        <f t="shared" si="8"/>
        <v>#N/A</v>
      </c>
      <c r="E156" s="3" t="b">
        <f t="shared" si="2"/>
        <v>0</v>
      </c>
      <c r="G156" s="3" t="str">
        <f t="shared" si="3"/>
        <v>#N/A</v>
      </c>
      <c r="H156" s="3" t="b">
        <f t="shared" si="4"/>
        <v>0</v>
      </c>
      <c r="J156" s="3" t="str">
        <f t="shared" si="5"/>
        <v>#N/A</v>
      </c>
      <c r="K156" s="3" t="b">
        <f t="shared" si="6"/>
        <v>0</v>
      </c>
      <c r="M156" s="3" t="str">
        <f t="shared" si="7"/>
        <v>#N/A</v>
      </c>
      <c r="AU156" s="7"/>
      <c r="AV156" s="6"/>
      <c r="AW156" s="8"/>
      <c r="AX156" s="7"/>
      <c r="AY156" s="6"/>
      <c r="AZ156" s="8"/>
      <c r="BA156" s="7"/>
      <c r="BB156" s="6"/>
      <c r="BC156" s="8"/>
      <c r="BD156" s="7"/>
      <c r="BE156" s="6"/>
      <c r="BF156" s="8"/>
      <c r="BG156" s="7"/>
      <c r="BH156" s="6"/>
      <c r="BI156" s="8"/>
      <c r="BJ156" s="7"/>
      <c r="BK156" s="6"/>
      <c r="BL156" s="8"/>
      <c r="BM156" s="7"/>
      <c r="BN156" s="6"/>
      <c r="BO156" s="8"/>
      <c r="BP156" s="7"/>
      <c r="BQ156" s="6"/>
      <c r="BR156" s="8"/>
    </row>
    <row r="157">
      <c r="A157" s="6"/>
      <c r="B157" s="6" t="s">
        <v>157</v>
      </c>
      <c r="C157" s="3" t="str">
        <f t="shared" si="1"/>
        <v>_pale yellow</v>
      </c>
      <c r="D157" s="3" t="str">
        <f t="shared" si="8"/>
        <v>#N/A</v>
      </c>
      <c r="E157" s="3" t="b">
        <f t="shared" si="2"/>
        <v>0</v>
      </c>
      <c r="G157" s="3" t="str">
        <f t="shared" si="3"/>
        <v>#N/A</v>
      </c>
      <c r="H157" s="3" t="b">
        <f t="shared" si="4"/>
        <v>0</v>
      </c>
      <c r="J157" s="3" t="str">
        <f t="shared" si="5"/>
        <v>#N/A</v>
      </c>
      <c r="K157" s="3" t="b">
        <f t="shared" si="6"/>
        <v>0</v>
      </c>
      <c r="M157" s="3" t="str">
        <f t="shared" si="7"/>
        <v>#N/A</v>
      </c>
      <c r="AU157" s="7"/>
      <c r="AV157" s="6"/>
      <c r="AW157" s="8"/>
      <c r="AX157" s="7"/>
      <c r="AY157" s="6"/>
      <c r="AZ157" s="8"/>
      <c r="BA157" s="7"/>
      <c r="BB157" s="6"/>
      <c r="BC157" s="8"/>
      <c r="BD157" s="7"/>
      <c r="BE157" s="6"/>
      <c r="BF157" s="8"/>
      <c r="BG157" s="7"/>
      <c r="BH157" s="6"/>
      <c r="BI157" s="8"/>
      <c r="BJ157" s="7"/>
      <c r="BK157" s="6"/>
      <c r="BL157" s="8"/>
      <c r="BM157" s="7"/>
      <c r="BN157" s="6"/>
      <c r="BO157" s="8"/>
      <c r="BP157" s="7"/>
      <c r="BQ157" s="6"/>
      <c r="BR157" s="8"/>
    </row>
    <row r="158">
      <c r="A158" s="6"/>
      <c r="B158" s="6" t="s">
        <v>158</v>
      </c>
      <c r="C158" s="3" t="str">
        <f t="shared" si="1"/>
        <v>_posh cyan</v>
      </c>
      <c r="D158" s="3" t="str">
        <f t="shared" si="8"/>
        <v>#N/A</v>
      </c>
      <c r="E158" s="3" t="b">
        <f t="shared" si="2"/>
        <v>0</v>
      </c>
      <c r="G158" s="3" t="str">
        <f t="shared" si="3"/>
        <v>#N/A</v>
      </c>
      <c r="H158" s="3" t="b">
        <f t="shared" si="4"/>
        <v>0</v>
      </c>
      <c r="J158" s="3" t="str">
        <f t="shared" si="5"/>
        <v>#N/A</v>
      </c>
      <c r="K158" s="3" t="b">
        <f t="shared" si="6"/>
        <v>0</v>
      </c>
      <c r="M158" s="3" t="str">
        <f t="shared" si="7"/>
        <v>#N/A</v>
      </c>
      <c r="AU158" s="7"/>
      <c r="AV158" s="6"/>
      <c r="AW158" s="8"/>
      <c r="AX158" s="7"/>
      <c r="AY158" s="6"/>
      <c r="AZ158" s="8"/>
      <c r="BA158" s="7"/>
      <c r="BB158" s="6"/>
      <c r="BC158" s="8"/>
      <c r="BD158" s="7"/>
      <c r="BE158" s="6"/>
      <c r="BF158" s="8"/>
      <c r="BG158" s="7"/>
      <c r="BH158" s="6"/>
      <c r="BI158" s="8"/>
      <c r="BJ158" s="7"/>
      <c r="BK158" s="6"/>
      <c r="BL158" s="8"/>
      <c r="BM158" s="7"/>
      <c r="BN158" s="6"/>
      <c r="BO158" s="8"/>
      <c r="BP158" s="7"/>
      <c r="BQ158" s="6"/>
      <c r="BR158" s="8"/>
    </row>
    <row r="159">
      <c r="A159" s="6"/>
      <c r="B159" s="6" t="s">
        <v>159</v>
      </c>
      <c r="C159" s="3" t="str">
        <f t="shared" si="1"/>
        <v>_drab tomato</v>
      </c>
      <c r="D159" s="3" t="str">
        <f t="shared" si="8"/>
        <v>#N/A</v>
      </c>
      <c r="E159" s="3" t="b">
        <f t="shared" si="2"/>
        <v>0</v>
      </c>
      <c r="G159" s="3" t="str">
        <f t="shared" si="3"/>
        <v>#N/A</v>
      </c>
      <c r="H159" s="3" t="b">
        <f t="shared" si="4"/>
        <v>0</v>
      </c>
      <c r="J159" s="3" t="str">
        <f t="shared" si="5"/>
        <v>#N/A</v>
      </c>
      <c r="K159" s="3" t="b">
        <f t="shared" si="6"/>
        <v>0</v>
      </c>
      <c r="M159" s="3" t="str">
        <f t="shared" si="7"/>
        <v>#N/A</v>
      </c>
      <c r="AU159" s="7"/>
      <c r="AV159" s="6"/>
      <c r="AW159" s="8"/>
      <c r="AX159" s="7"/>
      <c r="AY159" s="6"/>
      <c r="AZ159" s="8"/>
      <c r="BA159" s="7"/>
      <c r="BB159" s="6"/>
      <c r="BC159" s="8"/>
      <c r="BD159" s="7"/>
      <c r="BE159" s="6"/>
      <c r="BF159" s="8"/>
      <c r="BG159" s="7"/>
      <c r="BH159" s="6"/>
      <c r="BI159" s="8"/>
      <c r="BJ159" s="7"/>
      <c r="BK159" s="6"/>
      <c r="BL159" s="8"/>
      <c r="BM159" s="7"/>
      <c r="BN159" s="6"/>
      <c r="BO159" s="8"/>
      <c r="BP159" s="7"/>
      <c r="BQ159" s="6"/>
      <c r="BR159" s="8"/>
    </row>
    <row r="160">
      <c r="A160" s="6"/>
      <c r="B160" s="6" t="s">
        <v>160</v>
      </c>
      <c r="C160" s="3" t="str">
        <f t="shared" si="1"/>
        <v>_pale orange</v>
      </c>
      <c r="D160" s="3" t="str">
        <f t="shared" si="8"/>
        <v>#N/A</v>
      </c>
      <c r="E160" s="3" t="b">
        <f t="shared" si="2"/>
        <v>0</v>
      </c>
      <c r="G160" s="3" t="str">
        <f t="shared" si="3"/>
        <v>#N/A</v>
      </c>
      <c r="H160" s="3" t="b">
        <f t="shared" si="4"/>
        <v>0</v>
      </c>
      <c r="J160" s="3" t="str">
        <f t="shared" si="5"/>
        <v>#N/A</v>
      </c>
      <c r="K160" s="3" t="b">
        <f t="shared" si="6"/>
        <v>0</v>
      </c>
      <c r="M160" s="3" t="str">
        <f t="shared" si="7"/>
        <v>#N/A</v>
      </c>
      <c r="AU160" s="7"/>
      <c r="AV160" s="6"/>
      <c r="AW160" s="8"/>
      <c r="AX160" s="7"/>
      <c r="AY160" s="6"/>
      <c r="AZ160" s="8"/>
      <c r="BA160" s="7"/>
      <c r="BB160" s="6"/>
      <c r="BC160" s="8"/>
      <c r="BD160" s="7"/>
      <c r="BE160" s="6"/>
      <c r="BF160" s="8"/>
      <c r="BG160" s="7"/>
      <c r="BH160" s="6"/>
      <c r="BI160" s="8"/>
      <c r="BJ160" s="7"/>
      <c r="BK160" s="6"/>
      <c r="BL160" s="8"/>
      <c r="BM160" s="7"/>
      <c r="BN160" s="6"/>
      <c r="BO160" s="8"/>
      <c r="BP160" s="7"/>
      <c r="BQ160" s="6"/>
      <c r="BR160" s="8"/>
    </row>
    <row r="161">
      <c r="A161" s="6"/>
      <c r="B161" s="6" t="s">
        <v>161</v>
      </c>
      <c r="C161" s="3" t="str">
        <f t="shared" si="1"/>
        <v>_dull tomato</v>
      </c>
      <c r="D161" s="3" t="str">
        <f t="shared" si="8"/>
        <v>#N/A</v>
      </c>
      <c r="E161" s="3" t="b">
        <f t="shared" si="2"/>
        <v>0</v>
      </c>
      <c r="G161" s="3" t="str">
        <f t="shared" si="3"/>
        <v>#N/A</v>
      </c>
      <c r="H161" s="3" t="b">
        <f t="shared" si="4"/>
        <v>0</v>
      </c>
      <c r="J161" s="3" t="str">
        <f t="shared" si="5"/>
        <v>#N/A</v>
      </c>
      <c r="K161" s="3" t="b">
        <f t="shared" si="6"/>
        <v>0</v>
      </c>
      <c r="M161" s="3" t="str">
        <f t="shared" si="7"/>
        <v>#N/A</v>
      </c>
      <c r="AU161" s="7"/>
      <c r="AV161" s="6"/>
      <c r="AW161" s="8"/>
      <c r="AX161" s="7"/>
      <c r="AY161" s="6"/>
      <c r="AZ161" s="8"/>
      <c r="BA161" s="7"/>
      <c r="BB161" s="6"/>
      <c r="BC161" s="8"/>
      <c r="BD161" s="7"/>
      <c r="BE161" s="6"/>
      <c r="BF161" s="8"/>
      <c r="BG161" s="7"/>
      <c r="BH161" s="6"/>
      <c r="BI161" s="8"/>
      <c r="BJ161" s="7"/>
      <c r="BK161" s="6"/>
      <c r="BL161" s="8"/>
      <c r="BM161" s="7"/>
      <c r="BN161" s="6"/>
      <c r="BO161" s="8"/>
      <c r="BP161" s="7"/>
      <c r="BQ161" s="6"/>
      <c r="BR161" s="8"/>
    </row>
    <row r="162">
      <c r="A162" s="6"/>
      <c r="B162" s="6" t="s">
        <v>162</v>
      </c>
      <c r="C162" s="3" t="str">
        <f t="shared" si="1"/>
        <v>_pale turquoise</v>
      </c>
      <c r="D162" s="3" t="str">
        <f t="shared" si="8"/>
        <v>#N/A</v>
      </c>
      <c r="E162" s="3" t="b">
        <f t="shared" si="2"/>
        <v>0</v>
      </c>
      <c r="G162" s="3" t="str">
        <f t="shared" si="3"/>
        <v>#N/A</v>
      </c>
      <c r="H162" s="3" t="b">
        <f t="shared" si="4"/>
        <v>0</v>
      </c>
      <c r="J162" s="3" t="str">
        <f t="shared" si="5"/>
        <v>#N/A</v>
      </c>
      <c r="K162" s="3" t="b">
        <f t="shared" si="6"/>
        <v>0</v>
      </c>
      <c r="M162" s="3" t="str">
        <f t="shared" si="7"/>
        <v>#N/A</v>
      </c>
      <c r="AU162" s="7"/>
      <c r="AV162" s="6"/>
      <c r="AW162" s="8"/>
      <c r="AX162" s="7"/>
      <c r="AY162" s="6"/>
      <c r="AZ162" s="8"/>
      <c r="BA162" s="7"/>
      <c r="BB162" s="6"/>
      <c r="BC162" s="8"/>
      <c r="BD162" s="7"/>
      <c r="BE162" s="6"/>
      <c r="BF162" s="8"/>
      <c r="BG162" s="7"/>
      <c r="BH162" s="6"/>
      <c r="BI162" s="8"/>
      <c r="BJ162" s="7"/>
      <c r="BK162" s="6"/>
      <c r="BL162" s="8"/>
      <c r="BM162" s="7"/>
      <c r="BN162" s="6"/>
      <c r="BO162" s="8"/>
      <c r="BP162" s="7"/>
      <c r="BQ162" s="6"/>
      <c r="BR162" s="8"/>
    </row>
    <row r="163">
      <c r="A163" s="6"/>
      <c r="B163" s="6" t="s">
        <v>163</v>
      </c>
      <c r="C163" s="3" t="str">
        <f t="shared" si="1"/>
        <v>_plaid maroon</v>
      </c>
      <c r="D163" s="3" t="str">
        <f t="shared" si="8"/>
        <v>#N/A</v>
      </c>
      <c r="E163" s="3" t="b">
        <f t="shared" si="2"/>
        <v>0</v>
      </c>
      <c r="G163" s="3" t="str">
        <f t="shared" si="3"/>
        <v>#N/A</v>
      </c>
      <c r="H163" s="3" t="b">
        <f t="shared" si="4"/>
        <v>0</v>
      </c>
      <c r="J163" s="3" t="str">
        <f t="shared" si="5"/>
        <v>#N/A</v>
      </c>
      <c r="K163" s="3" t="b">
        <f t="shared" si="6"/>
        <v>0</v>
      </c>
      <c r="M163" s="3" t="str">
        <f t="shared" si="7"/>
        <v>#N/A</v>
      </c>
      <c r="AU163" s="7"/>
      <c r="AV163" s="6"/>
      <c r="AW163" s="8"/>
      <c r="AX163" s="7"/>
      <c r="AY163" s="6"/>
      <c r="AZ163" s="8"/>
      <c r="BA163" s="7"/>
      <c r="BB163" s="6"/>
      <c r="BC163" s="8"/>
      <c r="BD163" s="7"/>
      <c r="BE163" s="6"/>
      <c r="BF163" s="8"/>
      <c r="BG163" s="7"/>
      <c r="BH163" s="6"/>
      <c r="BI163" s="8"/>
      <c r="BJ163" s="7"/>
      <c r="BK163" s="6"/>
      <c r="BL163" s="8"/>
      <c r="BM163" s="7"/>
      <c r="BN163" s="6"/>
      <c r="BO163" s="8"/>
      <c r="BP163" s="7"/>
      <c r="BQ163" s="6"/>
      <c r="BR163" s="8"/>
    </row>
    <row r="164">
      <c r="A164" s="6"/>
      <c r="B164" s="6" t="s">
        <v>164</v>
      </c>
      <c r="C164" s="3" t="str">
        <f t="shared" si="1"/>
        <v>_vibrant beige</v>
      </c>
      <c r="D164" s="3" t="str">
        <f t="shared" si="8"/>
        <v>#N/A</v>
      </c>
      <c r="E164" s="3" t="b">
        <f t="shared" si="2"/>
        <v>0</v>
      </c>
      <c r="G164" s="3" t="str">
        <f t="shared" si="3"/>
        <v>#N/A</v>
      </c>
      <c r="H164" s="3" t="b">
        <f t="shared" si="4"/>
        <v>0</v>
      </c>
      <c r="J164" s="3" t="str">
        <f t="shared" si="5"/>
        <v>#N/A</v>
      </c>
      <c r="K164" s="3" t="b">
        <f t="shared" si="6"/>
        <v>0</v>
      </c>
      <c r="M164" s="3" t="str">
        <f t="shared" si="7"/>
        <v>#N/A</v>
      </c>
      <c r="AU164" s="7"/>
      <c r="AV164" s="6"/>
      <c r="AW164" s="8"/>
      <c r="AX164" s="7"/>
      <c r="AY164" s="6"/>
      <c r="AZ164" s="8"/>
      <c r="BA164" s="7"/>
      <c r="BB164" s="6"/>
      <c r="BC164" s="8"/>
      <c r="BD164" s="7"/>
      <c r="BE164" s="6"/>
      <c r="BF164" s="8"/>
      <c r="BG164" s="7"/>
      <c r="BH164" s="6"/>
      <c r="BI164" s="8"/>
      <c r="BJ164" s="7"/>
      <c r="BK164" s="6"/>
      <c r="BL164" s="8"/>
      <c r="BM164" s="7"/>
      <c r="BN164" s="6"/>
      <c r="BO164" s="8"/>
      <c r="BP164" s="7"/>
      <c r="BQ164" s="6"/>
      <c r="BR164" s="8"/>
    </row>
    <row r="165">
      <c r="A165" s="6"/>
      <c r="B165" s="6" t="s">
        <v>165</v>
      </c>
      <c r="C165" s="3" t="str">
        <f t="shared" si="1"/>
        <v>_bright purple</v>
      </c>
      <c r="D165" s="3" t="str">
        <f t="shared" si="8"/>
        <v>#N/A</v>
      </c>
      <c r="E165" s="3" t="b">
        <f t="shared" si="2"/>
        <v>0</v>
      </c>
      <c r="G165" s="3" t="str">
        <f t="shared" si="3"/>
        <v>#N/A</v>
      </c>
      <c r="H165" s="3" t="b">
        <f t="shared" si="4"/>
        <v>0</v>
      </c>
      <c r="J165" s="3" t="str">
        <f t="shared" si="5"/>
        <v>#N/A</v>
      </c>
      <c r="K165" s="3" t="b">
        <f t="shared" si="6"/>
        <v>0</v>
      </c>
      <c r="M165" s="3" t="str">
        <f t="shared" si="7"/>
        <v>#N/A</v>
      </c>
      <c r="AU165" s="7"/>
      <c r="AV165" s="6"/>
      <c r="AW165" s="8"/>
      <c r="AX165" s="7"/>
      <c r="AY165" s="6"/>
      <c r="AZ165" s="8"/>
      <c r="BA165" s="7"/>
      <c r="BB165" s="6"/>
      <c r="BC165" s="8"/>
      <c r="BD165" s="7"/>
      <c r="BE165" s="6"/>
      <c r="BF165" s="8"/>
      <c r="BG165" s="7"/>
      <c r="BH165" s="6"/>
      <c r="BI165" s="8"/>
      <c r="BJ165" s="7"/>
      <c r="BK165" s="6"/>
      <c r="BL165" s="8"/>
      <c r="BM165" s="7"/>
      <c r="BN165" s="6"/>
      <c r="BO165" s="8"/>
      <c r="BP165" s="7"/>
      <c r="BQ165" s="6"/>
      <c r="BR165" s="8"/>
    </row>
    <row r="166">
      <c r="A166" s="6"/>
      <c r="B166" s="6" t="s">
        <v>166</v>
      </c>
      <c r="C166" s="3" t="str">
        <f t="shared" si="1"/>
        <v>_dull coral</v>
      </c>
      <c r="D166" s="3" t="str">
        <f t="shared" si="8"/>
        <v>#N/A</v>
      </c>
      <c r="E166" s="3" t="b">
        <f t="shared" si="2"/>
        <v>0</v>
      </c>
      <c r="G166" s="3" t="str">
        <f t="shared" si="3"/>
        <v>#N/A</v>
      </c>
      <c r="H166" s="3" t="b">
        <f t="shared" si="4"/>
        <v>0</v>
      </c>
      <c r="J166" s="3" t="str">
        <f t="shared" si="5"/>
        <v>#N/A</v>
      </c>
      <c r="K166" s="3" t="b">
        <f t="shared" si="6"/>
        <v>0</v>
      </c>
      <c r="M166" s="3" t="str">
        <f t="shared" si="7"/>
        <v>#N/A</v>
      </c>
      <c r="AU166" s="7"/>
      <c r="AV166" s="6"/>
      <c r="AW166" s="8"/>
      <c r="AX166" s="7"/>
      <c r="AY166" s="6"/>
      <c r="AZ166" s="8"/>
      <c r="BA166" s="7"/>
      <c r="BB166" s="6"/>
      <c r="BC166" s="8"/>
      <c r="BD166" s="7"/>
      <c r="BE166" s="6"/>
      <c r="BF166" s="8"/>
      <c r="BG166" s="7"/>
      <c r="BH166" s="6"/>
      <c r="BI166" s="8"/>
      <c r="BJ166" s="7"/>
      <c r="BK166" s="6"/>
      <c r="BL166" s="8"/>
      <c r="BM166" s="7"/>
      <c r="BN166" s="6"/>
      <c r="BO166" s="8"/>
      <c r="BP166" s="7"/>
      <c r="BQ166" s="6"/>
      <c r="BR166" s="8"/>
    </row>
    <row r="167">
      <c r="A167" s="6"/>
      <c r="B167" s="6" t="s">
        <v>167</v>
      </c>
      <c r="C167" s="3" t="str">
        <f t="shared" si="1"/>
        <v>_drab gray</v>
      </c>
      <c r="D167" s="3" t="str">
        <f t="shared" si="8"/>
        <v>#N/A</v>
      </c>
      <c r="E167" s="3" t="b">
        <f t="shared" si="2"/>
        <v>0</v>
      </c>
      <c r="G167" s="3" t="str">
        <f t="shared" si="3"/>
        <v>#N/A</v>
      </c>
      <c r="H167" s="3" t="b">
        <f t="shared" si="4"/>
        <v>0</v>
      </c>
      <c r="J167" s="3" t="str">
        <f t="shared" si="5"/>
        <v>#N/A</v>
      </c>
      <c r="K167" s="3" t="b">
        <f t="shared" si="6"/>
        <v>0</v>
      </c>
      <c r="M167" s="3" t="str">
        <f t="shared" si="7"/>
        <v>#N/A</v>
      </c>
      <c r="AU167" s="7"/>
      <c r="AV167" s="6"/>
      <c r="AW167" s="8"/>
      <c r="AX167" s="7"/>
      <c r="AY167" s="6"/>
      <c r="AZ167" s="8"/>
      <c r="BA167" s="7"/>
      <c r="BB167" s="6"/>
      <c r="BC167" s="8"/>
      <c r="BD167" s="7"/>
      <c r="BE167" s="6"/>
      <c r="BF167" s="8"/>
      <c r="BG167" s="7"/>
      <c r="BH167" s="6"/>
      <c r="BI167" s="8"/>
      <c r="BJ167" s="7"/>
      <c r="BK167" s="6"/>
      <c r="BL167" s="8"/>
      <c r="BM167" s="7"/>
      <c r="BN167" s="6"/>
      <c r="BO167" s="8"/>
      <c r="BP167" s="7"/>
      <c r="BQ167" s="6"/>
      <c r="BR167" s="8"/>
    </row>
    <row r="168">
      <c r="A168" s="6"/>
      <c r="B168" s="6" t="s">
        <v>168</v>
      </c>
      <c r="C168" s="3" t="str">
        <f t="shared" si="1"/>
        <v>_dull lavender</v>
      </c>
      <c r="D168" s="3" t="str">
        <f t="shared" si="8"/>
        <v>#N/A</v>
      </c>
      <c r="E168" s="3" t="b">
        <f t="shared" si="2"/>
        <v>0</v>
      </c>
      <c r="G168" s="3" t="str">
        <f t="shared" si="3"/>
        <v>#N/A</v>
      </c>
      <c r="H168" s="3" t="b">
        <f t="shared" si="4"/>
        <v>0</v>
      </c>
      <c r="J168" s="3" t="str">
        <f t="shared" si="5"/>
        <v>#N/A</v>
      </c>
      <c r="K168" s="3" t="b">
        <f t="shared" si="6"/>
        <v>0</v>
      </c>
      <c r="M168" s="3" t="str">
        <f t="shared" si="7"/>
        <v>#N/A</v>
      </c>
      <c r="AU168" s="7"/>
      <c r="AV168" s="6"/>
      <c r="AW168" s="8"/>
      <c r="AX168" s="7"/>
      <c r="AY168" s="6"/>
      <c r="AZ168" s="8"/>
      <c r="BA168" s="7"/>
      <c r="BB168" s="6"/>
      <c r="BC168" s="8"/>
      <c r="BD168" s="7"/>
      <c r="BE168" s="6"/>
      <c r="BF168" s="8"/>
      <c r="BG168" s="7"/>
      <c r="BH168" s="6"/>
      <c r="BI168" s="8"/>
      <c r="BJ168" s="7"/>
      <c r="BK168" s="6"/>
      <c r="BL168" s="8"/>
      <c r="BM168" s="7"/>
      <c r="BN168" s="6"/>
      <c r="BO168" s="8"/>
      <c r="BP168" s="7"/>
      <c r="BQ168" s="6"/>
      <c r="BR168" s="8"/>
    </row>
    <row r="169">
      <c r="A169" s="6"/>
      <c r="B169" s="6" t="s">
        <v>169</v>
      </c>
      <c r="C169" s="3" t="str">
        <f t="shared" si="1"/>
        <v>_striped maroon</v>
      </c>
      <c r="D169" s="3" t="str">
        <f t="shared" si="8"/>
        <v>#N/A</v>
      </c>
      <c r="E169" s="3" t="b">
        <f t="shared" si="2"/>
        <v>0</v>
      </c>
      <c r="G169" s="3" t="str">
        <f t="shared" si="3"/>
        <v>#N/A</v>
      </c>
      <c r="H169" s="3" t="b">
        <f t="shared" si="4"/>
        <v>0</v>
      </c>
      <c r="J169" s="3" t="str">
        <f t="shared" si="5"/>
        <v>#N/A</v>
      </c>
      <c r="K169" s="3" t="b">
        <f t="shared" si="6"/>
        <v>0</v>
      </c>
      <c r="M169" s="3" t="str">
        <f t="shared" si="7"/>
        <v>#N/A</v>
      </c>
      <c r="AU169" s="7"/>
      <c r="AV169" s="6"/>
      <c r="AW169" s="8"/>
      <c r="AX169" s="7"/>
      <c r="AY169" s="6"/>
      <c r="AZ169" s="8"/>
      <c r="BA169" s="7"/>
      <c r="BB169" s="6"/>
      <c r="BC169" s="8"/>
      <c r="BD169" s="7"/>
      <c r="BE169" s="6"/>
      <c r="BF169" s="8"/>
      <c r="BG169" s="7"/>
      <c r="BH169" s="6"/>
      <c r="BI169" s="8"/>
      <c r="BJ169" s="7"/>
      <c r="BK169" s="6"/>
      <c r="BL169" s="8"/>
      <c r="BM169" s="7"/>
      <c r="BN169" s="6"/>
      <c r="BO169" s="8"/>
      <c r="BP169" s="7"/>
      <c r="BQ169" s="6"/>
      <c r="BR169" s="8"/>
    </row>
    <row r="170">
      <c r="A170" s="6"/>
      <c r="B170" s="6" t="s">
        <v>170</v>
      </c>
      <c r="C170" s="3" t="str">
        <f t="shared" si="1"/>
        <v>_mirrored silver</v>
      </c>
      <c r="D170" s="3" t="str">
        <f t="shared" si="8"/>
        <v>#N/A</v>
      </c>
      <c r="E170" s="3" t="b">
        <f t="shared" si="2"/>
        <v>0</v>
      </c>
      <c r="G170" s="3" t="str">
        <f t="shared" si="3"/>
        <v>#N/A</v>
      </c>
      <c r="H170" s="3" t="b">
        <f t="shared" si="4"/>
        <v>0</v>
      </c>
      <c r="J170" s="3" t="str">
        <f t="shared" si="5"/>
        <v>#N/A</v>
      </c>
      <c r="K170" s="3" t="b">
        <f t="shared" si="6"/>
        <v>0</v>
      </c>
      <c r="M170" s="3" t="str">
        <f t="shared" si="7"/>
        <v>#N/A</v>
      </c>
      <c r="AU170" s="7"/>
      <c r="AV170" s="6"/>
      <c r="AW170" s="8"/>
      <c r="AX170" s="7"/>
      <c r="AY170" s="6"/>
      <c r="AZ170" s="8"/>
      <c r="BA170" s="7"/>
      <c r="BB170" s="6"/>
      <c r="BC170" s="8"/>
      <c r="BD170" s="7"/>
      <c r="BE170" s="6"/>
      <c r="BF170" s="8"/>
      <c r="BG170" s="7"/>
      <c r="BH170" s="6"/>
      <c r="BI170" s="8"/>
      <c r="BJ170" s="7"/>
      <c r="BK170" s="6"/>
      <c r="BL170" s="8"/>
      <c r="BM170" s="7"/>
      <c r="BN170" s="6"/>
      <c r="BO170" s="8"/>
      <c r="BP170" s="7"/>
      <c r="BQ170" s="6"/>
      <c r="BR170" s="8"/>
    </row>
    <row r="171">
      <c r="A171" s="6"/>
      <c r="B171" s="6" t="s">
        <v>171</v>
      </c>
      <c r="C171" s="3" t="str">
        <f t="shared" si="1"/>
        <v>_faded yellow</v>
      </c>
      <c r="D171" s="3" t="str">
        <f t="shared" si="8"/>
        <v>#N/A</v>
      </c>
      <c r="E171" s="3" t="b">
        <f t="shared" si="2"/>
        <v>0</v>
      </c>
      <c r="G171" s="3" t="str">
        <f t="shared" si="3"/>
        <v>#N/A</v>
      </c>
      <c r="H171" s="3" t="b">
        <f t="shared" si="4"/>
        <v>0</v>
      </c>
      <c r="J171" s="3" t="str">
        <f t="shared" si="5"/>
        <v>#N/A</v>
      </c>
      <c r="K171" s="3" t="b">
        <f t="shared" si="6"/>
        <v>0</v>
      </c>
      <c r="M171" s="3" t="str">
        <f t="shared" si="7"/>
        <v>#N/A</v>
      </c>
      <c r="AU171" s="7"/>
      <c r="AV171" s="6"/>
      <c r="AW171" s="8"/>
      <c r="AX171" s="7"/>
      <c r="AY171" s="6"/>
      <c r="AZ171" s="8"/>
      <c r="BA171" s="7"/>
      <c r="BB171" s="6"/>
      <c r="BC171" s="8"/>
      <c r="BD171" s="7"/>
      <c r="BE171" s="6"/>
      <c r="BF171" s="8"/>
      <c r="BG171" s="7"/>
      <c r="BH171" s="6"/>
      <c r="BI171" s="8"/>
      <c r="BJ171" s="7"/>
      <c r="BK171" s="6"/>
      <c r="BL171" s="8"/>
      <c r="BM171" s="7"/>
      <c r="BN171" s="6"/>
      <c r="BO171" s="8"/>
      <c r="BP171" s="7"/>
      <c r="BQ171" s="6"/>
      <c r="BR171" s="8"/>
    </row>
    <row r="172">
      <c r="A172" s="6"/>
      <c r="B172" s="6" t="s">
        <v>172</v>
      </c>
      <c r="C172" s="3" t="str">
        <f t="shared" si="1"/>
        <v>_striped purple</v>
      </c>
      <c r="D172" s="3" t="str">
        <f t="shared" si="8"/>
        <v>#N/A</v>
      </c>
      <c r="E172" s="3" t="b">
        <f t="shared" si="2"/>
        <v>0</v>
      </c>
      <c r="G172" s="3" t="str">
        <f t="shared" si="3"/>
        <v>#N/A</v>
      </c>
      <c r="H172" s="3" t="b">
        <f t="shared" si="4"/>
        <v>0</v>
      </c>
      <c r="J172" s="3" t="str">
        <f t="shared" si="5"/>
        <v>#N/A</v>
      </c>
      <c r="K172" s="3" t="b">
        <f t="shared" si="6"/>
        <v>0</v>
      </c>
      <c r="M172" s="3" t="str">
        <f t="shared" si="7"/>
        <v>#N/A</v>
      </c>
      <c r="AU172" s="7"/>
      <c r="AV172" s="6"/>
      <c r="AW172" s="8"/>
      <c r="AX172" s="7"/>
      <c r="AY172" s="6"/>
      <c r="AZ172" s="8"/>
      <c r="BA172" s="7"/>
      <c r="BB172" s="6"/>
      <c r="BC172" s="8"/>
      <c r="BD172" s="7"/>
      <c r="BE172" s="6"/>
      <c r="BF172" s="8"/>
      <c r="BG172" s="7"/>
      <c r="BH172" s="6"/>
      <c r="BI172" s="8"/>
      <c r="BJ172" s="7"/>
      <c r="BK172" s="6"/>
      <c r="BL172" s="8"/>
      <c r="BM172" s="7"/>
      <c r="BN172" s="6"/>
      <c r="BO172" s="8"/>
      <c r="BP172" s="7"/>
      <c r="BQ172" s="6"/>
      <c r="BR172" s="8"/>
    </row>
    <row r="173">
      <c r="A173" s="6"/>
      <c r="B173" s="6" t="s">
        <v>173</v>
      </c>
      <c r="C173" s="3" t="str">
        <f t="shared" si="1"/>
        <v>_clear gray</v>
      </c>
      <c r="D173" s="3" t="str">
        <f t="shared" si="8"/>
        <v>#N/A</v>
      </c>
      <c r="E173" s="3" t="b">
        <f t="shared" si="2"/>
        <v>0</v>
      </c>
      <c r="G173" s="3" t="str">
        <f t="shared" si="3"/>
        <v>#N/A</v>
      </c>
      <c r="H173" s="3" t="b">
        <f t="shared" si="4"/>
        <v>0</v>
      </c>
      <c r="J173" s="3" t="str">
        <f t="shared" si="5"/>
        <v>#N/A</v>
      </c>
      <c r="K173" s="3" t="b">
        <f t="shared" si="6"/>
        <v>0</v>
      </c>
      <c r="M173" s="3" t="str">
        <f t="shared" si="7"/>
        <v>#N/A</v>
      </c>
      <c r="AU173" s="7"/>
      <c r="AV173" s="6"/>
      <c r="AW173" s="8"/>
      <c r="AX173" s="7"/>
      <c r="AY173" s="6"/>
      <c r="AZ173" s="8"/>
      <c r="BA173" s="7"/>
      <c r="BB173" s="6"/>
      <c r="BC173" s="8"/>
      <c r="BD173" s="7"/>
      <c r="BE173" s="6"/>
      <c r="BF173" s="8"/>
      <c r="BG173" s="7"/>
      <c r="BH173" s="6"/>
      <c r="BI173" s="8"/>
      <c r="BJ173" s="7"/>
      <c r="BK173" s="6"/>
      <c r="BL173" s="8"/>
      <c r="BM173" s="7"/>
      <c r="BN173" s="6"/>
      <c r="BO173" s="8"/>
      <c r="BP173" s="7"/>
      <c r="BQ173" s="6"/>
      <c r="BR173" s="8"/>
    </row>
    <row r="174">
      <c r="A174" s="6"/>
      <c r="B174" s="6" t="s">
        <v>174</v>
      </c>
      <c r="C174" s="3" t="str">
        <f t="shared" si="1"/>
        <v>_plaid cyan</v>
      </c>
      <c r="D174" s="3" t="str">
        <f t="shared" si="8"/>
        <v>#N/A</v>
      </c>
      <c r="E174" s="3" t="b">
        <f t="shared" si="2"/>
        <v>0</v>
      </c>
      <c r="G174" s="3" t="str">
        <f t="shared" si="3"/>
        <v>#N/A</v>
      </c>
      <c r="H174" s="3" t="b">
        <f t="shared" si="4"/>
        <v>0</v>
      </c>
      <c r="J174" s="3" t="str">
        <f t="shared" si="5"/>
        <v>#N/A</v>
      </c>
      <c r="K174" s="3" t="b">
        <f t="shared" si="6"/>
        <v>0</v>
      </c>
      <c r="M174" s="3" t="str">
        <f t="shared" si="7"/>
        <v>#N/A</v>
      </c>
      <c r="AU174" s="7"/>
      <c r="AV174" s="6"/>
      <c r="AW174" s="8"/>
      <c r="AX174" s="7"/>
      <c r="AY174" s="6"/>
      <c r="AZ174" s="8"/>
      <c r="BA174" s="7"/>
      <c r="BB174" s="6"/>
      <c r="BC174" s="8"/>
      <c r="BD174" s="7"/>
      <c r="BE174" s="6"/>
      <c r="BF174" s="8"/>
      <c r="BG174" s="7"/>
      <c r="BH174" s="6"/>
      <c r="BI174" s="8"/>
      <c r="BJ174" s="7"/>
      <c r="BK174" s="6"/>
      <c r="BL174" s="8"/>
      <c r="BM174" s="7"/>
      <c r="BN174" s="6"/>
      <c r="BO174" s="8"/>
      <c r="BP174" s="7"/>
      <c r="BQ174" s="6"/>
      <c r="BR174" s="8"/>
    </row>
    <row r="175">
      <c r="A175" s="6"/>
      <c r="B175" s="6" t="s">
        <v>175</v>
      </c>
      <c r="C175" s="3" t="str">
        <f t="shared" si="1"/>
        <v>_bright orange</v>
      </c>
      <c r="D175" s="3" t="str">
        <f t="shared" si="8"/>
        <v>#N/A</v>
      </c>
      <c r="E175" s="3" t="b">
        <f t="shared" si="2"/>
        <v>0</v>
      </c>
      <c r="G175" s="3" t="str">
        <f t="shared" si="3"/>
        <v>#N/A</v>
      </c>
      <c r="H175" s="3" t="b">
        <f t="shared" si="4"/>
        <v>0</v>
      </c>
      <c r="J175" s="3" t="str">
        <f t="shared" si="5"/>
        <v>#N/A</v>
      </c>
      <c r="K175" s="3" t="b">
        <f t="shared" si="6"/>
        <v>0</v>
      </c>
      <c r="M175" s="3" t="str">
        <f t="shared" si="7"/>
        <v>#N/A</v>
      </c>
      <c r="AU175" s="7"/>
      <c r="AV175" s="6"/>
      <c r="AW175" s="8"/>
      <c r="AX175" s="7"/>
      <c r="AY175" s="6"/>
      <c r="AZ175" s="8"/>
      <c r="BA175" s="7"/>
      <c r="BB175" s="6"/>
      <c r="BC175" s="8"/>
      <c r="BD175" s="7"/>
      <c r="BE175" s="6"/>
      <c r="BF175" s="8"/>
      <c r="BG175" s="7"/>
      <c r="BH175" s="6"/>
      <c r="BI175" s="8"/>
      <c r="BJ175" s="7"/>
      <c r="BK175" s="6"/>
      <c r="BL175" s="8"/>
      <c r="BM175" s="7"/>
      <c r="BN175" s="6"/>
      <c r="BO175" s="8"/>
      <c r="BP175" s="7"/>
      <c r="BQ175" s="6"/>
      <c r="BR175" s="8"/>
    </row>
    <row r="176">
      <c r="A176" s="6"/>
      <c r="B176" s="6" t="s">
        <v>176</v>
      </c>
      <c r="C176" s="3" t="str">
        <f t="shared" si="1"/>
        <v>_dotted turquoise</v>
      </c>
      <c r="D176" s="3" t="str">
        <f t="shared" si="8"/>
        <v>#N/A</v>
      </c>
      <c r="E176" s="3" t="b">
        <f t="shared" si="2"/>
        <v>0</v>
      </c>
      <c r="G176" s="3" t="str">
        <f t="shared" si="3"/>
        <v>#N/A</v>
      </c>
      <c r="H176" s="3" t="b">
        <f t="shared" si="4"/>
        <v>0</v>
      </c>
      <c r="J176" s="3" t="str">
        <f t="shared" si="5"/>
        <v>#N/A</v>
      </c>
      <c r="K176" s="3" t="b">
        <f t="shared" si="6"/>
        <v>0</v>
      </c>
      <c r="M176" s="3" t="str">
        <f t="shared" si="7"/>
        <v>#N/A</v>
      </c>
      <c r="AU176" s="7"/>
      <c r="AV176" s="6"/>
      <c r="AW176" s="8"/>
      <c r="AX176" s="7"/>
      <c r="AY176" s="6"/>
      <c r="AZ176" s="8"/>
      <c r="BA176" s="7"/>
      <c r="BB176" s="6"/>
      <c r="BC176" s="8"/>
      <c r="BD176" s="7"/>
      <c r="BE176" s="6"/>
      <c r="BF176" s="8"/>
      <c r="BG176" s="7"/>
      <c r="BH176" s="6"/>
      <c r="BI176" s="8"/>
      <c r="BJ176" s="7"/>
      <c r="BK176" s="6"/>
      <c r="BL176" s="8"/>
      <c r="BM176" s="7"/>
      <c r="BN176" s="6"/>
      <c r="BO176" s="8"/>
      <c r="BP176" s="7"/>
      <c r="BQ176" s="6"/>
      <c r="BR176" s="8"/>
    </row>
    <row r="177">
      <c r="A177" s="6"/>
      <c r="B177" s="6" t="s">
        <v>177</v>
      </c>
      <c r="C177" s="3" t="str">
        <f t="shared" si="1"/>
        <v>_vibrant turquoise</v>
      </c>
      <c r="D177" s="3" t="str">
        <f t="shared" si="8"/>
        <v>#N/A</v>
      </c>
      <c r="E177" s="3" t="b">
        <f t="shared" si="2"/>
        <v>0</v>
      </c>
      <c r="G177" s="3" t="str">
        <f t="shared" si="3"/>
        <v>#N/A</v>
      </c>
      <c r="H177" s="3" t="b">
        <f t="shared" si="4"/>
        <v>0</v>
      </c>
      <c r="J177" s="3" t="str">
        <f t="shared" si="5"/>
        <v>#N/A</v>
      </c>
      <c r="K177" s="3" t="b">
        <f t="shared" si="6"/>
        <v>0</v>
      </c>
      <c r="M177" s="3" t="str">
        <f t="shared" si="7"/>
        <v>#N/A</v>
      </c>
      <c r="AU177" s="7"/>
      <c r="AV177" s="6"/>
      <c r="AW177" s="8"/>
      <c r="AX177" s="7"/>
      <c r="AY177" s="6"/>
      <c r="AZ177" s="8"/>
      <c r="BA177" s="7"/>
      <c r="BB177" s="6"/>
      <c r="BC177" s="8"/>
      <c r="BD177" s="7"/>
      <c r="BE177" s="6"/>
      <c r="BF177" s="8"/>
      <c r="BG177" s="7"/>
      <c r="BH177" s="6"/>
      <c r="BI177" s="8"/>
      <c r="BJ177" s="7"/>
      <c r="BK177" s="6"/>
      <c r="BL177" s="8"/>
      <c r="BM177" s="7"/>
      <c r="BN177" s="6"/>
      <c r="BO177" s="8"/>
      <c r="BP177" s="7"/>
      <c r="BQ177" s="6"/>
      <c r="BR177" s="8"/>
    </row>
    <row r="178">
      <c r="A178" s="6"/>
      <c r="B178" s="6" t="s">
        <v>178</v>
      </c>
      <c r="C178" s="3" t="str">
        <f t="shared" si="1"/>
        <v>_striped lime</v>
      </c>
      <c r="D178" s="3" t="str">
        <f t="shared" si="8"/>
        <v>#N/A</v>
      </c>
      <c r="E178" s="3" t="b">
        <f t="shared" si="2"/>
        <v>1</v>
      </c>
      <c r="G178" s="3" t="str">
        <f t="shared" si="3"/>
        <v>#N/A</v>
      </c>
      <c r="H178" s="3" t="b">
        <f t="shared" si="4"/>
        <v>0</v>
      </c>
      <c r="J178" s="3" t="str">
        <f t="shared" si="5"/>
        <v>#N/A</v>
      </c>
      <c r="K178" s="3" t="b">
        <f t="shared" si="6"/>
        <v>0</v>
      </c>
      <c r="M178" s="3" t="str">
        <f t="shared" si="7"/>
        <v>#N/A</v>
      </c>
      <c r="AU178" s="7"/>
      <c r="AV178" s="6"/>
      <c r="AW178" s="8"/>
      <c r="AX178" s="7"/>
      <c r="AY178" s="6"/>
      <c r="AZ178" s="8"/>
      <c r="BA178" s="7"/>
      <c r="BB178" s="6"/>
      <c r="BC178" s="8"/>
      <c r="BD178" s="7"/>
      <c r="BE178" s="6"/>
      <c r="BF178" s="8"/>
      <c r="BG178" s="7"/>
      <c r="BH178" s="6"/>
      <c r="BI178" s="8"/>
      <c r="BJ178" s="7"/>
      <c r="BK178" s="6"/>
      <c r="BL178" s="8"/>
      <c r="BM178" s="7"/>
      <c r="BN178" s="6"/>
      <c r="BO178" s="8"/>
      <c r="BP178" s="7"/>
      <c r="BQ178" s="6"/>
      <c r="BR178" s="8"/>
    </row>
    <row r="179">
      <c r="A179" s="6"/>
      <c r="B179" s="6" t="s">
        <v>179</v>
      </c>
      <c r="C179" s="3" t="str">
        <f t="shared" si="1"/>
        <v>_light violet</v>
      </c>
      <c r="D179" s="3" t="str">
        <f t="shared" si="8"/>
        <v>#N/A</v>
      </c>
      <c r="E179" s="3" t="b">
        <f t="shared" si="2"/>
        <v>0</v>
      </c>
      <c r="G179" s="3" t="str">
        <f t="shared" si="3"/>
        <v>#N/A</v>
      </c>
      <c r="H179" s="3" t="b">
        <f t="shared" si="4"/>
        <v>0</v>
      </c>
      <c r="J179" s="3" t="str">
        <f t="shared" si="5"/>
        <v>#N/A</v>
      </c>
      <c r="K179" s="3" t="b">
        <f t="shared" si="6"/>
        <v>0</v>
      </c>
      <c r="M179" s="3" t="str">
        <f t="shared" si="7"/>
        <v>#N/A</v>
      </c>
      <c r="AU179" s="7"/>
      <c r="AV179" s="6"/>
      <c r="AW179" s="8"/>
      <c r="AX179" s="7"/>
      <c r="AY179" s="6"/>
      <c r="AZ179" s="8"/>
      <c r="BA179" s="7"/>
      <c r="BB179" s="6"/>
      <c r="BC179" s="8"/>
      <c r="BD179" s="7"/>
      <c r="BE179" s="6"/>
      <c r="BF179" s="8"/>
      <c r="BG179" s="7"/>
      <c r="BH179" s="6"/>
      <c r="BI179" s="8"/>
      <c r="BJ179" s="7"/>
      <c r="BK179" s="6"/>
      <c r="BL179" s="8"/>
      <c r="BM179" s="7"/>
      <c r="BN179" s="6"/>
      <c r="BO179" s="8"/>
      <c r="BP179" s="7"/>
      <c r="BQ179" s="6"/>
      <c r="BR179" s="8"/>
    </row>
    <row r="180">
      <c r="A180" s="6"/>
      <c r="B180" s="6" t="s">
        <v>180</v>
      </c>
      <c r="C180" s="3" t="str">
        <f t="shared" si="1"/>
        <v>_striped orange</v>
      </c>
      <c r="D180" s="3" t="str">
        <f t="shared" si="8"/>
        <v>#N/A</v>
      </c>
      <c r="E180" s="3" t="b">
        <f t="shared" si="2"/>
        <v>0</v>
      </c>
      <c r="G180" s="3" t="str">
        <f t="shared" si="3"/>
        <v>#N/A</v>
      </c>
      <c r="H180" s="3" t="b">
        <f t="shared" si="4"/>
        <v>0</v>
      </c>
      <c r="J180" s="3" t="str">
        <f t="shared" si="5"/>
        <v>#N/A</v>
      </c>
      <c r="K180" s="3" t="b">
        <f t="shared" si="6"/>
        <v>0</v>
      </c>
      <c r="M180" s="3" t="str">
        <f t="shared" si="7"/>
        <v>#N/A</v>
      </c>
      <c r="AU180" s="7"/>
      <c r="AV180" s="6"/>
      <c r="AW180" s="8"/>
      <c r="AX180" s="7"/>
      <c r="AY180" s="6"/>
      <c r="AZ180" s="8"/>
      <c r="BA180" s="7"/>
      <c r="BB180" s="6"/>
      <c r="BC180" s="8"/>
      <c r="BD180" s="7"/>
      <c r="BE180" s="6"/>
      <c r="BF180" s="8"/>
      <c r="BG180" s="7"/>
      <c r="BH180" s="6"/>
      <c r="BI180" s="8"/>
      <c r="BJ180" s="7"/>
      <c r="BK180" s="6"/>
      <c r="BL180" s="8"/>
      <c r="BM180" s="7"/>
      <c r="BN180" s="6"/>
      <c r="BO180" s="8"/>
      <c r="BP180" s="7"/>
      <c r="BQ180" s="6"/>
      <c r="BR180" s="8"/>
    </row>
    <row r="181">
      <c r="A181" s="6"/>
      <c r="B181" s="6" t="s">
        <v>181</v>
      </c>
      <c r="C181" s="3" t="str">
        <f t="shared" si="1"/>
        <v>_drab turquoise</v>
      </c>
      <c r="D181" s="3" t="str">
        <f t="shared" si="8"/>
        <v>#N/A</v>
      </c>
      <c r="E181" s="3" t="b">
        <f t="shared" si="2"/>
        <v>0</v>
      </c>
      <c r="G181" s="3" t="str">
        <f t="shared" si="3"/>
        <v>#N/A</v>
      </c>
      <c r="H181" s="3" t="b">
        <f t="shared" si="4"/>
        <v>0</v>
      </c>
      <c r="J181" s="3" t="str">
        <f t="shared" si="5"/>
        <v>#N/A</v>
      </c>
      <c r="K181" s="3" t="b">
        <f t="shared" si="6"/>
        <v>0</v>
      </c>
      <c r="M181" s="3" t="str">
        <f t="shared" si="7"/>
        <v>#N/A</v>
      </c>
      <c r="AU181" s="7"/>
      <c r="AV181" s="6"/>
      <c r="AW181" s="8"/>
      <c r="AX181" s="7"/>
      <c r="AY181" s="6"/>
      <c r="AZ181" s="8"/>
      <c r="BA181" s="7"/>
      <c r="BB181" s="6"/>
      <c r="BC181" s="8"/>
      <c r="BD181" s="7"/>
      <c r="BE181" s="6"/>
      <c r="BF181" s="8"/>
      <c r="BG181" s="7"/>
      <c r="BH181" s="6"/>
      <c r="BI181" s="8"/>
      <c r="BJ181" s="7"/>
      <c r="BK181" s="6"/>
      <c r="BL181" s="8"/>
      <c r="BM181" s="7"/>
      <c r="BN181" s="6"/>
      <c r="BO181" s="8"/>
      <c r="BP181" s="7"/>
      <c r="BQ181" s="6"/>
      <c r="BR181" s="8"/>
    </row>
    <row r="182">
      <c r="A182" s="6"/>
      <c r="B182" s="6" t="s">
        <v>182</v>
      </c>
      <c r="C182" s="3" t="str">
        <f t="shared" si="1"/>
        <v>_pale salmon</v>
      </c>
      <c r="D182" s="3" t="str">
        <f t="shared" si="8"/>
        <v>#N/A</v>
      </c>
      <c r="E182" s="3" t="b">
        <f t="shared" si="2"/>
        <v>0</v>
      </c>
      <c r="G182" s="3" t="str">
        <f t="shared" si="3"/>
        <v>#N/A</v>
      </c>
      <c r="H182" s="3" t="b">
        <f t="shared" si="4"/>
        <v>0</v>
      </c>
      <c r="J182" s="3" t="str">
        <f t="shared" si="5"/>
        <v>#N/A</v>
      </c>
      <c r="K182" s="3" t="b">
        <f t="shared" si="6"/>
        <v>0</v>
      </c>
      <c r="M182" s="3" t="str">
        <f t="shared" si="7"/>
        <v>#N/A</v>
      </c>
      <c r="AU182" s="7"/>
      <c r="AV182" s="6"/>
      <c r="AW182" s="8"/>
      <c r="AX182" s="7"/>
      <c r="AY182" s="6"/>
      <c r="AZ182" s="8"/>
      <c r="BA182" s="7"/>
      <c r="BB182" s="6"/>
      <c r="BC182" s="8"/>
      <c r="BD182" s="7"/>
      <c r="BE182" s="6"/>
      <c r="BF182" s="8"/>
      <c r="BG182" s="7"/>
      <c r="BH182" s="6"/>
      <c r="BI182" s="8"/>
      <c r="BJ182" s="7"/>
      <c r="BK182" s="6"/>
      <c r="BL182" s="8"/>
      <c r="BM182" s="7"/>
      <c r="BN182" s="6"/>
      <c r="BO182" s="8"/>
      <c r="BP182" s="7"/>
      <c r="BQ182" s="6"/>
      <c r="BR182" s="8"/>
    </row>
    <row r="183">
      <c r="A183" s="6"/>
      <c r="B183" s="6" t="s">
        <v>183</v>
      </c>
      <c r="C183" s="3" t="str">
        <f t="shared" si="1"/>
        <v>_shiny yellow</v>
      </c>
      <c r="D183" s="3" t="str">
        <f t="shared" si="8"/>
        <v>#N/A</v>
      </c>
      <c r="E183" s="3" t="b">
        <f t="shared" si="2"/>
        <v>0</v>
      </c>
      <c r="G183" s="3" t="str">
        <f t="shared" si="3"/>
        <v>#N/A</v>
      </c>
      <c r="H183" s="3" t="b">
        <f t="shared" si="4"/>
        <v>0</v>
      </c>
      <c r="J183" s="3" t="str">
        <f t="shared" si="5"/>
        <v>#N/A</v>
      </c>
      <c r="K183" s="3" t="b">
        <f t="shared" si="6"/>
        <v>0</v>
      </c>
      <c r="M183" s="3" t="str">
        <f t="shared" si="7"/>
        <v>#N/A</v>
      </c>
      <c r="AU183" s="7"/>
      <c r="AV183" s="6"/>
      <c r="AW183" s="8"/>
      <c r="AX183" s="7"/>
      <c r="AY183" s="6"/>
      <c r="AZ183" s="8"/>
      <c r="BA183" s="7"/>
      <c r="BB183" s="6"/>
      <c r="BC183" s="8"/>
      <c r="BD183" s="7"/>
      <c r="BE183" s="6"/>
      <c r="BF183" s="8"/>
      <c r="BG183" s="7"/>
      <c r="BH183" s="6"/>
      <c r="BI183" s="8"/>
      <c r="BJ183" s="7"/>
      <c r="BK183" s="6"/>
      <c r="BL183" s="8"/>
      <c r="BM183" s="7"/>
      <c r="BN183" s="6"/>
      <c r="BO183" s="8"/>
      <c r="BP183" s="7"/>
      <c r="BQ183" s="6"/>
      <c r="BR183" s="8"/>
    </row>
    <row r="184">
      <c r="A184" s="6"/>
      <c r="B184" s="6" t="s">
        <v>184</v>
      </c>
      <c r="C184" s="3" t="str">
        <f t="shared" si="1"/>
        <v>_plaid lime</v>
      </c>
      <c r="D184" s="3" t="str">
        <f t="shared" si="8"/>
        <v>#N/A</v>
      </c>
      <c r="E184" s="3" t="b">
        <f t="shared" si="2"/>
        <v>0</v>
      </c>
      <c r="G184" s="3" t="str">
        <f t="shared" si="3"/>
        <v>#N/A</v>
      </c>
      <c r="H184" s="3" t="b">
        <f t="shared" si="4"/>
        <v>0</v>
      </c>
      <c r="J184" s="3" t="str">
        <f t="shared" si="5"/>
        <v>#N/A</v>
      </c>
      <c r="K184" s="3" t="b">
        <f t="shared" si="6"/>
        <v>0</v>
      </c>
      <c r="M184" s="3" t="str">
        <f t="shared" si="7"/>
        <v>#N/A</v>
      </c>
      <c r="AU184" s="7"/>
      <c r="AV184" s="6"/>
      <c r="AW184" s="8"/>
      <c r="AX184" s="7"/>
      <c r="AY184" s="6"/>
      <c r="AZ184" s="8"/>
      <c r="BA184" s="7"/>
      <c r="BB184" s="6"/>
      <c r="BC184" s="8"/>
      <c r="BD184" s="7"/>
      <c r="BE184" s="6"/>
      <c r="BF184" s="8"/>
      <c r="BG184" s="7"/>
      <c r="BH184" s="6"/>
      <c r="BI184" s="8"/>
      <c r="BJ184" s="7"/>
      <c r="BK184" s="6"/>
      <c r="BL184" s="8"/>
      <c r="BM184" s="7"/>
      <c r="BN184" s="6"/>
      <c r="BO184" s="8"/>
      <c r="BP184" s="7"/>
      <c r="BQ184" s="6"/>
      <c r="BR184" s="8"/>
    </row>
    <row r="185">
      <c r="A185" s="6"/>
      <c r="B185" s="6" t="s">
        <v>185</v>
      </c>
      <c r="C185" s="3" t="str">
        <f t="shared" si="1"/>
        <v>_muted cyan</v>
      </c>
      <c r="D185" s="3" t="str">
        <f t="shared" si="8"/>
        <v>#N/A</v>
      </c>
      <c r="E185" s="3" t="b">
        <f t="shared" si="2"/>
        <v>0</v>
      </c>
      <c r="G185" s="3" t="str">
        <f t="shared" si="3"/>
        <v>#N/A</v>
      </c>
      <c r="H185" s="3" t="b">
        <f t="shared" si="4"/>
        <v>0</v>
      </c>
      <c r="J185" s="3" t="str">
        <f t="shared" si="5"/>
        <v>#N/A</v>
      </c>
      <c r="K185" s="3" t="b">
        <f t="shared" si="6"/>
        <v>0</v>
      </c>
      <c r="M185" s="3" t="str">
        <f t="shared" si="7"/>
        <v>#N/A</v>
      </c>
      <c r="AU185" s="7"/>
      <c r="AV185" s="6"/>
      <c r="AW185" s="8"/>
      <c r="AX185" s="7"/>
      <c r="AY185" s="6"/>
      <c r="AZ185" s="8"/>
      <c r="BA185" s="7"/>
      <c r="BB185" s="6"/>
      <c r="BC185" s="8"/>
      <c r="BD185" s="7"/>
      <c r="BE185" s="6"/>
      <c r="BF185" s="8"/>
      <c r="BG185" s="7"/>
      <c r="BH185" s="6"/>
      <c r="BI185" s="8"/>
      <c r="BJ185" s="7"/>
      <c r="BK185" s="6"/>
      <c r="BL185" s="8"/>
      <c r="BM185" s="7"/>
      <c r="BN185" s="6"/>
      <c r="BO185" s="8"/>
      <c r="BP185" s="7"/>
      <c r="BQ185" s="6"/>
      <c r="BR185" s="8"/>
    </row>
    <row r="186">
      <c r="A186" s="6"/>
      <c r="B186" s="6" t="s">
        <v>186</v>
      </c>
      <c r="C186" s="3" t="str">
        <f t="shared" si="1"/>
        <v>_dull cyan</v>
      </c>
      <c r="D186" s="3" t="str">
        <f t="shared" si="8"/>
        <v>#N/A</v>
      </c>
      <c r="E186" s="3" t="b">
        <f t="shared" si="2"/>
        <v>0</v>
      </c>
      <c r="G186" s="3" t="str">
        <f t="shared" si="3"/>
        <v>#N/A</v>
      </c>
      <c r="H186" s="3" t="b">
        <f t="shared" si="4"/>
        <v>0</v>
      </c>
      <c r="J186" s="3" t="str">
        <f t="shared" si="5"/>
        <v>#N/A</v>
      </c>
      <c r="K186" s="3" t="b">
        <f t="shared" si="6"/>
        <v>0</v>
      </c>
      <c r="M186" s="3" t="str">
        <f t="shared" si="7"/>
        <v>#N/A</v>
      </c>
      <c r="AU186" s="7"/>
      <c r="AV186" s="6"/>
      <c r="AW186" s="8"/>
      <c r="AX186" s="7"/>
      <c r="AY186" s="6"/>
      <c r="AZ186" s="8"/>
      <c r="BA186" s="7"/>
      <c r="BB186" s="6"/>
      <c r="BC186" s="8"/>
      <c r="BD186" s="7"/>
      <c r="BE186" s="6"/>
      <c r="BF186" s="8"/>
      <c r="BG186" s="7"/>
      <c r="BH186" s="6"/>
      <c r="BI186" s="8"/>
      <c r="BJ186" s="7"/>
      <c r="BK186" s="6"/>
      <c r="BL186" s="8"/>
      <c r="BM186" s="7"/>
      <c r="BN186" s="6"/>
      <c r="BO186" s="8"/>
      <c r="BP186" s="7"/>
      <c r="BQ186" s="6"/>
      <c r="BR186" s="8"/>
    </row>
    <row r="187">
      <c r="A187" s="6"/>
      <c r="B187" s="6" t="s">
        <v>187</v>
      </c>
      <c r="C187" s="3" t="str">
        <f t="shared" si="1"/>
        <v>_pale beige</v>
      </c>
      <c r="D187" s="3" t="str">
        <f t="shared" si="8"/>
        <v>#N/A</v>
      </c>
      <c r="E187" s="3" t="b">
        <f t="shared" si="2"/>
        <v>0</v>
      </c>
      <c r="G187" s="3" t="str">
        <f t="shared" si="3"/>
        <v>#N/A</v>
      </c>
      <c r="H187" s="3" t="b">
        <f t="shared" si="4"/>
        <v>0</v>
      </c>
      <c r="J187" s="3" t="str">
        <f t="shared" si="5"/>
        <v>#N/A</v>
      </c>
      <c r="K187" s="3" t="b">
        <f t="shared" si="6"/>
        <v>0</v>
      </c>
      <c r="M187" s="3" t="str">
        <f t="shared" si="7"/>
        <v>#N/A</v>
      </c>
      <c r="AU187" s="7"/>
      <c r="AV187" s="6"/>
      <c r="AW187" s="8"/>
      <c r="AX187" s="7"/>
      <c r="AY187" s="6"/>
      <c r="AZ187" s="8"/>
      <c r="BA187" s="7"/>
      <c r="BB187" s="6"/>
      <c r="BC187" s="8"/>
      <c r="BD187" s="7"/>
      <c r="BE187" s="6"/>
      <c r="BF187" s="8"/>
      <c r="BG187" s="7"/>
      <c r="BH187" s="6"/>
      <c r="BI187" s="8"/>
      <c r="BJ187" s="7"/>
      <c r="BK187" s="6"/>
      <c r="BL187" s="8"/>
      <c r="BM187" s="7"/>
      <c r="BN187" s="6"/>
      <c r="BO187" s="8"/>
      <c r="BP187" s="7"/>
      <c r="BQ187" s="6"/>
      <c r="BR187" s="8"/>
    </row>
    <row r="188">
      <c r="A188" s="6"/>
      <c r="B188" s="6" t="s">
        <v>188</v>
      </c>
      <c r="C188" s="3" t="str">
        <f t="shared" si="1"/>
        <v>_shiny chartreuse</v>
      </c>
      <c r="D188" s="3" t="str">
        <f t="shared" si="8"/>
        <v>#N/A</v>
      </c>
      <c r="E188" s="3" t="b">
        <f t="shared" si="2"/>
        <v>0</v>
      </c>
      <c r="G188" s="3" t="str">
        <f t="shared" si="3"/>
        <v>#N/A</v>
      </c>
      <c r="H188" s="3" t="b">
        <f t="shared" si="4"/>
        <v>0</v>
      </c>
      <c r="J188" s="3" t="str">
        <f t="shared" si="5"/>
        <v>#N/A</v>
      </c>
      <c r="K188" s="3" t="b">
        <f t="shared" si="6"/>
        <v>0</v>
      </c>
      <c r="M188" s="3" t="str">
        <f t="shared" si="7"/>
        <v>#N/A</v>
      </c>
      <c r="AU188" s="7"/>
      <c r="AV188" s="6"/>
      <c r="AW188" s="8"/>
      <c r="AX188" s="7"/>
      <c r="AY188" s="6"/>
      <c r="AZ188" s="8"/>
      <c r="BA188" s="7"/>
      <c r="BB188" s="6"/>
      <c r="BC188" s="8"/>
      <c r="BD188" s="7"/>
      <c r="BE188" s="6"/>
      <c r="BF188" s="8"/>
      <c r="BG188" s="7"/>
      <c r="BH188" s="6"/>
      <c r="BI188" s="8"/>
      <c r="BJ188" s="7"/>
      <c r="BK188" s="6"/>
      <c r="BL188" s="8"/>
      <c r="BM188" s="7"/>
      <c r="BN188" s="6"/>
      <c r="BO188" s="8"/>
      <c r="BP188" s="7"/>
      <c r="BQ188" s="6"/>
      <c r="BR188" s="8"/>
    </row>
    <row r="189">
      <c r="A189" s="6"/>
      <c r="B189" s="6" t="s">
        <v>189</v>
      </c>
      <c r="C189" s="3" t="str">
        <f t="shared" si="1"/>
        <v>_dark silver</v>
      </c>
      <c r="D189" s="3" t="str">
        <f t="shared" si="8"/>
        <v>#N/A</v>
      </c>
      <c r="E189" s="3" t="b">
        <f t="shared" si="2"/>
        <v>0</v>
      </c>
      <c r="G189" s="3" t="str">
        <f t="shared" si="3"/>
        <v>#N/A</v>
      </c>
      <c r="H189" s="3" t="b">
        <f t="shared" si="4"/>
        <v>0</v>
      </c>
      <c r="J189" s="3" t="str">
        <f t="shared" si="5"/>
        <v>#N/A</v>
      </c>
      <c r="K189" s="3" t="b">
        <f t="shared" si="6"/>
        <v>0</v>
      </c>
      <c r="M189" s="3" t="str">
        <f t="shared" si="7"/>
        <v>#N/A</v>
      </c>
      <c r="AU189" s="7"/>
      <c r="AV189" s="6"/>
      <c r="AW189" s="8"/>
      <c r="AX189" s="7"/>
      <c r="AY189" s="6"/>
      <c r="AZ189" s="8"/>
      <c r="BA189" s="7"/>
      <c r="BB189" s="6"/>
      <c r="BC189" s="8"/>
      <c r="BD189" s="7"/>
      <c r="BE189" s="6"/>
      <c r="BF189" s="8"/>
      <c r="BG189" s="7"/>
      <c r="BH189" s="6"/>
      <c r="BI189" s="8"/>
      <c r="BJ189" s="7"/>
      <c r="BK189" s="6"/>
      <c r="BL189" s="8"/>
      <c r="BM189" s="7"/>
      <c r="BN189" s="6"/>
      <c r="BO189" s="8"/>
      <c r="BP189" s="7"/>
      <c r="BQ189" s="6"/>
      <c r="BR189" s="8"/>
    </row>
    <row r="190">
      <c r="A190" s="6"/>
      <c r="B190" s="6" t="s">
        <v>190</v>
      </c>
      <c r="C190" s="3" t="str">
        <f t="shared" si="1"/>
        <v>_mirrored violet</v>
      </c>
      <c r="D190" s="3" t="str">
        <f t="shared" si="8"/>
        <v>#N/A</v>
      </c>
      <c r="E190" s="3" t="b">
        <f t="shared" si="2"/>
        <v>0</v>
      </c>
      <c r="G190" s="3" t="str">
        <f t="shared" si="3"/>
        <v>#N/A</v>
      </c>
      <c r="H190" s="3" t="b">
        <f t="shared" si="4"/>
        <v>0</v>
      </c>
      <c r="J190" s="3" t="str">
        <f t="shared" si="5"/>
        <v>#N/A</v>
      </c>
      <c r="K190" s="3" t="b">
        <f t="shared" si="6"/>
        <v>0</v>
      </c>
      <c r="M190" s="3" t="str">
        <f t="shared" si="7"/>
        <v>#N/A</v>
      </c>
      <c r="AU190" s="7"/>
      <c r="AV190" s="6"/>
      <c r="AW190" s="8"/>
      <c r="AX190" s="7"/>
      <c r="AY190" s="6"/>
      <c r="AZ190" s="8"/>
      <c r="BA190" s="7"/>
      <c r="BB190" s="6"/>
      <c r="BC190" s="8"/>
      <c r="BD190" s="7"/>
      <c r="BE190" s="6"/>
      <c r="BF190" s="8"/>
      <c r="BG190" s="7"/>
      <c r="BH190" s="6"/>
      <c r="BI190" s="8"/>
      <c r="BJ190" s="7"/>
      <c r="BK190" s="6"/>
      <c r="BL190" s="8"/>
      <c r="BM190" s="7"/>
      <c r="BN190" s="6"/>
      <c r="BO190" s="8"/>
      <c r="BP190" s="7"/>
      <c r="BQ190" s="6"/>
      <c r="BR190" s="8"/>
    </row>
    <row r="191">
      <c r="A191" s="6"/>
      <c r="B191" s="6" t="s">
        <v>191</v>
      </c>
      <c r="C191" s="3" t="str">
        <f t="shared" si="1"/>
        <v>_clear aqua</v>
      </c>
      <c r="D191" s="3" t="str">
        <f t="shared" si="8"/>
        <v>#N/A</v>
      </c>
      <c r="E191" s="3" t="b">
        <f t="shared" si="2"/>
        <v>0</v>
      </c>
      <c r="G191" s="3" t="str">
        <f t="shared" si="3"/>
        <v>#N/A</v>
      </c>
      <c r="H191" s="3" t="b">
        <f t="shared" si="4"/>
        <v>0</v>
      </c>
      <c r="J191" s="3" t="str">
        <f t="shared" si="5"/>
        <v>#N/A</v>
      </c>
      <c r="K191" s="3" t="b">
        <f t="shared" si="6"/>
        <v>0</v>
      </c>
      <c r="M191" s="3" t="str">
        <f t="shared" si="7"/>
        <v>#N/A</v>
      </c>
      <c r="AU191" s="7"/>
      <c r="AV191" s="6"/>
      <c r="AW191" s="8"/>
      <c r="AX191" s="7"/>
      <c r="AY191" s="6"/>
      <c r="AZ191" s="8"/>
      <c r="BA191" s="7"/>
      <c r="BB191" s="6"/>
      <c r="BC191" s="8"/>
      <c r="BD191" s="7"/>
      <c r="BE191" s="6"/>
      <c r="BF191" s="8"/>
      <c r="BG191" s="7"/>
      <c r="BH191" s="6"/>
      <c r="BI191" s="8"/>
      <c r="BJ191" s="7"/>
      <c r="BK191" s="6"/>
      <c r="BL191" s="8"/>
      <c r="BM191" s="7"/>
      <c r="BN191" s="6"/>
      <c r="BO191" s="8"/>
      <c r="BP191" s="7"/>
      <c r="BQ191" s="6"/>
      <c r="BR191" s="8"/>
    </row>
    <row r="192">
      <c r="A192" s="6"/>
      <c r="B192" s="6" t="s">
        <v>192</v>
      </c>
      <c r="C192" s="3" t="str">
        <f t="shared" si="1"/>
        <v>_plaid teal</v>
      </c>
      <c r="D192" s="3" t="str">
        <f t="shared" si="8"/>
        <v>#N/A</v>
      </c>
      <c r="E192" s="3" t="b">
        <f t="shared" si="2"/>
        <v>0</v>
      </c>
      <c r="G192" s="3" t="str">
        <f t="shared" si="3"/>
        <v>#N/A</v>
      </c>
      <c r="H192" s="3" t="b">
        <f t="shared" si="4"/>
        <v>0</v>
      </c>
      <c r="J192" s="3" t="str">
        <f t="shared" si="5"/>
        <v>#N/A</v>
      </c>
      <c r="K192" s="3" t="b">
        <f t="shared" si="6"/>
        <v>0</v>
      </c>
      <c r="M192" s="3" t="str">
        <f t="shared" si="7"/>
        <v>#N/A</v>
      </c>
      <c r="AU192" s="7"/>
      <c r="AV192" s="6"/>
      <c r="AW192" s="8"/>
      <c r="AX192" s="7"/>
      <c r="AY192" s="6"/>
      <c r="AZ192" s="8"/>
      <c r="BA192" s="7"/>
      <c r="BB192" s="6"/>
      <c r="BC192" s="8"/>
      <c r="BD192" s="7"/>
      <c r="BE192" s="6"/>
      <c r="BF192" s="8"/>
      <c r="BG192" s="7"/>
      <c r="BH192" s="6"/>
      <c r="BI192" s="8"/>
      <c r="BJ192" s="7"/>
      <c r="BK192" s="6"/>
      <c r="BL192" s="8"/>
      <c r="BM192" s="7"/>
      <c r="BN192" s="6"/>
      <c r="BO192" s="8"/>
      <c r="BP192" s="7"/>
      <c r="BQ192" s="6"/>
      <c r="BR192" s="8"/>
    </row>
    <row r="193">
      <c r="A193" s="6"/>
      <c r="B193" s="6" t="s">
        <v>193</v>
      </c>
      <c r="C193" s="3" t="str">
        <f t="shared" si="1"/>
        <v>_wavy olive</v>
      </c>
      <c r="D193" s="3" t="str">
        <f t="shared" si="8"/>
        <v>#N/A</v>
      </c>
      <c r="E193" s="3" t="b">
        <f t="shared" si="2"/>
        <v>0</v>
      </c>
      <c r="G193" s="3" t="str">
        <f t="shared" si="3"/>
        <v>#N/A</v>
      </c>
      <c r="H193" s="3" t="b">
        <f t="shared" si="4"/>
        <v>0</v>
      </c>
      <c r="J193" s="3" t="str">
        <f t="shared" si="5"/>
        <v>#N/A</v>
      </c>
      <c r="K193" s="3" t="b">
        <f t="shared" si="6"/>
        <v>0</v>
      </c>
      <c r="M193" s="3" t="str">
        <f t="shared" si="7"/>
        <v>#N/A</v>
      </c>
      <c r="AU193" s="7"/>
      <c r="AV193" s="6"/>
      <c r="AW193" s="8"/>
      <c r="AX193" s="7"/>
      <c r="AY193" s="6"/>
      <c r="AZ193" s="8"/>
      <c r="BA193" s="7"/>
      <c r="BB193" s="6"/>
      <c r="BC193" s="8"/>
      <c r="BD193" s="7"/>
      <c r="BE193" s="6"/>
      <c r="BF193" s="8"/>
      <c r="BG193" s="7"/>
      <c r="BH193" s="6"/>
      <c r="BI193" s="8"/>
      <c r="BJ193" s="7"/>
      <c r="BK193" s="6"/>
      <c r="BL193" s="8"/>
      <c r="BM193" s="7"/>
      <c r="BN193" s="6"/>
      <c r="BO193" s="8"/>
      <c r="BP193" s="7"/>
      <c r="BQ193" s="6"/>
      <c r="BR193" s="8"/>
    </row>
    <row r="194">
      <c r="A194" s="6"/>
      <c r="B194" s="6" t="s">
        <v>194</v>
      </c>
      <c r="C194" s="3" t="str">
        <f t="shared" si="1"/>
        <v>_pale lavender</v>
      </c>
      <c r="D194" s="3" t="str">
        <f t="shared" si="8"/>
        <v>#N/A</v>
      </c>
      <c r="E194" s="3" t="b">
        <f t="shared" si="2"/>
        <v>0</v>
      </c>
      <c r="G194" s="3" t="str">
        <f t="shared" si="3"/>
        <v>#N/A</v>
      </c>
      <c r="H194" s="3" t="b">
        <f t="shared" si="4"/>
        <v>0</v>
      </c>
      <c r="J194" s="3" t="str">
        <f t="shared" si="5"/>
        <v>#N/A</v>
      </c>
      <c r="K194" s="3" t="b">
        <f t="shared" si="6"/>
        <v>0</v>
      </c>
      <c r="M194" s="3" t="str">
        <f t="shared" si="7"/>
        <v>#N/A</v>
      </c>
      <c r="AU194" s="7"/>
      <c r="AV194" s="6"/>
      <c r="AW194" s="8"/>
      <c r="AX194" s="7"/>
      <c r="AY194" s="6"/>
      <c r="AZ194" s="8"/>
      <c r="BA194" s="7"/>
      <c r="BB194" s="6"/>
      <c r="BC194" s="8"/>
      <c r="BD194" s="7"/>
      <c r="BE194" s="6"/>
      <c r="BF194" s="8"/>
      <c r="BG194" s="7"/>
      <c r="BH194" s="6"/>
      <c r="BI194" s="8"/>
      <c r="BJ194" s="7"/>
      <c r="BK194" s="6"/>
      <c r="BL194" s="8"/>
      <c r="BM194" s="7"/>
      <c r="BN194" s="6"/>
      <c r="BO194" s="8"/>
      <c r="BP194" s="7"/>
      <c r="BQ194" s="6"/>
      <c r="BR194" s="8"/>
    </row>
    <row r="195">
      <c r="A195" s="6"/>
      <c r="B195" s="6" t="s">
        <v>195</v>
      </c>
      <c r="C195" s="3" t="str">
        <f t="shared" si="1"/>
        <v>_shiny blue</v>
      </c>
      <c r="D195" s="3" t="str">
        <f t="shared" si="8"/>
        <v>#N/A</v>
      </c>
      <c r="E195" s="3" t="b">
        <f t="shared" si="2"/>
        <v>0</v>
      </c>
      <c r="G195" s="3" t="str">
        <f t="shared" si="3"/>
        <v>#N/A</v>
      </c>
      <c r="H195" s="3" t="b">
        <f t="shared" si="4"/>
        <v>0</v>
      </c>
      <c r="J195" s="3" t="str">
        <f t="shared" si="5"/>
        <v>#N/A</v>
      </c>
      <c r="K195" s="3" t="b">
        <f t="shared" si="6"/>
        <v>0</v>
      </c>
      <c r="M195" s="3" t="str">
        <f t="shared" si="7"/>
        <v>#N/A</v>
      </c>
      <c r="AU195" s="7"/>
      <c r="AV195" s="6"/>
      <c r="AW195" s="8"/>
      <c r="AX195" s="7"/>
      <c r="AY195" s="6"/>
      <c r="AZ195" s="8"/>
      <c r="BA195" s="7"/>
      <c r="BB195" s="6"/>
      <c r="BC195" s="8"/>
      <c r="BD195" s="7"/>
      <c r="BE195" s="6"/>
      <c r="BF195" s="8"/>
      <c r="BG195" s="7"/>
      <c r="BH195" s="6"/>
      <c r="BI195" s="8"/>
      <c r="BJ195" s="7"/>
      <c r="BK195" s="6"/>
      <c r="BL195" s="8"/>
      <c r="BM195" s="7"/>
      <c r="BN195" s="6"/>
      <c r="BO195" s="8"/>
      <c r="BP195" s="7"/>
      <c r="BQ195" s="6"/>
      <c r="BR195" s="8"/>
    </row>
    <row r="196">
      <c r="A196" s="6"/>
      <c r="B196" s="6" t="s">
        <v>196</v>
      </c>
      <c r="C196" s="3" t="str">
        <f t="shared" si="1"/>
        <v>_light coral</v>
      </c>
      <c r="D196" s="3" t="str">
        <f t="shared" si="8"/>
        <v>#N/A</v>
      </c>
      <c r="E196" s="3" t="b">
        <f t="shared" si="2"/>
        <v>0</v>
      </c>
      <c r="G196" s="3" t="str">
        <f t="shared" si="3"/>
        <v>#N/A</v>
      </c>
      <c r="H196" s="3" t="b">
        <f t="shared" si="4"/>
        <v>0</v>
      </c>
      <c r="J196" s="3" t="str">
        <f t="shared" si="5"/>
        <v>#N/A</v>
      </c>
      <c r="K196" s="3" t="b">
        <f t="shared" si="6"/>
        <v>0</v>
      </c>
      <c r="M196" s="3" t="str">
        <f t="shared" si="7"/>
        <v>#N/A</v>
      </c>
      <c r="AU196" s="7"/>
      <c r="AV196" s="6"/>
      <c r="AW196" s="8"/>
      <c r="AX196" s="7"/>
      <c r="AY196" s="6"/>
      <c r="AZ196" s="8"/>
      <c r="BA196" s="7"/>
      <c r="BB196" s="6"/>
      <c r="BC196" s="8"/>
      <c r="BD196" s="7"/>
      <c r="BE196" s="6"/>
      <c r="BF196" s="8"/>
      <c r="BG196" s="7"/>
      <c r="BH196" s="6"/>
      <c r="BI196" s="8"/>
      <c r="BJ196" s="7"/>
      <c r="BK196" s="6"/>
      <c r="BL196" s="8"/>
      <c r="BM196" s="7"/>
      <c r="BN196" s="6"/>
      <c r="BO196" s="8"/>
      <c r="BP196" s="7"/>
      <c r="BQ196" s="6"/>
      <c r="BR196" s="8"/>
    </row>
    <row r="197">
      <c r="A197" s="6"/>
      <c r="B197" s="6" t="s">
        <v>197</v>
      </c>
      <c r="C197" s="3" t="str">
        <f t="shared" si="1"/>
        <v>_pale brown</v>
      </c>
      <c r="D197" s="3" t="str">
        <f t="shared" si="8"/>
        <v>#N/A</v>
      </c>
      <c r="E197" s="3" t="b">
        <f t="shared" si="2"/>
        <v>0</v>
      </c>
      <c r="G197" s="3" t="str">
        <f t="shared" si="3"/>
        <v>#N/A</v>
      </c>
      <c r="H197" s="3" t="b">
        <f t="shared" si="4"/>
        <v>0</v>
      </c>
      <c r="J197" s="3" t="str">
        <f t="shared" si="5"/>
        <v>#N/A</v>
      </c>
      <c r="K197" s="3" t="b">
        <f t="shared" si="6"/>
        <v>0</v>
      </c>
      <c r="M197" s="3" t="str">
        <f t="shared" si="7"/>
        <v>#N/A</v>
      </c>
      <c r="AU197" s="7"/>
      <c r="AV197" s="6"/>
      <c r="AW197" s="8"/>
      <c r="AX197" s="7"/>
      <c r="AY197" s="6"/>
      <c r="AZ197" s="8"/>
      <c r="BA197" s="7"/>
      <c r="BB197" s="6"/>
      <c r="BC197" s="8"/>
      <c r="BD197" s="7"/>
      <c r="BE197" s="6"/>
      <c r="BF197" s="8"/>
      <c r="BG197" s="7"/>
      <c r="BH197" s="6"/>
      <c r="BI197" s="8"/>
      <c r="BJ197" s="7"/>
      <c r="BK197" s="6"/>
      <c r="BL197" s="8"/>
      <c r="BM197" s="7"/>
      <c r="BN197" s="6"/>
      <c r="BO197" s="8"/>
      <c r="BP197" s="7"/>
      <c r="BQ197" s="6"/>
      <c r="BR197" s="8"/>
    </row>
    <row r="198">
      <c r="A198" s="6"/>
      <c r="B198" s="6" t="s">
        <v>198</v>
      </c>
      <c r="C198" s="3" t="str">
        <f t="shared" si="1"/>
        <v>_vibrant tomato</v>
      </c>
      <c r="D198" s="3" t="str">
        <f t="shared" si="8"/>
        <v>#N/A</v>
      </c>
      <c r="E198" s="3" t="b">
        <f t="shared" si="2"/>
        <v>0</v>
      </c>
      <c r="G198" s="3" t="str">
        <f t="shared" si="3"/>
        <v>#N/A</v>
      </c>
      <c r="H198" s="3" t="b">
        <f t="shared" si="4"/>
        <v>0</v>
      </c>
      <c r="J198" s="3" t="str">
        <f t="shared" si="5"/>
        <v>#N/A</v>
      </c>
      <c r="K198" s="3" t="b">
        <f t="shared" si="6"/>
        <v>0</v>
      </c>
      <c r="M198" s="3" t="str">
        <f t="shared" si="7"/>
        <v>#N/A</v>
      </c>
      <c r="AU198" s="7"/>
      <c r="AV198" s="6"/>
      <c r="AW198" s="8"/>
      <c r="AX198" s="7"/>
      <c r="AY198" s="6"/>
      <c r="AZ198" s="8"/>
      <c r="BA198" s="7"/>
      <c r="BB198" s="6"/>
      <c r="BC198" s="8"/>
      <c r="BD198" s="7"/>
      <c r="BE198" s="6"/>
      <c r="BF198" s="8"/>
      <c r="BG198" s="7"/>
      <c r="BH198" s="6"/>
      <c r="BI198" s="8"/>
      <c r="BJ198" s="7"/>
      <c r="BK198" s="6"/>
      <c r="BL198" s="8"/>
      <c r="BM198" s="7"/>
      <c r="BN198" s="6"/>
      <c r="BO198" s="8"/>
      <c r="BP198" s="7"/>
      <c r="BQ198" s="6"/>
      <c r="BR198" s="8"/>
    </row>
    <row r="199">
      <c r="A199" s="6"/>
      <c r="B199" s="6" t="s">
        <v>199</v>
      </c>
      <c r="C199" s="3" t="str">
        <f t="shared" si="1"/>
        <v>_dull olive</v>
      </c>
      <c r="D199" s="3" t="str">
        <f t="shared" si="8"/>
        <v>#N/A</v>
      </c>
      <c r="E199" s="3" t="b">
        <f t="shared" si="2"/>
        <v>0</v>
      </c>
      <c r="G199" s="3" t="str">
        <f t="shared" si="3"/>
        <v>#N/A</v>
      </c>
      <c r="H199" s="3" t="b">
        <f t="shared" si="4"/>
        <v>0</v>
      </c>
      <c r="J199" s="3" t="str">
        <f t="shared" si="5"/>
        <v>#N/A</v>
      </c>
      <c r="K199" s="3" t="b">
        <f t="shared" si="6"/>
        <v>0</v>
      </c>
      <c r="M199" s="3" t="str">
        <f t="shared" si="7"/>
        <v>#N/A</v>
      </c>
      <c r="AU199" s="7"/>
      <c r="AV199" s="6"/>
      <c r="AW199" s="8"/>
      <c r="AX199" s="7"/>
      <c r="AY199" s="6"/>
      <c r="AZ199" s="8"/>
      <c r="BA199" s="7"/>
      <c r="BB199" s="6"/>
      <c r="BC199" s="8"/>
      <c r="BD199" s="7"/>
      <c r="BE199" s="6"/>
      <c r="BF199" s="8"/>
      <c r="BG199" s="7"/>
      <c r="BH199" s="6"/>
      <c r="BI199" s="8"/>
      <c r="BJ199" s="7"/>
      <c r="BK199" s="6"/>
      <c r="BL199" s="8"/>
      <c r="BM199" s="7"/>
      <c r="BN199" s="6"/>
      <c r="BO199" s="8"/>
      <c r="BP199" s="7"/>
      <c r="BQ199" s="6"/>
      <c r="BR199" s="8"/>
    </row>
    <row r="200">
      <c r="A200" s="6"/>
      <c r="B200" s="6" t="s">
        <v>200</v>
      </c>
      <c r="C200" s="3" t="str">
        <f t="shared" si="1"/>
        <v>_light chartreuse</v>
      </c>
      <c r="D200" s="3" t="str">
        <f t="shared" si="8"/>
        <v>#N/A</v>
      </c>
      <c r="E200" s="3" t="b">
        <f t="shared" si="2"/>
        <v>0</v>
      </c>
      <c r="G200" s="3" t="str">
        <f t="shared" si="3"/>
        <v>#N/A</v>
      </c>
      <c r="H200" s="3" t="b">
        <f t="shared" si="4"/>
        <v>0</v>
      </c>
      <c r="J200" s="3" t="str">
        <f t="shared" si="5"/>
        <v>#N/A</v>
      </c>
      <c r="K200" s="3" t="b">
        <f t="shared" si="6"/>
        <v>0</v>
      </c>
      <c r="M200" s="3" t="str">
        <f t="shared" si="7"/>
        <v>#N/A</v>
      </c>
      <c r="AU200" s="7"/>
      <c r="AV200" s="6"/>
      <c r="AW200" s="8"/>
      <c r="AX200" s="7"/>
      <c r="AY200" s="6"/>
      <c r="AZ200" s="8"/>
      <c r="BA200" s="7"/>
      <c r="BB200" s="6"/>
      <c r="BC200" s="8"/>
      <c r="BD200" s="7"/>
      <c r="BE200" s="6"/>
      <c r="BF200" s="8"/>
      <c r="BG200" s="7"/>
      <c r="BH200" s="6"/>
      <c r="BI200" s="8"/>
      <c r="BJ200" s="7"/>
      <c r="BK200" s="6"/>
      <c r="BL200" s="8"/>
      <c r="BM200" s="7"/>
      <c r="BN200" s="6"/>
      <c r="BO200" s="8"/>
      <c r="BP200" s="7"/>
      <c r="BQ200" s="6"/>
      <c r="BR200" s="8"/>
    </row>
    <row r="201">
      <c r="A201" s="6"/>
      <c r="B201" s="6" t="s">
        <v>201</v>
      </c>
      <c r="C201" s="3" t="str">
        <f t="shared" si="1"/>
        <v>_posh gray</v>
      </c>
      <c r="D201" s="3" t="str">
        <f t="shared" si="8"/>
        <v>#N/A</v>
      </c>
      <c r="E201" s="3" t="b">
        <f t="shared" si="2"/>
        <v>0</v>
      </c>
      <c r="G201" s="3" t="str">
        <f t="shared" si="3"/>
        <v>#N/A</v>
      </c>
      <c r="H201" s="3" t="b">
        <f t="shared" si="4"/>
        <v>0</v>
      </c>
      <c r="J201" s="3" t="str">
        <f t="shared" si="5"/>
        <v>#N/A</v>
      </c>
      <c r="K201" s="3" t="b">
        <f t="shared" si="6"/>
        <v>0</v>
      </c>
      <c r="M201" s="3" t="str">
        <f t="shared" si="7"/>
        <v>#N/A</v>
      </c>
      <c r="AU201" s="7"/>
      <c r="AV201" s="6"/>
      <c r="AW201" s="8"/>
      <c r="AX201" s="7"/>
      <c r="AY201" s="6"/>
      <c r="AZ201" s="8"/>
      <c r="BA201" s="7"/>
      <c r="BB201" s="6"/>
      <c r="BC201" s="8"/>
      <c r="BD201" s="7"/>
      <c r="BE201" s="6"/>
      <c r="BF201" s="8"/>
      <c r="BG201" s="7"/>
      <c r="BH201" s="6"/>
      <c r="BI201" s="8"/>
      <c r="BJ201" s="7"/>
      <c r="BK201" s="6"/>
      <c r="BL201" s="8"/>
      <c r="BM201" s="7"/>
      <c r="BN201" s="6"/>
      <c r="BO201" s="8"/>
      <c r="BP201" s="7"/>
      <c r="BQ201" s="6"/>
      <c r="BR201" s="8"/>
    </row>
    <row r="202">
      <c r="A202" s="6"/>
      <c r="B202" s="6" t="s">
        <v>202</v>
      </c>
      <c r="C202" s="3" t="str">
        <f t="shared" si="1"/>
        <v>_bright yellow</v>
      </c>
      <c r="D202" s="3" t="str">
        <f t="shared" si="8"/>
        <v>#N/A</v>
      </c>
      <c r="E202" s="3" t="b">
        <f t="shared" si="2"/>
        <v>0</v>
      </c>
      <c r="G202" s="3" t="str">
        <f t="shared" si="3"/>
        <v>#N/A</v>
      </c>
      <c r="H202" s="3" t="b">
        <f t="shared" si="4"/>
        <v>0</v>
      </c>
      <c r="J202" s="3" t="str">
        <f t="shared" si="5"/>
        <v>#N/A</v>
      </c>
      <c r="K202" s="3" t="b">
        <f t="shared" si="6"/>
        <v>0</v>
      </c>
      <c r="M202" s="3" t="str">
        <f t="shared" si="7"/>
        <v>#N/A</v>
      </c>
      <c r="AU202" s="7"/>
      <c r="AV202" s="6"/>
      <c r="AW202" s="8"/>
      <c r="AX202" s="7"/>
      <c r="AY202" s="6"/>
      <c r="AZ202" s="8"/>
      <c r="BA202" s="7"/>
      <c r="BB202" s="6"/>
      <c r="BC202" s="8"/>
      <c r="BD202" s="7"/>
      <c r="BE202" s="6"/>
      <c r="BF202" s="8"/>
      <c r="BG202" s="7"/>
      <c r="BH202" s="6"/>
      <c r="BI202" s="8"/>
      <c r="BJ202" s="7"/>
      <c r="BK202" s="6"/>
      <c r="BL202" s="8"/>
      <c r="BM202" s="7"/>
      <c r="BN202" s="6"/>
      <c r="BO202" s="8"/>
      <c r="BP202" s="7"/>
      <c r="BQ202" s="6"/>
      <c r="BR202" s="8"/>
    </row>
    <row r="203">
      <c r="A203" s="6"/>
      <c r="B203" s="6" t="s">
        <v>203</v>
      </c>
      <c r="C203" s="3" t="str">
        <f t="shared" si="1"/>
        <v>_bright gold</v>
      </c>
      <c r="D203" s="3" t="str">
        <f t="shared" si="8"/>
        <v>#N/A</v>
      </c>
      <c r="E203" s="3" t="b">
        <f t="shared" si="2"/>
        <v>0</v>
      </c>
      <c r="G203" s="3" t="str">
        <f t="shared" si="3"/>
        <v>#N/A</v>
      </c>
      <c r="H203" s="3" t="b">
        <f t="shared" si="4"/>
        <v>0</v>
      </c>
      <c r="J203" s="3" t="str">
        <f t="shared" si="5"/>
        <v>#N/A</v>
      </c>
      <c r="K203" s="3" t="b">
        <f t="shared" si="6"/>
        <v>0</v>
      </c>
      <c r="M203" s="3" t="str">
        <f t="shared" si="7"/>
        <v>#N/A</v>
      </c>
      <c r="AU203" s="7"/>
      <c r="AV203" s="6"/>
      <c r="AW203" s="8"/>
      <c r="AX203" s="7"/>
      <c r="AY203" s="6"/>
      <c r="AZ203" s="8"/>
      <c r="BA203" s="7"/>
      <c r="BB203" s="6"/>
      <c r="BC203" s="8"/>
      <c r="BD203" s="7"/>
      <c r="BE203" s="6"/>
      <c r="BF203" s="8"/>
      <c r="BG203" s="7"/>
      <c r="BH203" s="6"/>
      <c r="BI203" s="8"/>
      <c r="BJ203" s="7"/>
      <c r="BK203" s="6"/>
      <c r="BL203" s="8"/>
      <c r="BM203" s="7"/>
      <c r="BN203" s="6"/>
      <c r="BO203" s="8"/>
      <c r="BP203" s="7"/>
      <c r="BQ203" s="6"/>
      <c r="BR203" s="8"/>
    </row>
    <row r="204">
      <c r="A204" s="6"/>
      <c r="B204" s="6" t="s">
        <v>204</v>
      </c>
      <c r="C204" s="3" t="str">
        <f t="shared" si="1"/>
        <v>_dotted red</v>
      </c>
      <c r="D204" s="3" t="str">
        <f t="shared" si="8"/>
        <v>#N/A</v>
      </c>
      <c r="E204" s="3" t="b">
        <f t="shared" si="2"/>
        <v>0</v>
      </c>
      <c r="G204" s="3" t="str">
        <f t="shared" si="3"/>
        <v>#N/A</v>
      </c>
      <c r="H204" s="3" t="b">
        <f t="shared" si="4"/>
        <v>0</v>
      </c>
      <c r="J204" s="3" t="str">
        <f t="shared" si="5"/>
        <v>#N/A</v>
      </c>
      <c r="K204" s="3" t="b">
        <f t="shared" si="6"/>
        <v>0</v>
      </c>
      <c r="M204" s="3" t="str">
        <f t="shared" si="7"/>
        <v>#N/A</v>
      </c>
      <c r="AU204" s="7"/>
      <c r="AV204" s="6"/>
      <c r="AW204" s="8"/>
      <c r="AX204" s="7"/>
      <c r="AY204" s="6"/>
      <c r="AZ204" s="8"/>
      <c r="BA204" s="7"/>
      <c r="BB204" s="6"/>
      <c r="BC204" s="8"/>
      <c r="BD204" s="7"/>
      <c r="BE204" s="6"/>
      <c r="BF204" s="8"/>
      <c r="BG204" s="7"/>
      <c r="BH204" s="6"/>
      <c r="BI204" s="8"/>
      <c r="BJ204" s="7"/>
      <c r="BK204" s="6"/>
      <c r="BL204" s="8"/>
      <c r="BM204" s="7"/>
      <c r="BN204" s="6"/>
      <c r="BO204" s="8"/>
      <c r="BP204" s="7"/>
      <c r="BQ204" s="6"/>
      <c r="BR204" s="8"/>
    </row>
    <row r="205">
      <c r="A205" s="6"/>
      <c r="B205" s="6" t="s">
        <v>205</v>
      </c>
      <c r="C205" s="3" t="str">
        <f t="shared" si="1"/>
        <v>_clear brown</v>
      </c>
      <c r="D205" s="3" t="str">
        <f t="shared" si="8"/>
        <v>#N/A</v>
      </c>
      <c r="E205" s="3" t="b">
        <f t="shared" si="2"/>
        <v>0</v>
      </c>
      <c r="G205" s="3" t="str">
        <f t="shared" si="3"/>
        <v>#N/A</v>
      </c>
      <c r="H205" s="3" t="b">
        <f t="shared" si="4"/>
        <v>0</v>
      </c>
      <c r="J205" s="3" t="str">
        <f t="shared" si="5"/>
        <v>#N/A</v>
      </c>
      <c r="K205" s="3" t="b">
        <f t="shared" si="6"/>
        <v>0</v>
      </c>
      <c r="M205" s="3" t="str">
        <f t="shared" si="7"/>
        <v>#N/A</v>
      </c>
      <c r="AU205" s="7"/>
      <c r="AV205" s="6"/>
      <c r="AW205" s="8"/>
      <c r="AX205" s="7"/>
      <c r="AY205" s="6"/>
      <c r="AZ205" s="8"/>
      <c r="BA205" s="7"/>
      <c r="BB205" s="6"/>
      <c r="BC205" s="8"/>
      <c r="BD205" s="7"/>
      <c r="BE205" s="6"/>
      <c r="BF205" s="8"/>
      <c r="BG205" s="7"/>
      <c r="BH205" s="6"/>
      <c r="BI205" s="8"/>
      <c r="BJ205" s="7"/>
      <c r="BK205" s="6"/>
      <c r="BL205" s="8"/>
      <c r="BM205" s="7"/>
      <c r="BN205" s="6"/>
      <c r="BO205" s="8"/>
      <c r="BP205" s="7"/>
      <c r="BQ205" s="6"/>
      <c r="BR205" s="8"/>
    </row>
    <row r="206">
      <c r="A206" s="6"/>
      <c r="B206" s="6" t="s">
        <v>206</v>
      </c>
      <c r="C206" s="3" t="str">
        <f t="shared" si="1"/>
        <v>_light plum</v>
      </c>
      <c r="D206" s="3" t="str">
        <f t="shared" si="8"/>
        <v>#N/A</v>
      </c>
      <c r="E206" s="3" t="b">
        <f t="shared" si="2"/>
        <v>0</v>
      </c>
      <c r="G206" s="3" t="str">
        <f t="shared" si="3"/>
        <v>#N/A</v>
      </c>
      <c r="H206" s="3" t="b">
        <f t="shared" si="4"/>
        <v>0</v>
      </c>
      <c r="J206" s="3" t="str">
        <f t="shared" si="5"/>
        <v>#N/A</v>
      </c>
      <c r="K206" s="3" t="b">
        <f t="shared" si="6"/>
        <v>0</v>
      </c>
      <c r="M206" s="3" t="str">
        <f t="shared" si="7"/>
        <v>#N/A</v>
      </c>
      <c r="AU206" s="7"/>
      <c r="AV206" s="6"/>
      <c r="AW206" s="8"/>
      <c r="AX206" s="7"/>
      <c r="AY206" s="6"/>
      <c r="AZ206" s="8"/>
      <c r="BA206" s="7"/>
      <c r="BB206" s="6"/>
      <c r="BC206" s="8"/>
      <c r="BD206" s="7"/>
      <c r="BE206" s="6"/>
      <c r="BF206" s="8"/>
      <c r="BG206" s="7"/>
      <c r="BH206" s="6"/>
      <c r="BI206" s="8"/>
      <c r="BJ206" s="7"/>
      <c r="BK206" s="6"/>
      <c r="BL206" s="8"/>
      <c r="BM206" s="7"/>
      <c r="BN206" s="6"/>
      <c r="BO206" s="8"/>
      <c r="BP206" s="7"/>
      <c r="BQ206" s="6"/>
      <c r="BR206" s="8"/>
    </row>
    <row r="207">
      <c r="A207" s="6"/>
      <c r="B207" s="6" t="s">
        <v>207</v>
      </c>
      <c r="C207" s="3" t="str">
        <f t="shared" si="1"/>
        <v>_dim purple</v>
      </c>
      <c r="D207" s="3" t="str">
        <f t="shared" si="8"/>
        <v>#N/A</v>
      </c>
      <c r="E207" s="3" t="b">
        <f t="shared" si="2"/>
        <v>0</v>
      </c>
      <c r="G207" s="3" t="str">
        <f t="shared" si="3"/>
        <v>#N/A</v>
      </c>
      <c r="H207" s="3" t="b">
        <f t="shared" si="4"/>
        <v>0</v>
      </c>
      <c r="J207" s="3" t="str">
        <f t="shared" si="5"/>
        <v>#N/A</v>
      </c>
      <c r="K207" s="3" t="b">
        <f t="shared" si="6"/>
        <v>0</v>
      </c>
      <c r="M207" s="3" t="str">
        <f t="shared" si="7"/>
        <v>#N/A</v>
      </c>
      <c r="AU207" s="7"/>
      <c r="AV207" s="6"/>
      <c r="AW207" s="8"/>
      <c r="AX207" s="7"/>
      <c r="AY207" s="6"/>
      <c r="AZ207" s="8"/>
      <c r="BA207" s="7"/>
      <c r="BB207" s="6"/>
      <c r="BC207" s="8"/>
      <c r="BD207" s="7"/>
      <c r="BE207" s="6"/>
      <c r="BF207" s="8"/>
      <c r="BG207" s="7"/>
      <c r="BH207" s="6"/>
      <c r="BI207" s="8"/>
      <c r="BJ207" s="7"/>
      <c r="BK207" s="6"/>
      <c r="BL207" s="8"/>
      <c r="BM207" s="7"/>
      <c r="BN207" s="6"/>
      <c r="BO207" s="8"/>
      <c r="BP207" s="7"/>
      <c r="BQ207" s="6"/>
      <c r="BR207" s="8"/>
    </row>
    <row r="208">
      <c r="A208" s="6"/>
      <c r="B208" s="6" t="s">
        <v>208</v>
      </c>
      <c r="C208" s="3" t="str">
        <f t="shared" si="1"/>
        <v>_dull yellow</v>
      </c>
      <c r="D208" s="3" t="str">
        <f t="shared" si="8"/>
        <v>#N/A</v>
      </c>
      <c r="E208" s="3" t="b">
        <f t="shared" si="2"/>
        <v>0</v>
      </c>
      <c r="G208" s="3" t="str">
        <f t="shared" si="3"/>
        <v>#N/A</v>
      </c>
      <c r="H208" s="3" t="b">
        <f t="shared" si="4"/>
        <v>0</v>
      </c>
      <c r="J208" s="3" t="str">
        <f t="shared" si="5"/>
        <v>#N/A</v>
      </c>
      <c r="K208" s="3" t="b">
        <f t="shared" si="6"/>
        <v>0</v>
      </c>
      <c r="M208" s="3" t="str">
        <f t="shared" si="7"/>
        <v>#N/A</v>
      </c>
      <c r="AU208" s="7"/>
      <c r="AV208" s="6"/>
      <c r="AW208" s="8"/>
      <c r="AX208" s="7"/>
      <c r="AY208" s="6"/>
      <c r="AZ208" s="8"/>
      <c r="BA208" s="7"/>
      <c r="BB208" s="6"/>
      <c r="BC208" s="8"/>
      <c r="BD208" s="7"/>
      <c r="BE208" s="6"/>
      <c r="BF208" s="8"/>
      <c r="BG208" s="7"/>
      <c r="BH208" s="6"/>
      <c r="BI208" s="8"/>
      <c r="BJ208" s="7"/>
      <c r="BK208" s="6"/>
      <c r="BL208" s="8"/>
      <c r="BM208" s="7"/>
      <c r="BN208" s="6"/>
      <c r="BO208" s="8"/>
      <c r="BP208" s="7"/>
      <c r="BQ208" s="6"/>
      <c r="BR208" s="8"/>
    </row>
    <row r="209">
      <c r="A209" s="6"/>
      <c r="B209" s="6" t="s">
        <v>209</v>
      </c>
      <c r="C209" s="3" t="str">
        <f t="shared" si="1"/>
        <v>_shiny gold</v>
      </c>
      <c r="D209" s="3" t="str">
        <f t="shared" si="8"/>
        <v>#N/A</v>
      </c>
      <c r="E209" s="3" t="b">
        <f t="shared" si="2"/>
        <v>0</v>
      </c>
      <c r="G209" s="3" t="str">
        <f t="shared" si="3"/>
        <v>#N/A</v>
      </c>
      <c r="H209" s="3" t="b">
        <f t="shared" si="4"/>
        <v>0</v>
      </c>
      <c r="J209" s="3" t="str">
        <f t="shared" si="5"/>
        <v>#N/A</v>
      </c>
      <c r="K209" s="3" t="b">
        <f t="shared" si="6"/>
        <v>0</v>
      </c>
      <c r="M209" s="3" t="str">
        <f t="shared" si="7"/>
        <v>#N/A</v>
      </c>
      <c r="AU209" s="7"/>
      <c r="AV209" s="6"/>
      <c r="AW209" s="8"/>
      <c r="AX209" s="7"/>
      <c r="AY209" s="6"/>
      <c r="AZ209" s="8"/>
      <c r="BA209" s="7"/>
      <c r="BB209" s="6"/>
      <c r="BC209" s="8"/>
      <c r="BD209" s="7"/>
      <c r="BE209" s="6"/>
      <c r="BF209" s="8"/>
      <c r="BG209" s="7"/>
      <c r="BH209" s="6"/>
      <c r="BI209" s="8"/>
      <c r="BJ209" s="7"/>
      <c r="BK209" s="6"/>
      <c r="BL209" s="8"/>
      <c r="BM209" s="7"/>
      <c r="BN209" s="6"/>
      <c r="BO209" s="8"/>
      <c r="BP209" s="7"/>
      <c r="BQ209" s="6"/>
      <c r="BR209" s="8"/>
    </row>
    <row r="210">
      <c r="A210" s="6"/>
      <c r="B210" s="6" t="s">
        <v>210</v>
      </c>
      <c r="C210" s="3" t="str">
        <f t="shared" si="1"/>
        <v>_mirrored crimson</v>
      </c>
      <c r="D210" s="3" t="str">
        <f t="shared" si="8"/>
        <v>#N/A</v>
      </c>
      <c r="E210" s="3" t="b">
        <f t="shared" si="2"/>
        <v>0</v>
      </c>
      <c r="G210" s="3" t="str">
        <f t="shared" si="3"/>
        <v>#N/A</v>
      </c>
      <c r="H210" s="3" t="b">
        <f t="shared" si="4"/>
        <v>0</v>
      </c>
      <c r="J210" s="3" t="str">
        <f t="shared" si="5"/>
        <v>#N/A</v>
      </c>
      <c r="K210" s="3" t="b">
        <f t="shared" si="6"/>
        <v>0</v>
      </c>
      <c r="M210" s="3" t="str">
        <f t="shared" si="7"/>
        <v>#N/A</v>
      </c>
      <c r="AU210" s="7"/>
      <c r="AV210" s="6"/>
      <c r="AW210" s="8"/>
      <c r="AX210" s="7"/>
      <c r="AY210" s="6"/>
      <c r="AZ210" s="8"/>
      <c r="BA210" s="7"/>
      <c r="BB210" s="6"/>
      <c r="BC210" s="8"/>
      <c r="BD210" s="7"/>
      <c r="BE210" s="6"/>
      <c r="BF210" s="8"/>
      <c r="BG210" s="7"/>
      <c r="BH210" s="6"/>
      <c r="BI210" s="8"/>
      <c r="BJ210" s="7"/>
      <c r="BK210" s="6"/>
      <c r="BL210" s="8"/>
      <c r="BM210" s="7"/>
      <c r="BN210" s="6"/>
      <c r="BO210" s="8"/>
      <c r="BP210" s="7"/>
      <c r="BQ210" s="6"/>
      <c r="BR210" s="8"/>
    </row>
    <row r="211">
      <c r="A211" s="6"/>
      <c r="B211" s="6" t="s">
        <v>211</v>
      </c>
      <c r="C211" s="3" t="str">
        <f t="shared" si="1"/>
        <v>_shiny lavender</v>
      </c>
      <c r="D211" s="3" t="str">
        <f t="shared" si="8"/>
        <v>#N/A</v>
      </c>
      <c r="E211" s="3" t="b">
        <f t="shared" si="2"/>
        <v>0</v>
      </c>
      <c r="G211" s="3" t="str">
        <f t="shared" si="3"/>
        <v>#N/A</v>
      </c>
      <c r="H211" s="3" t="b">
        <f t="shared" si="4"/>
        <v>0</v>
      </c>
      <c r="J211" s="3" t="str">
        <f t="shared" si="5"/>
        <v>#N/A</v>
      </c>
      <c r="K211" s="3" t="b">
        <f t="shared" si="6"/>
        <v>0</v>
      </c>
      <c r="M211" s="3" t="str">
        <f t="shared" si="7"/>
        <v>#N/A</v>
      </c>
      <c r="AU211" s="7"/>
      <c r="AV211" s="6"/>
      <c r="AW211" s="8"/>
      <c r="AX211" s="7"/>
      <c r="AY211" s="6"/>
      <c r="AZ211" s="8"/>
      <c r="BA211" s="7"/>
      <c r="BB211" s="6"/>
      <c r="BC211" s="8"/>
      <c r="BD211" s="7"/>
      <c r="BE211" s="6"/>
      <c r="BF211" s="8"/>
      <c r="BG211" s="7"/>
      <c r="BH211" s="6"/>
      <c r="BI211" s="8"/>
      <c r="BJ211" s="7"/>
      <c r="BK211" s="6"/>
      <c r="BL211" s="8"/>
      <c r="BM211" s="7"/>
      <c r="BN211" s="6"/>
      <c r="BO211" s="8"/>
      <c r="BP211" s="7"/>
      <c r="BQ211" s="6"/>
      <c r="BR211" s="8"/>
    </row>
    <row r="212">
      <c r="A212" s="6"/>
      <c r="B212" s="6" t="s">
        <v>212</v>
      </c>
      <c r="C212" s="3" t="str">
        <f t="shared" si="1"/>
        <v>_vibrant cyan</v>
      </c>
      <c r="D212" s="3" t="str">
        <f t="shared" si="8"/>
        <v>#N/A</v>
      </c>
      <c r="E212" s="3" t="b">
        <f t="shared" si="2"/>
        <v>0</v>
      </c>
      <c r="G212" s="3" t="str">
        <f t="shared" si="3"/>
        <v>#N/A</v>
      </c>
      <c r="H212" s="3" t="b">
        <f t="shared" si="4"/>
        <v>0</v>
      </c>
      <c r="J212" s="3" t="str">
        <f t="shared" si="5"/>
        <v>#N/A</v>
      </c>
      <c r="K212" s="3" t="b">
        <f t="shared" si="6"/>
        <v>0</v>
      </c>
      <c r="M212" s="3" t="str">
        <f t="shared" si="7"/>
        <v>#N/A</v>
      </c>
      <c r="AU212" s="7"/>
      <c r="AV212" s="6"/>
      <c r="AW212" s="8"/>
      <c r="AX212" s="7"/>
      <c r="AY212" s="6"/>
      <c r="AZ212" s="8"/>
      <c r="BA212" s="7"/>
      <c r="BB212" s="6"/>
      <c r="BC212" s="8"/>
      <c r="BD212" s="7"/>
      <c r="BE212" s="6"/>
      <c r="BF212" s="8"/>
      <c r="BG212" s="7"/>
      <c r="BH212" s="6"/>
      <c r="BI212" s="8"/>
      <c r="BJ212" s="7"/>
      <c r="BK212" s="6"/>
      <c r="BL212" s="8"/>
      <c r="BM212" s="7"/>
      <c r="BN212" s="6"/>
      <c r="BO212" s="8"/>
      <c r="BP212" s="7"/>
      <c r="BQ212" s="6"/>
      <c r="BR212" s="8"/>
    </row>
    <row r="213">
      <c r="A213" s="6"/>
      <c r="B213" s="6" t="s">
        <v>213</v>
      </c>
      <c r="C213" s="3" t="str">
        <f t="shared" si="1"/>
        <v>_wavy gold</v>
      </c>
      <c r="D213" s="3" t="str">
        <f t="shared" si="8"/>
        <v>#N/A</v>
      </c>
      <c r="E213" s="3" t="b">
        <f t="shared" si="2"/>
        <v>0</v>
      </c>
      <c r="G213" s="3" t="str">
        <f t="shared" si="3"/>
        <v>#N/A</v>
      </c>
      <c r="H213" s="3" t="b">
        <f t="shared" si="4"/>
        <v>0</v>
      </c>
      <c r="J213" s="3" t="str">
        <f t="shared" si="5"/>
        <v>#N/A</v>
      </c>
      <c r="K213" s="3" t="b">
        <f t="shared" si="6"/>
        <v>0</v>
      </c>
      <c r="M213" s="3" t="str">
        <f t="shared" si="7"/>
        <v>#N/A</v>
      </c>
      <c r="AU213" s="7"/>
      <c r="AV213" s="6"/>
      <c r="AW213" s="8"/>
      <c r="AX213" s="7"/>
      <c r="AY213" s="6"/>
      <c r="AZ213" s="8"/>
      <c r="BA213" s="7"/>
      <c r="BB213" s="6"/>
      <c r="BC213" s="8"/>
      <c r="BD213" s="7"/>
      <c r="BE213" s="6"/>
      <c r="BF213" s="8"/>
      <c r="BG213" s="7"/>
      <c r="BH213" s="6"/>
      <c r="BI213" s="8"/>
      <c r="BJ213" s="7"/>
      <c r="BK213" s="6"/>
      <c r="BL213" s="8"/>
      <c r="BM213" s="7"/>
      <c r="BN213" s="6"/>
      <c r="BO213" s="8"/>
      <c r="BP213" s="7"/>
      <c r="BQ213" s="6"/>
      <c r="BR213" s="8"/>
    </row>
    <row r="214">
      <c r="A214" s="6"/>
      <c r="B214" s="6" t="s">
        <v>214</v>
      </c>
      <c r="C214" s="3" t="str">
        <f t="shared" si="1"/>
        <v>_dark cyan</v>
      </c>
      <c r="D214" s="3" t="str">
        <f t="shared" si="8"/>
        <v>#N/A</v>
      </c>
      <c r="E214" s="3" t="b">
        <f t="shared" si="2"/>
        <v>0</v>
      </c>
      <c r="G214" s="3" t="str">
        <f t="shared" si="3"/>
        <v>#N/A</v>
      </c>
      <c r="H214" s="3" t="b">
        <f t="shared" si="4"/>
        <v>0</v>
      </c>
      <c r="J214" s="3" t="str">
        <f t="shared" si="5"/>
        <v>#N/A</v>
      </c>
      <c r="K214" s="3" t="b">
        <f t="shared" si="6"/>
        <v>0</v>
      </c>
      <c r="M214" s="3" t="str">
        <f t="shared" si="7"/>
        <v>#N/A</v>
      </c>
      <c r="AU214" s="7"/>
      <c r="AV214" s="6"/>
      <c r="AW214" s="8"/>
      <c r="AX214" s="7"/>
      <c r="AY214" s="6"/>
      <c r="AZ214" s="8"/>
      <c r="BA214" s="7"/>
      <c r="BB214" s="6"/>
      <c r="BC214" s="8"/>
      <c r="BD214" s="7"/>
      <c r="BE214" s="6"/>
      <c r="BF214" s="8"/>
      <c r="BG214" s="7"/>
      <c r="BH214" s="6"/>
      <c r="BI214" s="8"/>
      <c r="BJ214" s="7"/>
      <c r="BK214" s="6"/>
      <c r="BL214" s="8"/>
      <c r="BM214" s="7"/>
      <c r="BN214" s="6"/>
      <c r="BO214" s="8"/>
      <c r="BP214" s="7"/>
      <c r="BQ214" s="6"/>
      <c r="BR214" s="8"/>
    </row>
    <row r="215">
      <c r="A215" s="6"/>
      <c r="B215" s="6" t="s">
        <v>215</v>
      </c>
      <c r="C215" s="3" t="str">
        <f t="shared" si="1"/>
        <v>_posh lime</v>
      </c>
      <c r="D215" s="3" t="str">
        <f t="shared" si="8"/>
        <v>#N/A</v>
      </c>
      <c r="E215" s="3" t="b">
        <f t="shared" si="2"/>
        <v>0</v>
      </c>
      <c r="G215" s="3" t="str">
        <f t="shared" si="3"/>
        <v>#N/A</v>
      </c>
      <c r="H215" s="3" t="b">
        <f t="shared" si="4"/>
        <v>0</v>
      </c>
      <c r="J215" s="3" t="str">
        <f t="shared" si="5"/>
        <v>#N/A</v>
      </c>
      <c r="K215" s="3" t="b">
        <f t="shared" si="6"/>
        <v>0</v>
      </c>
      <c r="M215" s="3" t="str">
        <f t="shared" si="7"/>
        <v>#N/A</v>
      </c>
      <c r="AU215" s="7"/>
      <c r="AV215" s="6"/>
      <c r="AW215" s="8"/>
      <c r="AX215" s="7"/>
      <c r="AY215" s="6"/>
      <c r="AZ215" s="8"/>
      <c r="BA215" s="7"/>
      <c r="BB215" s="6"/>
      <c r="BC215" s="8"/>
      <c r="BD215" s="7"/>
      <c r="BE215" s="6"/>
      <c r="BF215" s="8"/>
      <c r="BG215" s="7"/>
      <c r="BH215" s="6"/>
      <c r="BI215" s="8"/>
      <c r="BJ215" s="7"/>
      <c r="BK215" s="6"/>
      <c r="BL215" s="8"/>
      <c r="BM215" s="7"/>
      <c r="BN215" s="6"/>
      <c r="BO215" s="8"/>
      <c r="BP215" s="7"/>
      <c r="BQ215" s="6"/>
      <c r="BR215" s="8"/>
    </row>
    <row r="216">
      <c r="A216" s="6"/>
      <c r="B216" s="6" t="s">
        <v>216</v>
      </c>
      <c r="C216" s="3" t="str">
        <f t="shared" si="1"/>
        <v>_posh purple</v>
      </c>
      <c r="D216" s="3" t="str">
        <f t="shared" si="8"/>
        <v>#N/A</v>
      </c>
      <c r="E216" s="3" t="b">
        <f t="shared" si="2"/>
        <v>0</v>
      </c>
      <c r="G216" s="3" t="str">
        <f t="shared" si="3"/>
        <v>#N/A</v>
      </c>
      <c r="H216" s="3" t="b">
        <f t="shared" si="4"/>
        <v>0</v>
      </c>
      <c r="J216" s="3" t="str">
        <f t="shared" si="5"/>
        <v>#N/A</v>
      </c>
      <c r="K216" s="3" t="b">
        <f t="shared" si="6"/>
        <v>0</v>
      </c>
      <c r="M216" s="3" t="str">
        <f t="shared" si="7"/>
        <v>#N/A</v>
      </c>
      <c r="AU216" s="7"/>
      <c r="AV216" s="6"/>
      <c r="AW216" s="8"/>
      <c r="AX216" s="7"/>
      <c r="AY216" s="6"/>
      <c r="AZ216" s="8"/>
      <c r="BA216" s="7"/>
      <c r="BB216" s="6"/>
      <c r="BC216" s="8"/>
      <c r="BD216" s="7"/>
      <c r="BE216" s="6"/>
      <c r="BF216" s="8"/>
      <c r="BG216" s="7"/>
      <c r="BH216" s="6"/>
      <c r="BI216" s="8"/>
      <c r="BJ216" s="7"/>
      <c r="BK216" s="6"/>
      <c r="BL216" s="8"/>
      <c r="BM216" s="7"/>
      <c r="BN216" s="6"/>
      <c r="BO216" s="8"/>
      <c r="BP216" s="7"/>
      <c r="BQ216" s="6"/>
      <c r="BR216" s="8"/>
    </row>
    <row r="217">
      <c r="A217" s="6"/>
      <c r="B217" s="6" t="s">
        <v>217</v>
      </c>
      <c r="C217" s="3" t="str">
        <f t="shared" si="1"/>
        <v>_pale magenta</v>
      </c>
      <c r="D217" s="3" t="str">
        <f t="shared" si="8"/>
        <v>#N/A</v>
      </c>
      <c r="E217" s="3" t="b">
        <f t="shared" si="2"/>
        <v>0</v>
      </c>
      <c r="G217" s="3" t="str">
        <f t="shared" si="3"/>
        <v>#N/A</v>
      </c>
      <c r="H217" s="3" t="b">
        <f t="shared" si="4"/>
        <v>0</v>
      </c>
      <c r="J217" s="3" t="str">
        <f t="shared" si="5"/>
        <v>#N/A</v>
      </c>
      <c r="K217" s="3" t="b">
        <f t="shared" si="6"/>
        <v>0</v>
      </c>
      <c r="M217" s="3" t="str">
        <f t="shared" si="7"/>
        <v>#N/A</v>
      </c>
      <c r="AU217" s="7"/>
      <c r="AV217" s="6"/>
      <c r="AW217" s="8"/>
      <c r="AX217" s="7"/>
      <c r="AY217" s="6"/>
      <c r="AZ217" s="8"/>
      <c r="BA217" s="7"/>
      <c r="BB217" s="6"/>
      <c r="BC217" s="8"/>
      <c r="BD217" s="7"/>
      <c r="BE217" s="6"/>
      <c r="BF217" s="8"/>
      <c r="BG217" s="7"/>
      <c r="BH217" s="6"/>
      <c r="BI217" s="8"/>
      <c r="BJ217" s="7"/>
      <c r="BK217" s="6"/>
      <c r="BL217" s="8"/>
      <c r="BM217" s="7"/>
      <c r="BN217" s="6"/>
      <c r="BO217" s="8"/>
      <c r="BP217" s="7"/>
      <c r="BQ217" s="6"/>
      <c r="BR217" s="8"/>
    </row>
    <row r="218">
      <c r="A218" s="6"/>
      <c r="B218" s="6" t="s">
        <v>218</v>
      </c>
      <c r="C218" s="3" t="str">
        <f t="shared" si="1"/>
        <v>_dim plum</v>
      </c>
      <c r="D218" s="3" t="str">
        <f t="shared" si="8"/>
        <v>#N/A</v>
      </c>
      <c r="E218" s="3" t="b">
        <f t="shared" si="2"/>
        <v>0</v>
      </c>
      <c r="G218" s="3" t="str">
        <f t="shared" si="3"/>
        <v>#N/A</v>
      </c>
      <c r="H218" s="3" t="b">
        <f t="shared" si="4"/>
        <v>0</v>
      </c>
      <c r="J218" s="3" t="str">
        <f t="shared" si="5"/>
        <v>#N/A</v>
      </c>
      <c r="K218" s="3" t="b">
        <f t="shared" si="6"/>
        <v>0</v>
      </c>
      <c r="M218" s="3" t="str">
        <f t="shared" si="7"/>
        <v>#N/A</v>
      </c>
      <c r="AU218" s="7"/>
      <c r="AV218" s="6"/>
      <c r="AW218" s="8"/>
      <c r="AX218" s="7"/>
      <c r="AY218" s="6"/>
      <c r="AZ218" s="8"/>
      <c r="BA218" s="7"/>
      <c r="BB218" s="6"/>
      <c r="BC218" s="8"/>
      <c r="BD218" s="7"/>
      <c r="BE218" s="6"/>
      <c r="BF218" s="8"/>
      <c r="BG218" s="7"/>
      <c r="BH218" s="6"/>
      <c r="BI218" s="8"/>
      <c r="BJ218" s="7"/>
      <c r="BK218" s="6"/>
      <c r="BL218" s="8"/>
      <c r="BM218" s="7"/>
      <c r="BN218" s="6"/>
      <c r="BO218" s="8"/>
      <c r="BP218" s="7"/>
      <c r="BQ218" s="6"/>
      <c r="BR218" s="8"/>
    </row>
    <row r="219">
      <c r="A219" s="6"/>
      <c r="B219" s="6" t="s">
        <v>219</v>
      </c>
      <c r="C219" s="3" t="str">
        <f t="shared" si="1"/>
        <v>_plaid indigo</v>
      </c>
      <c r="D219" s="3" t="str">
        <f t="shared" si="8"/>
        <v>#N/A</v>
      </c>
      <c r="E219" s="3" t="b">
        <f t="shared" si="2"/>
        <v>0</v>
      </c>
      <c r="G219" s="3" t="str">
        <f t="shared" si="3"/>
        <v>#N/A</v>
      </c>
      <c r="H219" s="3" t="b">
        <f t="shared" si="4"/>
        <v>0</v>
      </c>
      <c r="J219" s="3" t="str">
        <f t="shared" si="5"/>
        <v>#N/A</v>
      </c>
      <c r="K219" s="3" t="b">
        <f t="shared" si="6"/>
        <v>0</v>
      </c>
      <c r="M219" s="3" t="str">
        <f t="shared" si="7"/>
        <v>#N/A</v>
      </c>
      <c r="AU219" s="7"/>
      <c r="AV219" s="6"/>
      <c r="AW219" s="8"/>
      <c r="AX219" s="7"/>
      <c r="AY219" s="6"/>
      <c r="AZ219" s="8"/>
      <c r="BA219" s="7"/>
      <c r="BB219" s="6"/>
      <c r="BC219" s="8"/>
      <c r="BD219" s="7"/>
      <c r="BE219" s="6"/>
      <c r="BF219" s="8"/>
      <c r="BG219" s="7"/>
      <c r="BH219" s="6"/>
      <c r="BI219" s="8"/>
      <c r="BJ219" s="7"/>
      <c r="BK219" s="6"/>
      <c r="BL219" s="8"/>
      <c r="BM219" s="7"/>
      <c r="BN219" s="6"/>
      <c r="BO219" s="8"/>
      <c r="BP219" s="7"/>
      <c r="BQ219" s="6"/>
      <c r="BR219" s="8"/>
    </row>
    <row r="220">
      <c r="A220" s="6"/>
      <c r="B220" s="6" t="s">
        <v>220</v>
      </c>
      <c r="C220" s="3" t="str">
        <f t="shared" si="1"/>
        <v>_dark blue</v>
      </c>
      <c r="D220" s="3" t="str">
        <f t="shared" si="8"/>
        <v>#N/A</v>
      </c>
      <c r="E220" s="3" t="b">
        <f t="shared" si="2"/>
        <v>1</v>
      </c>
      <c r="G220" s="3" t="str">
        <f t="shared" si="3"/>
        <v>#N/A</v>
      </c>
      <c r="H220" s="3" t="b">
        <f t="shared" si="4"/>
        <v>0</v>
      </c>
      <c r="J220" s="3" t="str">
        <f t="shared" si="5"/>
        <v>#N/A</v>
      </c>
      <c r="K220" s="3" t="b">
        <f t="shared" si="6"/>
        <v>0</v>
      </c>
      <c r="M220" s="3" t="str">
        <f t="shared" si="7"/>
        <v>#N/A</v>
      </c>
      <c r="AU220" s="7"/>
      <c r="AV220" s="6"/>
      <c r="AW220" s="8"/>
      <c r="AX220" s="7"/>
      <c r="AY220" s="6"/>
      <c r="AZ220" s="8"/>
      <c r="BA220" s="7"/>
      <c r="BB220" s="6"/>
      <c r="BC220" s="8"/>
      <c r="BD220" s="7"/>
      <c r="BE220" s="6"/>
      <c r="BF220" s="8"/>
      <c r="BG220" s="7"/>
      <c r="BH220" s="6"/>
      <c r="BI220" s="8"/>
      <c r="BJ220" s="7"/>
      <c r="BK220" s="6"/>
      <c r="BL220" s="8"/>
      <c r="BM220" s="7"/>
      <c r="BN220" s="6"/>
      <c r="BO220" s="8"/>
      <c r="BP220" s="7"/>
      <c r="BQ220" s="6"/>
      <c r="BR220" s="8"/>
    </row>
    <row r="221">
      <c r="A221" s="6"/>
      <c r="B221" s="6" t="s">
        <v>221</v>
      </c>
      <c r="C221" s="3" t="str">
        <f t="shared" si="1"/>
        <v>_dull red</v>
      </c>
      <c r="D221" s="3" t="str">
        <f t="shared" si="8"/>
        <v>#N/A</v>
      </c>
      <c r="E221" s="3" t="b">
        <f t="shared" si="2"/>
        <v>0</v>
      </c>
      <c r="G221" s="3" t="str">
        <f t="shared" si="3"/>
        <v>#N/A</v>
      </c>
      <c r="H221" s="3" t="b">
        <f t="shared" si="4"/>
        <v>0</v>
      </c>
      <c r="J221" s="3" t="str">
        <f t="shared" si="5"/>
        <v>#N/A</v>
      </c>
      <c r="K221" s="3" t="b">
        <f t="shared" si="6"/>
        <v>0</v>
      </c>
      <c r="M221" s="3" t="str">
        <f t="shared" si="7"/>
        <v>#N/A</v>
      </c>
      <c r="AU221" s="7"/>
      <c r="AV221" s="6"/>
      <c r="AW221" s="8"/>
      <c r="AX221" s="7"/>
      <c r="AY221" s="6"/>
      <c r="AZ221" s="8"/>
      <c r="BA221" s="7"/>
      <c r="BB221" s="6"/>
      <c r="BC221" s="8"/>
      <c r="BD221" s="7"/>
      <c r="BE221" s="6"/>
      <c r="BF221" s="8"/>
      <c r="BG221" s="7"/>
      <c r="BH221" s="6"/>
      <c r="BI221" s="8"/>
      <c r="BJ221" s="7"/>
      <c r="BK221" s="6"/>
      <c r="BL221" s="8"/>
      <c r="BM221" s="7"/>
      <c r="BN221" s="6"/>
      <c r="BO221" s="8"/>
      <c r="BP221" s="7"/>
      <c r="BQ221" s="6"/>
      <c r="BR221" s="8"/>
    </row>
    <row r="222">
      <c r="A222" s="6"/>
      <c r="B222" s="6" t="s">
        <v>222</v>
      </c>
      <c r="C222" s="3" t="str">
        <f t="shared" si="1"/>
        <v>_striped yellow</v>
      </c>
      <c r="D222" s="3" t="str">
        <f t="shared" si="8"/>
        <v>#N/A</v>
      </c>
      <c r="E222" s="3" t="b">
        <f t="shared" si="2"/>
        <v>0</v>
      </c>
      <c r="G222" s="3" t="str">
        <f t="shared" si="3"/>
        <v>#N/A</v>
      </c>
      <c r="H222" s="3" t="b">
        <f t="shared" si="4"/>
        <v>0</v>
      </c>
      <c r="J222" s="3" t="str">
        <f t="shared" si="5"/>
        <v>#N/A</v>
      </c>
      <c r="K222" s="3" t="b">
        <f t="shared" si="6"/>
        <v>0</v>
      </c>
      <c r="M222" s="3" t="str">
        <f t="shared" si="7"/>
        <v>#N/A</v>
      </c>
      <c r="AU222" s="7"/>
      <c r="AV222" s="6"/>
      <c r="AW222" s="8"/>
      <c r="AX222" s="7"/>
      <c r="AY222" s="6"/>
      <c r="AZ222" s="8"/>
      <c r="BA222" s="7"/>
      <c r="BB222" s="6"/>
      <c r="BC222" s="8"/>
      <c r="BD222" s="7"/>
      <c r="BE222" s="6"/>
      <c r="BF222" s="8"/>
      <c r="BG222" s="7"/>
      <c r="BH222" s="6"/>
      <c r="BI222" s="8"/>
      <c r="BJ222" s="7"/>
      <c r="BK222" s="6"/>
      <c r="BL222" s="8"/>
      <c r="BM222" s="7"/>
      <c r="BN222" s="6"/>
      <c r="BO222" s="8"/>
      <c r="BP222" s="7"/>
      <c r="BQ222" s="6"/>
      <c r="BR222" s="8"/>
    </row>
    <row r="223">
      <c r="A223" s="6"/>
      <c r="B223" s="6" t="s">
        <v>223</v>
      </c>
      <c r="C223" s="3" t="str">
        <f t="shared" si="1"/>
        <v>_vibrant magenta</v>
      </c>
      <c r="D223" s="3" t="str">
        <f t="shared" si="8"/>
        <v>#N/A</v>
      </c>
      <c r="E223" s="3" t="b">
        <f t="shared" si="2"/>
        <v>0</v>
      </c>
      <c r="G223" s="3" t="str">
        <f t="shared" si="3"/>
        <v>#N/A</v>
      </c>
      <c r="H223" s="3" t="b">
        <f t="shared" si="4"/>
        <v>0</v>
      </c>
      <c r="J223" s="3" t="str">
        <f t="shared" si="5"/>
        <v>#N/A</v>
      </c>
      <c r="K223" s="3" t="b">
        <f t="shared" si="6"/>
        <v>0</v>
      </c>
      <c r="M223" s="3" t="str">
        <f t="shared" si="7"/>
        <v>#N/A</v>
      </c>
      <c r="AU223" s="7"/>
      <c r="AV223" s="6"/>
      <c r="AW223" s="8"/>
      <c r="AX223" s="7"/>
      <c r="AY223" s="6"/>
      <c r="AZ223" s="8"/>
      <c r="BA223" s="7"/>
      <c r="BB223" s="6"/>
      <c r="BC223" s="8"/>
      <c r="BD223" s="7"/>
      <c r="BE223" s="6"/>
      <c r="BF223" s="8"/>
      <c r="BG223" s="7"/>
      <c r="BH223" s="6"/>
      <c r="BI223" s="8"/>
      <c r="BJ223" s="7"/>
      <c r="BK223" s="6"/>
      <c r="BL223" s="8"/>
      <c r="BM223" s="7"/>
      <c r="BN223" s="6"/>
      <c r="BO223" s="8"/>
      <c r="BP223" s="7"/>
      <c r="BQ223" s="6"/>
      <c r="BR223" s="8"/>
    </row>
    <row r="224">
      <c r="A224" s="6"/>
      <c r="B224" s="6" t="s">
        <v>224</v>
      </c>
      <c r="C224" s="3" t="str">
        <f t="shared" si="1"/>
        <v>_plaid red</v>
      </c>
      <c r="D224" s="3" t="str">
        <f t="shared" si="8"/>
        <v>#N/A</v>
      </c>
      <c r="E224" s="3" t="b">
        <f t="shared" si="2"/>
        <v>0</v>
      </c>
      <c r="G224" s="3" t="str">
        <f t="shared" si="3"/>
        <v>#N/A</v>
      </c>
      <c r="H224" s="3" t="b">
        <f t="shared" si="4"/>
        <v>0</v>
      </c>
      <c r="J224" s="3" t="str">
        <f t="shared" si="5"/>
        <v>#N/A</v>
      </c>
      <c r="K224" s="3" t="b">
        <f t="shared" si="6"/>
        <v>0</v>
      </c>
      <c r="M224" s="3" t="str">
        <f t="shared" si="7"/>
        <v>#N/A</v>
      </c>
      <c r="AU224" s="7"/>
      <c r="AV224" s="6"/>
      <c r="AW224" s="8"/>
      <c r="AX224" s="7"/>
      <c r="AY224" s="6"/>
      <c r="AZ224" s="8"/>
      <c r="BA224" s="7"/>
      <c r="BB224" s="6"/>
      <c r="BC224" s="8"/>
      <c r="BD224" s="7"/>
      <c r="BE224" s="6"/>
      <c r="BF224" s="8"/>
      <c r="BG224" s="7"/>
      <c r="BH224" s="6"/>
      <c r="BI224" s="8"/>
      <c r="BJ224" s="7"/>
      <c r="BK224" s="6"/>
      <c r="BL224" s="8"/>
      <c r="BM224" s="7"/>
      <c r="BN224" s="6"/>
      <c r="BO224" s="8"/>
      <c r="BP224" s="7"/>
      <c r="BQ224" s="6"/>
      <c r="BR224" s="8"/>
    </row>
    <row r="225">
      <c r="A225" s="6"/>
      <c r="B225" s="6" t="s">
        <v>225</v>
      </c>
      <c r="C225" s="3" t="str">
        <f t="shared" si="1"/>
        <v>_wavy orange</v>
      </c>
      <c r="D225" s="3" t="str">
        <f t="shared" si="8"/>
        <v>#N/A</v>
      </c>
      <c r="E225" s="3" t="b">
        <f t="shared" si="2"/>
        <v>0</v>
      </c>
      <c r="G225" s="3" t="str">
        <f t="shared" si="3"/>
        <v>#N/A</v>
      </c>
      <c r="H225" s="3" t="b">
        <f t="shared" si="4"/>
        <v>0</v>
      </c>
      <c r="J225" s="3" t="str">
        <f t="shared" si="5"/>
        <v>#N/A</v>
      </c>
      <c r="K225" s="3" t="b">
        <f t="shared" si="6"/>
        <v>0</v>
      </c>
      <c r="M225" s="3" t="str">
        <f t="shared" si="7"/>
        <v>#N/A</v>
      </c>
      <c r="AU225" s="7"/>
      <c r="AV225" s="6"/>
      <c r="AW225" s="8"/>
      <c r="AX225" s="7"/>
      <c r="AY225" s="6"/>
      <c r="AZ225" s="8"/>
      <c r="BA225" s="7"/>
      <c r="BB225" s="6"/>
      <c r="BC225" s="8"/>
      <c r="BD225" s="7"/>
      <c r="BE225" s="6"/>
      <c r="BF225" s="8"/>
      <c r="BG225" s="7"/>
      <c r="BH225" s="6"/>
      <c r="BI225" s="8"/>
      <c r="BJ225" s="7"/>
      <c r="BK225" s="6"/>
      <c r="BL225" s="8"/>
      <c r="BM225" s="7"/>
      <c r="BN225" s="6"/>
      <c r="BO225" s="8"/>
      <c r="BP225" s="7"/>
      <c r="BQ225" s="6"/>
      <c r="BR225" s="8"/>
    </row>
    <row r="226">
      <c r="A226" s="6"/>
      <c r="B226" s="6" t="s">
        <v>226</v>
      </c>
      <c r="C226" s="3" t="str">
        <f t="shared" si="1"/>
        <v>_pale green</v>
      </c>
      <c r="D226" s="3" t="str">
        <f t="shared" si="8"/>
        <v>#N/A</v>
      </c>
      <c r="E226" s="3" t="b">
        <f t="shared" si="2"/>
        <v>0</v>
      </c>
      <c r="G226" s="3" t="str">
        <f t="shared" si="3"/>
        <v>#N/A</v>
      </c>
      <c r="H226" s="3" t="b">
        <f t="shared" si="4"/>
        <v>0</v>
      </c>
      <c r="J226" s="3" t="str">
        <f t="shared" si="5"/>
        <v>#N/A</v>
      </c>
      <c r="K226" s="3" t="b">
        <f t="shared" si="6"/>
        <v>0</v>
      </c>
      <c r="M226" s="3" t="str">
        <f t="shared" si="7"/>
        <v>#N/A</v>
      </c>
      <c r="AU226" s="7"/>
      <c r="AV226" s="6"/>
      <c r="AW226" s="8"/>
      <c r="AX226" s="7"/>
      <c r="AY226" s="6"/>
      <c r="AZ226" s="8"/>
      <c r="BA226" s="7"/>
      <c r="BB226" s="6"/>
      <c r="BC226" s="8"/>
      <c r="BD226" s="7"/>
      <c r="BE226" s="6"/>
      <c r="BF226" s="8"/>
      <c r="BG226" s="7"/>
      <c r="BH226" s="6"/>
      <c r="BI226" s="8"/>
      <c r="BJ226" s="7"/>
      <c r="BK226" s="6"/>
      <c r="BL226" s="8"/>
      <c r="BM226" s="7"/>
      <c r="BN226" s="6"/>
      <c r="BO226" s="8"/>
      <c r="BP226" s="7"/>
      <c r="BQ226" s="6"/>
      <c r="BR226" s="8"/>
    </row>
    <row r="227">
      <c r="A227" s="6"/>
      <c r="B227" s="6" t="s">
        <v>227</v>
      </c>
      <c r="C227" s="3" t="str">
        <f t="shared" si="1"/>
        <v>_dotted chartreuse</v>
      </c>
      <c r="D227" s="3" t="str">
        <f t="shared" si="8"/>
        <v>#N/A</v>
      </c>
      <c r="E227" s="3" t="b">
        <f t="shared" si="2"/>
        <v>0</v>
      </c>
      <c r="G227" s="3" t="str">
        <f t="shared" si="3"/>
        <v>#N/A</v>
      </c>
      <c r="H227" s="3" t="b">
        <f t="shared" si="4"/>
        <v>0</v>
      </c>
      <c r="J227" s="3" t="str">
        <f t="shared" si="5"/>
        <v>#N/A</v>
      </c>
      <c r="K227" s="3" t="b">
        <f t="shared" si="6"/>
        <v>0</v>
      </c>
      <c r="M227" s="3" t="str">
        <f t="shared" si="7"/>
        <v>#N/A</v>
      </c>
      <c r="AU227" s="7"/>
      <c r="AV227" s="6"/>
      <c r="AW227" s="8"/>
      <c r="AX227" s="7"/>
      <c r="AY227" s="6"/>
      <c r="AZ227" s="8"/>
      <c r="BA227" s="7"/>
      <c r="BB227" s="6"/>
      <c r="BC227" s="8"/>
      <c r="BD227" s="7"/>
      <c r="BE227" s="6"/>
      <c r="BF227" s="8"/>
      <c r="BG227" s="7"/>
      <c r="BH227" s="6"/>
      <c r="BI227" s="8"/>
      <c r="BJ227" s="7"/>
      <c r="BK227" s="6"/>
      <c r="BL227" s="8"/>
      <c r="BM227" s="7"/>
      <c r="BN227" s="6"/>
      <c r="BO227" s="8"/>
      <c r="BP227" s="7"/>
      <c r="BQ227" s="6"/>
      <c r="BR227" s="8"/>
    </row>
    <row r="228">
      <c r="A228" s="6"/>
      <c r="B228" s="6" t="s">
        <v>228</v>
      </c>
      <c r="C228" s="3" t="str">
        <f t="shared" si="1"/>
        <v>_light turquoise</v>
      </c>
      <c r="D228" s="3" t="str">
        <f t="shared" si="8"/>
        <v>#N/A</v>
      </c>
      <c r="E228" s="3" t="b">
        <f t="shared" si="2"/>
        <v>0</v>
      </c>
      <c r="G228" s="3" t="str">
        <f t="shared" si="3"/>
        <v>#N/A</v>
      </c>
      <c r="H228" s="3" t="b">
        <f t="shared" si="4"/>
        <v>0</v>
      </c>
      <c r="J228" s="3" t="str">
        <f t="shared" si="5"/>
        <v>#N/A</v>
      </c>
      <c r="K228" s="3" t="b">
        <f t="shared" si="6"/>
        <v>0</v>
      </c>
      <c r="M228" s="3" t="str">
        <f t="shared" si="7"/>
        <v>#N/A</v>
      </c>
      <c r="AU228" s="7"/>
      <c r="AV228" s="6"/>
      <c r="AW228" s="8"/>
      <c r="AX228" s="7"/>
      <c r="AY228" s="6"/>
      <c r="AZ228" s="8"/>
      <c r="BA228" s="7"/>
      <c r="BB228" s="6"/>
      <c r="BC228" s="8"/>
      <c r="BD228" s="7"/>
      <c r="BE228" s="6"/>
      <c r="BF228" s="8"/>
      <c r="BG228" s="7"/>
      <c r="BH228" s="6"/>
      <c r="BI228" s="8"/>
      <c r="BJ228" s="7"/>
      <c r="BK228" s="6"/>
      <c r="BL228" s="8"/>
      <c r="BM228" s="7"/>
      <c r="BN228" s="6"/>
      <c r="BO228" s="8"/>
      <c r="BP228" s="7"/>
      <c r="BQ228" s="6"/>
      <c r="BR228" s="8"/>
    </row>
    <row r="229">
      <c r="A229" s="6"/>
      <c r="B229" s="6" t="s">
        <v>229</v>
      </c>
      <c r="C229" s="3" t="str">
        <f t="shared" si="1"/>
        <v>_shiny violet</v>
      </c>
      <c r="D229" s="3" t="str">
        <f t="shared" si="8"/>
        <v>#N/A</v>
      </c>
      <c r="E229" s="3" t="b">
        <f t="shared" si="2"/>
        <v>0</v>
      </c>
      <c r="G229" s="3" t="str">
        <f t="shared" si="3"/>
        <v>#N/A</v>
      </c>
      <c r="H229" s="3" t="b">
        <f t="shared" si="4"/>
        <v>0</v>
      </c>
      <c r="J229" s="3" t="str">
        <f t="shared" si="5"/>
        <v>#N/A</v>
      </c>
      <c r="K229" s="3" t="b">
        <f t="shared" si="6"/>
        <v>0</v>
      </c>
      <c r="M229" s="3" t="str">
        <f t="shared" si="7"/>
        <v>#N/A</v>
      </c>
      <c r="AU229" s="7"/>
      <c r="AV229" s="6"/>
      <c r="AW229" s="8"/>
      <c r="AX229" s="7"/>
      <c r="AY229" s="6"/>
      <c r="AZ229" s="8"/>
      <c r="BA229" s="7"/>
      <c r="BB229" s="6"/>
      <c r="BC229" s="8"/>
      <c r="BD229" s="7"/>
      <c r="BE229" s="6"/>
      <c r="BF229" s="8"/>
      <c r="BG229" s="7"/>
      <c r="BH229" s="6"/>
      <c r="BI229" s="8"/>
      <c r="BJ229" s="7"/>
      <c r="BK229" s="6"/>
      <c r="BL229" s="8"/>
      <c r="BM229" s="7"/>
      <c r="BN229" s="6"/>
      <c r="BO229" s="8"/>
      <c r="BP229" s="7"/>
      <c r="BQ229" s="6"/>
      <c r="BR229" s="8"/>
    </row>
    <row r="230">
      <c r="A230" s="6"/>
      <c r="B230" s="6" t="s">
        <v>230</v>
      </c>
      <c r="C230" s="3" t="str">
        <f t="shared" si="1"/>
        <v>_light white</v>
      </c>
      <c r="D230" s="3" t="str">
        <f t="shared" si="8"/>
        <v>#N/A</v>
      </c>
      <c r="E230" s="3" t="b">
        <f t="shared" si="2"/>
        <v>0</v>
      </c>
      <c r="G230" s="3" t="str">
        <f t="shared" si="3"/>
        <v>#N/A</v>
      </c>
      <c r="H230" s="3" t="b">
        <f t="shared" si="4"/>
        <v>0</v>
      </c>
      <c r="J230" s="3" t="str">
        <f t="shared" si="5"/>
        <v>#N/A</v>
      </c>
      <c r="K230" s="3" t="b">
        <f t="shared" si="6"/>
        <v>0</v>
      </c>
      <c r="M230" s="3" t="str">
        <f t="shared" si="7"/>
        <v>#N/A</v>
      </c>
      <c r="AU230" s="7"/>
      <c r="AV230" s="6"/>
      <c r="AW230" s="8"/>
      <c r="AX230" s="7"/>
      <c r="AY230" s="6"/>
      <c r="AZ230" s="8"/>
      <c r="BA230" s="7"/>
      <c r="BB230" s="6"/>
      <c r="BC230" s="8"/>
      <c r="BD230" s="7"/>
      <c r="BE230" s="6"/>
      <c r="BF230" s="8"/>
      <c r="BG230" s="7"/>
      <c r="BH230" s="6"/>
      <c r="BI230" s="8"/>
      <c r="BJ230" s="7"/>
      <c r="BK230" s="6"/>
      <c r="BL230" s="8"/>
      <c r="BM230" s="7"/>
      <c r="BN230" s="6"/>
      <c r="BO230" s="8"/>
      <c r="BP230" s="7"/>
      <c r="BQ230" s="6"/>
      <c r="BR230" s="8"/>
    </row>
    <row r="231">
      <c r="A231" s="6"/>
      <c r="B231" s="6" t="s">
        <v>231</v>
      </c>
      <c r="C231" s="3" t="str">
        <f t="shared" si="1"/>
        <v>_muted beige</v>
      </c>
      <c r="D231" s="3" t="str">
        <f t="shared" si="8"/>
        <v>#N/A</v>
      </c>
      <c r="E231" s="3" t="b">
        <f t="shared" si="2"/>
        <v>0</v>
      </c>
      <c r="G231" s="3" t="str">
        <f t="shared" si="3"/>
        <v>#N/A</v>
      </c>
      <c r="H231" s="3" t="b">
        <f t="shared" si="4"/>
        <v>0</v>
      </c>
      <c r="J231" s="3" t="str">
        <f t="shared" si="5"/>
        <v>#N/A</v>
      </c>
      <c r="K231" s="3" t="b">
        <f t="shared" si="6"/>
        <v>0</v>
      </c>
      <c r="M231" s="3" t="str">
        <f t="shared" si="7"/>
        <v>#N/A</v>
      </c>
      <c r="AU231" s="7"/>
      <c r="AV231" s="6"/>
      <c r="AW231" s="8"/>
      <c r="AX231" s="7"/>
      <c r="AY231" s="6"/>
      <c r="AZ231" s="8"/>
      <c r="BA231" s="7"/>
      <c r="BB231" s="6"/>
      <c r="BC231" s="8"/>
      <c r="BD231" s="7"/>
      <c r="BE231" s="6"/>
      <c r="BF231" s="8"/>
      <c r="BG231" s="7"/>
      <c r="BH231" s="6"/>
      <c r="BI231" s="8"/>
      <c r="BJ231" s="7"/>
      <c r="BK231" s="6"/>
      <c r="BL231" s="8"/>
      <c r="BM231" s="7"/>
      <c r="BN231" s="6"/>
      <c r="BO231" s="8"/>
      <c r="BP231" s="7"/>
      <c r="BQ231" s="6"/>
      <c r="BR231" s="8"/>
    </row>
    <row r="232">
      <c r="A232" s="6"/>
      <c r="B232" s="6" t="s">
        <v>232</v>
      </c>
      <c r="C232" s="3" t="str">
        <f t="shared" si="1"/>
        <v>_faded silver</v>
      </c>
      <c r="D232" s="3" t="str">
        <f t="shared" si="8"/>
        <v>#N/A</v>
      </c>
      <c r="E232" s="3" t="b">
        <f t="shared" si="2"/>
        <v>0</v>
      </c>
      <c r="G232" s="3" t="str">
        <f t="shared" si="3"/>
        <v>#N/A</v>
      </c>
      <c r="H232" s="3" t="b">
        <f t="shared" si="4"/>
        <v>0</v>
      </c>
      <c r="J232" s="3" t="str">
        <f t="shared" si="5"/>
        <v>#N/A</v>
      </c>
      <c r="K232" s="3" t="b">
        <f t="shared" si="6"/>
        <v>0</v>
      </c>
      <c r="M232" s="3" t="str">
        <f t="shared" si="7"/>
        <v>#N/A</v>
      </c>
      <c r="AU232" s="7"/>
      <c r="AV232" s="6"/>
      <c r="AW232" s="8"/>
      <c r="AX232" s="7"/>
      <c r="AY232" s="6"/>
      <c r="AZ232" s="8"/>
      <c r="BA232" s="7"/>
      <c r="BB232" s="6"/>
      <c r="BC232" s="8"/>
      <c r="BD232" s="7"/>
      <c r="BE232" s="6"/>
      <c r="BF232" s="8"/>
      <c r="BG232" s="7"/>
      <c r="BH232" s="6"/>
      <c r="BI232" s="8"/>
      <c r="BJ232" s="7"/>
      <c r="BK232" s="6"/>
      <c r="BL232" s="8"/>
      <c r="BM232" s="7"/>
      <c r="BN232" s="6"/>
      <c r="BO232" s="8"/>
      <c r="BP232" s="7"/>
      <c r="BQ232" s="6"/>
      <c r="BR232" s="8"/>
    </row>
    <row r="233">
      <c r="A233" s="6"/>
      <c r="B233" s="6" t="s">
        <v>233</v>
      </c>
      <c r="C233" s="3" t="str">
        <f t="shared" si="1"/>
        <v>_faded red</v>
      </c>
      <c r="D233" s="3" t="str">
        <f t="shared" si="8"/>
        <v>#N/A</v>
      </c>
      <c r="E233" s="3" t="b">
        <f t="shared" si="2"/>
        <v>0</v>
      </c>
      <c r="G233" s="3" t="str">
        <f t="shared" si="3"/>
        <v>#N/A</v>
      </c>
      <c r="H233" s="3" t="b">
        <f t="shared" si="4"/>
        <v>0</v>
      </c>
      <c r="J233" s="3" t="str">
        <f t="shared" si="5"/>
        <v>#N/A</v>
      </c>
      <c r="K233" s="3" t="b">
        <f t="shared" si="6"/>
        <v>0</v>
      </c>
      <c r="M233" s="3" t="str">
        <f t="shared" si="7"/>
        <v>#N/A</v>
      </c>
      <c r="AU233" s="7"/>
      <c r="AV233" s="6"/>
      <c r="AW233" s="8"/>
      <c r="AX233" s="7"/>
      <c r="AY233" s="6"/>
      <c r="AZ233" s="8"/>
      <c r="BA233" s="7"/>
      <c r="BB233" s="6"/>
      <c r="BC233" s="8"/>
      <c r="BD233" s="7"/>
      <c r="BE233" s="6"/>
      <c r="BF233" s="8"/>
      <c r="BG233" s="7"/>
      <c r="BH233" s="6"/>
      <c r="BI233" s="8"/>
      <c r="BJ233" s="7"/>
      <c r="BK233" s="6"/>
      <c r="BL233" s="8"/>
      <c r="BM233" s="7"/>
      <c r="BN233" s="6"/>
      <c r="BO233" s="8"/>
      <c r="BP233" s="7"/>
      <c r="BQ233" s="6"/>
      <c r="BR233" s="8"/>
    </row>
    <row r="234">
      <c r="A234" s="6"/>
      <c r="B234" s="6" t="s">
        <v>234</v>
      </c>
      <c r="C234" s="3" t="str">
        <f t="shared" si="1"/>
        <v>_shiny bronze</v>
      </c>
      <c r="D234" s="3" t="str">
        <f t="shared" si="8"/>
        <v>#N/A</v>
      </c>
      <c r="E234" s="3" t="b">
        <f t="shared" si="2"/>
        <v>0</v>
      </c>
      <c r="G234" s="3" t="str">
        <f t="shared" si="3"/>
        <v>#N/A</v>
      </c>
      <c r="H234" s="3" t="b">
        <f t="shared" si="4"/>
        <v>0</v>
      </c>
      <c r="J234" s="3" t="str">
        <f t="shared" si="5"/>
        <v>#N/A</v>
      </c>
      <c r="K234" s="3" t="b">
        <f t="shared" si="6"/>
        <v>0</v>
      </c>
      <c r="M234" s="3" t="str">
        <f t="shared" si="7"/>
        <v>#N/A</v>
      </c>
      <c r="AU234" s="7"/>
      <c r="AV234" s="6"/>
      <c r="AW234" s="8"/>
      <c r="AX234" s="7"/>
      <c r="AY234" s="6"/>
      <c r="AZ234" s="8"/>
      <c r="BA234" s="7"/>
      <c r="BB234" s="6"/>
      <c r="BC234" s="8"/>
      <c r="BD234" s="7"/>
      <c r="BE234" s="6"/>
      <c r="BF234" s="8"/>
      <c r="BG234" s="7"/>
      <c r="BH234" s="6"/>
      <c r="BI234" s="8"/>
      <c r="BJ234" s="7"/>
      <c r="BK234" s="6"/>
      <c r="BL234" s="8"/>
      <c r="BM234" s="7"/>
      <c r="BN234" s="6"/>
      <c r="BO234" s="8"/>
      <c r="BP234" s="7"/>
      <c r="BQ234" s="6"/>
      <c r="BR234" s="8"/>
    </row>
    <row r="235">
      <c r="A235" s="6"/>
      <c r="B235" s="6" t="s">
        <v>235</v>
      </c>
      <c r="C235" s="3" t="str">
        <f t="shared" si="1"/>
        <v>_dull gold</v>
      </c>
      <c r="D235" s="3" t="str">
        <f t="shared" si="8"/>
        <v>#N/A</v>
      </c>
      <c r="E235" s="3" t="b">
        <f t="shared" si="2"/>
        <v>0</v>
      </c>
      <c r="G235" s="3" t="str">
        <f t="shared" si="3"/>
        <v>#N/A</v>
      </c>
      <c r="H235" s="3" t="b">
        <f t="shared" si="4"/>
        <v>0</v>
      </c>
      <c r="J235" s="3" t="str">
        <f t="shared" si="5"/>
        <v>#N/A</v>
      </c>
      <c r="K235" s="3" t="b">
        <f t="shared" si="6"/>
        <v>0</v>
      </c>
      <c r="M235" s="3" t="str">
        <f t="shared" si="7"/>
        <v>#N/A</v>
      </c>
      <c r="AU235" s="7"/>
      <c r="AV235" s="6"/>
      <c r="AW235" s="8"/>
      <c r="AX235" s="7"/>
      <c r="AY235" s="6"/>
      <c r="AZ235" s="8"/>
      <c r="BA235" s="7"/>
      <c r="BB235" s="6"/>
      <c r="BC235" s="8"/>
      <c r="BD235" s="7"/>
      <c r="BE235" s="6"/>
      <c r="BF235" s="8"/>
      <c r="BG235" s="7"/>
      <c r="BH235" s="6"/>
      <c r="BI235" s="8"/>
      <c r="BJ235" s="7"/>
      <c r="BK235" s="6"/>
      <c r="BL235" s="8"/>
      <c r="BM235" s="7"/>
      <c r="BN235" s="6"/>
      <c r="BO235" s="8"/>
      <c r="BP235" s="7"/>
      <c r="BQ235" s="6"/>
      <c r="BR235" s="8"/>
    </row>
    <row r="236">
      <c r="A236" s="6"/>
      <c r="B236" s="6" t="s">
        <v>236</v>
      </c>
      <c r="C236" s="3" t="str">
        <f t="shared" si="1"/>
        <v>_muted olive</v>
      </c>
      <c r="D236" s="3" t="str">
        <f t="shared" si="8"/>
        <v>#N/A</v>
      </c>
      <c r="E236" s="3" t="b">
        <f t="shared" si="2"/>
        <v>0</v>
      </c>
      <c r="G236" s="3" t="str">
        <f t="shared" si="3"/>
        <v>#N/A</v>
      </c>
      <c r="H236" s="3" t="b">
        <f t="shared" si="4"/>
        <v>0</v>
      </c>
      <c r="J236" s="3" t="str">
        <f t="shared" si="5"/>
        <v>#N/A</v>
      </c>
      <c r="K236" s="3" t="b">
        <f t="shared" si="6"/>
        <v>0</v>
      </c>
      <c r="M236" s="3" t="str">
        <f t="shared" si="7"/>
        <v>#N/A</v>
      </c>
      <c r="AU236" s="7"/>
      <c r="AV236" s="6"/>
      <c r="AW236" s="8"/>
      <c r="AX236" s="7"/>
      <c r="AY236" s="6"/>
      <c r="AZ236" s="8"/>
      <c r="BA236" s="7"/>
      <c r="BB236" s="6"/>
      <c r="BC236" s="8"/>
      <c r="BD236" s="7"/>
      <c r="BE236" s="6"/>
      <c r="BF236" s="8"/>
      <c r="BG236" s="7"/>
      <c r="BH236" s="6"/>
      <c r="BI236" s="8"/>
      <c r="BJ236" s="7"/>
      <c r="BK236" s="6"/>
      <c r="BL236" s="8"/>
      <c r="BM236" s="7"/>
      <c r="BN236" s="6"/>
      <c r="BO236" s="8"/>
      <c r="BP236" s="7"/>
      <c r="BQ236" s="6"/>
      <c r="BR236" s="8"/>
    </row>
    <row r="237">
      <c r="A237" s="6"/>
      <c r="B237" s="6" t="s">
        <v>237</v>
      </c>
      <c r="C237" s="3" t="str">
        <f t="shared" si="1"/>
        <v>_dotted bronze</v>
      </c>
      <c r="D237" s="3" t="str">
        <f t="shared" si="8"/>
        <v>#N/A</v>
      </c>
      <c r="E237" s="3" t="b">
        <f t="shared" si="2"/>
        <v>0</v>
      </c>
      <c r="G237" s="3" t="str">
        <f t="shared" si="3"/>
        <v>#N/A</v>
      </c>
      <c r="H237" s="3" t="b">
        <f t="shared" si="4"/>
        <v>0</v>
      </c>
      <c r="J237" s="3" t="str">
        <f t="shared" si="5"/>
        <v>#N/A</v>
      </c>
      <c r="K237" s="3" t="b">
        <f t="shared" si="6"/>
        <v>0</v>
      </c>
      <c r="M237" s="3" t="str">
        <f t="shared" si="7"/>
        <v>#N/A</v>
      </c>
      <c r="AU237" s="7"/>
      <c r="AV237" s="6"/>
      <c r="AW237" s="8"/>
      <c r="AX237" s="7"/>
      <c r="AY237" s="6"/>
      <c r="AZ237" s="8"/>
      <c r="BA237" s="7"/>
      <c r="BB237" s="6"/>
      <c r="BC237" s="8"/>
      <c r="BD237" s="7"/>
      <c r="BE237" s="6"/>
      <c r="BF237" s="8"/>
      <c r="BG237" s="7"/>
      <c r="BH237" s="6"/>
      <c r="BI237" s="8"/>
      <c r="BJ237" s="7"/>
      <c r="BK237" s="6"/>
      <c r="BL237" s="8"/>
      <c r="BM237" s="7"/>
      <c r="BN237" s="6"/>
      <c r="BO237" s="8"/>
      <c r="BP237" s="7"/>
      <c r="BQ237" s="6"/>
      <c r="BR237" s="8"/>
    </row>
    <row r="238">
      <c r="A238" s="6"/>
      <c r="B238" s="6" t="s">
        <v>238</v>
      </c>
      <c r="C238" s="3" t="str">
        <f t="shared" si="1"/>
        <v>_shiny orange</v>
      </c>
      <c r="D238" s="3" t="str">
        <f t="shared" si="8"/>
        <v>#N/A</v>
      </c>
      <c r="E238" s="3" t="b">
        <f t="shared" si="2"/>
        <v>0</v>
      </c>
      <c r="G238" s="3" t="str">
        <f t="shared" si="3"/>
        <v>#N/A</v>
      </c>
      <c r="H238" s="3" t="b">
        <f t="shared" si="4"/>
        <v>0</v>
      </c>
      <c r="J238" s="3" t="str">
        <f t="shared" si="5"/>
        <v>#N/A</v>
      </c>
      <c r="K238" s="3" t="b">
        <f t="shared" si="6"/>
        <v>0</v>
      </c>
      <c r="M238" s="3" t="str">
        <f t="shared" si="7"/>
        <v>#N/A</v>
      </c>
      <c r="AU238" s="7"/>
      <c r="AV238" s="6"/>
      <c r="AW238" s="8"/>
      <c r="AX238" s="7"/>
      <c r="AY238" s="6"/>
      <c r="AZ238" s="8"/>
      <c r="BA238" s="7"/>
      <c r="BB238" s="6"/>
      <c r="BC238" s="8"/>
      <c r="BD238" s="7"/>
      <c r="BE238" s="6"/>
      <c r="BF238" s="8"/>
      <c r="BG238" s="7"/>
      <c r="BH238" s="6"/>
      <c r="BI238" s="8"/>
      <c r="BJ238" s="7"/>
      <c r="BK238" s="6"/>
      <c r="BL238" s="8"/>
      <c r="BM238" s="7"/>
      <c r="BN238" s="6"/>
      <c r="BO238" s="8"/>
      <c r="BP238" s="7"/>
      <c r="BQ238" s="6"/>
      <c r="BR238" s="8"/>
    </row>
    <row r="239">
      <c r="A239" s="6"/>
      <c r="B239" s="6" t="s">
        <v>239</v>
      </c>
      <c r="C239" s="3" t="str">
        <f t="shared" si="1"/>
        <v>_wavy salmon</v>
      </c>
      <c r="D239" s="3" t="str">
        <f t="shared" si="8"/>
        <v>#N/A</v>
      </c>
      <c r="E239" s="3" t="b">
        <f t="shared" si="2"/>
        <v>0</v>
      </c>
      <c r="G239" s="3" t="str">
        <f t="shared" si="3"/>
        <v>#N/A</v>
      </c>
      <c r="H239" s="3" t="b">
        <f t="shared" si="4"/>
        <v>0</v>
      </c>
      <c r="J239" s="3" t="str">
        <f t="shared" si="5"/>
        <v>#N/A</v>
      </c>
      <c r="K239" s="3" t="b">
        <f t="shared" si="6"/>
        <v>0</v>
      </c>
      <c r="M239" s="3" t="str">
        <f t="shared" si="7"/>
        <v>#N/A</v>
      </c>
      <c r="AU239" s="7"/>
      <c r="AV239" s="6"/>
      <c r="AW239" s="8"/>
      <c r="AX239" s="7"/>
      <c r="AY239" s="6"/>
      <c r="AZ239" s="8"/>
      <c r="BA239" s="7"/>
      <c r="BB239" s="6"/>
      <c r="BC239" s="8"/>
      <c r="BD239" s="7"/>
      <c r="BE239" s="6"/>
      <c r="BF239" s="8"/>
      <c r="BG239" s="7"/>
      <c r="BH239" s="6"/>
      <c r="BI239" s="8"/>
      <c r="BJ239" s="7"/>
      <c r="BK239" s="6"/>
      <c r="BL239" s="8"/>
      <c r="BM239" s="7"/>
      <c r="BN239" s="6"/>
      <c r="BO239" s="8"/>
      <c r="BP239" s="7"/>
      <c r="BQ239" s="6"/>
      <c r="BR239" s="8"/>
    </row>
    <row r="240">
      <c r="A240" s="6"/>
      <c r="B240" s="6" t="s">
        <v>240</v>
      </c>
      <c r="C240" s="3" t="str">
        <f t="shared" si="1"/>
        <v>_wavy crimson</v>
      </c>
      <c r="D240" s="3" t="str">
        <f t="shared" si="8"/>
        <v>#N/A</v>
      </c>
      <c r="E240" s="3" t="b">
        <f t="shared" si="2"/>
        <v>0</v>
      </c>
      <c r="G240" s="3" t="str">
        <f t="shared" si="3"/>
        <v>#N/A</v>
      </c>
      <c r="H240" s="3" t="b">
        <f t="shared" si="4"/>
        <v>0</v>
      </c>
      <c r="J240" s="3" t="str">
        <f t="shared" si="5"/>
        <v>#N/A</v>
      </c>
      <c r="K240" s="3" t="b">
        <f t="shared" si="6"/>
        <v>0</v>
      </c>
      <c r="M240" s="3" t="str">
        <f t="shared" si="7"/>
        <v>#N/A</v>
      </c>
      <c r="AU240" s="7"/>
      <c r="AV240" s="6"/>
      <c r="AW240" s="8"/>
      <c r="AX240" s="7"/>
      <c r="AY240" s="6"/>
      <c r="AZ240" s="8"/>
      <c r="BA240" s="7"/>
      <c r="BB240" s="6"/>
      <c r="BC240" s="8"/>
      <c r="BD240" s="7"/>
      <c r="BE240" s="6"/>
      <c r="BF240" s="8"/>
      <c r="BG240" s="7"/>
      <c r="BH240" s="6"/>
      <c r="BI240" s="8"/>
      <c r="BJ240" s="7"/>
      <c r="BK240" s="6"/>
      <c r="BL240" s="8"/>
      <c r="BM240" s="7"/>
      <c r="BN240" s="6"/>
      <c r="BO240" s="8"/>
      <c r="BP240" s="7"/>
      <c r="BQ240" s="6"/>
      <c r="BR240" s="8"/>
    </row>
    <row r="241">
      <c r="A241" s="6"/>
      <c r="B241" s="6" t="s">
        <v>241</v>
      </c>
      <c r="C241" s="3" t="str">
        <f t="shared" si="1"/>
        <v>_bright coral</v>
      </c>
      <c r="D241" s="3" t="str">
        <f t="shared" si="8"/>
        <v>#N/A</v>
      </c>
      <c r="E241" s="3" t="b">
        <f t="shared" si="2"/>
        <v>0</v>
      </c>
      <c r="G241" s="3" t="str">
        <f t="shared" si="3"/>
        <v>#N/A</v>
      </c>
      <c r="H241" s="3" t="b">
        <f t="shared" si="4"/>
        <v>0</v>
      </c>
      <c r="J241" s="3" t="str">
        <f t="shared" si="5"/>
        <v>#N/A</v>
      </c>
      <c r="K241" s="3" t="b">
        <f t="shared" si="6"/>
        <v>0</v>
      </c>
      <c r="M241" s="3" t="str">
        <f t="shared" si="7"/>
        <v>#N/A</v>
      </c>
      <c r="AU241" s="7"/>
      <c r="AV241" s="6"/>
      <c r="AW241" s="8"/>
      <c r="AX241" s="7"/>
      <c r="AY241" s="6"/>
      <c r="AZ241" s="8"/>
      <c r="BA241" s="7"/>
      <c r="BB241" s="6"/>
      <c r="BC241" s="8"/>
      <c r="BD241" s="7"/>
      <c r="BE241" s="6"/>
      <c r="BF241" s="8"/>
      <c r="BG241" s="7"/>
      <c r="BH241" s="6"/>
      <c r="BI241" s="8"/>
      <c r="BJ241" s="7"/>
      <c r="BK241" s="6"/>
      <c r="BL241" s="8"/>
      <c r="BM241" s="7"/>
      <c r="BN241" s="6"/>
      <c r="BO241" s="8"/>
      <c r="BP241" s="7"/>
      <c r="BQ241" s="6"/>
      <c r="BR241" s="8"/>
    </row>
    <row r="242">
      <c r="A242" s="6"/>
      <c r="B242" s="6" t="s">
        <v>242</v>
      </c>
      <c r="C242" s="3" t="str">
        <f t="shared" si="1"/>
        <v>_dotted crimson</v>
      </c>
      <c r="D242" s="3" t="str">
        <f t="shared" si="8"/>
        <v>#N/A</v>
      </c>
      <c r="E242" s="3" t="b">
        <f t="shared" si="2"/>
        <v>0</v>
      </c>
      <c r="G242" s="3" t="str">
        <f t="shared" si="3"/>
        <v>#N/A</v>
      </c>
      <c r="H242" s="3" t="b">
        <f t="shared" si="4"/>
        <v>0</v>
      </c>
      <c r="J242" s="3" t="str">
        <f t="shared" si="5"/>
        <v>#N/A</v>
      </c>
      <c r="K242" s="3" t="b">
        <f t="shared" si="6"/>
        <v>0</v>
      </c>
      <c r="M242" s="3" t="str">
        <f t="shared" si="7"/>
        <v>#N/A</v>
      </c>
      <c r="AU242" s="7"/>
      <c r="AV242" s="6"/>
      <c r="AW242" s="8"/>
      <c r="AX242" s="7"/>
      <c r="AY242" s="6"/>
      <c r="AZ242" s="8"/>
      <c r="BA242" s="7"/>
      <c r="BB242" s="6"/>
      <c r="BC242" s="8"/>
      <c r="BD242" s="7"/>
      <c r="BE242" s="6"/>
      <c r="BF242" s="8"/>
      <c r="BG242" s="7"/>
      <c r="BH242" s="6"/>
      <c r="BI242" s="8"/>
      <c r="BJ242" s="7"/>
      <c r="BK242" s="6"/>
      <c r="BL242" s="8"/>
      <c r="BM242" s="7"/>
      <c r="BN242" s="6"/>
      <c r="BO242" s="8"/>
      <c r="BP242" s="7"/>
      <c r="BQ242" s="6"/>
      <c r="BR242" s="8"/>
    </row>
    <row r="243">
      <c r="A243" s="6"/>
      <c r="B243" s="6" t="s">
        <v>243</v>
      </c>
      <c r="C243" s="3" t="str">
        <f t="shared" si="1"/>
        <v>_bright violet</v>
      </c>
      <c r="D243" s="3" t="str">
        <f t="shared" si="8"/>
        <v>#N/A</v>
      </c>
      <c r="E243" s="3" t="b">
        <f t="shared" si="2"/>
        <v>0</v>
      </c>
      <c r="G243" s="3" t="str">
        <f t="shared" si="3"/>
        <v>#N/A</v>
      </c>
      <c r="H243" s="3" t="b">
        <f t="shared" si="4"/>
        <v>0</v>
      </c>
      <c r="J243" s="3" t="str">
        <f t="shared" si="5"/>
        <v>#N/A</v>
      </c>
      <c r="K243" s="3" t="b">
        <f t="shared" si="6"/>
        <v>0</v>
      </c>
      <c r="M243" s="3" t="str">
        <f t="shared" si="7"/>
        <v>#N/A</v>
      </c>
      <c r="AU243" s="7"/>
      <c r="AV243" s="6"/>
      <c r="AW243" s="8"/>
      <c r="AX243" s="7"/>
      <c r="AY243" s="6"/>
      <c r="AZ243" s="8"/>
      <c r="BA243" s="7"/>
      <c r="BB243" s="6"/>
      <c r="BC243" s="8"/>
      <c r="BD243" s="7"/>
      <c r="BE243" s="6"/>
      <c r="BF243" s="8"/>
      <c r="BG243" s="7"/>
      <c r="BH243" s="6"/>
      <c r="BI243" s="8"/>
      <c r="BJ243" s="7"/>
      <c r="BK243" s="6"/>
      <c r="BL243" s="8"/>
      <c r="BM243" s="7"/>
      <c r="BN243" s="6"/>
      <c r="BO243" s="8"/>
      <c r="BP243" s="7"/>
      <c r="BQ243" s="6"/>
      <c r="BR243" s="8"/>
    </row>
    <row r="244">
      <c r="A244" s="6"/>
      <c r="B244" s="6" t="s">
        <v>244</v>
      </c>
      <c r="C244" s="3" t="str">
        <f t="shared" si="1"/>
        <v>_drab blue</v>
      </c>
      <c r="D244" s="3" t="str">
        <f t="shared" si="8"/>
        <v>#N/A</v>
      </c>
      <c r="E244" s="3" t="b">
        <f t="shared" si="2"/>
        <v>1</v>
      </c>
      <c r="G244" s="3" t="str">
        <f t="shared" si="3"/>
        <v>#N/A</v>
      </c>
      <c r="H244" s="3" t="b">
        <f t="shared" si="4"/>
        <v>0</v>
      </c>
      <c r="J244" s="3" t="str">
        <f t="shared" si="5"/>
        <v>#N/A</v>
      </c>
      <c r="K244" s="3" t="b">
        <f t="shared" si="6"/>
        <v>0</v>
      </c>
      <c r="M244" s="3" t="str">
        <f t="shared" si="7"/>
        <v>#N/A</v>
      </c>
      <c r="AU244" s="7"/>
      <c r="AV244" s="6"/>
      <c r="AW244" s="8"/>
      <c r="AX244" s="7"/>
      <c r="AY244" s="6"/>
      <c r="AZ244" s="8"/>
      <c r="BA244" s="7"/>
      <c r="BB244" s="6"/>
      <c r="BC244" s="8"/>
      <c r="BD244" s="7"/>
      <c r="BE244" s="6"/>
      <c r="BF244" s="8"/>
      <c r="BG244" s="7"/>
      <c r="BH244" s="6"/>
      <c r="BI244" s="8"/>
      <c r="BJ244" s="7"/>
      <c r="BK244" s="6"/>
      <c r="BL244" s="8"/>
      <c r="BM244" s="7"/>
      <c r="BN244" s="6"/>
      <c r="BO244" s="8"/>
      <c r="BP244" s="7"/>
      <c r="BQ244" s="6"/>
      <c r="BR244" s="8"/>
    </row>
    <row r="245">
      <c r="A245" s="6"/>
      <c r="B245" s="6" t="s">
        <v>245</v>
      </c>
      <c r="C245" s="3" t="str">
        <f t="shared" si="1"/>
        <v>_posh salmon</v>
      </c>
      <c r="D245" s="3" t="str">
        <f t="shared" si="8"/>
        <v>#N/A</v>
      </c>
      <c r="E245" s="3" t="b">
        <f t="shared" si="2"/>
        <v>0</v>
      </c>
      <c r="G245" s="3" t="str">
        <f t="shared" si="3"/>
        <v>#N/A</v>
      </c>
      <c r="H245" s="3" t="b">
        <f t="shared" si="4"/>
        <v>0</v>
      </c>
      <c r="J245" s="3" t="str">
        <f t="shared" si="5"/>
        <v>#N/A</v>
      </c>
      <c r="K245" s="3" t="b">
        <f t="shared" si="6"/>
        <v>1</v>
      </c>
      <c r="M245" s="3" t="str">
        <f t="shared" si="7"/>
        <v>#N/A</v>
      </c>
      <c r="AU245" s="7"/>
      <c r="AV245" s="6"/>
      <c r="AW245" s="8"/>
      <c r="AX245" s="7"/>
      <c r="AY245" s="6"/>
      <c r="AZ245" s="8"/>
      <c r="BA245" s="7"/>
      <c r="BB245" s="6"/>
      <c r="BC245" s="8"/>
      <c r="BD245" s="7"/>
      <c r="BE245" s="6"/>
      <c r="BF245" s="8"/>
      <c r="BG245" s="7"/>
      <c r="BH245" s="6"/>
      <c r="BI245" s="8"/>
      <c r="BJ245" s="7"/>
      <c r="BK245" s="6"/>
      <c r="BL245" s="8"/>
      <c r="BM245" s="7"/>
      <c r="BN245" s="6"/>
      <c r="BO245" s="8"/>
      <c r="BP245" s="7"/>
      <c r="BQ245" s="6"/>
      <c r="BR245" s="8"/>
    </row>
    <row r="246">
      <c r="A246" s="6"/>
      <c r="B246" s="6" t="s">
        <v>246</v>
      </c>
      <c r="C246" s="3" t="str">
        <f t="shared" si="1"/>
        <v>_dim coral</v>
      </c>
      <c r="D246" s="3" t="str">
        <f t="shared" si="8"/>
        <v>#N/A</v>
      </c>
      <c r="E246" s="3" t="b">
        <f t="shared" si="2"/>
        <v>0</v>
      </c>
      <c r="G246" s="3" t="str">
        <f t="shared" si="3"/>
        <v>#N/A</v>
      </c>
      <c r="H246" s="3" t="b">
        <f t="shared" si="4"/>
        <v>0</v>
      </c>
      <c r="J246" s="3" t="str">
        <f t="shared" si="5"/>
        <v>#N/A</v>
      </c>
      <c r="K246" s="3" t="b">
        <f t="shared" si="6"/>
        <v>0</v>
      </c>
      <c r="M246" s="3" t="str">
        <f t="shared" si="7"/>
        <v>#N/A</v>
      </c>
      <c r="AU246" s="7"/>
      <c r="AV246" s="6"/>
      <c r="AW246" s="8"/>
      <c r="AX246" s="7"/>
      <c r="AY246" s="6"/>
      <c r="AZ246" s="8"/>
      <c r="BA246" s="7"/>
      <c r="BB246" s="6"/>
      <c r="BC246" s="8"/>
      <c r="BD246" s="7"/>
      <c r="BE246" s="6"/>
      <c r="BF246" s="8"/>
      <c r="BG246" s="7"/>
      <c r="BH246" s="6"/>
      <c r="BI246" s="8"/>
      <c r="BJ246" s="7"/>
      <c r="BK246" s="6"/>
      <c r="BL246" s="8"/>
      <c r="BM246" s="7"/>
      <c r="BN246" s="6"/>
      <c r="BO246" s="8"/>
      <c r="BP246" s="7"/>
      <c r="BQ246" s="6"/>
      <c r="BR246" s="8"/>
    </row>
    <row r="247">
      <c r="A247" s="6"/>
      <c r="B247" s="6" t="s">
        <v>247</v>
      </c>
      <c r="C247" s="3" t="str">
        <f t="shared" si="1"/>
        <v>_dark aqua</v>
      </c>
      <c r="D247" s="3" t="str">
        <f t="shared" si="8"/>
        <v>#N/A</v>
      </c>
      <c r="E247" s="3" t="b">
        <f t="shared" si="2"/>
        <v>0</v>
      </c>
      <c r="G247" s="3" t="str">
        <f t="shared" si="3"/>
        <v>#N/A</v>
      </c>
      <c r="H247" s="3" t="b">
        <f t="shared" si="4"/>
        <v>0</v>
      </c>
      <c r="J247" s="3" t="str">
        <f t="shared" si="5"/>
        <v>#N/A</v>
      </c>
      <c r="K247" s="3" t="b">
        <f t="shared" si="6"/>
        <v>0</v>
      </c>
      <c r="M247" s="3" t="str">
        <f t="shared" si="7"/>
        <v>#N/A</v>
      </c>
      <c r="AU247" s="7"/>
      <c r="AV247" s="6"/>
      <c r="AW247" s="8"/>
      <c r="AX247" s="7"/>
      <c r="AY247" s="6"/>
      <c r="AZ247" s="8"/>
      <c r="BA247" s="7"/>
      <c r="BB247" s="6"/>
      <c r="BC247" s="8"/>
      <c r="BD247" s="7"/>
      <c r="BE247" s="6"/>
      <c r="BF247" s="8"/>
      <c r="BG247" s="7"/>
      <c r="BH247" s="6"/>
      <c r="BI247" s="8"/>
      <c r="BJ247" s="7"/>
      <c r="BK247" s="6"/>
      <c r="BL247" s="8"/>
      <c r="BM247" s="7"/>
      <c r="BN247" s="6"/>
      <c r="BO247" s="8"/>
      <c r="BP247" s="7"/>
      <c r="BQ247" s="6"/>
      <c r="BR247" s="8"/>
    </row>
    <row r="248">
      <c r="A248" s="6"/>
      <c r="B248" s="6" t="s">
        <v>248</v>
      </c>
      <c r="C248" s="3" t="str">
        <f t="shared" si="1"/>
        <v>_dark orange</v>
      </c>
      <c r="D248" s="3" t="str">
        <f t="shared" si="8"/>
        <v>#N/A</v>
      </c>
      <c r="E248" s="3" t="b">
        <f t="shared" si="2"/>
        <v>0</v>
      </c>
      <c r="G248" s="3" t="str">
        <f t="shared" si="3"/>
        <v>#N/A</v>
      </c>
      <c r="H248" s="3" t="b">
        <f t="shared" si="4"/>
        <v>0</v>
      </c>
      <c r="J248" s="3" t="str">
        <f t="shared" si="5"/>
        <v>#N/A</v>
      </c>
      <c r="K248" s="3" t="b">
        <f t="shared" si="6"/>
        <v>0</v>
      </c>
      <c r="M248" s="3" t="str">
        <f t="shared" si="7"/>
        <v>#N/A</v>
      </c>
      <c r="AU248" s="7"/>
      <c r="AV248" s="6"/>
      <c r="AW248" s="8"/>
      <c r="AX248" s="7"/>
      <c r="AY248" s="6"/>
      <c r="AZ248" s="8"/>
      <c r="BA248" s="7"/>
      <c r="BB248" s="6"/>
      <c r="BC248" s="8"/>
      <c r="BD248" s="7"/>
      <c r="BE248" s="6"/>
      <c r="BF248" s="8"/>
      <c r="BG248" s="7"/>
      <c r="BH248" s="6"/>
      <c r="BI248" s="8"/>
      <c r="BJ248" s="7"/>
      <c r="BK248" s="6"/>
      <c r="BL248" s="8"/>
      <c r="BM248" s="7"/>
      <c r="BN248" s="6"/>
      <c r="BO248" s="8"/>
      <c r="BP248" s="7"/>
      <c r="BQ248" s="6"/>
      <c r="BR248" s="8"/>
    </row>
    <row r="249">
      <c r="A249" s="6"/>
      <c r="B249" s="6" t="s">
        <v>249</v>
      </c>
      <c r="C249" s="3" t="str">
        <f t="shared" si="1"/>
        <v>_vibrant red</v>
      </c>
      <c r="D249" s="3" t="str">
        <f t="shared" si="8"/>
        <v>#N/A</v>
      </c>
      <c r="E249" s="3" t="b">
        <f t="shared" si="2"/>
        <v>0</v>
      </c>
      <c r="G249" s="3" t="str">
        <f t="shared" si="3"/>
        <v>#N/A</v>
      </c>
      <c r="H249" s="3" t="b">
        <f t="shared" si="4"/>
        <v>0</v>
      </c>
      <c r="J249" s="3" t="str">
        <f t="shared" si="5"/>
        <v>#N/A</v>
      </c>
      <c r="K249" s="3" t="b">
        <f t="shared" si="6"/>
        <v>0</v>
      </c>
      <c r="M249" s="3" t="str">
        <f t="shared" si="7"/>
        <v>#N/A</v>
      </c>
      <c r="AU249" s="7"/>
      <c r="AV249" s="6"/>
      <c r="AW249" s="8"/>
      <c r="AX249" s="7"/>
      <c r="AY249" s="6"/>
      <c r="AZ249" s="8"/>
      <c r="BA249" s="7"/>
      <c r="BB249" s="6"/>
      <c r="BC249" s="8"/>
      <c r="BD249" s="7"/>
      <c r="BE249" s="6"/>
      <c r="BF249" s="8"/>
      <c r="BG249" s="7"/>
      <c r="BH249" s="6"/>
      <c r="BI249" s="8"/>
      <c r="BJ249" s="7"/>
      <c r="BK249" s="6"/>
      <c r="BL249" s="8"/>
      <c r="BM249" s="7"/>
      <c r="BN249" s="6"/>
      <c r="BO249" s="8"/>
      <c r="BP249" s="7"/>
      <c r="BQ249" s="6"/>
      <c r="BR249" s="8"/>
    </row>
    <row r="250">
      <c r="A250" s="6"/>
      <c r="B250" s="6" t="s">
        <v>250</v>
      </c>
      <c r="C250" s="3" t="str">
        <f t="shared" si="1"/>
        <v>_muted lime</v>
      </c>
      <c r="D250" s="3" t="str">
        <f t="shared" si="8"/>
        <v>#N/A</v>
      </c>
      <c r="E250" s="3" t="b">
        <f t="shared" si="2"/>
        <v>0</v>
      </c>
      <c r="G250" s="3" t="str">
        <f t="shared" si="3"/>
        <v>#N/A</v>
      </c>
      <c r="H250" s="3" t="b">
        <f t="shared" si="4"/>
        <v>0</v>
      </c>
      <c r="J250" s="3" t="str">
        <f t="shared" si="5"/>
        <v>#N/A</v>
      </c>
      <c r="K250" s="3" t="b">
        <f t="shared" si="6"/>
        <v>0</v>
      </c>
      <c r="M250" s="3" t="str">
        <f t="shared" si="7"/>
        <v>#N/A</v>
      </c>
      <c r="AU250" s="7"/>
      <c r="AV250" s="6"/>
      <c r="AW250" s="8"/>
      <c r="AX250" s="7"/>
      <c r="AY250" s="6"/>
      <c r="AZ250" s="8"/>
      <c r="BA250" s="7"/>
      <c r="BB250" s="6"/>
      <c r="BC250" s="8"/>
      <c r="BD250" s="7"/>
      <c r="BE250" s="6"/>
      <c r="BF250" s="8"/>
      <c r="BG250" s="7"/>
      <c r="BH250" s="6"/>
      <c r="BI250" s="8"/>
      <c r="BJ250" s="7"/>
      <c r="BK250" s="6"/>
      <c r="BL250" s="8"/>
      <c r="BM250" s="7"/>
      <c r="BN250" s="6"/>
      <c r="BO250" s="8"/>
      <c r="BP250" s="7"/>
      <c r="BQ250" s="6"/>
      <c r="BR250" s="8"/>
    </row>
    <row r="251">
      <c r="A251" s="6"/>
      <c r="B251" s="6" t="s">
        <v>251</v>
      </c>
      <c r="C251" s="3" t="str">
        <f t="shared" si="1"/>
        <v>_clear tan</v>
      </c>
      <c r="D251" s="3" t="str">
        <f t="shared" si="8"/>
        <v>#N/A</v>
      </c>
      <c r="E251" s="3" t="b">
        <f t="shared" si="2"/>
        <v>0</v>
      </c>
      <c r="G251" s="3" t="str">
        <f t="shared" si="3"/>
        <v>#N/A</v>
      </c>
      <c r="H251" s="3" t="b">
        <f t="shared" si="4"/>
        <v>0</v>
      </c>
      <c r="J251" s="3" t="str">
        <f t="shared" si="5"/>
        <v>#N/A</v>
      </c>
      <c r="K251" s="3" t="b">
        <f t="shared" si="6"/>
        <v>0</v>
      </c>
      <c r="M251" s="3" t="str">
        <f t="shared" si="7"/>
        <v>#N/A</v>
      </c>
      <c r="AU251" s="7"/>
      <c r="AV251" s="6"/>
      <c r="AW251" s="8"/>
      <c r="AX251" s="7"/>
      <c r="AY251" s="6"/>
      <c r="AZ251" s="8"/>
      <c r="BA251" s="7"/>
      <c r="BB251" s="6"/>
      <c r="BC251" s="8"/>
      <c r="BD251" s="7"/>
      <c r="BE251" s="6"/>
      <c r="BF251" s="8"/>
      <c r="BG251" s="7"/>
      <c r="BH251" s="6"/>
      <c r="BI251" s="8"/>
      <c r="BJ251" s="7"/>
      <c r="BK251" s="6"/>
      <c r="BL251" s="8"/>
      <c r="BM251" s="7"/>
      <c r="BN251" s="6"/>
      <c r="BO251" s="8"/>
      <c r="BP251" s="7"/>
      <c r="BQ251" s="6"/>
      <c r="BR251" s="8"/>
    </row>
    <row r="252">
      <c r="A252" s="6"/>
      <c r="B252" s="6" t="s">
        <v>252</v>
      </c>
      <c r="C252" s="3" t="str">
        <f t="shared" si="1"/>
        <v>_vibrant coral</v>
      </c>
      <c r="D252" s="3" t="str">
        <f t="shared" si="8"/>
        <v>#N/A</v>
      </c>
      <c r="E252" s="3" t="b">
        <f t="shared" si="2"/>
        <v>0</v>
      </c>
      <c r="G252" s="3" t="str">
        <f t="shared" si="3"/>
        <v>#N/A</v>
      </c>
      <c r="H252" s="3" t="b">
        <f t="shared" si="4"/>
        <v>0</v>
      </c>
      <c r="J252" s="3" t="str">
        <f t="shared" si="5"/>
        <v>#N/A</v>
      </c>
      <c r="K252" s="3" t="b">
        <f t="shared" si="6"/>
        <v>0</v>
      </c>
      <c r="M252" s="3" t="str">
        <f t="shared" si="7"/>
        <v>#N/A</v>
      </c>
      <c r="AU252" s="7"/>
      <c r="AV252" s="6"/>
      <c r="AW252" s="8"/>
      <c r="AX252" s="7"/>
      <c r="AY252" s="6"/>
      <c r="AZ252" s="8"/>
      <c r="BA252" s="7"/>
      <c r="BB252" s="6"/>
      <c r="BC252" s="8"/>
      <c r="BD252" s="7"/>
      <c r="BE252" s="6"/>
      <c r="BF252" s="8"/>
      <c r="BG252" s="7"/>
      <c r="BH252" s="6"/>
      <c r="BI252" s="8"/>
      <c r="BJ252" s="7"/>
      <c r="BK252" s="6"/>
      <c r="BL252" s="8"/>
      <c r="BM252" s="7"/>
      <c r="BN252" s="6"/>
      <c r="BO252" s="8"/>
      <c r="BP252" s="7"/>
      <c r="BQ252" s="6"/>
      <c r="BR252" s="8"/>
    </row>
    <row r="253">
      <c r="A253" s="6"/>
      <c r="B253" s="6" t="s">
        <v>253</v>
      </c>
      <c r="C253" s="3" t="str">
        <f t="shared" si="1"/>
        <v>_dark olive</v>
      </c>
      <c r="D253" s="3" t="str">
        <f t="shared" si="8"/>
        <v>#N/A</v>
      </c>
      <c r="E253" s="3" t="b">
        <f t="shared" si="2"/>
        <v>0</v>
      </c>
      <c r="G253" s="3" t="str">
        <f t="shared" si="3"/>
        <v>#N/A</v>
      </c>
      <c r="H253" s="3" t="b">
        <f t="shared" si="4"/>
        <v>0</v>
      </c>
      <c r="J253" s="3" t="str">
        <f t="shared" si="5"/>
        <v>#N/A</v>
      </c>
      <c r="K253" s="3" t="b">
        <f t="shared" si="6"/>
        <v>0</v>
      </c>
      <c r="M253" s="3" t="str">
        <f t="shared" si="7"/>
        <v>#N/A</v>
      </c>
      <c r="AU253" s="7"/>
      <c r="AV253" s="6"/>
      <c r="AW253" s="8"/>
      <c r="AX253" s="7"/>
      <c r="AY253" s="6"/>
      <c r="AZ253" s="8"/>
      <c r="BA253" s="7"/>
      <c r="BB253" s="6"/>
      <c r="BC253" s="8"/>
      <c r="BD253" s="7"/>
      <c r="BE253" s="6"/>
      <c r="BF253" s="8"/>
      <c r="BG253" s="7"/>
      <c r="BH253" s="6"/>
      <c r="BI253" s="8"/>
      <c r="BJ253" s="7"/>
      <c r="BK253" s="6"/>
      <c r="BL253" s="8"/>
      <c r="BM253" s="7"/>
      <c r="BN253" s="6"/>
      <c r="BO253" s="8"/>
      <c r="BP253" s="7"/>
      <c r="BQ253" s="6"/>
      <c r="BR253" s="8"/>
    </row>
    <row r="254">
      <c r="A254" s="6"/>
      <c r="B254" s="6" t="s">
        <v>254</v>
      </c>
      <c r="C254" s="3" t="str">
        <f t="shared" si="1"/>
        <v>_dotted blue</v>
      </c>
      <c r="D254" s="3" t="str">
        <f t="shared" si="8"/>
        <v>#N/A</v>
      </c>
      <c r="E254" s="3" t="b">
        <f t="shared" si="2"/>
        <v>0</v>
      </c>
      <c r="G254" s="3" t="str">
        <f t="shared" si="3"/>
        <v>#N/A</v>
      </c>
      <c r="H254" s="3" t="b">
        <f t="shared" si="4"/>
        <v>0</v>
      </c>
      <c r="J254" s="3" t="str">
        <f t="shared" si="5"/>
        <v>#N/A</v>
      </c>
      <c r="K254" s="3" t="b">
        <f t="shared" si="6"/>
        <v>0</v>
      </c>
      <c r="M254" s="3" t="str">
        <f t="shared" si="7"/>
        <v>#N/A</v>
      </c>
      <c r="AU254" s="7"/>
      <c r="AV254" s="6"/>
      <c r="AW254" s="8"/>
      <c r="AX254" s="7"/>
      <c r="AY254" s="6"/>
      <c r="AZ254" s="8"/>
      <c r="BA254" s="7"/>
      <c r="BB254" s="6"/>
      <c r="BC254" s="8"/>
      <c r="BD254" s="7"/>
      <c r="BE254" s="6"/>
      <c r="BF254" s="8"/>
      <c r="BG254" s="7"/>
      <c r="BH254" s="6"/>
      <c r="BI254" s="8"/>
      <c r="BJ254" s="7"/>
      <c r="BK254" s="6"/>
      <c r="BL254" s="8"/>
      <c r="BM254" s="7"/>
      <c r="BN254" s="6"/>
      <c r="BO254" s="8"/>
      <c r="BP254" s="7"/>
      <c r="BQ254" s="6"/>
      <c r="BR254" s="8"/>
    </row>
    <row r="255">
      <c r="A255" s="6"/>
      <c r="B255" s="6" t="s">
        <v>255</v>
      </c>
      <c r="C255" s="3" t="str">
        <f t="shared" si="1"/>
        <v>_bright maroon</v>
      </c>
      <c r="D255" s="3" t="str">
        <f t="shared" si="8"/>
        <v>#N/A</v>
      </c>
      <c r="E255" s="3" t="b">
        <f t="shared" si="2"/>
        <v>0</v>
      </c>
      <c r="G255" s="3" t="str">
        <f t="shared" si="3"/>
        <v>#N/A</v>
      </c>
      <c r="H255" s="3" t="b">
        <f t="shared" si="4"/>
        <v>0</v>
      </c>
      <c r="J255" s="3" t="str">
        <f t="shared" si="5"/>
        <v>#N/A</v>
      </c>
      <c r="K255" s="3" t="b">
        <f t="shared" si="6"/>
        <v>0</v>
      </c>
      <c r="M255" s="3" t="str">
        <f t="shared" si="7"/>
        <v>#N/A</v>
      </c>
      <c r="AU255" s="7"/>
      <c r="AV255" s="6"/>
      <c r="AW255" s="8"/>
      <c r="AX255" s="7"/>
      <c r="AY255" s="6"/>
      <c r="AZ255" s="8"/>
      <c r="BA255" s="7"/>
      <c r="BB255" s="6"/>
      <c r="BC255" s="8"/>
      <c r="BD255" s="7"/>
      <c r="BE255" s="6"/>
      <c r="BF255" s="8"/>
      <c r="BG255" s="7"/>
      <c r="BH255" s="6"/>
      <c r="BI255" s="8"/>
      <c r="BJ255" s="7"/>
      <c r="BK255" s="6"/>
      <c r="BL255" s="8"/>
      <c r="BM255" s="7"/>
      <c r="BN255" s="6"/>
      <c r="BO255" s="8"/>
      <c r="BP255" s="7"/>
      <c r="BQ255" s="6"/>
      <c r="BR255" s="8"/>
    </row>
    <row r="256">
      <c r="A256" s="6"/>
      <c r="B256" s="6" t="s">
        <v>256</v>
      </c>
      <c r="C256" s="3" t="str">
        <f t="shared" si="1"/>
        <v>_bright cyan</v>
      </c>
      <c r="D256" s="3" t="str">
        <f t="shared" si="8"/>
        <v>#N/A</v>
      </c>
      <c r="E256" s="3" t="b">
        <f t="shared" si="2"/>
        <v>0</v>
      </c>
      <c r="G256" s="3" t="str">
        <f t="shared" si="3"/>
        <v>#N/A</v>
      </c>
      <c r="H256" s="3" t="b">
        <f t="shared" si="4"/>
        <v>0</v>
      </c>
      <c r="J256" s="3" t="str">
        <f t="shared" si="5"/>
        <v>#N/A</v>
      </c>
      <c r="K256" s="3" t="b">
        <f t="shared" si="6"/>
        <v>0</v>
      </c>
      <c r="M256" s="3" t="str">
        <f t="shared" si="7"/>
        <v>#N/A</v>
      </c>
      <c r="AU256" s="7"/>
      <c r="AV256" s="6"/>
      <c r="AW256" s="8"/>
      <c r="AX256" s="7"/>
      <c r="AY256" s="6"/>
      <c r="AZ256" s="8"/>
      <c r="BA256" s="7"/>
      <c r="BB256" s="6"/>
      <c r="BC256" s="8"/>
      <c r="BD256" s="7"/>
      <c r="BE256" s="6"/>
      <c r="BF256" s="8"/>
      <c r="BG256" s="7"/>
      <c r="BH256" s="6"/>
      <c r="BI256" s="8"/>
      <c r="BJ256" s="7"/>
      <c r="BK256" s="6"/>
      <c r="BL256" s="8"/>
      <c r="BM256" s="7"/>
      <c r="BN256" s="6"/>
      <c r="BO256" s="8"/>
      <c r="BP256" s="7"/>
      <c r="BQ256" s="6"/>
      <c r="BR256" s="8"/>
    </row>
    <row r="257">
      <c r="A257" s="6"/>
      <c r="B257" s="6" t="s">
        <v>257</v>
      </c>
      <c r="C257" s="3" t="str">
        <f t="shared" si="1"/>
        <v>_plaid olive</v>
      </c>
      <c r="D257" s="3" t="str">
        <f t="shared" si="8"/>
        <v>#N/A</v>
      </c>
      <c r="E257" s="3" t="b">
        <f t="shared" si="2"/>
        <v>0</v>
      </c>
      <c r="G257" s="3" t="str">
        <f t="shared" si="3"/>
        <v>#N/A</v>
      </c>
      <c r="H257" s="3" t="b">
        <f t="shared" si="4"/>
        <v>0</v>
      </c>
      <c r="J257" s="3" t="str">
        <f t="shared" si="5"/>
        <v>#N/A</v>
      </c>
      <c r="K257" s="3" t="b">
        <f t="shared" si="6"/>
        <v>0</v>
      </c>
      <c r="M257" s="3" t="str">
        <f t="shared" si="7"/>
        <v>#N/A</v>
      </c>
      <c r="AU257" s="7"/>
      <c r="AV257" s="6"/>
      <c r="AW257" s="8"/>
      <c r="AX257" s="7"/>
      <c r="AY257" s="6"/>
      <c r="AZ257" s="8"/>
      <c r="BA257" s="7"/>
      <c r="BB257" s="6"/>
      <c r="BC257" s="8"/>
      <c r="BD257" s="7"/>
      <c r="BE257" s="6"/>
      <c r="BF257" s="8"/>
      <c r="BG257" s="7"/>
      <c r="BH257" s="6"/>
      <c r="BI257" s="8"/>
      <c r="BJ257" s="7"/>
      <c r="BK257" s="6"/>
      <c r="BL257" s="8"/>
      <c r="BM257" s="7"/>
      <c r="BN257" s="6"/>
      <c r="BO257" s="8"/>
      <c r="BP257" s="7"/>
      <c r="BQ257" s="6"/>
      <c r="BR257" s="8"/>
    </row>
    <row r="258">
      <c r="A258" s="6"/>
      <c r="B258" s="6" t="s">
        <v>258</v>
      </c>
      <c r="C258" s="3" t="str">
        <f t="shared" si="1"/>
        <v>_plaid chartreuse</v>
      </c>
      <c r="D258" s="3" t="str">
        <f t="shared" si="8"/>
        <v>#N/A</v>
      </c>
      <c r="E258" s="3" t="b">
        <f t="shared" si="2"/>
        <v>0</v>
      </c>
      <c r="G258" s="3" t="str">
        <f t="shared" si="3"/>
        <v>#N/A</v>
      </c>
      <c r="H258" s="3" t="b">
        <f t="shared" si="4"/>
        <v>0</v>
      </c>
      <c r="J258" s="3" t="str">
        <f t="shared" si="5"/>
        <v>#N/A</v>
      </c>
      <c r="K258" s="3" t="b">
        <f t="shared" si="6"/>
        <v>0</v>
      </c>
      <c r="M258" s="3" t="str">
        <f t="shared" si="7"/>
        <v>#N/A</v>
      </c>
      <c r="AU258" s="7"/>
      <c r="AV258" s="6"/>
      <c r="AW258" s="8"/>
      <c r="AX258" s="7"/>
      <c r="AY258" s="6"/>
      <c r="AZ258" s="8"/>
      <c r="BA258" s="7"/>
      <c r="BB258" s="6"/>
      <c r="BC258" s="8"/>
      <c r="BD258" s="7"/>
      <c r="BE258" s="6"/>
      <c r="BF258" s="8"/>
      <c r="BG258" s="7"/>
      <c r="BH258" s="6"/>
      <c r="BI258" s="8"/>
      <c r="BJ258" s="7"/>
      <c r="BK258" s="6"/>
      <c r="BL258" s="8"/>
      <c r="BM258" s="7"/>
      <c r="BN258" s="6"/>
      <c r="BO258" s="8"/>
      <c r="BP258" s="7"/>
      <c r="BQ258" s="6"/>
      <c r="BR258" s="8"/>
    </row>
    <row r="259">
      <c r="A259" s="6"/>
      <c r="B259" s="6" t="s">
        <v>259</v>
      </c>
      <c r="C259" s="3" t="str">
        <f t="shared" si="1"/>
        <v>_dull maroon</v>
      </c>
      <c r="D259" s="3" t="str">
        <f t="shared" si="8"/>
        <v>#N/A</v>
      </c>
      <c r="E259" s="3" t="b">
        <f t="shared" si="2"/>
        <v>0</v>
      </c>
      <c r="G259" s="3" t="str">
        <f t="shared" si="3"/>
        <v>#N/A</v>
      </c>
      <c r="H259" s="3" t="b">
        <f t="shared" si="4"/>
        <v>0</v>
      </c>
      <c r="J259" s="3" t="str">
        <f t="shared" si="5"/>
        <v>#N/A</v>
      </c>
      <c r="K259" s="3" t="b">
        <f t="shared" si="6"/>
        <v>0</v>
      </c>
      <c r="M259" s="3" t="str">
        <f t="shared" si="7"/>
        <v>#N/A</v>
      </c>
      <c r="AU259" s="7"/>
      <c r="AV259" s="6"/>
      <c r="AW259" s="8"/>
      <c r="AX259" s="7"/>
      <c r="AY259" s="6"/>
      <c r="AZ259" s="8"/>
      <c r="BA259" s="7"/>
      <c r="BB259" s="6"/>
      <c r="BC259" s="8"/>
      <c r="BD259" s="7"/>
      <c r="BE259" s="6"/>
      <c r="BF259" s="8"/>
      <c r="BG259" s="7"/>
      <c r="BH259" s="6"/>
      <c r="BI259" s="8"/>
      <c r="BJ259" s="7"/>
      <c r="BK259" s="6"/>
      <c r="BL259" s="8"/>
      <c r="BM259" s="7"/>
      <c r="BN259" s="6"/>
      <c r="BO259" s="8"/>
      <c r="BP259" s="7"/>
      <c r="BQ259" s="6"/>
      <c r="BR259" s="8"/>
    </row>
    <row r="260">
      <c r="A260" s="6"/>
      <c r="B260" s="6" t="s">
        <v>260</v>
      </c>
      <c r="C260" s="3" t="str">
        <f t="shared" si="1"/>
        <v>_light fuchsia</v>
      </c>
      <c r="D260" s="3" t="str">
        <f t="shared" si="8"/>
        <v>#N/A</v>
      </c>
      <c r="E260" s="3" t="b">
        <f t="shared" si="2"/>
        <v>0</v>
      </c>
      <c r="G260" s="3" t="str">
        <f t="shared" si="3"/>
        <v>#N/A</v>
      </c>
      <c r="H260" s="3" t="b">
        <f t="shared" si="4"/>
        <v>0</v>
      </c>
      <c r="J260" s="3" t="str">
        <f t="shared" si="5"/>
        <v>#N/A</v>
      </c>
      <c r="K260" s="3" t="b">
        <f t="shared" si="6"/>
        <v>0</v>
      </c>
      <c r="M260" s="3" t="str">
        <f t="shared" si="7"/>
        <v>#N/A</v>
      </c>
      <c r="AU260" s="7"/>
      <c r="AV260" s="6"/>
      <c r="AW260" s="8"/>
      <c r="AX260" s="7"/>
      <c r="AY260" s="6"/>
      <c r="AZ260" s="8"/>
      <c r="BA260" s="7"/>
      <c r="BB260" s="6"/>
      <c r="BC260" s="8"/>
      <c r="BD260" s="7"/>
      <c r="BE260" s="6"/>
      <c r="BF260" s="8"/>
      <c r="BG260" s="7"/>
      <c r="BH260" s="6"/>
      <c r="BI260" s="8"/>
      <c r="BJ260" s="7"/>
      <c r="BK260" s="6"/>
      <c r="BL260" s="8"/>
      <c r="BM260" s="7"/>
      <c r="BN260" s="6"/>
      <c r="BO260" s="8"/>
      <c r="BP260" s="7"/>
      <c r="BQ260" s="6"/>
      <c r="BR260" s="8"/>
    </row>
    <row r="261">
      <c r="A261" s="6"/>
      <c r="B261" s="6" t="s">
        <v>261</v>
      </c>
      <c r="C261" s="3" t="str">
        <f t="shared" si="1"/>
        <v>_dull orange</v>
      </c>
      <c r="D261" s="3" t="str">
        <f t="shared" si="8"/>
        <v>#N/A</v>
      </c>
      <c r="E261" s="3" t="b">
        <f t="shared" si="2"/>
        <v>0</v>
      </c>
      <c r="G261" s="3" t="str">
        <f t="shared" si="3"/>
        <v>#N/A</v>
      </c>
      <c r="H261" s="3" t="b">
        <f t="shared" si="4"/>
        <v>0</v>
      </c>
      <c r="J261" s="3" t="str">
        <f t="shared" si="5"/>
        <v>#N/A</v>
      </c>
      <c r="K261" s="3" t="b">
        <f t="shared" si="6"/>
        <v>0</v>
      </c>
      <c r="M261" s="3" t="str">
        <f t="shared" si="7"/>
        <v>#N/A</v>
      </c>
      <c r="AU261" s="7"/>
      <c r="AV261" s="6"/>
      <c r="AW261" s="8"/>
      <c r="AX261" s="7"/>
      <c r="AY261" s="6"/>
      <c r="AZ261" s="8"/>
      <c r="BA261" s="7"/>
      <c r="BB261" s="6"/>
      <c r="BC261" s="8"/>
      <c r="BD261" s="7"/>
      <c r="BE261" s="6"/>
      <c r="BF261" s="8"/>
      <c r="BG261" s="7"/>
      <c r="BH261" s="6"/>
      <c r="BI261" s="8"/>
      <c r="BJ261" s="7"/>
      <c r="BK261" s="6"/>
      <c r="BL261" s="8"/>
      <c r="BM261" s="7"/>
      <c r="BN261" s="6"/>
      <c r="BO261" s="8"/>
      <c r="BP261" s="7"/>
      <c r="BQ261" s="6"/>
      <c r="BR261" s="8"/>
    </row>
    <row r="262">
      <c r="A262" s="6"/>
      <c r="B262" s="6" t="s">
        <v>262</v>
      </c>
      <c r="C262" s="3" t="str">
        <f t="shared" si="1"/>
        <v>_dull blue</v>
      </c>
      <c r="D262" s="3" t="str">
        <f t="shared" si="8"/>
        <v>#N/A</v>
      </c>
      <c r="E262" s="3" t="b">
        <f t="shared" si="2"/>
        <v>0</v>
      </c>
      <c r="G262" s="3" t="str">
        <f t="shared" si="3"/>
        <v>#N/A</v>
      </c>
      <c r="H262" s="3" t="b">
        <f t="shared" si="4"/>
        <v>0</v>
      </c>
      <c r="J262" s="3" t="str">
        <f t="shared" si="5"/>
        <v>#N/A</v>
      </c>
      <c r="K262" s="3" t="b">
        <f t="shared" si="6"/>
        <v>0</v>
      </c>
      <c r="M262" s="3" t="str">
        <f t="shared" si="7"/>
        <v>#N/A</v>
      </c>
      <c r="AU262" s="7"/>
      <c r="AV262" s="6"/>
      <c r="AW262" s="8"/>
      <c r="AX262" s="7"/>
      <c r="AY262" s="6"/>
      <c r="AZ262" s="8"/>
      <c r="BA262" s="7"/>
      <c r="BB262" s="6"/>
      <c r="BC262" s="8"/>
      <c r="BD262" s="7"/>
      <c r="BE262" s="6"/>
      <c r="BF262" s="8"/>
      <c r="BG262" s="7"/>
      <c r="BH262" s="6"/>
      <c r="BI262" s="8"/>
      <c r="BJ262" s="7"/>
      <c r="BK262" s="6"/>
      <c r="BL262" s="8"/>
      <c r="BM262" s="7"/>
      <c r="BN262" s="6"/>
      <c r="BO262" s="8"/>
      <c r="BP262" s="7"/>
      <c r="BQ262" s="6"/>
      <c r="BR262" s="8"/>
    </row>
    <row r="263">
      <c r="A263" s="6"/>
      <c r="B263" s="6" t="s">
        <v>263</v>
      </c>
      <c r="C263" s="3" t="str">
        <f t="shared" si="1"/>
        <v>_plaid yellow</v>
      </c>
      <c r="D263" s="3" t="str">
        <f t="shared" si="8"/>
        <v>#N/A</v>
      </c>
      <c r="E263" s="3" t="b">
        <f t="shared" si="2"/>
        <v>0</v>
      </c>
      <c r="G263" s="3" t="str">
        <f t="shared" si="3"/>
        <v>#N/A</v>
      </c>
      <c r="H263" s="3" t="b">
        <f t="shared" si="4"/>
        <v>0</v>
      </c>
      <c r="J263" s="3" t="str">
        <f t="shared" si="5"/>
        <v>#N/A</v>
      </c>
      <c r="K263" s="3" t="b">
        <f t="shared" si="6"/>
        <v>0</v>
      </c>
      <c r="M263" s="3" t="str">
        <f t="shared" si="7"/>
        <v>#N/A</v>
      </c>
      <c r="AU263" s="7"/>
      <c r="AV263" s="6"/>
      <c r="AW263" s="8"/>
      <c r="AX263" s="7"/>
      <c r="AY263" s="6"/>
      <c r="AZ263" s="8"/>
      <c r="BA263" s="7"/>
      <c r="BB263" s="6"/>
      <c r="BC263" s="8"/>
      <c r="BD263" s="7"/>
      <c r="BE263" s="6"/>
      <c r="BF263" s="8"/>
      <c r="BG263" s="7"/>
      <c r="BH263" s="6"/>
      <c r="BI263" s="8"/>
      <c r="BJ263" s="7"/>
      <c r="BK263" s="6"/>
      <c r="BL263" s="8"/>
      <c r="BM263" s="7"/>
      <c r="BN263" s="6"/>
      <c r="BO263" s="8"/>
      <c r="BP263" s="7"/>
      <c r="BQ263" s="6"/>
      <c r="BR263" s="8"/>
    </row>
    <row r="264">
      <c r="A264" s="6"/>
      <c r="B264" s="6" t="s">
        <v>264</v>
      </c>
      <c r="C264" s="3" t="str">
        <f t="shared" si="1"/>
        <v>_clear black</v>
      </c>
      <c r="D264" s="3" t="str">
        <f t="shared" si="8"/>
        <v>#N/A</v>
      </c>
      <c r="E264" s="3" t="b">
        <f t="shared" si="2"/>
        <v>0</v>
      </c>
      <c r="G264" s="3" t="str">
        <f t="shared" si="3"/>
        <v>#N/A</v>
      </c>
      <c r="H264" s="3" t="b">
        <f t="shared" si="4"/>
        <v>0</v>
      </c>
      <c r="J264" s="3" t="str">
        <f t="shared" si="5"/>
        <v>#N/A</v>
      </c>
      <c r="K264" s="3" t="b">
        <f t="shared" si="6"/>
        <v>0</v>
      </c>
      <c r="M264" s="3" t="str">
        <f t="shared" si="7"/>
        <v>#N/A</v>
      </c>
      <c r="AU264" s="7"/>
      <c r="AV264" s="6"/>
      <c r="AW264" s="8"/>
      <c r="AX264" s="7"/>
      <c r="AY264" s="6"/>
      <c r="AZ264" s="8"/>
      <c r="BA264" s="7"/>
      <c r="BB264" s="6"/>
      <c r="BC264" s="8"/>
      <c r="BD264" s="7"/>
      <c r="BE264" s="6"/>
      <c r="BF264" s="8"/>
      <c r="BG264" s="7"/>
      <c r="BH264" s="6"/>
      <c r="BI264" s="8"/>
      <c r="BJ264" s="7"/>
      <c r="BK264" s="6"/>
      <c r="BL264" s="8"/>
      <c r="BM264" s="7"/>
      <c r="BN264" s="6"/>
      <c r="BO264" s="8"/>
      <c r="BP264" s="7"/>
      <c r="BQ264" s="6"/>
      <c r="BR264" s="8"/>
    </row>
    <row r="265">
      <c r="A265" s="6"/>
      <c r="B265" s="6" t="s">
        <v>265</v>
      </c>
      <c r="C265" s="3" t="str">
        <f t="shared" si="1"/>
        <v>_muted coral</v>
      </c>
      <c r="D265" s="3" t="str">
        <f t="shared" si="8"/>
        <v>#N/A</v>
      </c>
      <c r="E265" s="3" t="b">
        <f t="shared" si="2"/>
        <v>0</v>
      </c>
      <c r="G265" s="3" t="str">
        <f t="shared" si="3"/>
        <v>#N/A</v>
      </c>
      <c r="H265" s="3" t="b">
        <f t="shared" si="4"/>
        <v>0</v>
      </c>
      <c r="J265" s="3" t="str">
        <f t="shared" si="5"/>
        <v>#N/A</v>
      </c>
      <c r="K265" s="3" t="b">
        <f t="shared" si="6"/>
        <v>0</v>
      </c>
      <c r="M265" s="3" t="str">
        <f t="shared" si="7"/>
        <v>#N/A</v>
      </c>
      <c r="AU265" s="7"/>
      <c r="AV265" s="6"/>
      <c r="AW265" s="8"/>
      <c r="AX265" s="7"/>
      <c r="AY265" s="6"/>
      <c r="AZ265" s="8"/>
      <c r="BA265" s="7"/>
      <c r="BB265" s="6"/>
      <c r="BC265" s="8"/>
      <c r="BD265" s="7"/>
      <c r="BE265" s="6"/>
      <c r="BF265" s="8"/>
      <c r="BG265" s="7"/>
      <c r="BH265" s="6"/>
      <c r="BI265" s="8"/>
      <c r="BJ265" s="7"/>
      <c r="BK265" s="6"/>
      <c r="BL265" s="8"/>
      <c r="BM265" s="7"/>
      <c r="BN265" s="6"/>
      <c r="BO265" s="8"/>
      <c r="BP265" s="7"/>
      <c r="BQ265" s="6"/>
      <c r="BR265" s="8"/>
    </row>
    <row r="266">
      <c r="A266" s="6"/>
      <c r="B266" s="6" t="s">
        <v>266</v>
      </c>
      <c r="C266" s="3" t="str">
        <f t="shared" si="1"/>
        <v>_plaid magenta</v>
      </c>
      <c r="D266" s="3" t="str">
        <f t="shared" si="8"/>
        <v>#N/A</v>
      </c>
      <c r="E266" s="3" t="b">
        <f t="shared" si="2"/>
        <v>0</v>
      </c>
      <c r="G266" s="3" t="str">
        <f t="shared" si="3"/>
        <v>#N/A</v>
      </c>
      <c r="H266" s="3" t="b">
        <f t="shared" si="4"/>
        <v>0</v>
      </c>
      <c r="J266" s="3" t="str">
        <f t="shared" si="5"/>
        <v>#N/A</v>
      </c>
      <c r="K266" s="3" t="b">
        <f t="shared" si="6"/>
        <v>0</v>
      </c>
      <c r="M266" s="3" t="str">
        <f t="shared" si="7"/>
        <v>#N/A</v>
      </c>
      <c r="AU266" s="7"/>
      <c r="AV266" s="6"/>
      <c r="AW266" s="8"/>
      <c r="AX266" s="7"/>
      <c r="AY266" s="6"/>
      <c r="AZ266" s="8"/>
      <c r="BA266" s="7"/>
      <c r="BB266" s="6"/>
      <c r="BC266" s="8"/>
      <c r="BD266" s="7"/>
      <c r="BE266" s="6"/>
      <c r="BF266" s="8"/>
      <c r="BG266" s="7"/>
      <c r="BH266" s="6"/>
      <c r="BI266" s="8"/>
      <c r="BJ266" s="7"/>
      <c r="BK266" s="6"/>
      <c r="BL266" s="8"/>
      <c r="BM266" s="7"/>
      <c r="BN266" s="6"/>
      <c r="BO266" s="8"/>
      <c r="BP266" s="7"/>
      <c r="BQ266" s="6"/>
      <c r="BR266" s="8"/>
    </row>
    <row r="267">
      <c r="A267" s="6"/>
      <c r="B267" s="6" t="s">
        <v>267</v>
      </c>
      <c r="C267" s="3" t="str">
        <f t="shared" si="1"/>
        <v>_clear tomato</v>
      </c>
      <c r="D267" s="3" t="str">
        <f t="shared" si="8"/>
        <v>#N/A</v>
      </c>
      <c r="E267" s="3" t="b">
        <f t="shared" si="2"/>
        <v>0</v>
      </c>
      <c r="G267" s="3" t="str">
        <f t="shared" si="3"/>
        <v>#N/A</v>
      </c>
      <c r="H267" s="3" t="b">
        <f t="shared" si="4"/>
        <v>0</v>
      </c>
      <c r="J267" s="3" t="str">
        <f t="shared" si="5"/>
        <v>#N/A</v>
      </c>
      <c r="K267" s="3" t="b">
        <f t="shared" si="6"/>
        <v>0</v>
      </c>
      <c r="M267" s="3" t="str">
        <f t="shared" si="7"/>
        <v>#N/A</v>
      </c>
      <c r="AU267" s="7"/>
      <c r="AV267" s="6"/>
      <c r="AW267" s="8"/>
      <c r="AX267" s="7"/>
      <c r="AY267" s="6"/>
      <c r="AZ267" s="8"/>
      <c r="BA267" s="7"/>
      <c r="BB267" s="6"/>
      <c r="BC267" s="8"/>
      <c r="BD267" s="7"/>
      <c r="BE267" s="6"/>
      <c r="BF267" s="8"/>
      <c r="BG267" s="7"/>
      <c r="BH267" s="6"/>
      <c r="BI267" s="8"/>
      <c r="BJ267" s="7"/>
      <c r="BK267" s="6"/>
      <c r="BL267" s="8"/>
      <c r="BM267" s="7"/>
      <c r="BN267" s="6"/>
      <c r="BO267" s="8"/>
      <c r="BP267" s="7"/>
      <c r="BQ267" s="6"/>
      <c r="BR267" s="8"/>
    </row>
    <row r="268">
      <c r="A268" s="6"/>
      <c r="B268" s="6" t="s">
        <v>268</v>
      </c>
      <c r="C268" s="3" t="str">
        <f t="shared" si="1"/>
        <v>_clear yellow</v>
      </c>
      <c r="D268" s="3" t="str">
        <f t="shared" si="8"/>
        <v>#N/A</v>
      </c>
      <c r="E268" s="3" t="b">
        <f t="shared" si="2"/>
        <v>0</v>
      </c>
      <c r="G268" s="3" t="str">
        <f t="shared" si="3"/>
        <v>#N/A</v>
      </c>
      <c r="H268" s="3" t="b">
        <f t="shared" si="4"/>
        <v>0</v>
      </c>
      <c r="J268" s="3" t="str">
        <f t="shared" si="5"/>
        <v>#N/A</v>
      </c>
      <c r="K268" s="3" t="b">
        <f t="shared" si="6"/>
        <v>0</v>
      </c>
      <c r="M268" s="3" t="str">
        <f t="shared" si="7"/>
        <v>#N/A</v>
      </c>
      <c r="AU268" s="7"/>
      <c r="AV268" s="6"/>
      <c r="AW268" s="8"/>
      <c r="AX268" s="7"/>
      <c r="AY268" s="6"/>
      <c r="AZ268" s="8"/>
      <c r="BA268" s="7"/>
      <c r="BB268" s="6"/>
      <c r="BC268" s="8"/>
      <c r="BD268" s="7"/>
      <c r="BE268" s="6"/>
      <c r="BF268" s="8"/>
      <c r="BG268" s="7"/>
      <c r="BH268" s="6"/>
      <c r="BI268" s="8"/>
      <c r="BJ268" s="7"/>
      <c r="BK268" s="6"/>
      <c r="BL268" s="8"/>
      <c r="BM268" s="7"/>
      <c r="BN268" s="6"/>
      <c r="BO268" s="8"/>
      <c r="BP268" s="7"/>
      <c r="BQ268" s="6"/>
      <c r="BR268" s="8"/>
    </row>
    <row r="269">
      <c r="A269" s="6"/>
      <c r="B269" s="6" t="s">
        <v>269</v>
      </c>
      <c r="C269" s="3" t="str">
        <f t="shared" si="1"/>
        <v>_dark gray</v>
      </c>
      <c r="D269" s="3" t="str">
        <f t="shared" si="8"/>
        <v>#N/A</v>
      </c>
      <c r="E269" s="3" t="b">
        <f t="shared" si="2"/>
        <v>0</v>
      </c>
      <c r="G269" s="3" t="str">
        <f t="shared" si="3"/>
        <v>#N/A</v>
      </c>
      <c r="H269" s="3" t="b">
        <f t="shared" si="4"/>
        <v>0</v>
      </c>
      <c r="J269" s="3" t="str">
        <f t="shared" si="5"/>
        <v>#N/A</v>
      </c>
      <c r="K269" s="3" t="b">
        <f t="shared" si="6"/>
        <v>0</v>
      </c>
      <c r="M269" s="3" t="str">
        <f t="shared" si="7"/>
        <v>#N/A</v>
      </c>
      <c r="AU269" s="7"/>
      <c r="AV269" s="6"/>
      <c r="AW269" s="8"/>
      <c r="AX269" s="7"/>
      <c r="AY269" s="6"/>
      <c r="AZ269" s="8"/>
      <c r="BA269" s="7"/>
      <c r="BB269" s="6"/>
      <c r="BC269" s="8"/>
      <c r="BD269" s="7"/>
      <c r="BE269" s="6"/>
      <c r="BF269" s="8"/>
      <c r="BG269" s="7"/>
      <c r="BH269" s="6"/>
      <c r="BI269" s="8"/>
      <c r="BJ269" s="7"/>
      <c r="BK269" s="6"/>
      <c r="BL269" s="8"/>
      <c r="BM269" s="7"/>
      <c r="BN269" s="6"/>
      <c r="BO269" s="8"/>
      <c r="BP269" s="7"/>
      <c r="BQ269" s="6"/>
      <c r="BR269" s="8"/>
    </row>
    <row r="270">
      <c r="A270" s="6"/>
      <c r="B270" s="6" t="s">
        <v>270</v>
      </c>
      <c r="C270" s="3" t="str">
        <f t="shared" si="1"/>
        <v>_light magenta</v>
      </c>
      <c r="D270" s="3" t="str">
        <f t="shared" si="8"/>
        <v>#N/A</v>
      </c>
      <c r="E270" s="3" t="b">
        <f t="shared" si="2"/>
        <v>0</v>
      </c>
      <c r="G270" s="3" t="str">
        <f t="shared" si="3"/>
        <v>#N/A</v>
      </c>
      <c r="H270" s="3" t="b">
        <f t="shared" si="4"/>
        <v>0</v>
      </c>
      <c r="J270" s="3" t="str">
        <f t="shared" si="5"/>
        <v>#N/A</v>
      </c>
      <c r="K270" s="3" t="b">
        <f t="shared" si="6"/>
        <v>0</v>
      </c>
      <c r="M270" s="3" t="str">
        <f t="shared" si="7"/>
        <v>#N/A</v>
      </c>
      <c r="AU270" s="7"/>
      <c r="AV270" s="6"/>
      <c r="AW270" s="8"/>
      <c r="AX270" s="7"/>
      <c r="AY270" s="6"/>
      <c r="AZ270" s="8"/>
      <c r="BA270" s="7"/>
      <c r="BB270" s="6"/>
      <c r="BC270" s="8"/>
      <c r="BD270" s="7"/>
      <c r="BE270" s="6"/>
      <c r="BF270" s="8"/>
      <c r="BG270" s="7"/>
      <c r="BH270" s="6"/>
      <c r="BI270" s="8"/>
      <c r="BJ270" s="7"/>
      <c r="BK270" s="6"/>
      <c r="BL270" s="8"/>
      <c r="BM270" s="7"/>
      <c r="BN270" s="6"/>
      <c r="BO270" s="8"/>
      <c r="BP270" s="7"/>
      <c r="BQ270" s="6"/>
      <c r="BR270" s="8"/>
    </row>
    <row r="271">
      <c r="A271" s="6"/>
      <c r="B271" s="6" t="s">
        <v>271</v>
      </c>
      <c r="C271" s="3" t="str">
        <f t="shared" si="1"/>
        <v>_shiny indigo</v>
      </c>
      <c r="D271" s="3" t="str">
        <f t="shared" si="8"/>
        <v>#N/A</v>
      </c>
      <c r="E271" s="3" t="b">
        <f t="shared" si="2"/>
        <v>0</v>
      </c>
      <c r="G271" s="3" t="str">
        <f t="shared" si="3"/>
        <v>#N/A</v>
      </c>
      <c r="H271" s="3" t="b">
        <f t="shared" si="4"/>
        <v>0</v>
      </c>
      <c r="J271" s="3" t="str">
        <f t="shared" si="5"/>
        <v>#N/A</v>
      </c>
      <c r="K271" s="3" t="b">
        <f t="shared" si="6"/>
        <v>0</v>
      </c>
      <c r="M271" s="3" t="str">
        <f t="shared" si="7"/>
        <v>#N/A</v>
      </c>
      <c r="AU271" s="7"/>
      <c r="AV271" s="6"/>
      <c r="AW271" s="8"/>
      <c r="AX271" s="7"/>
      <c r="AY271" s="6"/>
      <c r="AZ271" s="8"/>
      <c r="BA271" s="7"/>
      <c r="BB271" s="6"/>
      <c r="BC271" s="8"/>
      <c r="BD271" s="7"/>
      <c r="BE271" s="6"/>
      <c r="BF271" s="8"/>
      <c r="BG271" s="7"/>
      <c r="BH271" s="6"/>
      <c r="BI271" s="8"/>
      <c r="BJ271" s="7"/>
      <c r="BK271" s="6"/>
      <c r="BL271" s="8"/>
      <c r="BM271" s="7"/>
      <c r="BN271" s="6"/>
      <c r="BO271" s="8"/>
      <c r="BP271" s="7"/>
      <c r="BQ271" s="6"/>
      <c r="BR271" s="8"/>
    </row>
    <row r="272">
      <c r="A272" s="6"/>
      <c r="B272" s="6" t="s">
        <v>272</v>
      </c>
      <c r="C272" s="3" t="str">
        <f t="shared" si="1"/>
        <v>_muted gray</v>
      </c>
      <c r="D272" s="3" t="str">
        <f t="shared" si="8"/>
        <v>#N/A</v>
      </c>
      <c r="E272" s="3" t="b">
        <f t="shared" si="2"/>
        <v>0</v>
      </c>
      <c r="G272" s="3" t="str">
        <f t="shared" si="3"/>
        <v>#N/A</v>
      </c>
      <c r="H272" s="3" t="b">
        <f t="shared" si="4"/>
        <v>0</v>
      </c>
      <c r="J272" s="3" t="str">
        <f t="shared" si="5"/>
        <v>#N/A</v>
      </c>
      <c r="K272" s="3" t="b">
        <f t="shared" si="6"/>
        <v>0</v>
      </c>
      <c r="M272" s="3" t="str">
        <f t="shared" si="7"/>
        <v>#N/A</v>
      </c>
      <c r="AU272" s="7"/>
      <c r="AV272" s="6"/>
      <c r="AW272" s="8"/>
      <c r="AX272" s="7"/>
      <c r="AY272" s="6"/>
      <c r="AZ272" s="8"/>
      <c r="BA272" s="7"/>
      <c r="BB272" s="6"/>
      <c r="BC272" s="8"/>
      <c r="BD272" s="7"/>
      <c r="BE272" s="6"/>
      <c r="BF272" s="8"/>
      <c r="BG272" s="7"/>
      <c r="BH272" s="6"/>
      <c r="BI272" s="8"/>
      <c r="BJ272" s="7"/>
      <c r="BK272" s="6"/>
      <c r="BL272" s="8"/>
      <c r="BM272" s="7"/>
      <c r="BN272" s="6"/>
      <c r="BO272" s="8"/>
      <c r="BP272" s="7"/>
      <c r="BQ272" s="6"/>
      <c r="BR272" s="8"/>
    </row>
    <row r="273">
      <c r="A273" s="6"/>
      <c r="B273" s="6" t="s">
        <v>273</v>
      </c>
      <c r="C273" s="3" t="str">
        <f t="shared" si="1"/>
        <v>_wavy lavender</v>
      </c>
      <c r="D273" s="3" t="str">
        <f t="shared" si="8"/>
        <v>#N/A</v>
      </c>
      <c r="E273" s="3" t="b">
        <f t="shared" si="2"/>
        <v>0</v>
      </c>
      <c r="G273" s="3" t="str">
        <f t="shared" si="3"/>
        <v>#N/A</v>
      </c>
      <c r="H273" s="3" t="b">
        <f t="shared" si="4"/>
        <v>0</v>
      </c>
      <c r="J273" s="3" t="str">
        <f t="shared" si="5"/>
        <v>#N/A</v>
      </c>
      <c r="K273" s="3" t="b">
        <f t="shared" si="6"/>
        <v>0</v>
      </c>
      <c r="M273" s="3" t="str">
        <f t="shared" si="7"/>
        <v>#N/A</v>
      </c>
      <c r="AU273" s="7"/>
      <c r="AV273" s="6"/>
      <c r="AW273" s="8"/>
      <c r="AX273" s="7"/>
      <c r="AY273" s="6"/>
      <c r="AZ273" s="8"/>
      <c r="BA273" s="7"/>
      <c r="BB273" s="6"/>
      <c r="BC273" s="8"/>
      <c r="BD273" s="7"/>
      <c r="BE273" s="6"/>
      <c r="BF273" s="8"/>
      <c r="BG273" s="7"/>
      <c r="BH273" s="6"/>
      <c r="BI273" s="8"/>
      <c r="BJ273" s="7"/>
      <c r="BK273" s="6"/>
      <c r="BL273" s="8"/>
      <c r="BM273" s="7"/>
      <c r="BN273" s="6"/>
      <c r="BO273" s="8"/>
      <c r="BP273" s="7"/>
      <c r="BQ273" s="6"/>
      <c r="BR273" s="8"/>
    </row>
    <row r="274">
      <c r="A274" s="6"/>
      <c r="B274" s="6" t="s">
        <v>274</v>
      </c>
      <c r="C274" s="3" t="str">
        <f t="shared" si="1"/>
        <v>_faded olive</v>
      </c>
      <c r="D274" s="3" t="str">
        <f t="shared" si="8"/>
        <v>#N/A</v>
      </c>
      <c r="E274" s="3" t="b">
        <f t="shared" si="2"/>
        <v>0</v>
      </c>
      <c r="G274" s="3" t="str">
        <f t="shared" si="3"/>
        <v>#N/A</v>
      </c>
      <c r="H274" s="3" t="b">
        <f t="shared" si="4"/>
        <v>0</v>
      </c>
      <c r="J274" s="3" t="str">
        <f t="shared" si="5"/>
        <v>#N/A</v>
      </c>
      <c r="K274" s="3" t="b">
        <f t="shared" si="6"/>
        <v>0</v>
      </c>
      <c r="M274" s="3" t="str">
        <f t="shared" si="7"/>
        <v>#N/A</v>
      </c>
      <c r="AU274" s="7"/>
      <c r="AV274" s="6"/>
      <c r="AW274" s="8"/>
      <c r="AX274" s="7"/>
      <c r="AY274" s="6"/>
      <c r="AZ274" s="8"/>
      <c r="BA274" s="7"/>
      <c r="BB274" s="6"/>
      <c r="BC274" s="8"/>
      <c r="BD274" s="7"/>
      <c r="BE274" s="6"/>
      <c r="BF274" s="8"/>
      <c r="BG274" s="7"/>
      <c r="BH274" s="6"/>
      <c r="BI274" s="8"/>
      <c r="BJ274" s="7"/>
      <c r="BK274" s="6"/>
      <c r="BL274" s="8"/>
      <c r="BM274" s="7"/>
      <c r="BN274" s="6"/>
      <c r="BO274" s="8"/>
      <c r="BP274" s="7"/>
      <c r="BQ274" s="6"/>
      <c r="BR274" s="8"/>
    </row>
    <row r="275">
      <c r="A275" s="6"/>
      <c r="B275" s="6" t="s">
        <v>275</v>
      </c>
      <c r="C275" s="3" t="str">
        <f t="shared" si="1"/>
        <v>_muted crimson</v>
      </c>
      <c r="D275" s="3" t="str">
        <f t="shared" si="8"/>
        <v>#N/A</v>
      </c>
      <c r="E275" s="3" t="b">
        <f t="shared" si="2"/>
        <v>0</v>
      </c>
      <c r="G275" s="3" t="str">
        <f t="shared" si="3"/>
        <v>#N/A</v>
      </c>
      <c r="H275" s="3" t="b">
        <f t="shared" si="4"/>
        <v>0</v>
      </c>
      <c r="J275" s="3" t="str">
        <f t="shared" si="5"/>
        <v>#N/A</v>
      </c>
      <c r="K275" s="3" t="b">
        <f t="shared" si="6"/>
        <v>0</v>
      </c>
      <c r="M275" s="3" t="str">
        <f t="shared" si="7"/>
        <v>#N/A</v>
      </c>
      <c r="AU275" s="7"/>
      <c r="AV275" s="6"/>
      <c r="AW275" s="8"/>
      <c r="AX275" s="7"/>
      <c r="AY275" s="6"/>
      <c r="AZ275" s="8"/>
      <c r="BA275" s="7"/>
      <c r="BB275" s="6"/>
      <c r="BC275" s="8"/>
      <c r="BD275" s="7"/>
      <c r="BE275" s="6"/>
      <c r="BF275" s="8"/>
      <c r="BG275" s="7"/>
      <c r="BH275" s="6"/>
      <c r="BI275" s="8"/>
      <c r="BJ275" s="7"/>
      <c r="BK275" s="6"/>
      <c r="BL275" s="8"/>
      <c r="BM275" s="7"/>
      <c r="BN275" s="6"/>
      <c r="BO275" s="8"/>
      <c r="BP275" s="7"/>
      <c r="BQ275" s="6"/>
      <c r="BR275" s="8"/>
    </row>
    <row r="276">
      <c r="A276" s="6"/>
      <c r="B276" s="6" t="s">
        <v>276</v>
      </c>
      <c r="C276" s="3" t="str">
        <f t="shared" si="1"/>
        <v>_drab chartreuse</v>
      </c>
      <c r="D276" s="3" t="str">
        <f t="shared" si="8"/>
        <v>#N/A</v>
      </c>
      <c r="E276" s="3" t="b">
        <f t="shared" si="2"/>
        <v>0</v>
      </c>
      <c r="G276" s="3" t="str">
        <f t="shared" si="3"/>
        <v>#N/A</v>
      </c>
      <c r="H276" s="3" t="b">
        <f t="shared" si="4"/>
        <v>0</v>
      </c>
      <c r="J276" s="3" t="str">
        <f t="shared" si="5"/>
        <v>#N/A</v>
      </c>
      <c r="K276" s="3" t="b">
        <f t="shared" si="6"/>
        <v>0</v>
      </c>
      <c r="M276" s="3" t="str">
        <f t="shared" si="7"/>
        <v>#N/A</v>
      </c>
      <c r="AU276" s="7"/>
      <c r="AV276" s="6"/>
      <c r="AW276" s="8"/>
      <c r="AX276" s="7"/>
      <c r="AY276" s="6"/>
      <c r="AZ276" s="8"/>
      <c r="BA276" s="7"/>
      <c r="BB276" s="6"/>
      <c r="BC276" s="8"/>
      <c r="BD276" s="7"/>
      <c r="BE276" s="6"/>
      <c r="BF276" s="8"/>
      <c r="BG276" s="7"/>
      <c r="BH276" s="6"/>
      <c r="BI276" s="8"/>
      <c r="BJ276" s="7"/>
      <c r="BK276" s="6"/>
      <c r="BL276" s="8"/>
      <c r="BM276" s="7"/>
      <c r="BN276" s="6"/>
      <c r="BO276" s="8"/>
      <c r="BP276" s="7"/>
      <c r="BQ276" s="6"/>
      <c r="BR276" s="8"/>
    </row>
    <row r="277">
      <c r="A277" s="6"/>
      <c r="B277" s="6" t="s">
        <v>277</v>
      </c>
      <c r="C277" s="3" t="str">
        <f t="shared" si="1"/>
        <v>_wavy cyan</v>
      </c>
      <c r="D277" s="3" t="str">
        <f t="shared" si="8"/>
        <v>#N/A</v>
      </c>
      <c r="E277" s="3" t="b">
        <f t="shared" si="2"/>
        <v>0</v>
      </c>
      <c r="G277" s="3" t="str">
        <f t="shared" si="3"/>
        <v>#N/A</v>
      </c>
      <c r="H277" s="3" t="b">
        <f t="shared" si="4"/>
        <v>0</v>
      </c>
      <c r="J277" s="3" t="str">
        <f t="shared" si="5"/>
        <v>#N/A</v>
      </c>
      <c r="K277" s="3" t="b">
        <f t="shared" si="6"/>
        <v>0</v>
      </c>
      <c r="M277" s="3" t="str">
        <f t="shared" si="7"/>
        <v>#N/A</v>
      </c>
      <c r="AU277" s="7"/>
      <c r="AV277" s="6"/>
      <c r="AW277" s="8"/>
      <c r="AX277" s="7"/>
      <c r="AY277" s="6"/>
      <c r="AZ277" s="8"/>
      <c r="BA277" s="7"/>
      <c r="BB277" s="6"/>
      <c r="BC277" s="8"/>
      <c r="BD277" s="7"/>
      <c r="BE277" s="6"/>
      <c r="BF277" s="8"/>
      <c r="BG277" s="7"/>
      <c r="BH277" s="6"/>
      <c r="BI277" s="8"/>
      <c r="BJ277" s="7"/>
      <c r="BK277" s="6"/>
      <c r="BL277" s="8"/>
      <c r="BM277" s="7"/>
      <c r="BN277" s="6"/>
      <c r="BO277" s="8"/>
      <c r="BP277" s="7"/>
      <c r="BQ277" s="6"/>
      <c r="BR277" s="8"/>
    </row>
    <row r="278">
      <c r="A278" s="6"/>
      <c r="B278" s="6" t="s">
        <v>278</v>
      </c>
      <c r="C278" s="3" t="str">
        <f t="shared" si="1"/>
        <v>_mirrored plum</v>
      </c>
      <c r="D278" s="3" t="str">
        <f t="shared" si="8"/>
        <v>#N/A</v>
      </c>
      <c r="E278" s="3" t="b">
        <f t="shared" si="2"/>
        <v>0</v>
      </c>
      <c r="G278" s="3" t="str">
        <f t="shared" si="3"/>
        <v>#N/A</v>
      </c>
      <c r="H278" s="3" t="b">
        <f t="shared" si="4"/>
        <v>0</v>
      </c>
      <c r="J278" s="3" t="str">
        <f t="shared" si="5"/>
        <v>#N/A</v>
      </c>
      <c r="K278" s="3" t="b">
        <f t="shared" si="6"/>
        <v>0</v>
      </c>
      <c r="M278" s="3" t="str">
        <f t="shared" si="7"/>
        <v>#N/A</v>
      </c>
      <c r="AU278" s="7"/>
      <c r="AV278" s="6"/>
      <c r="AW278" s="8"/>
      <c r="AX278" s="7"/>
      <c r="AY278" s="6"/>
      <c r="AZ278" s="8"/>
      <c r="BA278" s="7"/>
      <c r="BB278" s="6"/>
      <c r="BC278" s="8"/>
      <c r="BD278" s="7"/>
      <c r="BE278" s="6"/>
      <c r="BF278" s="8"/>
      <c r="BG278" s="7"/>
      <c r="BH278" s="6"/>
      <c r="BI278" s="8"/>
      <c r="BJ278" s="7"/>
      <c r="BK278" s="6"/>
      <c r="BL278" s="8"/>
      <c r="BM278" s="7"/>
      <c r="BN278" s="6"/>
      <c r="BO278" s="8"/>
      <c r="BP278" s="7"/>
      <c r="BQ278" s="6"/>
      <c r="BR278" s="8"/>
    </row>
    <row r="279">
      <c r="A279" s="6"/>
      <c r="B279" s="6" t="s">
        <v>279</v>
      </c>
      <c r="C279" s="3" t="str">
        <f t="shared" si="1"/>
        <v>_plaid lavender</v>
      </c>
      <c r="D279" s="3" t="str">
        <f t="shared" si="8"/>
        <v>#N/A</v>
      </c>
      <c r="E279" s="3" t="b">
        <f t="shared" si="2"/>
        <v>0</v>
      </c>
      <c r="G279" s="3" t="str">
        <f t="shared" si="3"/>
        <v>#N/A</v>
      </c>
      <c r="H279" s="3" t="b">
        <f t="shared" si="4"/>
        <v>0</v>
      </c>
      <c r="J279" s="3" t="str">
        <f t="shared" si="5"/>
        <v>#N/A</v>
      </c>
      <c r="K279" s="3" t="b">
        <f t="shared" si="6"/>
        <v>0</v>
      </c>
      <c r="M279" s="3" t="str">
        <f t="shared" si="7"/>
        <v>#N/A</v>
      </c>
      <c r="AU279" s="7"/>
      <c r="AV279" s="6"/>
      <c r="AW279" s="8"/>
      <c r="AX279" s="7"/>
      <c r="AY279" s="6"/>
      <c r="AZ279" s="8"/>
      <c r="BA279" s="7"/>
      <c r="BB279" s="6"/>
      <c r="BC279" s="8"/>
      <c r="BD279" s="7"/>
      <c r="BE279" s="6"/>
      <c r="BF279" s="8"/>
      <c r="BG279" s="7"/>
      <c r="BH279" s="6"/>
      <c r="BI279" s="8"/>
      <c r="BJ279" s="7"/>
      <c r="BK279" s="6"/>
      <c r="BL279" s="8"/>
      <c r="BM279" s="7"/>
      <c r="BN279" s="6"/>
      <c r="BO279" s="8"/>
      <c r="BP279" s="7"/>
      <c r="BQ279" s="6"/>
      <c r="BR279" s="8"/>
    </row>
    <row r="280">
      <c r="A280" s="6"/>
      <c r="B280" s="6" t="s">
        <v>280</v>
      </c>
      <c r="C280" s="3" t="str">
        <f t="shared" si="1"/>
        <v>_muted gold</v>
      </c>
      <c r="D280" s="3" t="str">
        <f t="shared" si="8"/>
        <v>#N/A</v>
      </c>
      <c r="E280" s="3" t="b">
        <f t="shared" si="2"/>
        <v>0</v>
      </c>
      <c r="G280" s="3" t="str">
        <f t="shared" si="3"/>
        <v>#N/A</v>
      </c>
      <c r="H280" s="3" t="b">
        <f t="shared" si="4"/>
        <v>0</v>
      </c>
      <c r="J280" s="3" t="str">
        <f t="shared" si="5"/>
        <v>#N/A</v>
      </c>
      <c r="K280" s="3" t="b">
        <f t="shared" si="6"/>
        <v>0</v>
      </c>
      <c r="M280" s="3" t="str">
        <f t="shared" si="7"/>
        <v>#N/A</v>
      </c>
      <c r="AU280" s="7"/>
      <c r="AV280" s="6"/>
      <c r="AW280" s="8"/>
      <c r="AX280" s="7"/>
      <c r="AY280" s="6"/>
      <c r="AZ280" s="8"/>
      <c r="BA280" s="7"/>
      <c r="BB280" s="6"/>
      <c r="BC280" s="8"/>
      <c r="BD280" s="7"/>
      <c r="BE280" s="6"/>
      <c r="BF280" s="8"/>
      <c r="BG280" s="7"/>
      <c r="BH280" s="6"/>
      <c r="BI280" s="8"/>
      <c r="BJ280" s="7"/>
      <c r="BK280" s="6"/>
      <c r="BL280" s="8"/>
      <c r="BM280" s="7"/>
      <c r="BN280" s="6"/>
      <c r="BO280" s="8"/>
      <c r="BP280" s="7"/>
      <c r="BQ280" s="6"/>
      <c r="BR280" s="8"/>
    </row>
    <row r="281">
      <c r="A281" s="6"/>
      <c r="B281" s="6" t="s">
        <v>281</v>
      </c>
      <c r="C281" s="3" t="str">
        <f t="shared" si="1"/>
        <v>_faded bronze</v>
      </c>
      <c r="D281" s="3" t="str">
        <f t="shared" si="8"/>
        <v>#N/A</v>
      </c>
      <c r="E281" s="3" t="b">
        <f t="shared" si="2"/>
        <v>0</v>
      </c>
      <c r="G281" s="3" t="str">
        <f t="shared" si="3"/>
        <v>#N/A</v>
      </c>
      <c r="H281" s="3" t="b">
        <f t="shared" si="4"/>
        <v>0</v>
      </c>
      <c r="J281" s="3" t="str">
        <f t="shared" si="5"/>
        <v>#N/A</v>
      </c>
      <c r="K281" s="3" t="b">
        <f t="shared" si="6"/>
        <v>0</v>
      </c>
      <c r="M281" s="3" t="str">
        <f t="shared" si="7"/>
        <v>#N/A</v>
      </c>
      <c r="AU281" s="7"/>
      <c r="AV281" s="6"/>
      <c r="AW281" s="8"/>
      <c r="AX281" s="7"/>
      <c r="AY281" s="6"/>
      <c r="AZ281" s="8"/>
      <c r="BA281" s="7"/>
      <c r="BB281" s="6"/>
      <c r="BC281" s="8"/>
      <c r="BD281" s="7"/>
      <c r="BE281" s="6"/>
      <c r="BF281" s="8"/>
      <c r="BG281" s="7"/>
      <c r="BH281" s="6"/>
      <c r="BI281" s="8"/>
      <c r="BJ281" s="7"/>
      <c r="BK281" s="6"/>
      <c r="BL281" s="8"/>
      <c r="BM281" s="7"/>
      <c r="BN281" s="6"/>
      <c r="BO281" s="8"/>
      <c r="BP281" s="7"/>
      <c r="BQ281" s="6"/>
      <c r="BR281" s="8"/>
    </row>
    <row r="282">
      <c r="A282" s="6"/>
      <c r="B282" s="6" t="s">
        <v>282</v>
      </c>
      <c r="C282" s="3" t="str">
        <f t="shared" si="1"/>
        <v>_clear turquoise</v>
      </c>
      <c r="D282" s="3" t="str">
        <f t="shared" si="8"/>
        <v>#N/A</v>
      </c>
      <c r="E282" s="3" t="b">
        <f t="shared" si="2"/>
        <v>0</v>
      </c>
      <c r="G282" s="3" t="str">
        <f t="shared" si="3"/>
        <v>#N/A</v>
      </c>
      <c r="H282" s="3" t="b">
        <f t="shared" si="4"/>
        <v>0</v>
      </c>
      <c r="J282" s="3" t="str">
        <f t="shared" si="5"/>
        <v>#N/A</v>
      </c>
      <c r="K282" s="3" t="b">
        <f t="shared" si="6"/>
        <v>0</v>
      </c>
      <c r="M282" s="3" t="str">
        <f t="shared" si="7"/>
        <v>#N/A</v>
      </c>
      <c r="AU282" s="7"/>
      <c r="AV282" s="6"/>
      <c r="AW282" s="8"/>
      <c r="AX282" s="7"/>
      <c r="AY282" s="6"/>
      <c r="AZ282" s="8"/>
      <c r="BA282" s="7"/>
      <c r="BB282" s="6"/>
      <c r="BC282" s="8"/>
      <c r="BD282" s="7"/>
      <c r="BE282" s="6"/>
      <c r="BF282" s="8"/>
      <c r="BG282" s="7"/>
      <c r="BH282" s="6"/>
      <c r="BI282" s="8"/>
      <c r="BJ282" s="7"/>
      <c r="BK282" s="6"/>
      <c r="BL282" s="8"/>
      <c r="BM282" s="7"/>
      <c r="BN282" s="6"/>
      <c r="BO282" s="8"/>
      <c r="BP282" s="7"/>
      <c r="BQ282" s="6"/>
      <c r="BR282" s="8"/>
    </row>
    <row r="283">
      <c r="A283" s="6"/>
      <c r="B283" s="6" t="s">
        <v>283</v>
      </c>
      <c r="C283" s="3" t="str">
        <f t="shared" si="1"/>
        <v>_vibrant gray</v>
      </c>
      <c r="D283" s="3" t="str">
        <f t="shared" si="8"/>
        <v>#N/A</v>
      </c>
      <c r="E283" s="3" t="b">
        <f t="shared" si="2"/>
        <v>0</v>
      </c>
      <c r="G283" s="3" t="str">
        <f t="shared" si="3"/>
        <v>#N/A</v>
      </c>
      <c r="H283" s="3" t="b">
        <f t="shared" si="4"/>
        <v>0</v>
      </c>
      <c r="J283" s="3" t="str">
        <f t="shared" si="5"/>
        <v>#N/A</v>
      </c>
      <c r="K283" s="3" t="b">
        <f t="shared" si="6"/>
        <v>0</v>
      </c>
      <c r="M283" s="3" t="str">
        <f t="shared" si="7"/>
        <v>#N/A</v>
      </c>
      <c r="AU283" s="7"/>
      <c r="AV283" s="6"/>
      <c r="AW283" s="8"/>
      <c r="AX283" s="7"/>
      <c r="AY283" s="6"/>
      <c r="AZ283" s="8"/>
      <c r="BA283" s="7"/>
      <c r="BB283" s="6"/>
      <c r="BC283" s="8"/>
      <c r="BD283" s="7"/>
      <c r="BE283" s="6"/>
      <c r="BF283" s="8"/>
      <c r="BG283" s="7"/>
      <c r="BH283" s="6"/>
      <c r="BI283" s="8"/>
      <c r="BJ283" s="7"/>
      <c r="BK283" s="6"/>
      <c r="BL283" s="8"/>
      <c r="BM283" s="7"/>
      <c r="BN283" s="6"/>
      <c r="BO283" s="8"/>
      <c r="BP283" s="7"/>
      <c r="BQ283" s="6"/>
      <c r="BR283" s="8"/>
    </row>
    <row r="284">
      <c r="A284" s="6"/>
      <c r="B284" s="6" t="s">
        <v>284</v>
      </c>
      <c r="C284" s="3" t="str">
        <f t="shared" si="1"/>
        <v>_bright tan</v>
      </c>
      <c r="D284" s="3" t="str">
        <f t="shared" si="8"/>
        <v>#N/A</v>
      </c>
      <c r="E284" s="3" t="b">
        <f t="shared" si="2"/>
        <v>0</v>
      </c>
      <c r="G284" s="3" t="str">
        <f t="shared" si="3"/>
        <v>#N/A</v>
      </c>
      <c r="H284" s="3" t="b">
        <f t="shared" si="4"/>
        <v>0</v>
      </c>
      <c r="J284" s="3" t="str">
        <f t="shared" si="5"/>
        <v>#N/A</v>
      </c>
      <c r="K284" s="3" t="b">
        <f t="shared" si="6"/>
        <v>0</v>
      </c>
      <c r="M284" s="3" t="str">
        <f t="shared" si="7"/>
        <v>#N/A</v>
      </c>
      <c r="AU284" s="7"/>
      <c r="AV284" s="6"/>
      <c r="AW284" s="8"/>
      <c r="AX284" s="7"/>
      <c r="AY284" s="6"/>
      <c r="AZ284" s="8"/>
      <c r="BA284" s="7"/>
      <c r="BB284" s="6"/>
      <c r="BC284" s="8"/>
      <c r="BD284" s="7"/>
      <c r="BE284" s="6"/>
      <c r="BF284" s="8"/>
      <c r="BG284" s="7"/>
      <c r="BH284" s="6"/>
      <c r="BI284" s="8"/>
      <c r="BJ284" s="7"/>
      <c r="BK284" s="6"/>
      <c r="BL284" s="8"/>
      <c r="BM284" s="7"/>
      <c r="BN284" s="6"/>
      <c r="BO284" s="8"/>
      <c r="BP284" s="7"/>
      <c r="BQ284" s="6"/>
      <c r="BR284" s="8"/>
    </row>
    <row r="285">
      <c r="A285" s="6"/>
      <c r="B285" s="6" t="s">
        <v>285</v>
      </c>
      <c r="C285" s="3" t="str">
        <f t="shared" si="1"/>
        <v>_pale bronze</v>
      </c>
      <c r="D285" s="3" t="str">
        <f t="shared" si="8"/>
        <v>#N/A</v>
      </c>
      <c r="E285" s="3" t="b">
        <f t="shared" si="2"/>
        <v>0</v>
      </c>
      <c r="G285" s="3" t="str">
        <f t="shared" si="3"/>
        <v>#N/A</v>
      </c>
      <c r="H285" s="3" t="b">
        <f t="shared" si="4"/>
        <v>0</v>
      </c>
      <c r="J285" s="3" t="str">
        <f t="shared" si="5"/>
        <v>#N/A</v>
      </c>
      <c r="K285" s="3" t="b">
        <f t="shared" si="6"/>
        <v>0</v>
      </c>
      <c r="M285" s="3" t="str">
        <f t="shared" si="7"/>
        <v>#N/A</v>
      </c>
      <c r="AU285" s="7"/>
      <c r="AV285" s="6"/>
      <c r="AW285" s="8"/>
      <c r="AX285" s="7"/>
      <c r="AY285" s="6"/>
      <c r="AZ285" s="8"/>
      <c r="BA285" s="7"/>
      <c r="BB285" s="6"/>
      <c r="BC285" s="8"/>
      <c r="BD285" s="7"/>
      <c r="BE285" s="6"/>
      <c r="BF285" s="8"/>
      <c r="BG285" s="7"/>
      <c r="BH285" s="6"/>
      <c r="BI285" s="8"/>
      <c r="BJ285" s="7"/>
      <c r="BK285" s="6"/>
      <c r="BL285" s="8"/>
      <c r="BM285" s="7"/>
      <c r="BN285" s="6"/>
      <c r="BO285" s="8"/>
      <c r="BP285" s="7"/>
      <c r="BQ285" s="6"/>
      <c r="BR285" s="8"/>
    </row>
    <row r="286">
      <c r="A286" s="6"/>
      <c r="B286" s="6" t="s">
        <v>286</v>
      </c>
      <c r="C286" s="3" t="str">
        <f t="shared" si="1"/>
        <v>_clear plum</v>
      </c>
      <c r="D286" s="3" t="str">
        <f t="shared" si="8"/>
        <v>#N/A</v>
      </c>
      <c r="E286" s="3" t="b">
        <f t="shared" si="2"/>
        <v>0</v>
      </c>
      <c r="G286" s="3" t="str">
        <f t="shared" si="3"/>
        <v>#N/A</v>
      </c>
      <c r="H286" s="3" t="b">
        <f t="shared" si="4"/>
        <v>0</v>
      </c>
      <c r="J286" s="3" t="str">
        <f t="shared" si="5"/>
        <v>#N/A</v>
      </c>
      <c r="K286" s="3" t="b">
        <f t="shared" si="6"/>
        <v>0</v>
      </c>
      <c r="M286" s="3" t="str">
        <f t="shared" si="7"/>
        <v>#N/A</v>
      </c>
      <c r="AU286" s="7"/>
      <c r="AV286" s="6"/>
      <c r="AW286" s="8"/>
      <c r="AX286" s="7"/>
      <c r="AY286" s="6"/>
      <c r="AZ286" s="8"/>
      <c r="BA286" s="7"/>
      <c r="BB286" s="6"/>
      <c r="BC286" s="8"/>
      <c r="BD286" s="7"/>
      <c r="BE286" s="6"/>
      <c r="BF286" s="8"/>
      <c r="BG286" s="7"/>
      <c r="BH286" s="6"/>
      <c r="BI286" s="8"/>
      <c r="BJ286" s="7"/>
      <c r="BK286" s="6"/>
      <c r="BL286" s="8"/>
      <c r="BM286" s="7"/>
      <c r="BN286" s="6"/>
      <c r="BO286" s="8"/>
      <c r="BP286" s="7"/>
      <c r="BQ286" s="6"/>
      <c r="BR286" s="8"/>
    </row>
    <row r="287">
      <c r="A287" s="6"/>
      <c r="B287" s="6" t="s">
        <v>287</v>
      </c>
      <c r="C287" s="3" t="str">
        <f t="shared" si="1"/>
        <v>_posh turquoise</v>
      </c>
      <c r="D287" s="3" t="str">
        <f t="shared" si="8"/>
        <v>#N/A</v>
      </c>
      <c r="E287" s="3" t="b">
        <f t="shared" si="2"/>
        <v>0</v>
      </c>
      <c r="G287" s="3" t="str">
        <f t="shared" si="3"/>
        <v>#N/A</v>
      </c>
      <c r="H287" s="3" t="b">
        <f t="shared" si="4"/>
        <v>0</v>
      </c>
      <c r="J287" s="3" t="str">
        <f t="shared" si="5"/>
        <v>#N/A</v>
      </c>
      <c r="K287" s="3" t="b">
        <f t="shared" si="6"/>
        <v>0</v>
      </c>
      <c r="M287" s="3" t="str">
        <f t="shared" si="7"/>
        <v>#N/A</v>
      </c>
      <c r="AU287" s="7"/>
      <c r="AV287" s="6"/>
      <c r="AW287" s="8"/>
      <c r="AX287" s="7"/>
      <c r="AY287" s="6"/>
      <c r="AZ287" s="8"/>
      <c r="BA287" s="7"/>
      <c r="BB287" s="6"/>
      <c r="BC287" s="8"/>
      <c r="BD287" s="7"/>
      <c r="BE287" s="6"/>
      <c r="BF287" s="8"/>
      <c r="BG287" s="7"/>
      <c r="BH287" s="6"/>
      <c r="BI287" s="8"/>
      <c r="BJ287" s="7"/>
      <c r="BK287" s="6"/>
      <c r="BL287" s="8"/>
      <c r="BM287" s="7"/>
      <c r="BN287" s="6"/>
      <c r="BO287" s="8"/>
      <c r="BP287" s="7"/>
      <c r="BQ287" s="6"/>
      <c r="BR287" s="8"/>
    </row>
    <row r="288">
      <c r="A288" s="6"/>
      <c r="B288" s="6" t="s">
        <v>288</v>
      </c>
      <c r="C288" s="3" t="str">
        <f t="shared" si="1"/>
        <v>_posh teal</v>
      </c>
      <c r="D288" s="3" t="str">
        <f t="shared" si="8"/>
        <v>#N/A</v>
      </c>
      <c r="E288" s="3" t="b">
        <f t="shared" si="2"/>
        <v>0</v>
      </c>
      <c r="G288" s="3" t="str">
        <f t="shared" si="3"/>
        <v>#N/A</v>
      </c>
      <c r="H288" s="3" t="b">
        <f t="shared" si="4"/>
        <v>0</v>
      </c>
      <c r="J288" s="3" t="str">
        <f t="shared" si="5"/>
        <v>#N/A</v>
      </c>
      <c r="K288" s="3" t="b">
        <f t="shared" si="6"/>
        <v>0</v>
      </c>
      <c r="M288" s="3" t="str">
        <f t="shared" si="7"/>
        <v>#N/A</v>
      </c>
      <c r="AU288" s="7"/>
      <c r="AV288" s="6"/>
      <c r="AW288" s="8"/>
      <c r="AX288" s="7"/>
      <c r="AY288" s="6"/>
      <c r="AZ288" s="8"/>
      <c r="BA288" s="7"/>
      <c r="BB288" s="6"/>
      <c r="BC288" s="8"/>
      <c r="BD288" s="7"/>
      <c r="BE288" s="6"/>
      <c r="BF288" s="8"/>
      <c r="BG288" s="7"/>
      <c r="BH288" s="6"/>
      <c r="BI288" s="8"/>
      <c r="BJ288" s="7"/>
      <c r="BK288" s="6"/>
      <c r="BL288" s="8"/>
      <c r="BM288" s="7"/>
      <c r="BN288" s="6"/>
      <c r="BO288" s="8"/>
      <c r="BP288" s="7"/>
      <c r="BQ288" s="6"/>
      <c r="BR288" s="8"/>
    </row>
    <row r="289">
      <c r="A289" s="6"/>
      <c r="B289" s="6" t="s">
        <v>289</v>
      </c>
      <c r="C289" s="3" t="str">
        <f t="shared" si="1"/>
        <v>_dim yellow</v>
      </c>
      <c r="D289" s="3" t="str">
        <f t="shared" si="8"/>
        <v>#N/A</v>
      </c>
      <c r="E289" s="3" t="b">
        <f t="shared" si="2"/>
        <v>0</v>
      </c>
      <c r="G289" s="3" t="str">
        <f t="shared" si="3"/>
        <v>#N/A</v>
      </c>
      <c r="H289" s="3" t="b">
        <f t="shared" si="4"/>
        <v>0</v>
      </c>
      <c r="J289" s="3" t="str">
        <f t="shared" si="5"/>
        <v>#N/A</v>
      </c>
      <c r="K289" s="3" t="b">
        <f t="shared" si="6"/>
        <v>0</v>
      </c>
      <c r="M289" s="3" t="str">
        <f t="shared" si="7"/>
        <v>#N/A</v>
      </c>
      <c r="AU289" s="7"/>
      <c r="AV289" s="6"/>
      <c r="AW289" s="8"/>
      <c r="AX289" s="7"/>
      <c r="AY289" s="6"/>
      <c r="AZ289" s="8"/>
      <c r="BA289" s="7"/>
      <c r="BB289" s="6"/>
      <c r="BC289" s="8"/>
      <c r="BD289" s="7"/>
      <c r="BE289" s="6"/>
      <c r="BF289" s="8"/>
      <c r="BG289" s="7"/>
      <c r="BH289" s="6"/>
      <c r="BI289" s="8"/>
      <c r="BJ289" s="7"/>
      <c r="BK289" s="6"/>
      <c r="BL289" s="8"/>
      <c r="BM289" s="7"/>
      <c r="BN289" s="6"/>
      <c r="BO289" s="8"/>
      <c r="BP289" s="7"/>
      <c r="BQ289" s="6"/>
      <c r="BR289" s="8"/>
    </row>
    <row r="290">
      <c r="A290" s="6"/>
      <c r="B290" s="6" t="s">
        <v>290</v>
      </c>
      <c r="C290" s="3" t="str">
        <f t="shared" si="1"/>
        <v>_faded lavender</v>
      </c>
      <c r="D290" s="3" t="str">
        <f t="shared" si="8"/>
        <v>#N/A</v>
      </c>
      <c r="E290" s="3" t="b">
        <f t="shared" si="2"/>
        <v>0</v>
      </c>
      <c r="G290" s="3" t="str">
        <f t="shared" si="3"/>
        <v>#N/A</v>
      </c>
      <c r="H290" s="3" t="b">
        <f t="shared" si="4"/>
        <v>0</v>
      </c>
      <c r="J290" s="3" t="str">
        <f t="shared" si="5"/>
        <v>#N/A</v>
      </c>
      <c r="K290" s="3" t="b">
        <f t="shared" si="6"/>
        <v>0</v>
      </c>
      <c r="M290" s="3" t="str">
        <f t="shared" si="7"/>
        <v>#N/A</v>
      </c>
      <c r="AU290" s="7"/>
      <c r="AV290" s="6"/>
      <c r="AW290" s="8"/>
      <c r="AX290" s="7"/>
      <c r="AY290" s="6"/>
      <c r="AZ290" s="8"/>
      <c r="BA290" s="7"/>
      <c r="BB290" s="6"/>
      <c r="BC290" s="8"/>
      <c r="BD290" s="7"/>
      <c r="BE290" s="6"/>
      <c r="BF290" s="8"/>
      <c r="BG290" s="7"/>
      <c r="BH290" s="6"/>
      <c r="BI290" s="8"/>
      <c r="BJ290" s="7"/>
      <c r="BK290" s="6"/>
      <c r="BL290" s="8"/>
      <c r="BM290" s="7"/>
      <c r="BN290" s="6"/>
      <c r="BO290" s="8"/>
      <c r="BP290" s="7"/>
      <c r="BQ290" s="6"/>
      <c r="BR290" s="8"/>
    </row>
    <row r="291">
      <c r="A291" s="6"/>
      <c r="B291" s="6" t="s">
        <v>291</v>
      </c>
      <c r="C291" s="3" t="str">
        <f t="shared" si="1"/>
        <v>_wavy magenta</v>
      </c>
      <c r="D291" s="3" t="str">
        <f t="shared" si="8"/>
        <v>#N/A</v>
      </c>
      <c r="E291" s="3" t="b">
        <f t="shared" si="2"/>
        <v>0</v>
      </c>
      <c r="G291" s="3" t="str">
        <f t="shared" si="3"/>
        <v>#N/A</v>
      </c>
      <c r="H291" s="3" t="b">
        <f t="shared" si="4"/>
        <v>0</v>
      </c>
      <c r="J291" s="3" t="str">
        <f t="shared" si="5"/>
        <v>#N/A</v>
      </c>
      <c r="K291" s="3" t="b">
        <f t="shared" si="6"/>
        <v>0</v>
      </c>
      <c r="M291" s="3" t="str">
        <f t="shared" si="7"/>
        <v>#N/A</v>
      </c>
      <c r="AU291" s="7"/>
      <c r="AV291" s="6"/>
      <c r="AW291" s="8"/>
      <c r="AX291" s="7"/>
      <c r="AY291" s="6"/>
      <c r="AZ291" s="8"/>
      <c r="BA291" s="7"/>
      <c r="BB291" s="6"/>
      <c r="BC291" s="8"/>
      <c r="BD291" s="7"/>
      <c r="BE291" s="6"/>
      <c r="BF291" s="8"/>
      <c r="BG291" s="7"/>
      <c r="BH291" s="6"/>
      <c r="BI291" s="8"/>
      <c r="BJ291" s="7"/>
      <c r="BK291" s="6"/>
      <c r="BL291" s="8"/>
      <c r="BM291" s="7"/>
      <c r="BN291" s="6"/>
      <c r="BO291" s="8"/>
      <c r="BP291" s="7"/>
      <c r="BQ291" s="6"/>
      <c r="BR291" s="8"/>
    </row>
    <row r="292">
      <c r="A292" s="6"/>
      <c r="B292" s="6" t="s">
        <v>292</v>
      </c>
      <c r="C292" s="3" t="str">
        <f t="shared" si="1"/>
        <v>_dim brown</v>
      </c>
      <c r="D292" s="3" t="str">
        <f t="shared" si="8"/>
        <v>#N/A</v>
      </c>
      <c r="E292" s="3" t="b">
        <f t="shared" si="2"/>
        <v>0</v>
      </c>
      <c r="G292" s="3" t="str">
        <f t="shared" si="3"/>
        <v>#N/A</v>
      </c>
      <c r="H292" s="3" t="b">
        <f t="shared" si="4"/>
        <v>0</v>
      </c>
      <c r="J292" s="3" t="str">
        <f t="shared" si="5"/>
        <v>#N/A</v>
      </c>
      <c r="K292" s="3" t="b">
        <f t="shared" si="6"/>
        <v>0</v>
      </c>
      <c r="M292" s="3" t="str">
        <f t="shared" si="7"/>
        <v>#N/A</v>
      </c>
      <c r="AU292" s="7"/>
      <c r="AV292" s="6"/>
      <c r="AW292" s="8"/>
      <c r="AX292" s="7"/>
      <c r="AY292" s="6"/>
      <c r="AZ292" s="8"/>
      <c r="BA292" s="7"/>
      <c r="BB292" s="6"/>
      <c r="BC292" s="8"/>
      <c r="BD292" s="7"/>
      <c r="BE292" s="6"/>
      <c r="BF292" s="8"/>
      <c r="BG292" s="7"/>
      <c r="BH292" s="6"/>
      <c r="BI292" s="8"/>
      <c r="BJ292" s="7"/>
      <c r="BK292" s="6"/>
      <c r="BL292" s="8"/>
      <c r="BM292" s="7"/>
      <c r="BN292" s="6"/>
      <c r="BO292" s="8"/>
      <c r="BP292" s="7"/>
      <c r="BQ292" s="6"/>
      <c r="BR292" s="8"/>
    </row>
    <row r="293">
      <c r="A293" s="6"/>
      <c r="B293" s="6" t="s">
        <v>293</v>
      </c>
      <c r="C293" s="3" t="str">
        <f t="shared" si="1"/>
        <v>_light lime</v>
      </c>
      <c r="D293" s="3" t="str">
        <f t="shared" si="8"/>
        <v>#N/A</v>
      </c>
      <c r="E293" s="3" t="b">
        <f t="shared" si="2"/>
        <v>0</v>
      </c>
      <c r="G293" s="3" t="str">
        <f t="shared" si="3"/>
        <v>#N/A</v>
      </c>
      <c r="H293" s="3" t="b">
        <f t="shared" si="4"/>
        <v>0</v>
      </c>
      <c r="J293" s="3" t="str">
        <f t="shared" si="5"/>
        <v>#N/A</v>
      </c>
      <c r="K293" s="3" t="b">
        <f t="shared" si="6"/>
        <v>0</v>
      </c>
      <c r="M293" s="3" t="str">
        <f t="shared" si="7"/>
        <v>#N/A</v>
      </c>
      <c r="AU293" s="7"/>
      <c r="AV293" s="6"/>
      <c r="AW293" s="8"/>
      <c r="AX293" s="7"/>
      <c r="AY293" s="6"/>
      <c r="AZ293" s="8"/>
      <c r="BA293" s="7"/>
      <c r="BB293" s="6"/>
      <c r="BC293" s="8"/>
      <c r="BD293" s="7"/>
      <c r="BE293" s="6"/>
      <c r="BF293" s="8"/>
      <c r="BG293" s="7"/>
      <c r="BH293" s="6"/>
      <c r="BI293" s="8"/>
      <c r="BJ293" s="7"/>
      <c r="BK293" s="6"/>
      <c r="BL293" s="8"/>
      <c r="BM293" s="7"/>
      <c r="BN293" s="6"/>
      <c r="BO293" s="8"/>
      <c r="BP293" s="7"/>
      <c r="BQ293" s="6"/>
      <c r="BR293" s="8"/>
    </row>
    <row r="294">
      <c r="A294" s="6"/>
      <c r="B294" s="6" t="s">
        <v>294</v>
      </c>
      <c r="C294" s="3" t="str">
        <f t="shared" si="1"/>
        <v>_striped silver</v>
      </c>
      <c r="D294" s="3" t="str">
        <f t="shared" si="8"/>
        <v>#N/A</v>
      </c>
      <c r="E294" s="3" t="b">
        <f t="shared" si="2"/>
        <v>0</v>
      </c>
      <c r="G294" s="3" t="str">
        <f t="shared" si="3"/>
        <v>#N/A</v>
      </c>
      <c r="H294" s="3" t="b">
        <f t="shared" si="4"/>
        <v>0</v>
      </c>
      <c r="J294" s="3" t="str">
        <f t="shared" si="5"/>
        <v>#N/A</v>
      </c>
      <c r="K294" s="3" t="b">
        <f t="shared" si="6"/>
        <v>0</v>
      </c>
      <c r="M294" s="3" t="str">
        <f t="shared" si="7"/>
        <v>#N/A</v>
      </c>
      <c r="AU294" s="7"/>
      <c r="AV294" s="6"/>
      <c r="AW294" s="8"/>
      <c r="AX294" s="7"/>
      <c r="AY294" s="6"/>
      <c r="AZ294" s="8"/>
      <c r="BA294" s="7"/>
      <c r="BB294" s="6"/>
      <c r="BC294" s="8"/>
      <c r="BD294" s="7"/>
      <c r="BE294" s="6"/>
      <c r="BF294" s="8"/>
      <c r="BG294" s="7"/>
      <c r="BH294" s="6"/>
      <c r="BI294" s="8"/>
      <c r="BJ294" s="7"/>
      <c r="BK294" s="6"/>
      <c r="BL294" s="8"/>
      <c r="BM294" s="7"/>
      <c r="BN294" s="6"/>
      <c r="BO294" s="8"/>
      <c r="BP294" s="7"/>
      <c r="BQ294" s="6"/>
      <c r="BR294" s="8"/>
    </row>
    <row r="295">
      <c r="A295" s="6"/>
      <c r="B295" s="6" t="s">
        <v>295</v>
      </c>
      <c r="C295" s="3" t="str">
        <f t="shared" si="1"/>
        <v>_bright brown</v>
      </c>
      <c r="D295" s="3" t="str">
        <f t="shared" si="8"/>
        <v>#N/A</v>
      </c>
      <c r="E295" s="3" t="b">
        <f t="shared" si="2"/>
        <v>0</v>
      </c>
      <c r="G295" s="3" t="str">
        <f t="shared" si="3"/>
        <v>#N/A</v>
      </c>
      <c r="H295" s="3" t="b">
        <f t="shared" si="4"/>
        <v>0</v>
      </c>
      <c r="J295" s="3" t="str">
        <f t="shared" si="5"/>
        <v>#N/A</v>
      </c>
      <c r="K295" s="3" t="b">
        <f t="shared" si="6"/>
        <v>0</v>
      </c>
      <c r="M295" s="3" t="str">
        <f t="shared" si="7"/>
        <v>#N/A</v>
      </c>
      <c r="AU295" s="7"/>
      <c r="AV295" s="6"/>
      <c r="AW295" s="8"/>
      <c r="AX295" s="7"/>
      <c r="AY295" s="6"/>
      <c r="AZ295" s="8"/>
      <c r="BA295" s="7"/>
      <c r="BB295" s="6"/>
      <c r="BC295" s="8"/>
      <c r="BD295" s="7"/>
      <c r="BE295" s="6"/>
      <c r="BF295" s="8"/>
      <c r="BG295" s="7"/>
      <c r="BH295" s="6"/>
      <c r="BI295" s="8"/>
      <c r="BJ295" s="7"/>
      <c r="BK295" s="6"/>
      <c r="BL295" s="8"/>
      <c r="BM295" s="7"/>
      <c r="BN295" s="6"/>
      <c r="BO295" s="8"/>
      <c r="BP295" s="7"/>
      <c r="BQ295" s="6"/>
      <c r="BR295" s="8"/>
    </row>
    <row r="296">
      <c r="A296" s="6"/>
      <c r="B296" s="6" t="s">
        <v>296</v>
      </c>
      <c r="C296" s="3" t="str">
        <f t="shared" si="1"/>
        <v>_vibrant fuchsia</v>
      </c>
      <c r="D296" s="3" t="str">
        <f t="shared" si="8"/>
        <v>#N/A</v>
      </c>
      <c r="E296" s="3" t="b">
        <f t="shared" si="2"/>
        <v>0</v>
      </c>
      <c r="G296" s="3" t="str">
        <f t="shared" si="3"/>
        <v>#N/A</v>
      </c>
      <c r="H296" s="3" t="b">
        <f t="shared" si="4"/>
        <v>0</v>
      </c>
      <c r="J296" s="3" t="str">
        <f t="shared" si="5"/>
        <v>#N/A</v>
      </c>
      <c r="K296" s="3" t="b">
        <f t="shared" si="6"/>
        <v>0</v>
      </c>
      <c r="M296" s="3" t="str">
        <f t="shared" si="7"/>
        <v>#N/A</v>
      </c>
      <c r="AU296" s="7"/>
      <c r="AV296" s="6"/>
      <c r="AW296" s="8"/>
      <c r="AX296" s="7"/>
      <c r="AY296" s="6"/>
      <c r="AZ296" s="8"/>
      <c r="BA296" s="7"/>
      <c r="BB296" s="6"/>
      <c r="BC296" s="8"/>
      <c r="BD296" s="7"/>
      <c r="BE296" s="6"/>
      <c r="BF296" s="8"/>
      <c r="BG296" s="7"/>
      <c r="BH296" s="6"/>
      <c r="BI296" s="8"/>
      <c r="BJ296" s="7"/>
      <c r="BK296" s="6"/>
      <c r="BL296" s="8"/>
      <c r="BM296" s="7"/>
      <c r="BN296" s="6"/>
      <c r="BO296" s="8"/>
      <c r="BP296" s="7"/>
      <c r="BQ296" s="6"/>
      <c r="BR296" s="8"/>
    </row>
    <row r="297">
      <c r="A297" s="6"/>
      <c r="B297" s="6" t="s">
        <v>297</v>
      </c>
      <c r="C297" s="3" t="str">
        <f t="shared" si="1"/>
        <v>_plaid purple</v>
      </c>
      <c r="D297" s="3" t="str">
        <f t="shared" si="8"/>
        <v>#N/A</v>
      </c>
      <c r="E297" s="3" t="b">
        <f t="shared" si="2"/>
        <v>0</v>
      </c>
      <c r="G297" s="3" t="str">
        <f t="shared" si="3"/>
        <v>#N/A</v>
      </c>
      <c r="H297" s="3" t="b">
        <f t="shared" si="4"/>
        <v>0</v>
      </c>
      <c r="J297" s="3" t="str">
        <f t="shared" si="5"/>
        <v>#N/A</v>
      </c>
      <c r="K297" s="3" t="b">
        <f t="shared" si="6"/>
        <v>0</v>
      </c>
      <c r="M297" s="3" t="str">
        <f t="shared" si="7"/>
        <v>#N/A</v>
      </c>
      <c r="AU297" s="7"/>
      <c r="AV297" s="6"/>
      <c r="AW297" s="8"/>
      <c r="AX297" s="7"/>
      <c r="AY297" s="6"/>
      <c r="AZ297" s="8"/>
      <c r="BA297" s="7"/>
      <c r="BB297" s="6"/>
      <c r="BC297" s="8"/>
      <c r="BD297" s="7"/>
      <c r="BE297" s="6"/>
      <c r="BF297" s="8"/>
      <c r="BG297" s="7"/>
      <c r="BH297" s="6"/>
      <c r="BI297" s="8"/>
      <c r="BJ297" s="7"/>
      <c r="BK297" s="6"/>
      <c r="BL297" s="8"/>
      <c r="BM297" s="7"/>
      <c r="BN297" s="6"/>
      <c r="BO297" s="8"/>
      <c r="BP297" s="7"/>
      <c r="BQ297" s="6"/>
      <c r="BR297" s="8"/>
    </row>
    <row r="298">
      <c r="A298" s="6"/>
      <c r="B298" s="6" t="s">
        <v>298</v>
      </c>
      <c r="C298" s="3" t="str">
        <f t="shared" si="1"/>
        <v>_wavy violet</v>
      </c>
      <c r="D298" s="3" t="str">
        <f t="shared" si="8"/>
        <v>#N/A</v>
      </c>
      <c r="E298" s="3" t="b">
        <f t="shared" si="2"/>
        <v>0</v>
      </c>
      <c r="G298" s="3" t="str">
        <f t="shared" si="3"/>
        <v>#N/A</v>
      </c>
      <c r="H298" s="3" t="b">
        <f t="shared" si="4"/>
        <v>0</v>
      </c>
      <c r="J298" s="3" t="str">
        <f t="shared" si="5"/>
        <v>#N/A</v>
      </c>
      <c r="K298" s="3" t="b">
        <f t="shared" si="6"/>
        <v>0</v>
      </c>
      <c r="M298" s="3" t="str">
        <f t="shared" si="7"/>
        <v>#N/A</v>
      </c>
      <c r="AU298" s="7"/>
      <c r="AV298" s="6"/>
      <c r="AW298" s="8"/>
      <c r="AX298" s="7"/>
      <c r="AY298" s="6"/>
      <c r="AZ298" s="8"/>
      <c r="BA298" s="7"/>
      <c r="BB298" s="6"/>
      <c r="BC298" s="8"/>
      <c r="BD298" s="7"/>
      <c r="BE298" s="6"/>
      <c r="BF298" s="8"/>
      <c r="BG298" s="7"/>
      <c r="BH298" s="6"/>
      <c r="BI298" s="8"/>
      <c r="BJ298" s="7"/>
      <c r="BK298" s="6"/>
      <c r="BL298" s="8"/>
      <c r="BM298" s="7"/>
      <c r="BN298" s="6"/>
      <c r="BO298" s="8"/>
      <c r="BP298" s="7"/>
      <c r="BQ298" s="6"/>
      <c r="BR298" s="8"/>
    </row>
    <row r="299">
      <c r="A299" s="6"/>
      <c r="B299" s="6" t="s">
        <v>299</v>
      </c>
      <c r="C299" s="3" t="str">
        <f t="shared" si="1"/>
        <v>_dark maroon</v>
      </c>
      <c r="D299" s="3" t="str">
        <f t="shared" si="8"/>
        <v>#N/A</v>
      </c>
      <c r="E299" s="3" t="b">
        <f t="shared" si="2"/>
        <v>0</v>
      </c>
      <c r="G299" s="3" t="str">
        <f t="shared" si="3"/>
        <v>#N/A</v>
      </c>
      <c r="H299" s="3" t="b">
        <f t="shared" si="4"/>
        <v>0</v>
      </c>
      <c r="J299" s="3" t="str">
        <f t="shared" si="5"/>
        <v>#N/A</v>
      </c>
      <c r="K299" s="3" t="b">
        <f t="shared" si="6"/>
        <v>0</v>
      </c>
      <c r="M299" s="3" t="str">
        <f t="shared" si="7"/>
        <v>#N/A</v>
      </c>
      <c r="AU299" s="7"/>
      <c r="AV299" s="6"/>
      <c r="AW299" s="8"/>
      <c r="AX299" s="7"/>
      <c r="AY299" s="6"/>
      <c r="AZ299" s="8"/>
      <c r="BA299" s="7"/>
      <c r="BB299" s="6"/>
      <c r="BC299" s="8"/>
      <c r="BD299" s="7"/>
      <c r="BE299" s="6"/>
      <c r="BF299" s="8"/>
      <c r="BG299" s="7"/>
      <c r="BH299" s="6"/>
      <c r="BI299" s="8"/>
      <c r="BJ299" s="7"/>
      <c r="BK299" s="6"/>
      <c r="BL299" s="8"/>
      <c r="BM299" s="7"/>
      <c r="BN299" s="6"/>
      <c r="BO299" s="8"/>
      <c r="BP299" s="7"/>
      <c r="BQ299" s="6"/>
      <c r="BR299" s="8"/>
    </row>
    <row r="300">
      <c r="A300" s="6"/>
      <c r="B300" s="6" t="s">
        <v>300</v>
      </c>
      <c r="C300" s="3" t="str">
        <f t="shared" si="1"/>
        <v>_pale coral</v>
      </c>
      <c r="D300" s="3" t="str">
        <f t="shared" si="8"/>
        <v>#N/A</v>
      </c>
      <c r="E300" s="3" t="b">
        <f t="shared" si="2"/>
        <v>0</v>
      </c>
      <c r="G300" s="3" t="str">
        <f t="shared" si="3"/>
        <v>#N/A</v>
      </c>
      <c r="H300" s="3" t="b">
        <f t="shared" si="4"/>
        <v>0</v>
      </c>
      <c r="J300" s="3" t="str">
        <f t="shared" si="5"/>
        <v>#N/A</v>
      </c>
      <c r="K300" s="3" t="b">
        <f t="shared" si="6"/>
        <v>0</v>
      </c>
      <c r="M300" s="3" t="str">
        <f t="shared" si="7"/>
        <v>#N/A</v>
      </c>
      <c r="AU300" s="7"/>
      <c r="AV300" s="6"/>
      <c r="AW300" s="8"/>
      <c r="AX300" s="7"/>
      <c r="AY300" s="6"/>
      <c r="AZ300" s="8"/>
      <c r="BA300" s="7"/>
      <c r="BB300" s="6"/>
      <c r="BC300" s="8"/>
      <c r="BD300" s="7"/>
      <c r="BE300" s="6"/>
      <c r="BF300" s="8"/>
      <c r="BG300" s="7"/>
      <c r="BH300" s="6"/>
      <c r="BI300" s="8"/>
      <c r="BJ300" s="7"/>
      <c r="BK300" s="6"/>
      <c r="BL300" s="8"/>
      <c r="BM300" s="7"/>
      <c r="BN300" s="6"/>
      <c r="BO300" s="8"/>
      <c r="BP300" s="7"/>
      <c r="BQ300" s="6"/>
      <c r="BR300" s="8"/>
    </row>
    <row r="301">
      <c r="A301" s="6"/>
      <c r="B301" s="6" t="s">
        <v>301</v>
      </c>
      <c r="C301" s="3" t="str">
        <f t="shared" si="1"/>
        <v>_dark black</v>
      </c>
      <c r="D301" s="3" t="str">
        <f t="shared" si="8"/>
        <v>#N/A</v>
      </c>
      <c r="E301" s="3" t="b">
        <f t="shared" si="2"/>
        <v>0</v>
      </c>
      <c r="G301" s="3" t="str">
        <f t="shared" si="3"/>
        <v>#N/A</v>
      </c>
      <c r="H301" s="3" t="b">
        <f t="shared" si="4"/>
        <v>0</v>
      </c>
      <c r="J301" s="3" t="str">
        <f t="shared" si="5"/>
        <v>#N/A</v>
      </c>
      <c r="K301" s="3" t="b">
        <f t="shared" si="6"/>
        <v>0</v>
      </c>
      <c r="M301" s="3" t="str">
        <f t="shared" si="7"/>
        <v>#N/A</v>
      </c>
      <c r="AU301" s="7"/>
      <c r="AV301" s="6"/>
      <c r="AW301" s="8"/>
      <c r="AX301" s="7"/>
      <c r="AY301" s="6"/>
      <c r="AZ301" s="8"/>
      <c r="BA301" s="7"/>
      <c r="BB301" s="6"/>
      <c r="BC301" s="8"/>
      <c r="BD301" s="7"/>
      <c r="BE301" s="6"/>
      <c r="BF301" s="8"/>
      <c r="BG301" s="7"/>
      <c r="BH301" s="6"/>
      <c r="BI301" s="8"/>
      <c r="BJ301" s="7"/>
      <c r="BK301" s="6"/>
      <c r="BL301" s="8"/>
      <c r="BM301" s="7"/>
      <c r="BN301" s="6"/>
      <c r="BO301" s="8"/>
      <c r="BP301" s="7"/>
      <c r="BQ301" s="6"/>
      <c r="BR301" s="8"/>
    </row>
    <row r="302">
      <c r="A302" s="6"/>
      <c r="B302" s="6" t="s">
        <v>302</v>
      </c>
      <c r="C302" s="3" t="str">
        <f t="shared" si="1"/>
        <v>_plaid bronze</v>
      </c>
      <c r="D302" s="3" t="str">
        <f t="shared" si="8"/>
        <v>#N/A</v>
      </c>
      <c r="E302" s="3" t="b">
        <f t="shared" si="2"/>
        <v>0</v>
      </c>
      <c r="G302" s="3" t="str">
        <f t="shared" si="3"/>
        <v>#N/A</v>
      </c>
      <c r="H302" s="3" t="b">
        <f t="shared" si="4"/>
        <v>0</v>
      </c>
      <c r="J302" s="3" t="str">
        <f t="shared" si="5"/>
        <v>#N/A</v>
      </c>
      <c r="K302" s="3" t="b">
        <f t="shared" si="6"/>
        <v>0</v>
      </c>
      <c r="M302" s="3" t="str">
        <f t="shared" si="7"/>
        <v>#N/A</v>
      </c>
      <c r="AU302" s="7"/>
      <c r="AV302" s="6"/>
      <c r="AW302" s="8"/>
      <c r="AX302" s="7"/>
      <c r="AY302" s="6"/>
      <c r="AZ302" s="8"/>
      <c r="BA302" s="7"/>
      <c r="BB302" s="6"/>
      <c r="BC302" s="8"/>
      <c r="BD302" s="7"/>
      <c r="BE302" s="6"/>
      <c r="BF302" s="8"/>
      <c r="BG302" s="7"/>
      <c r="BH302" s="6"/>
      <c r="BI302" s="8"/>
      <c r="BJ302" s="7"/>
      <c r="BK302" s="6"/>
      <c r="BL302" s="8"/>
      <c r="BM302" s="7"/>
      <c r="BN302" s="6"/>
      <c r="BO302" s="8"/>
      <c r="BP302" s="7"/>
      <c r="BQ302" s="6"/>
      <c r="BR302" s="8"/>
    </row>
    <row r="303">
      <c r="A303" s="6"/>
      <c r="B303" s="6" t="s">
        <v>303</v>
      </c>
      <c r="C303" s="3" t="str">
        <f t="shared" si="1"/>
        <v>_faded orange</v>
      </c>
      <c r="D303" s="3" t="str">
        <f t="shared" si="8"/>
        <v>#N/A</v>
      </c>
      <c r="E303" s="3" t="b">
        <f t="shared" si="2"/>
        <v>0</v>
      </c>
      <c r="G303" s="3" t="str">
        <f t="shared" si="3"/>
        <v>#N/A</v>
      </c>
      <c r="H303" s="3" t="b">
        <f t="shared" si="4"/>
        <v>0</v>
      </c>
      <c r="J303" s="3" t="str">
        <f t="shared" si="5"/>
        <v>#N/A</v>
      </c>
      <c r="K303" s="3" t="b">
        <f t="shared" si="6"/>
        <v>0</v>
      </c>
      <c r="M303" s="3" t="str">
        <f t="shared" si="7"/>
        <v>#N/A</v>
      </c>
      <c r="AU303" s="7"/>
      <c r="AV303" s="6"/>
      <c r="AW303" s="8"/>
      <c r="AX303" s="7"/>
      <c r="AY303" s="6"/>
      <c r="AZ303" s="8"/>
      <c r="BA303" s="7"/>
      <c r="BB303" s="6"/>
      <c r="BC303" s="8"/>
      <c r="BD303" s="7"/>
      <c r="BE303" s="6"/>
      <c r="BF303" s="8"/>
      <c r="BG303" s="7"/>
      <c r="BH303" s="6"/>
      <c r="BI303" s="8"/>
      <c r="BJ303" s="7"/>
      <c r="BK303" s="6"/>
      <c r="BL303" s="8"/>
      <c r="BM303" s="7"/>
      <c r="BN303" s="6"/>
      <c r="BO303" s="8"/>
      <c r="BP303" s="7"/>
      <c r="BQ303" s="6"/>
      <c r="BR303" s="8"/>
    </row>
    <row r="304">
      <c r="A304" s="6"/>
      <c r="B304" s="6" t="s">
        <v>304</v>
      </c>
      <c r="C304" s="3" t="str">
        <f t="shared" si="1"/>
        <v>_light lavender</v>
      </c>
      <c r="D304" s="3" t="str">
        <f t="shared" si="8"/>
        <v>#N/A</v>
      </c>
      <c r="E304" s="3" t="b">
        <f t="shared" si="2"/>
        <v>0</v>
      </c>
      <c r="G304" s="3" t="str">
        <f t="shared" si="3"/>
        <v>#N/A</v>
      </c>
      <c r="H304" s="3" t="b">
        <f t="shared" si="4"/>
        <v>0</v>
      </c>
      <c r="J304" s="3" t="str">
        <f t="shared" si="5"/>
        <v>#N/A</v>
      </c>
      <c r="K304" s="3" t="b">
        <f t="shared" si="6"/>
        <v>0</v>
      </c>
      <c r="M304" s="3" t="str">
        <f t="shared" si="7"/>
        <v>#N/A</v>
      </c>
      <c r="AU304" s="7"/>
      <c r="AV304" s="6"/>
      <c r="AW304" s="8"/>
      <c r="AX304" s="7"/>
      <c r="AY304" s="6"/>
      <c r="AZ304" s="8"/>
      <c r="BA304" s="7"/>
      <c r="BB304" s="6"/>
      <c r="BC304" s="8"/>
      <c r="BD304" s="7"/>
      <c r="BE304" s="6"/>
      <c r="BF304" s="8"/>
      <c r="BG304" s="7"/>
      <c r="BH304" s="6"/>
      <c r="BI304" s="8"/>
      <c r="BJ304" s="7"/>
      <c r="BK304" s="6"/>
      <c r="BL304" s="8"/>
      <c r="BM304" s="7"/>
      <c r="BN304" s="6"/>
      <c r="BO304" s="8"/>
      <c r="BP304" s="7"/>
      <c r="BQ304" s="6"/>
      <c r="BR304" s="8"/>
    </row>
    <row r="305">
      <c r="A305" s="6"/>
      <c r="B305" s="6" t="s">
        <v>305</v>
      </c>
      <c r="C305" s="3" t="str">
        <f t="shared" si="1"/>
        <v>_dull chartreuse</v>
      </c>
      <c r="D305" s="3" t="str">
        <f t="shared" si="8"/>
        <v>#N/A</v>
      </c>
      <c r="E305" s="3" t="b">
        <f t="shared" si="2"/>
        <v>0</v>
      </c>
      <c r="G305" s="3" t="str">
        <f t="shared" si="3"/>
        <v>#N/A</v>
      </c>
      <c r="H305" s="3" t="b">
        <f t="shared" si="4"/>
        <v>0</v>
      </c>
      <c r="J305" s="3" t="str">
        <f t="shared" si="5"/>
        <v>#N/A</v>
      </c>
      <c r="K305" s="3" t="b">
        <f t="shared" si="6"/>
        <v>0</v>
      </c>
      <c r="M305" s="3" t="str">
        <f t="shared" si="7"/>
        <v>#N/A</v>
      </c>
      <c r="AU305" s="7"/>
      <c r="AV305" s="6"/>
      <c r="AW305" s="8"/>
      <c r="AX305" s="7"/>
      <c r="AY305" s="6"/>
      <c r="AZ305" s="8"/>
      <c r="BA305" s="7"/>
      <c r="BB305" s="6"/>
      <c r="BC305" s="8"/>
      <c r="BD305" s="7"/>
      <c r="BE305" s="6"/>
      <c r="BF305" s="8"/>
      <c r="BG305" s="7"/>
      <c r="BH305" s="6"/>
      <c r="BI305" s="8"/>
      <c r="BJ305" s="7"/>
      <c r="BK305" s="6"/>
      <c r="BL305" s="8"/>
      <c r="BM305" s="7"/>
      <c r="BN305" s="6"/>
      <c r="BO305" s="8"/>
      <c r="BP305" s="7"/>
      <c r="BQ305" s="6"/>
      <c r="BR305" s="8"/>
    </row>
    <row r="306">
      <c r="A306" s="6"/>
      <c r="B306" s="6" t="s">
        <v>306</v>
      </c>
      <c r="C306" s="3" t="str">
        <f t="shared" si="1"/>
        <v>_dark gold</v>
      </c>
      <c r="D306" s="3" t="str">
        <f t="shared" si="8"/>
        <v>#N/A</v>
      </c>
      <c r="E306" s="3" t="b">
        <f t="shared" si="2"/>
        <v>0</v>
      </c>
      <c r="G306" s="3" t="str">
        <f t="shared" si="3"/>
        <v>#N/A</v>
      </c>
      <c r="H306" s="3" t="b">
        <f t="shared" si="4"/>
        <v>0</v>
      </c>
      <c r="J306" s="3" t="str">
        <f t="shared" si="5"/>
        <v>#N/A</v>
      </c>
      <c r="K306" s="3" t="b">
        <f t="shared" si="6"/>
        <v>0</v>
      </c>
      <c r="M306" s="3" t="str">
        <f t="shared" si="7"/>
        <v>#N/A</v>
      </c>
      <c r="AU306" s="7"/>
      <c r="AV306" s="6"/>
      <c r="AW306" s="8"/>
      <c r="AX306" s="7"/>
      <c r="AY306" s="6"/>
      <c r="AZ306" s="8"/>
      <c r="BA306" s="7"/>
      <c r="BB306" s="6"/>
      <c r="BC306" s="8"/>
      <c r="BD306" s="7"/>
      <c r="BE306" s="6"/>
      <c r="BF306" s="8"/>
      <c r="BG306" s="7"/>
      <c r="BH306" s="6"/>
      <c r="BI306" s="8"/>
      <c r="BJ306" s="7"/>
      <c r="BK306" s="6"/>
      <c r="BL306" s="8"/>
      <c r="BM306" s="7"/>
      <c r="BN306" s="6"/>
      <c r="BO306" s="8"/>
      <c r="BP306" s="7"/>
      <c r="BQ306" s="6"/>
      <c r="BR306" s="8"/>
    </row>
    <row r="307">
      <c r="A307" s="6"/>
      <c r="B307" s="6" t="s">
        <v>307</v>
      </c>
      <c r="C307" s="3" t="str">
        <f t="shared" si="1"/>
        <v>_dim black</v>
      </c>
      <c r="D307" s="3" t="str">
        <f t="shared" si="8"/>
        <v>#N/A</v>
      </c>
      <c r="E307" s="3" t="b">
        <f t="shared" si="2"/>
        <v>0</v>
      </c>
      <c r="G307" s="3" t="str">
        <f t="shared" si="3"/>
        <v>#N/A</v>
      </c>
      <c r="H307" s="3" t="b">
        <f t="shared" si="4"/>
        <v>0</v>
      </c>
      <c r="J307" s="3" t="str">
        <f t="shared" si="5"/>
        <v>#N/A</v>
      </c>
      <c r="K307" s="3" t="b">
        <f t="shared" si="6"/>
        <v>0</v>
      </c>
      <c r="M307" s="3" t="str">
        <f t="shared" si="7"/>
        <v>#N/A</v>
      </c>
      <c r="AU307" s="7"/>
      <c r="AV307" s="6"/>
      <c r="AW307" s="8"/>
      <c r="AX307" s="7"/>
      <c r="AY307" s="6"/>
      <c r="AZ307" s="8"/>
      <c r="BA307" s="7"/>
      <c r="BB307" s="6"/>
      <c r="BC307" s="8"/>
      <c r="BD307" s="7"/>
      <c r="BE307" s="6"/>
      <c r="BF307" s="8"/>
      <c r="BG307" s="7"/>
      <c r="BH307" s="6"/>
      <c r="BI307" s="8"/>
      <c r="BJ307" s="7"/>
      <c r="BK307" s="6"/>
      <c r="BL307" s="8"/>
      <c r="BM307" s="7"/>
      <c r="BN307" s="6"/>
      <c r="BO307" s="8"/>
      <c r="BP307" s="7"/>
      <c r="BQ307" s="6"/>
      <c r="BR307" s="8"/>
    </row>
    <row r="308">
      <c r="A308" s="6"/>
      <c r="B308" s="6" t="s">
        <v>308</v>
      </c>
      <c r="C308" s="3" t="str">
        <f t="shared" si="1"/>
        <v>_plaid salmon</v>
      </c>
      <c r="D308" s="3" t="str">
        <f t="shared" si="8"/>
        <v>#N/A</v>
      </c>
      <c r="E308" s="3" t="b">
        <f t="shared" si="2"/>
        <v>0</v>
      </c>
      <c r="G308" s="3" t="str">
        <f t="shared" si="3"/>
        <v>#N/A</v>
      </c>
      <c r="H308" s="3" t="b">
        <f t="shared" si="4"/>
        <v>0</v>
      </c>
      <c r="J308" s="3" t="str">
        <f t="shared" si="5"/>
        <v>#N/A</v>
      </c>
      <c r="K308" s="3" t="b">
        <f t="shared" si="6"/>
        <v>0</v>
      </c>
      <c r="M308" s="3" t="str">
        <f t="shared" si="7"/>
        <v>#N/A</v>
      </c>
      <c r="AU308" s="7"/>
      <c r="AV308" s="6"/>
      <c r="AW308" s="8"/>
      <c r="AX308" s="7"/>
      <c r="AY308" s="6"/>
      <c r="AZ308" s="8"/>
      <c r="BA308" s="7"/>
      <c r="BB308" s="6"/>
      <c r="BC308" s="8"/>
      <c r="BD308" s="7"/>
      <c r="BE308" s="6"/>
      <c r="BF308" s="8"/>
      <c r="BG308" s="7"/>
      <c r="BH308" s="6"/>
      <c r="BI308" s="8"/>
      <c r="BJ308" s="7"/>
      <c r="BK308" s="6"/>
      <c r="BL308" s="8"/>
      <c r="BM308" s="7"/>
      <c r="BN308" s="6"/>
      <c r="BO308" s="8"/>
      <c r="BP308" s="7"/>
      <c r="BQ308" s="6"/>
      <c r="BR308" s="8"/>
    </row>
    <row r="309">
      <c r="A309" s="6"/>
      <c r="B309" s="6" t="s">
        <v>309</v>
      </c>
      <c r="C309" s="3" t="str">
        <f t="shared" si="1"/>
        <v>_vibrant bronze</v>
      </c>
      <c r="D309" s="3" t="str">
        <f t="shared" si="8"/>
        <v>#N/A</v>
      </c>
      <c r="E309" s="3" t="b">
        <f t="shared" si="2"/>
        <v>0</v>
      </c>
      <c r="G309" s="3" t="str">
        <f t="shared" si="3"/>
        <v>#N/A</v>
      </c>
      <c r="H309" s="3" t="b">
        <f t="shared" si="4"/>
        <v>0</v>
      </c>
      <c r="J309" s="3" t="str">
        <f t="shared" si="5"/>
        <v>#N/A</v>
      </c>
      <c r="K309" s="3" t="b">
        <f t="shared" si="6"/>
        <v>0</v>
      </c>
      <c r="M309" s="3" t="str">
        <f t="shared" si="7"/>
        <v>#N/A</v>
      </c>
      <c r="AU309" s="7"/>
      <c r="AV309" s="6"/>
      <c r="AW309" s="8"/>
      <c r="AX309" s="7"/>
      <c r="AY309" s="6"/>
      <c r="AZ309" s="8"/>
      <c r="BA309" s="7"/>
      <c r="BB309" s="6"/>
      <c r="BC309" s="8"/>
      <c r="BD309" s="7"/>
      <c r="BE309" s="6"/>
      <c r="BF309" s="8"/>
      <c r="BG309" s="7"/>
      <c r="BH309" s="6"/>
      <c r="BI309" s="8"/>
      <c r="BJ309" s="7"/>
      <c r="BK309" s="6"/>
      <c r="BL309" s="8"/>
      <c r="BM309" s="7"/>
      <c r="BN309" s="6"/>
      <c r="BO309" s="8"/>
      <c r="BP309" s="7"/>
      <c r="BQ309" s="6"/>
      <c r="BR309" s="8"/>
    </row>
    <row r="310">
      <c r="A310" s="6"/>
      <c r="B310" s="6" t="s">
        <v>310</v>
      </c>
      <c r="C310" s="3" t="str">
        <f t="shared" si="1"/>
        <v>_wavy brown</v>
      </c>
      <c r="D310" s="3" t="str">
        <f t="shared" si="8"/>
        <v>#N/A</v>
      </c>
      <c r="E310" s="3" t="b">
        <f t="shared" si="2"/>
        <v>0</v>
      </c>
      <c r="G310" s="3" t="str">
        <f t="shared" si="3"/>
        <v>#N/A</v>
      </c>
      <c r="H310" s="3" t="b">
        <f t="shared" si="4"/>
        <v>0</v>
      </c>
      <c r="J310" s="3" t="str">
        <f t="shared" si="5"/>
        <v>#N/A</v>
      </c>
      <c r="K310" s="3" t="b">
        <f t="shared" si="6"/>
        <v>0</v>
      </c>
      <c r="M310" s="3" t="str">
        <f t="shared" si="7"/>
        <v>#N/A</v>
      </c>
      <c r="AU310" s="7"/>
      <c r="AV310" s="6"/>
      <c r="AW310" s="8"/>
      <c r="AX310" s="7"/>
      <c r="AY310" s="6"/>
      <c r="AZ310" s="8"/>
      <c r="BA310" s="7"/>
      <c r="BB310" s="6"/>
      <c r="BC310" s="8"/>
      <c r="BD310" s="7"/>
      <c r="BE310" s="6"/>
      <c r="BF310" s="8"/>
      <c r="BG310" s="7"/>
      <c r="BH310" s="6"/>
      <c r="BI310" s="8"/>
      <c r="BJ310" s="7"/>
      <c r="BK310" s="6"/>
      <c r="BL310" s="8"/>
      <c r="BM310" s="7"/>
      <c r="BN310" s="6"/>
      <c r="BO310" s="8"/>
      <c r="BP310" s="7"/>
      <c r="BQ310" s="6"/>
      <c r="BR310" s="8"/>
    </row>
    <row r="311">
      <c r="A311" s="6"/>
      <c r="B311" s="6" t="s">
        <v>311</v>
      </c>
      <c r="C311" s="3" t="str">
        <f t="shared" si="1"/>
        <v>_dotted lavender</v>
      </c>
      <c r="D311" s="3" t="str">
        <f t="shared" si="8"/>
        <v>#N/A</v>
      </c>
      <c r="E311" s="3" t="b">
        <f t="shared" si="2"/>
        <v>0</v>
      </c>
      <c r="G311" s="3" t="str">
        <f t="shared" si="3"/>
        <v>#N/A</v>
      </c>
      <c r="H311" s="3" t="b">
        <f t="shared" si="4"/>
        <v>0</v>
      </c>
      <c r="J311" s="3" t="str">
        <f t="shared" si="5"/>
        <v>#N/A</v>
      </c>
      <c r="K311" s="3" t="b">
        <f t="shared" si="6"/>
        <v>0</v>
      </c>
      <c r="M311" s="3" t="str">
        <f t="shared" si="7"/>
        <v>#N/A</v>
      </c>
      <c r="AU311" s="7"/>
      <c r="AV311" s="6"/>
      <c r="AW311" s="8"/>
      <c r="AX311" s="7"/>
      <c r="AY311" s="6"/>
      <c r="AZ311" s="8"/>
      <c r="BA311" s="7"/>
      <c r="BB311" s="6"/>
      <c r="BC311" s="8"/>
      <c r="BD311" s="7"/>
      <c r="BE311" s="6"/>
      <c r="BF311" s="8"/>
      <c r="BG311" s="7"/>
      <c r="BH311" s="6"/>
      <c r="BI311" s="8"/>
      <c r="BJ311" s="7"/>
      <c r="BK311" s="6"/>
      <c r="BL311" s="8"/>
      <c r="BM311" s="7"/>
      <c r="BN311" s="6"/>
      <c r="BO311" s="8"/>
      <c r="BP311" s="7"/>
      <c r="BQ311" s="6"/>
      <c r="BR311" s="8"/>
    </row>
    <row r="312">
      <c r="A312" s="6"/>
      <c r="B312" s="6" t="s">
        <v>312</v>
      </c>
      <c r="C312" s="3" t="str">
        <f t="shared" si="1"/>
        <v>_dotted gold</v>
      </c>
      <c r="D312" s="3" t="str">
        <f t="shared" si="8"/>
        <v>#N/A</v>
      </c>
      <c r="E312" s="3" t="b">
        <f t="shared" si="2"/>
        <v>0</v>
      </c>
      <c r="G312" s="3" t="str">
        <f t="shared" si="3"/>
        <v>#N/A</v>
      </c>
      <c r="H312" s="3" t="b">
        <f t="shared" si="4"/>
        <v>0</v>
      </c>
      <c r="J312" s="3" t="str">
        <f t="shared" si="5"/>
        <v>#N/A</v>
      </c>
      <c r="K312" s="3" t="b">
        <f t="shared" si="6"/>
        <v>0</v>
      </c>
      <c r="M312" s="3" t="str">
        <f t="shared" si="7"/>
        <v>#N/A</v>
      </c>
      <c r="AU312" s="7"/>
      <c r="AV312" s="6"/>
      <c r="AW312" s="8"/>
      <c r="AX312" s="7"/>
      <c r="AY312" s="6"/>
      <c r="AZ312" s="8"/>
      <c r="BA312" s="7"/>
      <c r="BB312" s="6"/>
      <c r="BC312" s="8"/>
      <c r="BD312" s="7"/>
      <c r="BE312" s="6"/>
      <c r="BF312" s="8"/>
      <c r="BG312" s="7"/>
      <c r="BH312" s="6"/>
      <c r="BI312" s="8"/>
      <c r="BJ312" s="7"/>
      <c r="BK312" s="6"/>
      <c r="BL312" s="8"/>
      <c r="BM312" s="7"/>
      <c r="BN312" s="6"/>
      <c r="BO312" s="8"/>
      <c r="BP312" s="7"/>
      <c r="BQ312" s="6"/>
      <c r="BR312" s="8"/>
    </row>
    <row r="313">
      <c r="A313" s="6"/>
      <c r="B313" s="6" t="s">
        <v>313</v>
      </c>
      <c r="C313" s="3" t="str">
        <f t="shared" si="1"/>
        <v>_faded brown</v>
      </c>
      <c r="D313" s="3" t="str">
        <f t="shared" si="8"/>
        <v>#N/A</v>
      </c>
      <c r="E313" s="3" t="b">
        <f t="shared" si="2"/>
        <v>0</v>
      </c>
      <c r="G313" s="3" t="str">
        <f t="shared" si="3"/>
        <v>#N/A</v>
      </c>
      <c r="H313" s="3" t="b">
        <f t="shared" si="4"/>
        <v>0</v>
      </c>
      <c r="J313" s="3" t="str">
        <f t="shared" si="5"/>
        <v>#N/A</v>
      </c>
      <c r="K313" s="3" t="b">
        <f t="shared" si="6"/>
        <v>0</v>
      </c>
      <c r="M313" s="3" t="str">
        <f t="shared" si="7"/>
        <v>#N/A</v>
      </c>
      <c r="AU313" s="7"/>
      <c r="AV313" s="6"/>
      <c r="AW313" s="8"/>
      <c r="AX313" s="7"/>
      <c r="AY313" s="6"/>
      <c r="AZ313" s="8"/>
      <c r="BA313" s="7"/>
      <c r="BB313" s="6"/>
      <c r="BC313" s="8"/>
      <c r="BD313" s="7"/>
      <c r="BE313" s="6"/>
      <c r="BF313" s="8"/>
      <c r="BG313" s="7"/>
      <c r="BH313" s="6"/>
      <c r="BI313" s="8"/>
      <c r="BJ313" s="7"/>
      <c r="BK313" s="6"/>
      <c r="BL313" s="8"/>
      <c r="BM313" s="7"/>
      <c r="BN313" s="6"/>
      <c r="BO313" s="8"/>
      <c r="BP313" s="7"/>
      <c r="BQ313" s="6"/>
      <c r="BR313" s="8"/>
    </row>
    <row r="314">
      <c r="A314" s="6"/>
      <c r="B314" s="6" t="s">
        <v>314</v>
      </c>
      <c r="C314" s="3" t="str">
        <f t="shared" si="1"/>
        <v>_light yellow</v>
      </c>
      <c r="D314" s="3" t="str">
        <f t="shared" si="8"/>
        <v>#N/A</v>
      </c>
      <c r="E314" s="3" t="b">
        <f t="shared" si="2"/>
        <v>0</v>
      </c>
      <c r="G314" s="3" t="str">
        <f t="shared" si="3"/>
        <v>#N/A</v>
      </c>
      <c r="H314" s="3" t="b">
        <f t="shared" si="4"/>
        <v>0</v>
      </c>
      <c r="J314" s="3" t="str">
        <f t="shared" si="5"/>
        <v>#N/A</v>
      </c>
      <c r="K314" s="3" t="b">
        <f t="shared" si="6"/>
        <v>0</v>
      </c>
      <c r="M314" s="3" t="str">
        <f t="shared" si="7"/>
        <v>#N/A</v>
      </c>
      <c r="AU314" s="7"/>
      <c r="AV314" s="6"/>
      <c r="AW314" s="8"/>
      <c r="AX314" s="7"/>
      <c r="AY314" s="6"/>
      <c r="AZ314" s="8"/>
      <c r="BA314" s="7"/>
      <c r="BB314" s="6"/>
      <c r="BC314" s="8"/>
      <c r="BD314" s="7"/>
      <c r="BE314" s="6"/>
      <c r="BF314" s="8"/>
      <c r="BG314" s="7"/>
      <c r="BH314" s="6"/>
      <c r="BI314" s="8"/>
      <c r="BJ314" s="7"/>
      <c r="BK314" s="6"/>
      <c r="BL314" s="8"/>
      <c r="BM314" s="7"/>
      <c r="BN314" s="6"/>
      <c r="BO314" s="8"/>
      <c r="BP314" s="7"/>
      <c r="BQ314" s="6"/>
      <c r="BR314" s="8"/>
    </row>
    <row r="315">
      <c r="A315" s="6"/>
      <c r="B315" s="6" t="s">
        <v>315</v>
      </c>
      <c r="C315" s="3" t="str">
        <f t="shared" si="1"/>
        <v>_striped salmon</v>
      </c>
      <c r="D315" s="3" t="str">
        <f t="shared" si="8"/>
        <v>#N/A</v>
      </c>
      <c r="E315" s="3" t="b">
        <f t="shared" si="2"/>
        <v>0</v>
      </c>
      <c r="G315" s="3" t="str">
        <f t="shared" si="3"/>
        <v>#N/A</v>
      </c>
      <c r="H315" s="3" t="b">
        <f t="shared" si="4"/>
        <v>0</v>
      </c>
      <c r="J315" s="3" t="str">
        <f t="shared" si="5"/>
        <v>#N/A</v>
      </c>
      <c r="K315" s="3" t="b">
        <f t="shared" si="6"/>
        <v>0</v>
      </c>
      <c r="M315" s="3" t="str">
        <f t="shared" si="7"/>
        <v>#N/A</v>
      </c>
      <c r="AU315" s="7"/>
      <c r="AV315" s="6"/>
      <c r="AW315" s="8"/>
      <c r="AX315" s="7"/>
      <c r="AY315" s="6"/>
      <c r="AZ315" s="8"/>
      <c r="BA315" s="7"/>
      <c r="BB315" s="6"/>
      <c r="BC315" s="8"/>
      <c r="BD315" s="7"/>
      <c r="BE315" s="6"/>
      <c r="BF315" s="8"/>
      <c r="BG315" s="7"/>
      <c r="BH315" s="6"/>
      <c r="BI315" s="8"/>
      <c r="BJ315" s="7"/>
      <c r="BK315" s="6"/>
      <c r="BL315" s="8"/>
      <c r="BM315" s="7"/>
      <c r="BN315" s="6"/>
      <c r="BO315" s="8"/>
      <c r="BP315" s="7"/>
      <c r="BQ315" s="6"/>
      <c r="BR315" s="8"/>
    </row>
    <row r="316">
      <c r="A316" s="6"/>
      <c r="B316" s="6" t="s">
        <v>316</v>
      </c>
      <c r="C316" s="3" t="str">
        <f t="shared" si="1"/>
        <v>_light blue</v>
      </c>
      <c r="D316" s="3" t="str">
        <f t="shared" si="8"/>
        <v>#N/A</v>
      </c>
      <c r="E316" s="3" t="b">
        <f t="shared" si="2"/>
        <v>0</v>
      </c>
      <c r="G316" s="3" t="str">
        <f t="shared" si="3"/>
        <v>#N/A</v>
      </c>
      <c r="H316" s="3" t="b">
        <f t="shared" si="4"/>
        <v>0</v>
      </c>
      <c r="J316" s="3" t="str">
        <f t="shared" si="5"/>
        <v>#N/A</v>
      </c>
      <c r="K316" s="3" t="b">
        <f t="shared" si="6"/>
        <v>0</v>
      </c>
      <c r="M316" s="3" t="str">
        <f t="shared" si="7"/>
        <v>#N/A</v>
      </c>
      <c r="AU316" s="7"/>
      <c r="AV316" s="6"/>
      <c r="AW316" s="8"/>
      <c r="AX316" s="7"/>
      <c r="AY316" s="6"/>
      <c r="AZ316" s="8"/>
      <c r="BA316" s="7"/>
      <c r="BB316" s="6"/>
      <c r="BC316" s="8"/>
      <c r="BD316" s="7"/>
      <c r="BE316" s="6"/>
      <c r="BF316" s="8"/>
      <c r="BG316" s="7"/>
      <c r="BH316" s="6"/>
      <c r="BI316" s="8"/>
      <c r="BJ316" s="7"/>
      <c r="BK316" s="6"/>
      <c r="BL316" s="8"/>
      <c r="BM316" s="7"/>
      <c r="BN316" s="6"/>
      <c r="BO316" s="8"/>
      <c r="BP316" s="7"/>
      <c r="BQ316" s="6"/>
      <c r="BR316" s="8"/>
    </row>
    <row r="317">
      <c r="A317" s="6"/>
      <c r="B317" s="6" t="s">
        <v>317</v>
      </c>
      <c r="C317" s="3" t="str">
        <f t="shared" si="1"/>
        <v>_faded gold</v>
      </c>
      <c r="D317" s="3" t="str">
        <f t="shared" si="8"/>
        <v>#N/A</v>
      </c>
      <c r="E317" s="3" t="b">
        <f t="shared" si="2"/>
        <v>0</v>
      </c>
      <c r="G317" s="3" t="str">
        <f t="shared" si="3"/>
        <v>#N/A</v>
      </c>
      <c r="H317" s="3" t="b">
        <f t="shared" si="4"/>
        <v>0</v>
      </c>
      <c r="J317" s="3" t="str">
        <f t="shared" si="5"/>
        <v>#N/A</v>
      </c>
      <c r="K317" s="3" t="b">
        <f t="shared" si="6"/>
        <v>0</v>
      </c>
      <c r="M317" s="3" t="str">
        <f t="shared" si="7"/>
        <v>#N/A</v>
      </c>
      <c r="AU317" s="7"/>
      <c r="AV317" s="6"/>
      <c r="AW317" s="8"/>
      <c r="AX317" s="7"/>
      <c r="AY317" s="6"/>
      <c r="AZ317" s="8"/>
      <c r="BA317" s="7"/>
      <c r="BB317" s="6"/>
      <c r="BC317" s="8"/>
      <c r="BD317" s="7"/>
      <c r="BE317" s="6"/>
      <c r="BF317" s="8"/>
      <c r="BG317" s="7"/>
      <c r="BH317" s="6"/>
      <c r="BI317" s="8"/>
      <c r="BJ317" s="7"/>
      <c r="BK317" s="6"/>
      <c r="BL317" s="8"/>
      <c r="BM317" s="7"/>
      <c r="BN317" s="6"/>
      <c r="BO317" s="8"/>
      <c r="BP317" s="7"/>
      <c r="BQ317" s="6"/>
      <c r="BR317" s="8"/>
    </row>
    <row r="318">
      <c r="A318" s="6"/>
      <c r="B318" s="6" t="s">
        <v>318</v>
      </c>
      <c r="C318" s="3" t="str">
        <f t="shared" si="1"/>
        <v>_shiny aqua</v>
      </c>
      <c r="D318" s="3" t="str">
        <f t="shared" si="8"/>
        <v>#N/A</v>
      </c>
      <c r="E318" s="3" t="b">
        <f t="shared" si="2"/>
        <v>0</v>
      </c>
      <c r="G318" s="3" t="str">
        <f t="shared" si="3"/>
        <v>#N/A</v>
      </c>
      <c r="H318" s="3" t="b">
        <f t="shared" si="4"/>
        <v>0</v>
      </c>
      <c r="J318" s="3" t="str">
        <f t="shared" si="5"/>
        <v>#N/A</v>
      </c>
      <c r="K318" s="3" t="b">
        <f t="shared" si="6"/>
        <v>0</v>
      </c>
      <c r="M318" s="3" t="str">
        <f t="shared" si="7"/>
        <v>#N/A</v>
      </c>
      <c r="AU318" s="7"/>
      <c r="AV318" s="6"/>
      <c r="AW318" s="8"/>
      <c r="AX318" s="7"/>
      <c r="AY318" s="6"/>
      <c r="AZ318" s="8"/>
      <c r="BA318" s="7"/>
      <c r="BB318" s="6"/>
      <c r="BC318" s="8"/>
      <c r="BD318" s="7"/>
      <c r="BE318" s="6"/>
      <c r="BF318" s="8"/>
      <c r="BG318" s="7"/>
      <c r="BH318" s="6"/>
      <c r="BI318" s="8"/>
      <c r="BJ318" s="7"/>
      <c r="BK318" s="6"/>
      <c r="BL318" s="8"/>
      <c r="BM318" s="7"/>
      <c r="BN318" s="6"/>
      <c r="BO318" s="8"/>
      <c r="BP318" s="7"/>
      <c r="BQ318" s="6"/>
      <c r="BR318" s="8"/>
    </row>
    <row r="319">
      <c r="A319" s="6"/>
      <c r="B319" s="6" t="s">
        <v>319</v>
      </c>
      <c r="C319" s="3" t="str">
        <f t="shared" si="1"/>
        <v>_shiny lime</v>
      </c>
      <c r="D319" s="3" t="str">
        <f t="shared" si="8"/>
        <v>#N/A</v>
      </c>
      <c r="E319" s="3" t="b">
        <f t="shared" si="2"/>
        <v>0</v>
      </c>
      <c r="G319" s="3" t="str">
        <f t="shared" si="3"/>
        <v>#N/A</v>
      </c>
      <c r="H319" s="3" t="b">
        <f t="shared" si="4"/>
        <v>0</v>
      </c>
      <c r="J319" s="3" t="str">
        <f t="shared" si="5"/>
        <v>#N/A</v>
      </c>
      <c r="K319" s="3" t="b">
        <f t="shared" si="6"/>
        <v>0</v>
      </c>
      <c r="M319" s="3" t="str">
        <f t="shared" si="7"/>
        <v>#N/A</v>
      </c>
      <c r="AU319" s="7"/>
      <c r="AV319" s="6"/>
      <c r="AW319" s="8"/>
      <c r="AX319" s="7"/>
      <c r="AY319" s="6"/>
      <c r="AZ319" s="8"/>
      <c r="BA319" s="7"/>
      <c r="BB319" s="6"/>
      <c r="BC319" s="8"/>
      <c r="BD319" s="7"/>
      <c r="BE319" s="6"/>
      <c r="BF319" s="8"/>
      <c r="BG319" s="7"/>
      <c r="BH319" s="6"/>
      <c r="BI319" s="8"/>
      <c r="BJ319" s="7"/>
      <c r="BK319" s="6"/>
      <c r="BL319" s="8"/>
      <c r="BM319" s="7"/>
      <c r="BN319" s="6"/>
      <c r="BO319" s="8"/>
      <c r="BP319" s="7"/>
      <c r="BQ319" s="6"/>
      <c r="BR319" s="8"/>
    </row>
    <row r="320">
      <c r="A320" s="6"/>
      <c r="B320" s="6" t="s">
        <v>320</v>
      </c>
      <c r="C320" s="3" t="str">
        <f t="shared" si="1"/>
        <v>_vibrant tan</v>
      </c>
      <c r="D320" s="3" t="str">
        <f t="shared" si="8"/>
        <v>#N/A</v>
      </c>
      <c r="E320" s="3" t="b">
        <f t="shared" si="2"/>
        <v>0</v>
      </c>
      <c r="G320" s="3" t="str">
        <f t="shared" si="3"/>
        <v>#N/A</v>
      </c>
      <c r="H320" s="3" t="b">
        <f t="shared" si="4"/>
        <v>0</v>
      </c>
      <c r="J320" s="3" t="str">
        <f t="shared" si="5"/>
        <v>#N/A</v>
      </c>
      <c r="K320" s="3" t="b">
        <f t="shared" si="6"/>
        <v>0</v>
      </c>
      <c r="M320" s="3" t="str">
        <f t="shared" si="7"/>
        <v>#N/A</v>
      </c>
      <c r="AU320" s="7"/>
      <c r="AV320" s="6"/>
      <c r="AW320" s="8"/>
      <c r="AX320" s="7"/>
      <c r="AY320" s="6"/>
      <c r="AZ320" s="8"/>
      <c r="BA320" s="7"/>
      <c r="BB320" s="6"/>
      <c r="BC320" s="8"/>
      <c r="BD320" s="7"/>
      <c r="BE320" s="6"/>
      <c r="BF320" s="8"/>
      <c r="BG320" s="7"/>
      <c r="BH320" s="6"/>
      <c r="BI320" s="8"/>
      <c r="BJ320" s="7"/>
      <c r="BK320" s="6"/>
      <c r="BL320" s="8"/>
      <c r="BM320" s="7"/>
      <c r="BN320" s="6"/>
      <c r="BO320" s="8"/>
      <c r="BP320" s="7"/>
      <c r="BQ320" s="6"/>
      <c r="BR320" s="8"/>
    </row>
    <row r="321">
      <c r="A321" s="6"/>
      <c r="B321" s="6" t="s">
        <v>321</v>
      </c>
      <c r="C321" s="3" t="str">
        <f t="shared" si="1"/>
        <v>_vibrant aqua</v>
      </c>
      <c r="D321" s="3" t="str">
        <f t="shared" si="8"/>
        <v>#N/A</v>
      </c>
      <c r="E321" s="3" t="b">
        <f t="shared" si="2"/>
        <v>0</v>
      </c>
      <c r="G321" s="3" t="str">
        <f t="shared" si="3"/>
        <v>#N/A</v>
      </c>
      <c r="H321" s="3" t="b">
        <f t="shared" si="4"/>
        <v>0</v>
      </c>
      <c r="J321" s="3" t="str">
        <f t="shared" si="5"/>
        <v>#N/A</v>
      </c>
      <c r="K321" s="3" t="b">
        <f t="shared" si="6"/>
        <v>0</v>
      </c>
      <c r="M321" s="3" t="str">
        <f t="shared" si="7"/>
        <v>#N/A</v>
      </c>
      <c r="AU321" s="7"/>
      <c r="AV321" s="6"/>
      <c r="AW321" s="8"/>
      <c r="AX321" s="7"/>
      <c r="AY321" s="6"/>
      <c r="AZ321" s="8"/>
      <c r="BA321" s="7"/>
      <c r="BB321" s="6"/>
      <c r="BC321" s="8"/>
      <c r="BD321" s="7"/>
      <c r="BE321" s="6"/>
      <c r="BF321" s="8"/>
      <c r="BG321" s="7"/>
      <c r="BH321" s="6"/>
      <c r="BI321" s="8"/>
      <c r="BJ321" s="7"/>
      <c r="BK321" s="6"/>
      <c r="BL321" s="8"/>
      <c r="BM321" s="7"/>
      <c r="BN321" s="6"/>
      <c r="BO321" s="8"/>
      <c r="BP321" s="7"/>
      <c r="BQ321" s="6"/>
      <c r="BR321" s="8"/>
    </row>
    <row r="322">
      <c r="A322" s="6"/>
      <c r="B322" s="6" t="s">
        <v>322</v>
      </c>
      <c r="C322" s="3" t="str">
        <f t="shared" si="1"/>
        <v>_vibrant teal</v>
      </c>
      <c r="D322" s="3" t="str">
        <f t="shared" si="8"/>
        <v>#N/A</v>
      </c>
      <c r="E322" s="3" t="b">
        <f t="shared" si="2"/>
        <v>0</v>
      </c>
      <c r="G322" s="3" t="str">
        <f t="shared" si="3"/>
        <v>#N/A</v>
      </c>
      <c r="H322" s="3" t="b">
        <f t="shared" si="4"/>
        <v>0</v>
      </c>
      <c r="J322" s="3" t="str">
        <f t="shared" si="5"/>
        <v>#N/A</v>
      </c>
      <c r="K322" s="3" t="b">
        <f t="shared" si="6"/>
        <v>0</v>
      </c>
      <c r="M322" s="3" t="str">
        <f t="shared" si="7"/>
        <v>#N/A</v>
      </c>
      <c r="AU322" s="7"/>
      <c r="AV322" s="6"/>
      <c r="AW322" s="8"/>
      <c r="AX322" s="7"/>
      <c r="AY322" s="6"/>
      <c r="AZ322" s="8"/>
      <c r="BA322" s="7"/>
      <c r="BB322" s="6"/>
      <c r="BC322" s="8"/>
      <c r="BD322" s="7"/>
      <c r="BE322" s="6"/>
      <c r="BF322" s="8"/>
      <c r="BG322" s="7"/>
      <c r="BH322" s="6"/>
      <c r="BI322" s="8"/>
      <c r="BJ322" s="7"/>
      <c r="BK322" s="6"/>
      <c r="BL322" s="8"/>
      <c r="BM322" s="7"/>
      <c r="BN322" s="6"/>
      <c r="BO322" s="8"/>
      <c r="BP322" s="7"/>
      <c r="BQ322" s="6"/>
      <c r="BR322" s="8"/>
    </row>
    <row r="323">
      <c r="A323" s="6"/>
      <c r="B323" s="6" t="s">
        <v>323</v>
      </c>
      <c r="C323" s="3" t="str">
        <f t="shared" si="1"/>
        <v>_light maroon</v>
      </c>
      <c r="D323" s="3" t="str">
        <f t="shared" si="8"/>
        <v>#N/A</v>
      </c>
      <c r="E323" s="3" t="b">
        <f t="shared" si="2"/>
        <v>0</v>
      </c>
      <c r="G323" s="3" t="str">
        <f t="shared" si="3"/>
        <v>#N/A</v>
      </c>
      <c r="H323" s="3" t="b">
        <f t="shared" si="4"/>
        <v>0</v>
      </c>
      <c r="J323" s="3" t="str">
        <f t="shared" si="5"/>
        <v>#N/A</v>
      </c>
      <c r="K323" s="3" t="b">
        <f t="shared" si="6"/>
        <v>0</v>
      </c>
      <c r="M323" s="3" t="str">
        <f t="shared" si="7"/>
        <v>#N/A</v>
      </c>
      <c r="AU323" s="7"/>
      <c r="AV323" s="6"/>
      <c r="AW323" s="8"/>
      <c r="AX323" s="7"/>
      <c r="AY323" s="6"/>
      <c r="AZ323" s="8"/>
      <c r="BA323" s="7"/>
      <c r="BB323" s="6"/>
      <c r="BC323" s="8"/>
      <c r="BD323" s="7"/>
      <c r="BE323" s="6"/>
      <c r="BF323" s="8"/>
      <c r="BG323" s="7"/>
      <c r="BH323" s="6"/>
      <c r="BI323" s="8"/>
      <c r="BJ323" s="7"/>
      <c r="BK323" s="6"/>
      <c r="BL323" s="8"/>
      <c r="BM323" s="7"/>
      <c r="BN323" s="6"/>
      <c r="BO323" s="8"/>
      <c r="BP323" s="7"/>
      <c r="BQ323" s="6"/>
      <c r="BR323" s="8"/>
    </row>
    <row r="324">
      <c r="A324" s="6"/>
      <c r="B324" s="6" t="s">
        <v>324</v>
      </c>
      <c r="C324" s="3" t="str">
        <f t="shared" si="1"/>
        <v>_faded crimson</v>
      </c>
      <c r="D324" s="3" t="str">
        <f t="shared" si="8"/>
        <v>#N/A</v>
      </c>
      <c r="E324" s="3" t="b">
        <f t="shared" si="2"/>
        <v>0</v>
      </c>
      <c r="G324" s="3" t="str">
        <f t="shared" si="3"/>
        <v>#N/A</v>
      </c>
      <c r="H324" s="3" t="b">
        <f t="shared" si="4"/>
        <v>0</v>
      </c>
      <c r="J324" s="3" t="str">
        <f t="shared" si="5"/>
        <v>#N/A</v>
      </c>
      <c r="K324" s="3" t="b">
        <f t="shared" si="6"/>
        <v>0</v>
      </c>
      <c r="M324" s="3" t="str">
        <f t="shared" si="7"/>
        <v>#N/A</v>
      </c>
      <c r="AU324" s="7"/>
      <c r="AV324" s="6"/>
      <c r="AW324" s="8"/>
      <c r="AX324" s="7"/>
      <c r="AY324" s="6"/>
      <c r="AZ324" s="8"/>
      <c r="BA324" s="7"/>
      <c r="BB324" s="6"/>
      <c r="BC324" s="8"/>
      <c r="BD324" s="7"/>
      <c r="BE324" s="6"/>
      <c r="BF324" s="8"/>
      <c r="BG324" s="7"/>
      <c r="BH324" s="6"/>
      <c r="BI324" s="8"/>
      <c r="BJ324" s="7"/>
      <c r="BK324" s="6"/>
      <c r="BL324" s="8"/>
      <c r="BM324" s="7"/>
      <c r="BN324" s="6"/>
      <c r="BO324" s="8"/>
      <c r="BP324" s="7"/>
      <c r="BQ324" s="6"/>
      <c r="BR324" s="8"/>
    </row>
    <row r="325">
      <c r="A325" s="6"/>
      <c r="B325" s="6" t="s">
        <v>325</v>
      </c>
      <c r="C325" s="3" t="str">
        <f t="shared" si="1"/>
        <v>_light teal</v>
      </c>
      <c r="D325" s="3" t="str">
        <f t="shared" si="8"/>
        <v>#N/A</v>
      </c>
      <c r="E325" s="3" t="b">
        <f t="shared" si="2"/>
        <v>0</v>
      </c>
      <c r="G325" s="3" t="str">
        <f t="shared" si="3"/>
        <v>#N/A</v>
      </c>
      <c r="H325" s="3" t="b">
        <f t="shared" si="4"/>
        <v>0</v>
      </c>
      <c r="J325" s="3" t="str">
        <f t="shared" si="5"/>
        <v>#N/A</v>
      </c>
      <c r="K325" s="3" t="b">
        <f t="shared" si="6"/>
        <v>0</v>
      </c>
      <c r="M325" s="3" t="str">
        <f t="shared" si="7"/>
        <v>#N/A</v>
      </c>
      <c r="AU325" s="7"/>
      <c r="AV325" s="6"/>
      <c r="AW325" s="8"/>
      <c r="AX325" s="7"/>
      <c r="AY325" s="6"/>
      <c r="AZ325" s="8"/>
      <c r="BA325" s="7"/>
      <c r="BB325" s="6"/>
      <c r="BC325" s="8"/>
      <c r="BD325" s="7"/>
      <c r="BE325" s="6"/>
      <c r="BF325" s="8"/>
      <c r="BG325" s="7"/>
      <c r="BH325" s="6"/>
      <c r="BI325" s="8"/>
      <c r="BJ325" s="7"/>
      <c r="BK325" s="6"/>
      <c r="BL325" s="8"/>
      <c r="BM325" s="7"/>
      <c r="BN325" s="6"/>
      <c r="BO325" s="8"/>
      <c r="BP325" s="7"/>
      <c r="BQ325" s="6"/>
      <c r="BR325" s="8"/>
    </row>
    <row r="326">
      <c r="A326" s="6"/>
      <c r="B326" s="6" t="s">
        <v>326</v>
      </c>
      <c r="C326" s="3" t="str">
        <f t="shared" si="1"/>
        <v>_mirrored coral</v>
      </c>
      <c r="D326" s="3" t="str">
        <f t="shared" si="8"/>
        <v>#N/A</v>
      </c>
      <c r="E326" s="3" t="b">
        <f t="shared" si="2"/>
        <v>0</v>
      </c>
      <c r="G326" s="3" t="str">
        <f t="shared" si="3"/>
        <v>#N/A</v>
      </c>
      <c r="H326" s="3" t="b">
        <f t="shared" si="4"/>
        <v>0</v>
      </c>
      <c r="J326" s="3" t="str">
        <f t="shared" si="5"/>
        <v>#N/A</v>
      </c>
      <c r="K326" s="3" t="b">
        <f t="shared" si="6"/>
        <v>0</v>
      </c>
      <c r="M326" s="3" t="str">
        <f t="shared" si="7"/>
        <v>#N/A</v>
      </c>
      <c r="AU326" s="7"/>
      <c r="AV326" s="6"/>
      <c r="AW326" s="8"/>
      <c r="AX326" s="7"/>
      <c r="AY326" s="6"/>
      <c r="AZ326" s="8"/>
      <c r="BA326" s="7"/>
      <c r="BB326" s="6"/>
      <c r="BC326" s="8"/>
      <c r="BD326" s="7"/>
      <c r="BE326" s="6"/>
      <c r="BF326" s="8"/>
      <c r="BG326" s="7"/>
      <c r="BH326" s="6"/>
      <c r="BI326" s="8"/>
      <c r="BJ326" s="7"/>
      <c r="BK326" s="6"/>
      <c r="BL326" s="8"/>
      <c r="BM326" s="7"/>
      <c r="BN326" s="6"/>
      <c r="BO326" s="8"/>
      <c r="BP326" s="7"/>
      <c r="BQ326" s="6"/>
      <c r="BR326" s="8"/>
    </row>
    <row r="327">
      <c r="A327" s="6"/>
      <c r="B327" s="6" t="s">
        <v>327</v>
      </c>
      <c r="C327" s="3" t="str">
        <f t="shared" si="1"/>
        <v>_muted black</v>
      </c>
      <c r="D327" s="3" t="str">
        <f t="shared" si="8"/>
        <v>#N/A</v>
      </c>
      <c r="E327" s="3" t="b">
        <f t="shared" si="2"/>
        <v>0</v>
      </c>
      <c r="G327" s="3" t="str">
        <f t="shared" si="3"/>
        <v>#N/A</v>
      </c>
      <c r="H327" s="3" t="b">
        <f t="shared" si="4"/>
        <v>0</v>
      </c>
      <c r="J327" s="3" t="str">
        <f t="shared" si="5"/>
        <v>#N/A</v>
      </c>
      <c r="K327" s="3" t="b">
        <f t="shared" si="6"/>
        <v>0</v>
      </c>
      <c r="M327" s="3" t="str">
        <f t="shared" si="7"/>
        <v>#N/A</v>
      </c>
      <c r="AU327" s="7"/>
      <c r="AV327" s="6"/>
      <c r="AW327" s="8"/>
      <c r="AX327" s="7"/>
      <c r="AY327" s="6"/>
      <c r="AZ327" s="8"/>
      <c r="BA327" s="7"/>
      <c r="BB327" s="6"/>
      <c r="BC327" s="8"/>
      <c r="BD327" s="7"/>
      <c r="BE327" s="6"/>
      <c r="BF327" s="8"/>
      <c r="BG327" s="7"/>
      <c r="BH327" s="6"/>
      <c r="BI327" s="8"/>
      <c r="BJ327" s="7"/>
      <c r="BK327" s="6"/>
      <c r="BL327" s="8"/>
      <c r="BM327" s="7"/>
      <c r="BN327" s="6"/>
      <c r="BO327" s="8"/>
      <c r="BP327" s="7"/>
      <c r="BQ327" s="6"/>
      <c r="BR327" s="8"/>
    </row>
    <row r="328">
      <c r="A328" s="6"/>
      <c r="B328" s="6" t="s">
        <v>328</v>
      </c>
      <c r="C328" s="3" t="str">
        <f t="shared" si="1"/>
        <v>_striped gold</v>
      </c>
      <c r="D328" s="3" t="str">
        <f t="shared" si="8"/>
        <v>#N/A</v>
      </c>
      <c r="E328" s="3" t="b">
        <f t="shared" si="2"/>
        <v>0</v>
      </c>
      <c r="G328" s="3" t="str">
        <f t="shared" si="3"/>
        <v>#N/A</v>
      </c>
      <c r="H328" s="3" t="b">
        <f t="shared" si="4"/>
        <v>0</v>
      </c>
      <c r="J328" s="3" t="str">
        <f t="shared" si="5"/>
        <v>#N/A</v>
      </c>
      <c r="K328" s="3" t="b">
        <f t="shared" si="6"/>
        <v>0</v>
      </c>
      <c r="M328" s="3" t="str">
        <f t="shared" si="7"/>
        <v>#N/A</v>
      </c>
      <c r="AU328" s="7"/>
      <c r="AV328" s="6"/>
      <c r="AW328" s="8"/>
      <c r="AX328" s="7"/>
      <c r="AY328" s="6"/>
      <c r="AZ328" s="8"/>
      <c r="BA328" s="7"/>
      <c r="BB328" s="6"/>
      <c r="BC328" s="8"/>
      <c r="BD328" s="7"/>
      <c r="BE328" s="6"/>
      <c r="BF328" s="8"/>
      <c r="BG328" s="7"/>
      <c r="BH328" s="6"/>
      <c r="BI328" s="8"/>
      <c r="BJ328" s="7"/>
      <c r="BK328" s="6"/>
      <c r="BL328" s="8"/>
      <c r="BM328" s="7"/>
      <c r="BN328" s="6"/>
      <c r="BO328" s="8"/>
      <c r="BP328" s="7"/>
      <c r="BQ328" s="6"/>
      <c r="BR328" s="8"/>
    </row>
    <row r="329">
      <c r="A329" s="6"/>
      <c r="B329" s="6" t="s">
        <v>329</v>
      </c>
      <c r="C329" s="3" t="str">
        <f t="shared" si="1"/>
        <v>_light purple</v>
      </c>
      <c r="D329" s="3" t="str">
        <f t="shared" si="8"/>
        <v>#N/A</v>
      </c>
      <c r="E329" s="3" t="b">
        <f t="shared" si="2"/>
        <v>0</v>
      </c>
      <c r="G329" s="3" t="str">
        <f t="shared" si="3"/>
        <v>#N/A</v>
      </c>
      <c r="H329" s="3" t="b">
        <f t="shared" si="4"/>
        <v>0</v>
      </c>
      <c r="J329" s="3" t="str">
        <f t="shared" si="5"/>
        <v>#N/A</v>
      </c>
      <c r="K329" s="3" t="b">
        <f t="shared" si="6"/>
        <v>0</v>
      </c>
      <c r="M329" s="3" t="str">
        <f t="shared" si="7"/>
        <v>#N/A</v>
      </c>
      <c r="AU329" s="7"/>
      <c r="AV329" s="6"/>
      <c r="AW329" s="8"/>
      <c r="AX329" s="7"/>
      <c r="AY329" s="6"/>
      <c r="AZ329" s="8"/>
      <c r="BA329" s="7"/>
      <c r="BB329" s="6"/>
      <c r="BC329" s="8"/>
      <c r="BD329" s="7"/>
      <c r="BE329" s="6"/>
      <c r="BF329" s="8"/>
      <c r="BG329" s="7"/>
      <c r="BH329" s="6"/>
      <c r="BI329" s="8"/>
      <c r="BJ329" s="7"/>
      <c r="BK329" s="6"/>
      <c r="BL329" s="8"/>
      <c r="BM329" s="7"/>
      <c r="BN329" s="6"/>
      <c r="BO329" s="8"/>
      <c r="BP329" s="7"/>
      <c r="BQ329" s="6"/>
      <c r="BR329" s="8"/>
    </row>
    <row r="330">
      <c r="A330" s="6"/>
      <c r="B330" s="6" t="s">
        <v>330</v>
      </c>
      <c r="C330" s="3" t="str">
        <f t="shared" si="1"/>
        <v>_dull silver</v>
      </c>
      <c r="D330" s="3" t="str">
        <f t="shared" si="8"/>
        <v>#N/A</v>
      </c>
      <c r="E330" s="3" t="b">
        <f t="shared" si="2"/>
        <v>0</v>
      </c>
      <c r="G330" s="3" t="str">
        <f t="shared" si="3"/>
        <v>#N/A</v>
      </c>
      <c r="H330" s="3" t="b">
        <f t="shared" si="4"/>
        <v>0</v>
      </c>
      <c r="J330" s="3" t="str">
        <f t="shared" si="5"/>
        <v>#N/A</v>
      </c>
      <c r="K330" s="3" t="b">
        <f t="shared" si="6"/>
        <v>0</v>
      </c>
      <c r="M330" s="3" t="str">
        <f t="shared" si="7"/>
        <v>#N/A</v>
      </c>
      <c r="AU330" s="7"/>
      <c r="AV330" s="6"/>
      <c r="AW330" s="8"/>
      <c r="AX330" s="7"/>
      <c r="AY330" s="6"/>
      <c r="AZ330" s="8"/>
      <c r="BA330" s="7"/>
      <c r="BB330" s="6"/>
      <c r="BC330" s="8"/>
      <c r="BD330" s="7"/>
      <c r="BE330" s="6"/>
      <c r="BF330" s="8"/>
      <c r="BG330" s="7"/>
      <c r="BH330" s="6"/>
      <c r="BI330" s="8"/>
      <c r="BJ330" s="7"/>
      <c r="BK330" s="6"/>
      <c r="BL330" s="8"/>
      <c r="BM330" s="7"/>
      <c r="BN330" s="6"/>
      <c r="BO330" s="8"/>
      <c r="BP330" s="7"/>
      <c r="BQ330" s="6"/>
      <c r="BR330" s="8"/>
    </row>
    <row r="331">
      <c r="A331" s="6"/>
      <c r="B331" s="6" t="s">
        <v>331</v>
      </c>
      <c r="C331" s="3" t="str">
        <f t="shared" si="1"/>
        <v>_clear bronze</v>
      </c>
      <c r="D331" s="3" t="str">
        <f t="shared" si="8"/>
        <v>#N/A</v>
      </c>
      <c r="E331" s="3" t="b">
        <f t="shared" si="2"/>
        <v>0</v>
      </c>
      <c r="G331" s="3" t="str">
        <f t="shared" si="3"/>
        <v>#N/A</v>
      </c>
      <c r="H331" s="3" t="b">
        <f t="shared" si="4"/>
        <v>0</v>
      </c>
      <c r="J331" s="3" t="str">
        <f t="shared" si="5"/>
        <v>#N/A</v>
      </c>
      <c r="K331" s="3" t="b">
        <f t="shared" si="6"/>
        <v>0</v>
      </c>
      <c r="M331" s="3" t="str">
        <f t="shared" si="7"/>
        <v>#N/A</v>
      </c>
      <c r="AU331" s="7"/>
      <c r="AV331" s="6"/>
      <c r="AW331" s="8"/>
      <c r="AX331" s="7"/>
      <c r="AY331" s="6"/>
      <c r="AZ331" s="8"/>
      <c r="BA331" s="7"/>
      <c r="BB331" s="6"/>
      <c r="BC331" s="8"/>
      <c r="BD331" s="7"/>
      <c r="BE331" s="6"/>
      <c r="BF331" s="8"/>
      <c r="BG331" s="7"/>
      <c r="BH331" s="6"/>
      <c r="BI331" s="8"/>
      <c r="BJ331" s="7"/>
      <c r="BK331" s="6"/>
      <c r="BL331" s="8"/>
      <c r="BM331" s="7"/>
      <c r="BN331" s="6"/>
      <c r="BO331" s="8"/>
      <c r="BP331" s="7"/>
      <c r="BQ331" s="6"/>
      <c r="BR331" s="8"/>
    </row>
    <row r="332">
      <c r="A332" s="6"/>
      <c r="B332" s="6" t="s">
        <v>332</v>
      </c>
      <c r="C332" s="3" t="str">
        <f t="shared" si="1"/>
        <v>_wavy yellow</v>
      </c>
      <c r="D332" s="3" t="str">
        <f t="shared" si="8"/>
        <v>#N/A</v>
      </c>
      <c r="E332" s="3" t="b">
        <f t="shared" si="2"/>
        <v>0</v>
      </c>
      <c r="G332" s="3" t="str">
        <f t="shared" si="3"/>
        <v>#N/A</v>
      </c>
      <c r="H332" s="3" t="b">
        <f t="shared" si="4"/>
        <v>0</v>
      </c>
      <c r="J332" s="3" t="str">
        <f t="shared" si="5"/>
        <v>#N/A</v>
      </c>
      <c r="K332" s="3" t="b">
        <f t="shared" si="6"/>
        <v>0</v>
      </c>
      <c r="M332" s="3" t="str">
        <f t="shared" si="7"/>
        <v>#N/A</v>
      </c>
      <c r="AU332" s="7"/>
      <c r="AV332" s="6"/>
      <c r="AW332" s="8"/>
      <c r="AX332" s="7"/>
      <c r="AY332" s="6"/>
      <c r="AZ332" s="8"/>
      <c r="BA332" s="7"/>
      <c r="BB332" s="6"/>
      <c r="BC332" s="8"/>
      <c r="BD332" s="7"/>
      <c r="BE332" s="6"/>
      <c r="BF332" s="8"/>
      <c r="BG332" s="7"/>
      <c r="BH332" s="6"/>
      <c r="BI332" s="8"/>
      <c r="BJ332" s="7"/>
      <c r="BK332" s="6"/>
      <c r="BL332" s="8"/>
      <c r="BM332" s="7"/>
      <c r="BN332" s="6"/>
      <c r="BO332" s="8"/>
      <c r="BP332" s="7"/>
      <c r="BQ332" s="6"/>
      <c r="BR332" s="8"/>
    </row>
    <row r="333">
      <c r="A333" s="6"/>
      <c r="B333" s="6" t="s">
        <v>333</v>
      </c>
      <c r="C333" s="3" t="str">
        <f t="shared" si="1"/>
        <v>_muted purple</v>
      </c>
      <c r="D333" s="3" t="str">
        <f t="shared" si="8"/>
        <v>#N/A</v>
      </c>
      <c r="E333" s="3" t="b">
        <f t="shared" si="2"/>
        <v>0</v>
      </c>
      <c r="G333" s="3" t="str">
        <f t="shared" si="3"/>
        <v>#N/A</v>
      </c>
      <c r="H333" s="3" t="b">
        <f t="shared" si="4"/>
        <v>0</v>
      </c>
      <c r="J333" s="3" t="str">
        <f t="shared" si="5"/>
        <v>#N/A</v>
      </c>
      <c r="K333" s="3" t="b">
        <f t="shared" si="6"/>
        <v>0</v>
      </c>
      <c r="M333" s="3" t="str">
        <f t="shared" si="7"/>
        <v>#N/A</v>
      </c>
      <c r="AU333" s="7"/>
      <c r="AV333" s="6"/>
      <c r="AW333" s="8"/>
      <c r="AX333" s="7"/>
      <c r="AY333" s="6"/>
      <c r="AZ333" s="8"/>
      <c r="BA333" s="7"/>
      <c r="BB333" s="6"/>
      <c r="BC333" s="8"/>
      <c r="BD333" s="7"/>
      <c r="BE333" s="6"/>
      <c r="BF333" s="8"/>
      <c r="BG333" s="7"/>
      <c r="BH333" s="6"/>
      <c r="BI333" s="8"/>
      <c r="BJ333" s="7"/>
      <c r="BK333" s="6"/>
      <c r="BL333" s="8"/>
      <c r="BM333" s="7"/>
      <c r="BN333" s="6"/>
      <c r="BO333" s="8"/>
      <c r="BP333" s="7"/>
      <c r="BQ333" s="6"/>
      <c r="BR333" s="8"/>
    </row>
    <row r="334">
      <c r="A334" s="6"/>
      <c r="B334" s="6" t="s">
        <v>334</v>
      </c>
      <c r="C334" s="3" t="str">
        <f t="shared" si="1"/>
        <v>_plaid aqua</v>
      </c>
      <c r="D334" s="3" t="str">
        <f t="shared" si="8"/>
        <v>#N/A</v>
      </c>
      <c r="E334" s="3" t="b">
        <f t="shared" si="2"/>
        <v>0</v>
      </c>
      <c r="G334" s="3" t="str">
        <f t="shared" si="3"/>
        <v>#N/A</v>
      </c>
      <c r="H334" s="3" t="b">
        <f t="shared" si="4"/>
        <v>0</v>
      </c>
      <c r="J334" s="3" t="str">
        <f t="shared" si="5"/>
        <v>#N/A</v>
      </c>
      <c r="K334" s="3" t="b">
        <f t="shared" si="6"/>
        <v>0</v>
      </c>
      <c r="M334" s="3" t="str">
        <f t="shared" si="7"/>
        <v>#N/A</v>
      </c>
      <c r="AU334" s="7"/>
      <c r="AV334" s="6"/>
      <c r="AW334" s="8"/>
      <c r="AX334" s="7"/>
      <c r="AY334" s="6"/>
      <c r="AZ334" s="8"/>
      <c r="BA334" s="7"/>
      <c r="BB334" s="6"/>
      <c r="BC334" s="8"/>
      <c r="BD334" s="7"/>
      <c r="BE334" s="6"/>
      <c r="BF334" s="8"/>
      <c r="BG334" s="7"/>
      <c r="BH334" s="6"/>
      <c r="BI334" s="8"/>
      <c r="BJ334" s="7"/>
      <c r="BK334" s="6"/>
      <c r="BL334" s="8"/>
      <c r="BM334" s="7"/>
      <c r="BN334" s="6"/>
      <c r="BO334" s="8"/>
      <c r="BP334" s="7"/>
      <c r="BQ334" s="6"/>
      <c r="BR334" s="8"/>
    </row>
    <row r="335">
      <c r="A335" s="6"/>
      <c r="B335" s="6" t="s">
        <v>335</v>
      </c>
      <c r="C335" s="3" t="str">
        <f t="shared" si="1"/>
        <v>_drab plum</v>
      </c>
      <c r="D335" s="3" t="str">
        <f t="shared" si="8"/>
        <v>#N/A</v>
      </c>
      <c r="E335" s="3" t="b">
        <f t="shared" si="2"/>
        <v>0</v>
      </c>
      <c r="G335" s="3" t="str">
        <f t="shared" si="3"/>
        <v>#N/A</v>
      </c>
      <c r="H335" s="3" t="b">
        <f t="shared" si="4"/>
        <v>0</v>
      </c>
      <c r="J335" s="3" t="str">
        <f t="shared" si="5"/>
        <v>#N/A</v>
      </c>
      <c r="K335" s="3" t="b">
        <f t="shared" si="6"/>
        <v>0</v>
      </c>
      <c r="M335" s="3" t="str">
        <f t="shared" si="7"/>
        <v>#N/A</v>
      </c>
      <c r="AU335" s="7"/>
      <c r="AV335" s="6"/>
      <c r="AW335" s="8"/>
      <c r="AX335" s="7"/>
      <c r="AY335" s="6"/>
      <c r="AZ335" s="8"/>
      <c r="BA335" s="7"/>
      <c r="BB335" s="6"/>
      <c r="BC335" s="8"/>
      <c r="BD335" s="7"/>
      <c r="BE335" s="6"/>
      <c r="BF335" s="8"/>
      <c r="BG335" s="7"/>
      <c r="BH335" s="6"/>
      <c r="BI335" s="8"/>
      <c r="BJ335" s="7"/>
      <c r="BK335" s="6"/>
      <c r="BL335" s="8"/>
      <c r="BM335" s="7"/>
      <c r="BN335" s="6"/>
      <c r="BO335" s="8"/>
      <c r="BP335" s="7"/>
      <c r="BQ335" s="6"/>
      <c r="BR335" s="8"/>
    </row>
    <row r="336">
      <c r="A336" s="6"/>
      <c r="B336" s="6" t="s">
        <v>336</v>
      </c>
      <c r="C336" s="3" t="str">
        <f t="shared" si="1"/>
        <v>_muted orange</v>
      </c>
      <c r="D336" s="3" t="str">
        <f t="shared" si="8"/>
        <v>#N/A</v>
      </c>
      <c r="E336" s="3" t="b">
        <f t="shared" si="2"/>
        <v>0</v>
      </c>
      <c r="G336" s="3" t="str">
        <f t="shared" si="3"/>
        <v>#N/A</v>
      </c>
      <c r="H336" s="3" t="b">
        <f t="shared" si="4"/>
        <v>0</v>
      </c>
      <c r="J336" s="3" t="str">
        <f t="shared" si="5"/>
        <v>#N/A</v>
      </c>
      <c r="K336" s="3" t="b">
        <f t="shared" si="6"/>
        <v>0</v>
      </c>
      <c r="M336" s="3" t="str">
        <f t="shared" si="7"/>
        <v>#N/A</v>
      </c>
      <c r="AU336" s="7"/>
      <c r="AV336" s="6"/>
      <c r="AW336" s="8"/>
      <c r="AX336" s="7"/>
      <c r="AY336" s="6"/>
      <c r="AZ336" s="8"/>
      <c r="BA336" s="7"/>
      <c r="BB336" s="6"/>
      <c r="BC336" s="8"/>
      <c r="BD336" s="7"/>
      <c r="BE336" s="6"/>
      <c r="BF336" s="8"/>
      <c r="BG336" s="7"/>
      <c r="BH336" s="6"/>
      <c r="BI336" s="8"/>
      <c r="BJ336" s="7"/>
      <c r="BK336" s="6"/>
      <c r="BL336" s="8"/>
      <c r="BM336" s="7"/>
      <c r="BN336" s="6"/>
      <c r="BO336" s="8"/>
      <c r="BP336" s="7"/>
      <c r="BQ336" s="6"/>
      <c r="BR336" s="8"/>
    </row>
    <row r="337">
      <c r="A337" s="6"/>
      <c r="B337" s="6" t="s">
        <v>337</v>
      </c>
      <c r="C337" s="3" t="str">
        <f t="shared" si="1"/>
        <v>_dim silver</v>
      </c>
      <c r="D337" s="3" t="str">
        <f t="shared" si="8"/>
        <v>#N/A</v>
      </c>
      <c r="E337" s="3" t="b">
        <f t="shared" si="2"/>
        <v>0</v>
      </c>
      <c r="G337" s="3" t="str">
        <f t="shared" si="3"/>
        <v>#N/A</v>
      </c>
      <c r="H337" s="3" t="b">
        <f t="shared" si="4"/>
        <v>0</v>
      </c>
      <c r="J337" s="3" t="str">
        <f t="shared" si="5"/>
        <v>#N/A</v>
      </c>
      <c r="K337" s="3" t="b">
        <f t="shared" si="6"/>
        <v>0</v>
      </c>
      <c r="M337" s="3" t="str">
        <f t="shared" si="7"/>
        <v>#N/A</v>
      </c>
      <c r="AU337" s="7"/>
      <c r="AV337" s="6"/>
      <c r="AW337" s="8"/>
      <c r="AX337" s="7"/>
      <c r="AY337" s="6"/>
      <c r="AZ337" s="8"/>
      <c r="BA337" s="7"/>
      <c r="BB337" s="6"/>
      <c r="BC337" s="8"/>
      <c r="BD337" s="7"/>
      <c r="BE337" s="6"/>
      <c r="BF337" s="8"/>
      <c r="BG337" s="7"/>
      <c r="BH337" s="6"/>
      <c r="BI337" s="8"/>
      <c r="BJ337" s="7"/>
      <c r="BK337" s="6"/>
      <c r="BL337" s="8"/>
      <c r="BM337" s="7"/>
      <c r="BN337" s="6"/>
      <c r="BO337" s="8"/>
      <c r="BP337" s="7"/>
      <c r="BQ337" s="6"/>
      <c r="BR337" s="8"/>
    </row>
    <row r="338">
      <c r="A338" s="6"/>
      <c r="B338" s="6" t="s">
        <v>338</v>
      </c>
      <c r="C338" s="3" t="str">
        <f t="shared" si="1"/>
        <v>_pale tan</v>
      </c>
      <c r="D338" s="3" t="str">
        <f t="shared" si="8"/>
        <v>#N/A</v>
      </c>
      <c r="E338" s="3" t="b">
        <f t="shared" si="2"/>
        <v>0</v>
      </c>
      <c r="G338" s="3" t="str">
        <f t="shared" si="3"/>
        <v>#N/A</v>
      </c>
      <c r="H338" s="3" t="b">
        <f t="shared" si="4"/>
        <v>0</v>
      </c>
      <c r="J338" s="3" t="str">
        <f t="shared" si="5"/>
        <v>#N/A</v>
      </c>
      <c r="K338" s="3" t="b">
        <f t="shared" si="6"/>
        <v>0</v>
      </c>
      <c r="M338" s="3" t="str">
        <f t="shared" si="7"/>
        <v>#N/A</v>
      </c>
      <c r="AU338" s="7"/>
      <c r="AV338" s="6"/>
      <c r="AW338" s="8"/>
      <c r="AX338" s="7"/>
      <c r="AY338" s="6"/>
      <c r="AZ338" s="8"/>
      <c r="BA338" s="7"/>
      <c r="BB338" s="6"/>
      <c r="BC338" s="8"/>
      <c r="BD338" s="7"/>
      <c r="BE338" s="6"/>
      <c r="BF338" s="8"/>
      <c r="BG338" s="7"/>
      <c r="BH338" s="6"/>
      <c r="BI338" s="8"/>
      <c r="BJ338" s="7"/>
      <c r="BK338" s="6"/>
      <c r="BL338" s="8"/>
      <c r="BM338" s="7"/>
      <c r="BN338" s="6"/>
      <c r="BO338" s="8"/>
      <c r="BP338" s="7"/>
      <c r="BQ338" s="6"/>
      <c r="BR338" s="8"/>
    </row>
    <row r="339">
      <c r="A339" s="6"/>
      <c r="B339" s="6" t="s">
        <v>339</v>
      </c>
      <c r="C339" s="3" t="str">
        <f t="shared" si="1"/>
        <v>_wavy tomato</v>
      </c>
      <c r="D339" s="3" t="str">
        <f t="shared" si="8"/>
        <v>#N/A</v>
      </c>
      <c r="E339" s="3" t="b">
        <f t="shared" si="2"/>
        <v>0</v>
      </c>
      <c r="G339" s="3" t="str">
        <f t="shared" si="3"/>
        <v>#N/A</v>
      </c>
      <c r="H339" s="3" t="b">
        <f t="shared" si="4"/>
        <v>0</v>
      </c>
      <c r="J339" s="3" t="str">
        <f t="shared" si="5"/>
        <v>#N/A</v>
      </c>
      <c r="K339" s="3" t="b">
        <f t="shared" si="6"/>
        <v>0</v>
      </c>
      <c r="M339" s="3" t="str">
        <f t="shared" si="7"/>
        <v>#N/A</v>
      </c>
      <c r="AU339" s="7"/>
      <c r="AV339" s="6"/>
      <c r="AW339" s="8"/>
      <c r="AX339" s="7"/>
      <c r="AY339" s="6"/>
      <c r="AZ339" s="8"/>
      <c r="BA339" s="7"/>
      <c r="BB339" s="6"/>
      <c r="BC339" s="8"/>
      <c r="BD339" s="7"/>
      <c r="BE339" s="6"/>
      <c r="BF339" s="8"/>
      <c r="BG339" s="7"/>
      <c r="BH339" s="6"/>
      <c r="BI339" s="8"/>
      <c r="BJ339" s="7"/>
      <c r="BK339" s="6"/>
      <c r="BL339" s="8"/>
      <c r="BM339" s="7"/>
      <c r="BN339" s="6"/>
      <c r="BO339" s="8"/>
      <c r="BP339" s="7"/>
      <c r="BQ339" s="6"/>
      <c r="BR339" s="8"/>
    </row>
    <row r="340">
      <c r="A340" s="6"/>
      <c r="B340" s="6" t="s">
        <v>340</v>
      </c>
      <c r="C340" s="3" t="str">
        <f t="shared" si="1"/>
        <v>_posh bronze</v>
      </c>
      <c r="D340" s="3" t="str">
        <f t="shared" si="8"/>
        <v>#N/A</v>
      </c>
      <c r="E340" s="3" t="b">
        <f t="shared" si="2"/>
        <v>0</v>
      </c>
      <c r="G340" s="3" t="str">
        <f t="shared" si="3"/>
        <v>#N/A</v>
      </c>
      <c r="H340" s="3" t="b">
        <f t="shared" si="4"/>
        <v>0</v>
      </c>
      <c r="J340" s="3" t="str">
        <f t="shared" si="5"/>
        <v>#N/A</v>
      </c>
      <c r="K340" s="3" t="b">
        <f t="shared" si="6"/>
        <v>0</v>
      </c>
      <c r="M340" s="3" t="str">
        <f t="shared" si="7"/>
        <v>#N/A</v>
      </c>
      <c r="AU340" s="7"/>
      <c r="AV340" s="6"/>
      <c r="AW340" s="8"/>
      <c r="AX340" s="7"/>
      <c r="AY340" s="6"/>
      <c r="AZ340" s="8"/>
      <c r="BA340" s="7"/>
      <c r="BB340" s="6"/>
      <c r="BC340" s="8"/>
      <c r="BD340" s="7"/>
      <c r="BE340" s="6"/>
      <c r="BF340" s="8"/>
      <c r="BG340" s="7"/>
      <c r="BH340" s="6"/>
      <c r="BI340" s="8"/>
      <c r="BJ340" s="7"/>
      <c r="BK340" s="6"/>
      <c r="BL340" s="8"/>
      <c r="BM340" s="7"/>
      <c r="BN340" s="6"/>
      <c r="BO340" s="8"/>
      <c r="BP340" s="7"/>
      <c r="BQ340" s="6"/>
      <c r="BR340" s="8"/>
    </row>
    <row r="341">
      <c r="A341" s="6"/>
      <c r="B341" s="6" t="s">
        <v>341</v>
      </c>
      <c r="C341" s="3" t="str">
        <f t="shared" si="1"/>
        <v>_clear blue</v>
      </c>
      <c r="D341" s="3" t="str">
        <f t="shared" si="8"/>
        <v>#N/A</v>
      </c>
      <c r="E341" s="3" t="b">
        <f t="shared" si="2"/>
        <v>0</v>
      </c>
      <c r="G341" s="3" t="str">
        <f t="shared" si="3"/>
        <v>#N/A</v>
      </c>
      <c r="H341" s="3" t="b">
        <f t="shared" si="4"/>
        <v>0</v>
      </c>
      <c r="J341" s="3" t="str">
        <f t="shared" si="5"/>
        <v>#N/A</v>
      </c>
      <c r="K341" s="3" t="b">
        <f t="shared" si="6"/>
        <v>0</v>
      </c>
      <c r="M341" s="3" t="str">
        <f t="shared" si="7"/>
        <v>#N/A</v>
      </c>
      <c r="AU341" s="7"/>
      <c r="AV341" s="6"/>
      <c r="AW341" s="8"/>
      <c r="AX341" s="7"/>
      <c r="AY341" s="6"/>
      <c r="AZ341" s="8"/>
      <c r="BA341" s="7"/>
      <c r="BB341" s="6"/>
      <c r="BC341" s="8"/>
      <c r="BD341" s="7"/>
      <c r="BE341" s="6"/>
      <c r="BF341" s="8"/>
      <c r="BG341" s="7"/>
      <c r="BH341" s="6"/>
      <c r="BI341" s="8"/>
      <c r="BJ341" s="7"/>
      <c r="BK341" s="6"/>
      <c r="BL341" s="8"/>
      <c r="BM341" s="7"/>
      <c r="BN341" s="6"/>
      <c r="BO341" s="8"/>
      <c r="BP341" s="7"/>
      <c r="BQ341" s="6"/>
      <c r="BR341" s="8"/>
    </row>
    <row r="342">
      <c r="A342" s="6"/>
      <c r="B342" s="6" t="s">
        <v>342</v>
      </c>
      <c r="C342" s="3" t="str">
        <f t="shared" si="1"/>
        <v>_striped plum</v>
      </c>
      <c r="D342" s="3" t="str">
        <f t="shared" si="8"/>
        <v>#N/A</v>
      </c>
      <c r="E342" s="3" t="b">
        <f t="shared" si="2"/>
        <v>0</v>
      </c>
      <c r="G342" s="3" t="str">
        <f t="shared" si="3"/>
        <v>#N/A</v>
      </c>
      <c r="H342" s="3" t="b">
        <f t="shared" si="4"/>
        <v>0</v>
      </c>
      <c r="J342" s="3" t="str">
        <f t="shared" si="5"/>
        <v>#N/A</v>
      </c>
      <c r="K342" s="3" t="b">
        <f t="shared" si="6"/>
        <v>0</v>
      </c>
      <c r="M342" s="3" t="str">
        <f t="shared" si="7"/>
        <v>#N/A</v>
      </c>
      <c r="AU342" s="7"/>
      <c r="AV342" s="6"/>
      <c r="AW342" s="8"/>
      <c r="AX342" s="7"/>
      <c r="AY342" s="6"/>
      <c r="AZ342" s="8"/>
      <c r="BA342" s="7"/>
      <c r="BB342" s="6"/>
      <c r="BC342" s="8"/>
      <c r="BD342" s="7"/>
      <c r="BE342" s="6"/>
      <c r="BF342" s="8"/>
      <c r="BG342" s="7"/>
      <c r="BH342" s="6"/>
      <c r="BI342" s="8"/>
      <c r="BJ342" s="7"/>
      <c r="BK342" s="6"/>
      <c r="BL342" s="8"/>
      <c r="BM342" s="7"/>
      <c r="BN342" s="6"/>
      <c r="BO342" s="8"/>
      <c r="BP342" s="7"/>
      <c r="BQ342" s="6"/>
      <c r="BR342" s="8"/>
    </row>
    <row r="343">
      <c r="A343" s="6"/>
      <c r="B343" s="6" t="s">
        <v>343</v>
      </c>
      <c r="C343" s="3" t="str">
        <f t="shared" si="1"/>
        <v>_muted salmon</v>
      </c>
      <c r="D343" s="3" t="str">
        <f t="shared" si="8"/>
        <v>#N/A</v>
      </c>
      <c r="E343" s="3" t="b">
        <f t="shared" si="2"/>
        <v>0</v>
      </c>
      <c r="G343" s="3" t="str">
        <f t="shared" si="3"/>
        <v>#N/A</v>
      </c>
      <c r="H343" s="3" t="b">
        <f t="shared" si="4"/>
        <v>0</v>
      </c>
      <c r="J343" s="3" t="str">
        <f t="shared" si="5"/>
        <v>#N/A</v>
      </c>
      <c r="K343" s="3" t="b">
        <f t="shared" si="6"/>
        <v>0</v>
      </c>
      <c r="M343" s="3" t="str">
        <f t="shared" si="7"/>
        <v>#N/A</v>
      </c>
      <c r="AU343" s="7"/>
      <c r="AV343" s="6"/>
      <c r="AW343" s="8"/>
      <c r="AX343" s="7"/>
      <c r="AY343" s="6"/>
      <c r="AZ343" s="8"/>
      <c r="BA343" s="7"/>
      <c r="BB343" s="6"/>
      <c r="BC343" s="8"/>
      <c r="BD343" s="7"/>
      <c r="BE343" s="6"/>
      <c r="BF343" s="8"/>
      <c r="BG343" s="7"/>
      <c r="BH343" s="6"/>
      <c r="BI343" s="8"/>
      <c r="BJ343" s="7"/>
      <c r="BK343" s="6"/>
      <c r="BL343" s="8"/>
      <c r="BM343" s="7"/>
      <c r="BN343" s="6"/>
      <c r="BO343" s="8"/>
      <c r="BP343" s="7"/>
      <c r="BQ343" s="6"/>
      <c r="BR343" s="8"/>
    </row>
    <row r="344">
      <c r="A344" s="6"/>
      <c r="B344" s="6" t="s">
        <v>344</v>
      </c>
      <c r="C344" s="3" t="str">
        <f t="shared" si="1"/>
        <v>_light aqua</v>
      </c>
      <c r="D344" s="3" t="str">
        <f t="shared" si="8"/>
        <v>#N/A</v>
      </c>
      <c r="E344" s="3" t="b">
        <f t="shared" si="2"/>
        <v>0</v>
      </c>
      <c r="G344" s="3" t="str">
        <f t="shared" si="3"/>
        <v>#N/A</v>
      </c>
      <c r="H344" s="3" t="b">
        <f t="shared" si="4"/>
        <v>0</v>
      </c>
      <c r="J344" s="3" t="str">
        <f t="shared" si="5"/>
        <v>#N/A</v>
      </c>
      <c r="K344" s="3" t="b">
        <f t="shared" si="6"/>
        <v>0</v>
      </c>
      <c r="M344" s="3" t="str">
        <f t="shared" si="7"/>
        <v>#N/A</v>
      </c>
      <c r="AU344" s="7"/>
      <c r="AV344" s="6"/>
      <c r="AW344" s="8"/>
      <c r="AX344" s="7"/>
      <c r="AY344" s="6"/>
      <c r="AZ344" s="8"/>
      <c r="BA344" s="7"/>
      <c r="BB344" s="6"/>
      <c r="BC344" s="8"/>
      <c r="BD344" s="7"/>
      <c r="BE344" s="6"/>
      <c r="BF344" s="8"/>
      <c r="BG344" s="7"/>
      <c r="BH344" s="6"/>
      <c r="BI344" s="8"/>
      <c r="BJ344" s="7"/>
      <c r="BK344" s="6"/>
      <c r="BL344" s="8"/>
      <c r="BM344" s="7"/>
      <c r="BN344" s="6"/>
      <c r="BO344" s="8"/>
      <c r="BP344" s="7"/>
      <c r="BQ344" s="6"/>
      <c r="BR344" s="8"/>
    </row>
    <row r="345">
      <c r="A345" s="6"/>
      <c r="B345" s="6" t="s">
        <v>345</v>
      </c>
      <c r="C345" s="3" t="str">
        <f t="shared" si="1"/>
        <v>_bright blue</v>
      </c>
      <c r="D345" s="3" t="str">
        <f t="shared" si="8"/>
        <v>#N/A</v>
      </c>
      <c r="E345" s="3" t="b">
        <f t="shared" si="2"/>
        <v>0</v>
      </c>
      <c r="G345" s="3" t="str">
        <f t="shared" si="3"/>
        <v>#N/A</v>
      </c>
      <c r="H345" s="3" t="b">
        <f t="shared" si="4"/>
        <v>0</v>
      </c>
      <c r="J345" s="3" t="str">
        <f t="shared" si="5"/>
        <v>#N/A</v>
      </c>
      <c r="K345" s="3" t="b">
        <f t="shared" si="6"/>
        <v>0</v>
      </c>
      <c r="M345" s="3" t="str">
        <f t="shared" si="7"/>
        <v>#N/A</v>
      </c>
      <c r="AU345" s="7"/>
      <c r="AV345" s="6"/>
      <c r="AW345" s="8"/>
      <c r="AX345" s="7"/>
      <c r="AY345" s="6"/>
      <c r="AZ345" s="8"/>
      <c r="BA345" s="7"/>
      <c r="BB345" s="6"/>
      <c r="BC345" s="8"/>
      <c r="BD345" s="7"/>
      <c r="BE345" s="6"/>
      <c r="BF345" s="8"/>
      <c r="BG345" s="7"/>
      <c r="BH345" s="6"/>
      <c r="BI345" s="8"/>
      <c r="BJ345" s="7"/>
      <c r="BK345" s="6"/>
      <c r="BL345" s="8"/>
      <c r="BM345" s="7"/>
      <c r="BN345" s="6"/>
      <c r="BO345" s="8"/>
      <c r="BP345" s="7"/>
      <c r="BQ345" s="6"/>
      <c r="BR345" s="8"/>
    </row>
    <row r="346">
      <c r="A346" s="6"/>
      <c r="B346" s="6" t="s">
        <v>346</v>
      </c>
      <c r="C346" s="3" t="str">
        <f t="shared" si="1"/>
        <v>_light brown</v>
      </c>
      <c r="D346" s="3" t="str">
        <f t="shared" si="8"/>
        <v>#N/A</v>
      </c>
      <c r="E346" s="3" t="b">
        <f t="shared" si="2"/>
        <v>0</v>
      </c>
      <c r="G346" s="3" t="str">
        <f t="shared" si="3"/>
        <v>#N/A</v>
      </c>
      <c r="H346" s="3" t="b">
        <f t="shared" si="4"/>
        <v>0</v>
      </c>
      <c r="J346" s="3" t="str">
        <f t="shared" si="5"/>
        <v>#N/A</v>
      </c>
      <c r="K346" s="3" t="b">
        <f t="shared" si="6"/>
        <v>0</v>
      </c>
      <c r="M346" s="3" t="str">
        <f t="shared" si="7"/>
        <v>#N/A</v>
      </c>
      <c r="AU346" s="7"/>
      <c r="AV346" s="6"/>
      <c r="AW346" s="8"/>
      <c r="AX346" s="7"/>
      <c r="AY346" s="6"/>
      <c r="AZ346" s="8"/>
      <c r="BA346" s="7"/>
      <c r="BB346" s="6"/>
      <c r="BC346" s="8"/>
      <c r="BD346" s="7"/>
      <c r="BE346" s="6"/>
      <c r="BF346" s="8"/>
      <c r="BG346" s="7"/>
      <c r="BH346" s="6"/>
      <c r="BI346" s="8"/>
      <c r="BJ346" s="7"/>
      <c r="BK346" s="6"/>
      <c r="BL346" s="8"/>
      <c r="BM346" s="7"/>
      <c r="BN346" s="6"/>
      <c r="BO346" s="8"/>
      <c r="BP346" s="7"/>
      <c r="BQ346" s="6"/>
      <c r="BR346" s="8"/>
    </row>
    <row r="347">
      <c r="A347" s="6"/>
      <c r="B347" s="6" t="s">
        <v>347</v>
      </c>
      <c r="C347" s="3" t="str">
        <f t="shared" si="1"/>
        <v>_light salmon</v>
      </c>
      <c r="D347" s="3" t="str">
        <f t="shared" si="8"/>
        <v>#N/A</v>
      </c>
      <c r="E347" s="3" t="b">
        <f t="shared" si="2"/>
        <v>0</v>
      </c>
      <c r="G347" s="3" t="str">
        <f t="shared" si="3"/>
        <v>#N/A</v>
      </c>
      <c r="H347" s="3" t="b">
        <f t="shared" si="4"/>
        <v>0</v>
      </c>
      <c r="J347" s="3" t="str">
        <f t="shared" si="5"/>
        <v>#N/A</v>
      </c>
      <c r="K347" s="3" t="b">
        <f t="shared" si="6"/>
        <v>0</v>
      </c>
      <c r="M347" s="3" t="str">
        <f t="shared" si="7"/>
        <v>#N/A</v>
      </c>
      <c r="AU347" s="7"/>
      <c r="AV347" s="6"/>
      <c r="AW347" s="8"/>
      <c r="AX347" s="7"/>
      <c r="AY347" s="6"/>
      <c r="AZ347" s="8"/>
      <c r="BA347" s="7"/>
      <c r="BB347" s="6"/>
      <c r="BC347" s="8"/>
      <c r="BD347" s="7"/>
      <c r="BE347" s="6"/>
      <c r="BF347" s="8"/>
      <c r="BG347" s="7"/>
      <c r="BH347" s="6"/>
      <c r="BI347" s="8"/>
      <c r="BJ347" s="7"/>
      <c r="BK347" s="6"/>
      <c r="BL347" s="8"/>
      <c r="BM347" s="7"/>
      <c r="BN347" s="6"/>
      <c r="BO347" s="8"/>
      <c r="BP347" s="7"/>
      <c r="BQ347" s="6"/>
      <c r="BR347" s="8"/>
    </row>
    <row r="348">
      <c r="A348" s="6"/>
      <c r="B348" s="6" t="s">
        <v>348</v>
      </c>
      <c r="C348" s="3" t="str">
        <f t="shared" si="1"/>
        <v>_posh beige</v>
      </c>
      <c r="D348" s="3" t="str">
        <f t="shared" si="8"/>
        <v>#N/A</v>
      </c>
      <c r="E348" s="3" t="b">
        <f t="shared" si="2"/>
        <v>0</v>
      </c>
      <c r="G348" s="3" t="str">
        <f t="shared" si="3"/>
        <v>#N/A</v>
      </c>
      <c r="H348" s="3" t="b">
        <f t="shared" si="4"/>
        <v>0</v>
      </c>
      <c r="J348" s="3" t="str">
        <f t="shared" si="5"/>
        <v>#N/A</v>
      </c>
      <c r="K348" s="3" t="b">
        <f t="shared" si="6"/>
        <v>0</v>
      </c>
      <c r="M348" s="3" t="str">
        <f t="shared" si="7"/>
        <v>#N/A</v>
      </c>
      <c r="AU348" s="7"/>
      <c r="AV348" s="6"/>
      <c r="AW348" s="8"/>
      <c r="AX348" s="7"/>
      <c r="AY348" s="6"/>
      <c r="AZ348" s="8"/>
      <c r="BA348" s="7"/>
      <c r="BB348" s="6"/>
      <c r="BC348" s="8"/>
      <c r="BD348" s="7"/>
      <c r="BE348" s="6"/>
      <c r="BF348" s="8"/>
      <c r="BG348" s="7"/>
      <c r="BH348" s="6"/>
      <c r="BI348" s="8"/>
      <c r="BJ348" s="7"/>
      <c r="BK348" s="6"/>
      <c r="BL348" s="8"/>
      <c r="BM348" s="7"/>
      <c r="BN348" s="6"/>
      <c r="BO348" s="8"/>
      <c r="BP348" s="7"/>
      <c r="BQ348" s="6"/>
      <c r="BR348" s="8"/>
    </row>
    <row r="349">
      <c r="A349" s="6"/>
      <c r="B349" s="6" t="s">
        <v>349</v>
      </c>
      <c r="C349" s="3" t="str">
        <f t="shared" si="1"/>
        <v>_dotted orange</v>
      </c>
      <c r="D349" s="3" t="str">
        <f t="shared" si="8"/>
        <v>#N/A</v>
      </c>
      <c r="E349" s="3" t="b">
        <f t="shared" si="2"/>
        <v>0</v>
      </c>
      <c r="G349" s="3" t="str">
        <f t="shared" si="3"/>
        <v>#N/A</v>
      </c>
      <c r="H349" s="3" t="b">
        <f t="shared" si="4"/>
        <v>0</v>
      </c>
      <c r="J349" s="3" t="str">
        <f t="shared" si="5"/>
        <v>#N/A</v>
      </c>
      <c r="K349" s="3" t="b">
        <f t="shared" si="6"/>
        <v>0</v>
      </c>
      <c r="M349" s="3" t="str">
        <f t="shared" si="7"/>
        <v>#N/A</v>
      </c>
      <c r="AU349" s="7"/>
      <c r="AV349" s="6"/>
      <c r="AW349" s="8"/>
      <c r="AX349" s="7"/>
      <c r="AY349" s="6"/>
      <c r="AZ349" s="8"/>
      <c r="BA349" s="7"/>
      <c r="BB349" s="6"/>
      <c r="BC349" s="8"/>
      <c r="BD349" s="7"/>
      <c r="BE349" s="6"/>
      <c r="BF349" s="8"/>
      <c r="BG349" s="7"/>
      <c r="BH349" s="6"/>
      <c r="BI349" s="8"/>
      <c r="BJ349" s="7"/>
      <c r="BK349" s="6"/>
      <c r="BL349" s="8"/>
      <c r="BM349" s="7"/>
      <c r="BN349" s="6"/>
      <c r="BO349" s="8"/>
      <c r="BP349" s="7"/>
      <c r="BQ349" s="6"/>
      <c r="BR349" s="8"/>
    </row>
    <row r="350">
      <c r="A350" s="6"/>
      <c r="B350" s="6" t="s">
        <v>350</v>
      </c>
      <c r="C350" s="3" t="str">
        <f t="shared" si="1"/>
        <v>_wavy purple</v>
      </c>
      <c r="D350" s="3" t="str">
        <f t="shared" si="8"/>
        <v>#N/A</v>
      </c>
      <c r="E350" s="3" t="b">
        <f t="shared" si="2"/>
        <v>0</v>
      </c>
      <c r="G350" s="3" t="str">
        <f t="shared" si="3"/>
        <v>#N/A</v>
      </c>
      <c r="H350" s="3" t="b">
        <f t="shared" si="4"/>
        <v>0</v>
      </c>
      <c r="J350" s="3" t="str">
        <f t="shared" si="5"/>
        <v>#N/A</v>
      </c>
      <c r="K350" s="3" t="b">
        <f t="shared" si="6"/>
        <v>0</v>
      </c>
      <c r="M350" s="3" t="str">
        <f t="shared" si="7"/>
        <v>#N/A</v>
      </c>
      <c r="AU350" s="7"/>
      <c r="AV350" s="6"/>
      <c r="AW350" s="8"/>
      <c r="AX350" s="7"/>
      <c r="AY350" s="6"/>
      <c r="AZ350" s="8"/>
      <c r="BA350" s="7"/>
      <c r="BB350" s="6"/>
      <c r="BC350" s="8"/>
      <c r="BD350" s="7"/>
      <c r="BE350" s="6"/>
      <c r="BF350" s="8"/>
      <c r="BG350" s="7"/>
      <c r="BH350" s="6"/>
      <c r="BI350" s="8"/>
      <c r="BJ350" s="7"/>
      <c r="BK350" s="6"/>
      <c r="BL350" s="8"/>
      <c r="BM350" s="7"/>
      <c r="BN350" s="6"/>
      <c r="BO350" s="8"/>
      <c r="BP350" s="7"/>
      <c r="BQ350" s="6"/>
      <c r="BR350" s="8"/>
    </row>
    <row r="351">
      <c r="A351" s="6"/>
      <c r="B351" s="6" t="s">
        <v>351</v>
      </c>
      <c r="C351" s="3" t="str">
        <f t="shared" si="1"/>
        <v>_dark coral</v>
      </c>
      <c r="D351" s="3" t="str">
        <f t="shared" si="8"/>
        <v>#N/A</v>
      </c>
      <c r="E351" s="3" t="b">
        <f t="shared" si="2"/>
        <v>0</v>
      </c>
      <c r="G351" s="3" t="str">
        <f t="shared" si="3"/>
        <v>#N/A</v>
      </c>
      <c r="H351" s="3" t="b">
        <f t="shared" si="4"/>
        <v>0</v>
      </c>
      <c r="J351" s="3" t="str">
        <f t="shared" si="5"/>
        <v>#N/A</v>
      </c>
      <c r="K351" s="3" t="b">
        <f t="shared" si="6"/>
        <v>0</v>
      </c>
      <c r="M351" s="3" t="str">
        <f t="shared" si="7"/>
        <v>#N/A</v>
      </c>
      <c r="AU351" s="7"/>
      <c r="AV351" s="6"/>
      <c r="AW351" s="8"/>
      <c r="AX351" s="7"/>
      <c r="AY351" s="6"/>
      <c r="AZ351" s="8"/>
      <c r="BA351" s="7"/>
      <c r="BB351" s="6"/>
      <c r="BC351" s="8"/>
      <c r="BD351" s="7"/>
      <c r="BE351" s="6"/>
      <c r="BF351" s="8"/>
      <c r="BG351" s="7"/>
      <c r="BH351" s="6"/>
      <c r="BI351" s="8"/>
      <c r="BJ351" s="7"/>
      <c r="BK351" s="6"/>
      <c r="BL351" s="8"/>
      <c r="BM351" s="7"/>
      <c r="BN351" s="6"/>
      <c r="BO351" s="8"/>
      <c r="BP351" s="7"/>
      <c r="BQ351" s="6"/>
      <c r="BR351" s="8"/>
    </row>
    <row r="352">
      <c r="A352" s="6"/>
      <c r="B352" s="6" t="s">
        <v>352</v>
      </c>
      <c r="C352" s="3" t="str">
        <f t="shared" si="1"/>
        <v>_dim lime</v>
      </c>
      <c r="D352" s="3" t="str">
        <f t="shared" si="8"/>
        <v>#N/A</v>
      </c>
      <c r="E352" s="3" t="b">
        <f t="shared" si="2"/>
        <v>0</v>
      </c>
      <c r="G352" s="3" t="str">
        <f t="shared" si="3"/>
        <v>#N/A</v>
      </c>
      <c r="H352" s="3" t="b">
        <f t="shared" si="4"/>
        <v>0</v>
      </c>
      <c r="J352" s="3" t="str">
        <f t="shared" si="5"/>
        <v>#N/A</v>
      </c>
      <c r="K352" s="3" t="b">
        <f t="shared" si="6"/>
        <v>0</v>
      </c>
      <c r="M352" s="3" t="str">
        <f t="shared" si="7"/>
        <v>#N/A</v>
      </c>
      <c r="AU352" s="7"/>
      <c r="AV352" s="6"/>
      <c r="AW352" s="8"/>
      <c r="AX352" s="7"/>
      <c r="AY352" s="6"/>
      <c r="AZ352" s="8"/>
      <c r="BA352" s="7"/>
      <c r="BB352" s="6"/>
      <c r="BC352" s="8"/>
      <c r="BD352" s="7"/>
      <c r="BE352" s="6"/>
      <c r="BF352" s="8"/>
      <c r="BG352" s="7"/>
      <c r="BH352" s="6"/>
      <c r="BI352" s="8"/>
      <c r="BJ352" s="7"/>
      <c r="BK352" s="6"/>
      <c r="BL352" s="8"/>
      <c r="BM352" s="7"/>
      <c r="BN352" s="6"/>
      <c r="BO352" s="8"/>
      <c r="BP352" s="7"/>
      <c r="BQ352" s="6"/>
      <c r="BR352" s="8"/>
    </row>
    <row r="353">
      <c r="A353" s="6"/>
      <c r="B353" s="6" t="s">
        <v>353</v>
      </c>
      <c r="C353" s="3" t="str">
        <f t="shared" si="1"/>
        <v>_pale plum</v>
      </c>
      <c r="D353" s="3" t="str">
        <f t="shared" si="8"/>
        <v>#N/A</v>
      </c>
      <c r="E353" s="3" t="b">
        <f t="shared" si="2"/>
        <v>0</v>
      </c>
      <c r="G353" s="3" t="str">
        <f t="shared" si="3"/>
        <v>#N/A</v>
      </c>
      <c r="H353" s="3" t="b">
        <f t="shared" si="4"/>
        <v>0</v>
      </c>
      <c r="J353" s="3" t="str">
        <f t="shared" si="5"/>
        <v>#N/A</v>
      </c>
      <c r="K353" s="3" t="b">
        <f t="shared" si="6"/>
        <v>0</v>
      </c>
      <c r="M353" s="3" t="str">
        <f t="shared" si="7"/>
        <v>#N/A</v>
      </c>
      <c r="AU353" s="7"/>
      <c r="AV353" s="6"/>
      <c r="AW353" s="8"/>
      <c r="AX353" s="7"/>
      <c r="AY353" s="6"/>
      <c r="AZ353" s="8"/>
      <c r="BA353" s="7"/>
      <c r="BB353" s="6"/>
      <c r="BC353" s="8"/>
      <c r="BD353" s="7"/>
      <c r="BE353" s="6"/>
      <c r="BF353" s="8"/>
      <c r="BG353" s="7"/>
      <c r="BH353" s="6"/>
      <c r="BI353" s="8"/>
      <c r="BJ353" s="7"/>
      <c r="BK353" s="6"/>
      <c r="BL353" s="8"/>
      <c r="BM353" s="7"/>
      <c r="BN353" s="6"/>
      <c r="BO353" s="8"/>
      <c r="BP353" s="7"/>
      <c r="BQ353" s="6"/>
      <c r="BR353" s="8"/>
    </row>
    <row r="354">
      <c r="A354" s="6"/>
      <c r="B354" s="6" t="s">
        <v>354</v>
      </c>
      <c r="C354" s="3" t="str">
        <f t="shared" si="1"/>
        <v>_dim beige</v>
      </c>
      <c r="D354" s="3" t="str">
        <f t="shared" si="8"/>
        <v>#N/A</v>
      </c>
      <c r="E354" s="3" t="b">
        <f t="shared" si="2"/>
        <v>0</v>
      </c>
      <c r="G354" s="3" t="str">
        <f t="shared" si="3"/>
        <v>#N/A</v>
      </c>
      <c r="H354" s="3" t="b">
        <f t="shared" si="4"/>
        <v>0</v>
      </c>
      <c r="J354" s="3" t="str">
        <f t="shared" si="5"/>
        <v>#N/A</v>
      </c>
      <c r="K354" s="3" t="b">
        <f t="shared" si="6"/>
        <v>0</v>
      </c>
      <c r="M354" s="3" t="str">
        <f t="shared" si="7"/>
        <v>#N/A</v>
      </c>
      <c r="AU354" s="7"/>
      <c r="AV354" s="6"/>
      <c r="AW354" s="8"/>
      <c r="AX354" s="7"/>
      <c r="AY354" s="6"/>
      <c r="AZ354" s="8"/>
      <c r="BA354" s="7"/>
      <c r="BB354" s="6"/>
      <c r="BC354" s="8"/>
      <c r="BD354" s="7"/>
      <c r="BE354" s="6"/>
      <c r="BF354" s="8"/>
      <c r="BG354" s="7"/>
      <c r="BH354" s="6"/>
      <c r="BI354" s="8"/>
      <c r="BJ354" s="7"/>
      <c r="BK354" s="6"/>
      <c r="BL354" s="8"/>
      <c r="BM354" s="7"/>
      <c r="BN354" s="6"/>
      <c r="BO354" s="8"/>
      <c r="BP354" s="7"/>
      <c r="BQ354" s="6"/>
      <c r="BR354" s="8"/>
    </row>
    <row r="355">
      <c r="A355" s="6"/>
      <c r="B355" s="6" t="s">
        <v>355</v>
      </c>
      <c r="C355" s="3" t="str">
        <f t="shared" si="1"/>
        <v>_drab tan</v>
      </c>
      <c r="D355" s="3" t="str">
        <f t="shared" si="8"/>
        <v>#N/A</v>
      </c>
      <c r="E355" s="3" t="b">
        <f t="shared" si="2"/>
        <v>0</v>
      </c>
      <c r="G355" s="3" t="str">
        <f t="shared" si="3"/>
        <v>#N/A</v>
      </c>
      <c r="H355" s="3" t="b">
        <f t="shared" si="4"/>
        <v>0</v>
      </c>
      <c r="J355" s="3" t="str">
        <f t="shared" si="5"/>
        <v>#N/A</v>
      </c>
      <c r="K355" s="3" t="b">
        <f t="shared" si="6"/>
        <v>0</v>
      </c>
      <c r="M355" s="3" t="str">
        <f t="shared" si="7"/>
        <v>#N/A</v>
      </c>
      <c r="AU355" s="7"/>
      <c r="AV355" s="6"/>
      <c r="AW355" s="8"/>
      <c r="AX355" s="7"/>
      <c r="AY355" s="6"/>
      <c r="AZ355" s="8"/>
      <c r="BA355" s="7"/>
      <c r="BB355" s="6"/>
      <c r="BC355" s="8"/>
      <c r="BD355" s="7"/>
      <c r="BE355" s="6"/>
      <c r="BF355" s="8"/>
      <c r="BG355" s="7"/>
      <c r="BH355" s="6"/>
      <c r="BI355" s="8"/>
      <c r="BJ355" s="7"/>
      <c r="BK355" s="6"/>
      <c r="BL355" s="8"/>
      <c r="BM355" s="7"/>
      <c r="BN355" s="6"/>
      <c r="BO355" s="8"/>
      <c r="BP355" s="7"/>
      <c r="BQ355" s="6"/>
      <c r="BR355" s="8"/>
    </row>
    <row r="356">
      <c r="A356" s="6"/>
      <c r="B356" s="6" t="s">
        <v>356</v>
      </c>
      <c r="C356" s="3" t="str">
        <f t="shared" si="1"/>
        <v>_posh blue</v>
      </c>
      <c r="D356" s="3" t="str">
        <f t="shared" si="8"/>
        <v>#N/A</v>
      </c>
      <c r="E356" s="3" t="b">
        <f t="shared" si="2"/>
        <v>0</v>
      </c>
      <c r="G356" s="3" t="str">
        <f t="shared" si="3"/>
        <v>#N/A</v>
      </c>
      <c r="H356" s="3" t="b">
        <f t="shared" si="4"/>
        <v>0</v>
      </c>
      <c r="J356" s="3" t="str">
        <f t="shared" si="5"/>
        <v>#N/A</v>
      </c>
      <c r="K356" s="3" t="b">
        <f t="shared" si="6"/>
        <v>0</v>
      </c>
      <c r="M356" s="3" t="str">
        <f t="shared" si="7"/>
        <v>#N/A</v>
      </c>
      <c r="AU356" s="7"/>
      <c r="AV356" s="6"/>
      <c r="AW356" s="8"/>
      <c r="AX356" s="7"/>
      <c r="AY356" s="6"/>
      <c r="AZ356" s="8"/>
      <c r="BA356" s="7"/>
      <c r="BB356" s="6"/>
      <c r="BC356" s="8"/>
      <c r="BD356" s="7"/>
      <c r="BE356" s="6"/>
      <c r="BF356" s="8"/>
      <c r="BG356" s="7"/>
      <c r="BH356" s="6"/>
      <c r="BI356" s="8"/>
      <c r="BJ356" s="7"/>
      <c r="BK356" s="6"/>
      <c r="BL356" s="8"/>
      <c r="BM356" s="7"/>
      <c r="BN356" s="6"/>
      <c r="BO356" s="8"/>
      <c r="BP356" s="7"/>
      <c r="BQ356" s="6"/>
      <c r="BR356" s="8"/>
    </row>
    <row r="357">
      <c r="A357" s="6"/>
      <c r="B357" s="6" t="s">
        <v>357</v>
      </c>
      <c r="C357" s="3" t="str">
        <f t="shared" si="1"/>
        <v>_drab violet</v>
      </c>
      <c r="D357" s="3" t="str">
        <f t="shared" si="8"/>
        <v>#N/A</v>
      </c>
      <c r="E357" s="3" t="b">
        <f t="shared" si="2"/>
        <v>0</v>
      </c>
      <c r="G357" s="3" t="str">
        <f t="shared" si="3"/>
        <v>#N/A</v>
      </c>
      <c r="H357" s="3" t="b">
        <f t="shared" si="4"/>
        <v>0</v>
      </c>
      <c r="J357" s="3" t="str">
        <f t="shared" si="5"/>
        <v>#N/A</v>
      </c>
      <c r="K357" s="3" t="b">
        <f t="shared" si="6"/>
        <v>0</v>
      </c>
      <c r="M357" s="3" t="str">
        <f t="shared" si="7"/>
        <v>#N/A</v>
      </c>
      <c r="AU357" s="7"/>
      <c r="AV357" s="6"/>
      <c r="AW357" s="8"/>
      <c r="AX357" s="7"/>
      <c r="AY357" s="6"/>
      <c r="AZ357" s="8"/>
      <c r="BA357" s="7"/>
      <c r="BB357" s="6"/>
      <c r="BC357" s="8"/>
      <c r="BD357" s="7"/>
      <c r="BE357" s="6"/>
      <c r="BF357" s="8"/>
      <c r="BG357" s="7"/>
      <c r="BH357" s="6"/>
      <c r="BI357" s="8"/>
      <c r="BJ357" s="7"/>
      <c r="BK357" s="6"/>
      <c r="BL357" s="8"/>
      <c r="BM357" s="7"/>
      <c r="BN357" s="6"/>
      <c r="BO357" s="8"/>
      <c r="BP357" s="7"/>
      <c r="BQ357" s="6"/>
      <c r="BR357" s="8"/>
    </row>
    <row r="358">
      <c r="A358" s="6"/>
      <c r="B358" s="6" t="s">
        <v>358</v>
      </c>
      <c r="C358" s="3" t="str">
        <f t="shared" si="1"/>
        <v>_shiny plum</v>
      </c>
      <c r="D358" s="3" t="str">
        <f t="shared" si="8"/>
        <v>#N/A</v>
      </c>
      <c r="E358" s="3" t="b">
        <f t="shared" si="2"/>
        <v>0</v>
      </c>
      <c r="G358" s="3" t="str">
        <f t="shared" si="3"/>
        <v>#N/A</v>
      </c>
      <c r="H358" s="3" t="b">
        <f t="shared" si="4"/>
        <v>0</v>
      </c>
      <c r="J358" s="3" t="str">
        <f t="shared" si="5"/>
        <v>#N/A</v>
      </c>
      <c r="K358" s="3" t="b">
        <f t="shared" si="6"/>
        <v>0</v>
      </c>
      <c r="M358" s="3" t="str">
        <f t="shared" si="7"/>
        <v>#N/A</v>
      </c>
      <c r="AU358" s="7"/>
      <c r="AV358" s="6"/>
      <c r="AW358" s="8"/>
      <c r="AX358" s="7"/>
      <c r="AY358" s="6"/>
      <c r="AZ358" s="8"/>
      <c r="BA358" s="7"/>
      <c r="BB358" s="6"/>
      <c r="BC358" s="8"/>
      <c r="BD358" s="7"/>
      <c r="BE358" s="6"/>
      <c r="BF358" s="8"/>
      <c r="BG358" s="7"/>
      <c r="BH358" s="6"/>
      <c r="BI358" s="8"/>
      <c r="BJ358" s="7"/>
      <c r="BK358" s="6"/>
      <c r="BL358" s="8"/>
      <c r="BM358" s="7"/>
      <c r="BN358" s="6"/>
      <c r="BO358" s="8"/>
      <c r="BP358" s="7"/>
      <c r="BQ358" s="6"/>
      <c r="BR358" s="8"/>
    </row>
    <row r="359">
      <c r="A359" s="6"/>
      <c r="B359" s="6" t="s">
        <v>359</v>
      </c>
      <c r="C359" s="3" t="str">
        <f t="shared" si="1"/>
        <v>_pale fuchsia</v>
      </c>
      <c r="D359" s="3" t="str">
        <f t="shared" si="8"/>
        <v>#N/A</v>
      </c>
      <c r="E359" s="3" t="b">
        <f t="shared" si="2"/>
        <v>0</v>
      </c>
      <c r="G359" s="3" t="str">
        <f t="shared" si="3"/>
        <v>#N/A</v>
      </c>
      <c r="H359" s="3" t="b">
        <f t="shared" si="4"/>
        <v>0</v>
      </c>
      <c r="J359" s="3" t="str">
        <f t="shared" si="5"/>
        <v>#N/A</v>
      </c>
      <c r="K359" s="3" t="b">
        <f t="shared" si="6"/>
        <v>0</v>
      </c>
      <c r="M359" s="3" t="str">
        <f t="shared" si="7"/>
        <v>#N/A</v>
      </c>
      <c r="AU359" s="7"/>
      <c r="AV359" s="6"/>
      <c r="AW359" s="8"/>
      <c r="AX359" s="7"/>
      <c r="AY359" s="6"/>
      <c r="AZ359" s="8"/>
      <c r="BA359" s="7"/>
      <c r="BB359" s="6"/>
      <c r="BC359" s="8"/>
      <c r="BD359" s="7"/>
      <c r="BE359" s="6"/>
      <c r="BF359" s="8"/>
      <c r="BG359" s="7"/>
      <c r="BH359" s="6"/>
      <c r="BI359" s="8"/>
      <c r="BJ359" s="7"/>
      <c r="BK359" s="6"/>
      <c r="BL359" s="8"/>
      <c r="BM359" s="7"/>
      <c r="BN359" s="6"/>
      <c r="BO359" s="8"/>
      <c r="BP359" s="7"/>
      <c r="BQ359" s="6"/>
      <c r="BR359" s="8"/>
    </row>
    <row r="360">
      <c r="A360" s="6"/>
      <c r="B360" s="6" t="s">
        <v>360</v>
      </c>
      <c r="C360" s="3" t="str">
        <f t="shared" si="1"/>
        <v>_clear fuchsia</v>
      </c>
      <c r="D360" s="3" t="str">
        <f t="shared" si="8"/>
        <v>#N/A</v>
      </c>
      <c r="E360" s="3" t="b">
        <f t="shared" si="2"/>
        <v>0</v>
      </c>
      <c r="G360" s="3" t="str">
        <f t="shared" si="3"/>
        <v>#N/A</v>
      </c>
      <c r="H360" s="3" t="b">
        <f t="shared" si="4"/>
        <v>0</v>
      </c>
      <c r="J360" s="3" t="str">
        <f t="shared" si="5"/>
        <v>#N/A</v>
      </c>
      <c r="K360" s="3" t="b">
        <f t="shared" si="6"/>
        <v>0</v>
      </c>
      <c r="M360" s="3" t="str">
        <f t="shared" si="7"/>
        <v>#N/A</v>
      </c>
      <c r="AU360" s="7"/>
      <c r="AV360" s="6"/>
      <c r="AW360" s="8"/>
      <c r="AX360" s="7"/>
      <c r="AY360" s="6"/>
      <c r="AZ360" s="8"/>
      <c r="BA360" s="7"/>
      <c r="BB360" s="6"/>
      <c r="BC360" s="8"/>
      <c r="BD360" s="7"/>
      <c r="BE360" s="6"/>
      <c r="BF360" s="8"/>
      <c r="BG360" s="7"/>
      <c r="BH360" s="6"/>
      <c r="BI360" s="8"/>
      <c r="BJ360" s="7"/>
      <c r="BK360" s="6"/>
      <c r="BL360" s="8"/>
      <c r="BM360" s="7"/>
      <c r="BN360" s="6"/>
      <c r="BO360" s="8"/>
      <c r="BP360" s="7"/>
      <c r="BQ360" s="6"/>
      <c r="BR360" s="8"/>
    </row>
    <row r="361">
      <c r="A361" s="6"/>
      <c r="B361" s="6" t="s">
        <v>361</v>
      </c>
      <c r="C361" s="3" t="str">
        <f t="shared" si="1"/>
        <v>_mirrored lime</v>
      </c>
      <c r="D361" s="3" t="str">
        <f t="shared" si="8"/>
        <v>#N/A</v>
      </c>
      <c r="E361" s="3" t="b">
        <f t="shared" si="2"/>
        <v>0</v>
      </c>
      <c r="G361" s="3" t="str">
        <f t="shared" si="3"/>
        <v>#N/A</v>
      </c>
      <c r="H361" s="3" t="b">
        <f t="shared" si="4"/>
        <v>0</v>
      </c>
      <c r="J361" s="3" t="str">
        <f t="shared" si="5"/>
        <v>#N/A</v>
      </c>
      <c r="K361" s="3" t="b">
        <f t="shared" si="6"/>
        <v>0</v>
      </c>
      <c r="M361" s="3" t="str">
        <f t="shared" si="7"/>
        <v>#N/A</v>
      </c>
      <c r="AU361" s="7"/>
      <c r="AV361" s="6"/>
      <c r="AW361" s="8"/>
      <c r="AX361" s="7"/>
      <c r="AY361" s="6"/>
      <c r="AZ361" s="8"/>
      <c r="BA361" s="7"/>
      <c r="BB361" s="6"/>
      <c r="BC361" s="8"/>
      <c r="BD361" s="7"/>
      <c r="BE361" s="6"/>
      <c r="BF361" s="8"/>
      <c r="BG361" s="7"/>
      <c r="BH361" s="6"/>
      <c r="BI361" s="8"/>
      <c r="BJ361" s="7"/>
      <c r="BK361" s="6"/>
      <c r="BL361" s="8"/>
      <c r="BM361" s="7"/>
      <c r="BN361" s="6"/>
      <c r="BO361" s="8"/>
      <c r="BP361" s="7"/>
      <c r="BQ361" s="6"/>
      <c r="BR361" s="8"/>
    </row>
    <row r="362">
      <c r="A362" s="6"/>
      <c r="B362" s="6" t="s">
        <v>362</v>
      </c>
      <c r="C362" s="3" t="str">
        <f t="shared" si="1"/>
        <v>_plaid white</v>
      </c>
      <c r="D362" s="3" t="str">
        <f t="shared" si="8"/>
        <v>#N/A</v>
      </c>
      <c r="E362" s="3" t="b">
        <f t="shared" si="2"/>
        <v>0</v>
      </c>
      <c r="G362" s="3" t="str">
        <f t="shared" si="3"/>
        <v>#N/A</v>
      </c>
      <c r="H362" s="3" t="b">
        <f t="shared" si="4"/>
        <v>0</v>
      </c>
      <c r="J362" s="3" t="str">
        <f t="shared" si="5"/>
        <v>#N/A</v>
      </c>
      <c r="K362" s="3" t="b">
        <f t="shared" si="6"/>
        <v>0</v>
      </c>
      <c r="M362" s="3" t="str">
        <f t="shared" si="7"/>
        <v>#N/A</v>
      </c>
      <c r="AU362" s="7"/>
      <c r="AV362" s="6"/>
      <c r="AW362" s="8"/>
      <c r="AX362" s="7"/>
      <c r="AY362" s="6"/>
      <c r="AZ362" s="8"/>
      <c r="BA362" s="7"/>
      <c r="BB362" s="6"/>
      <c r="BC362" s="8"/>
      <c r="BD362" s="7"/>
      <c r="BE362" s="6"/>
      <c r="BF362" s="8"/>
      <c r="BG362" s="7"/>
      <c r="BH362" s="6"/>
      <c r="BI362" s="8"/>
      <c r="BJ362" s="7"/>
      <c r="BK362" s="6"/>
      <c r="BL362" s="8"/>
      <c r="BM362" s="7"/>
      <c r="BN362" s="6"/>
      <c r="BO362" s="8"/>
      <c r="BP362" s="7"/>
      <c r="BQ362" s="6"/>
      <c r="BR362" s="8"/>
    </row>
    <row r="363">
      <c r="A363" s="6"/>
      <c r="B363" s="6" t="s">
        <v>363</v>
      </c>
      <c r="C363" s="3" t="str">
        <f t="shared" si="1"/>
        <v>_striped violet</v>
      </c>
      <c r="D363" s="3" t="str">
        <f t="shared" si="8"/>
        <v>#N/A</v>
      </c>
      <c r="E363" s="3" t="b">
        <f t="shared" si="2"/>
        <v>0</v>
      </c>
      <c r="G363" s="3" t="str">
        <f t="shared" si="3"/>
        <v>#N/A</v>
      </c>
      <c r="H363" s="3" t="b">
        <f t="shared" si="4"/>
        <v>0</v>
      </c>
      <c r="J363" s="3" t="str">
        <f t="shared" si="5"/>
        <v>#N/A</v>
      </c>
      <c r="K363" s="3" t="b">
        <f t="shared" si="6"/>
        <v>0</v>
      </c>
      <c r="M363" s="3" t="str">
        <f t="shared" si="7"/>
        <v>#N/A</v>
      </c>
      <c r="AU363" s="7"/>
      <c r="AV363" s="6"/>
      <c r="AW363" s="8"/>
      <c r="AX363" s="7"/>
      <c r="AY363" s="6"/>
      <c r="AZ363" s="8"/>
      <c r="BA363" s="7"/>
      <c r="BB363" s="6"/>
      <c r="BC363" s="8"/>
      <c r="BD363" s="7"/>
      <c r="BE363" s="6"/>
      <c r="BF363" s="8"/>
      <c r="BG363" s="7"/>
      <c r="BH363" s="6"/>
      <c r="BI363" s="8"/>
      <c r="BJ363" s="7"/>
      <c r="BK363" s="6"/>
      <c r="BL363" s="8"/>
      <c r="BM363" s="7"/>
      <c r="BN363" s="6"/>
      <c r="BO363" s="8"/>
      <c r="BP363" s="7"/>
      <c r="BQ363" s="6"/>
      <c r="BR363" s="8"/>
    </row>
    <row r="364">
      <c r="A364" s="6"/>
      <c r="B364" s="6" t="s">
        <v>364</v>
      </c>
      <c r="C364" s="3" t="str">
        <f t="shared" si="1"/>
        <v>_dark purple</v>
      </c>
      <c r="D364" s="3" t="str">
        <f t="shared" si="8"/>
        <v>#N/A</v>
      </c>
      <c r="E364" s="3" t="b">
        <f t="shared" si="2"/>
        <v>1</v>
      </c>
      <c r="G364" s="3" t="str">
        <f t="shared" si="3"/>
        <v>#N/A</v>
      </c>
      <c r="H364" s="3" t="b">
        <f t="shared" si="4"/>
        <v>0</v>
      </c>
      <c r="J364" s="3" t="str">
        <f t="shared" si="5"/>
        <v>#N/A</v>
      </c>
      <c r="K364" s="3" t="b">
        <f t="shared" si="6"/>
        <v>0</v>
      </c>
      <c r="M364" s="3" t="str">
        <f t="shared" si="7"/>
        <v>#N/A</v>
      </c>
      <c r="AU364" s="7"/>
      <c r="AV364" s="6"/>
      <c r="AW364" s="8"/>
      <c r="AX364" s="7"/>
      <c r="AY364" s="6"/>
      <c r="AZ364" s="8"/>
      <c r="BA364" s="7"/>
      <c r="BB364" s="6"/>
      <c r="BC364" s="8"/>
      <c r="BD364" s="7"/>
      <c r="BE364" s="6"/>
      <c r="BF364" s="8"/>
      <c r="BG364" s="7"/>
      <c r="BH364" s="6"/>
      <c r="BI364" s="8"/>
      <c r="BJ364" s="7"/>
      <c r="BK364" s="6"/>
      <c r="BL364" s="8"/>
      <c r="BM364" s="7"/>
      <c r="BN364" s="6"/>
      <c r="BO364" s="8"/>
      <c r="BP364" s="7"/>
      <c r="BQ364" s="6"/>
      <c r="BR364" s="8"/>
    </row>
    <row r="365">
      <c r="A365" s="6"/>
      <c r="B365" s="6" t="s">
        <v>365</v>
      </c>
      <c r="C365" s="3" t="str">
        <f t="shared" si="1"/>
        <v>_mirrored blue</v>
      </c>
      <c r="D365" s="3" t="str">
        <f t="shared" si="8"/>
        <v>#N/A</v>
      </c>
      <c r="E365" s="3" t="b">
        <f t="shared" si="2"/>
        <v>0</v>
      </c>
      <c r="G365" s="3" t="str">
        <f t="shared" si="3"/>
        <v>#N/A</v>
      </c>
      <c r="H365" s="3" t="b">
        <f t="shared" si="4"/>
        <v>0</v>
      </c>
      <c r="J365" s="3" t="str">
        <f t="shared" si="5"/>
        <v>#N/A</v>
      </c>
      <c r="K365" s="3" t="b">
        <f t="shared" si="6"/>
        <v>0</v>
      </c>
      <c r="M365" s="3" t="str">
        <f t="shared" si="7"/>
        <v>#N/A</v>
      </c>
      <c r="AU365" s="7"/>
      <c r="AV365" s="6"/>
      <c r="AW365" s="8"/>
      <c r="AX365" s="7"/>
      <c r="AY365" s="6"/>
      <c r="AZ365" s="8"/>
      <c r="BA365" s="7"/>
      <c r="BB365" s="6"/>
      <c r="BC365" s="8"/>
      <c r="BD365" s="7"/>
      <c r="BE365" s="6"/>
      <c r="BF365" s="8"/>
      <c r="BG365" s="7"/>
      <c r="BH365" s="6"/>
      <c r="BI365" s="8"/>
      <c r="BJ365" s="7"/>
      <c r="BK365" s="6"/>
      <c r="BL365" s="8"/>
      <c r="BM365" s="7"/>
      <c r="BN365" s="6"/>
      <c r="BO365" s="8"/>
      <c r="BP365" s="7"/>
      <c r="BQ365" s="6"/>
      <c r="BR365" s="8"/>
    </row>
    <row r="366">
      <c r="A366" s="6"/>
      <c r="B366" s="6" t="s">
        <v>366</v>
      </c>
      <c r="C366" s="3" t="str">
        <f t="shared" si="1"/>
        <v>_pale black</v>
      </c>
      <c r="D366" s="3" t="str">
        <f t="shared" si="8"/>
        <v>#N/A</v>
      </c>
      <c r="E366" s="3" t="b">
        <f t="shared" si="2"/>
        <v>0</v>
      </c>
      <c r="G366" s="3" t="str">
        <f t="shared" si="3"/>
        <v>#N/A</v>
      </c>
      <c r="H366" s="3" t="b">
        <f t="shared" si="4"/>
        <v>0</v>
      </c>
      <c r="J366" s="3" t="str">
        <f t="shared" si="5"/>
        <v>#N/A</v>
      </c>
      <c r="K366" s="3" t="b">
        <f t="shared" si="6"/>
        <v>0</v>
      </c>
      <c r="M366" s="3" t="str">
        <f t="shared" si="7"/>
        <v>#N/A</v>
      </c>
      <c r="AU366" s="7"/>
      <c r="AV366" s="6"/>
      <c r="AW366" s="8"/>
      <c r="AX366" s="7"/>
      <c r="AY366" s="6"/>
      <c r="AZ366" s="8"/>
      <c r="BA366" s="7"/>
      <c r="BB366" s="6"/>
      <c r="BC366" s="8"/>
      <c r="BD366" s="7"/>
      <c r="BE366" s="6"/>
      <c r="BF366" s="8"/>
      <c r="BG366" s="7"/>
      <c r="BH366" s="6"/>
      <c r="BI366" s="8"/>
      <c r="BJ366" s="7"/>
      <c r="BK366" s="6"/>
      <c r="BL366" s="8"/>
      <c r="BM366" s="7"/>
      <c r="BN366" s="6"/>
      <c r="BO366" s="8"/>
      <c r="BP366" s="7"/>
      <c r="BQ366" s="6"/>
      <c r="BR366" s="8"/>
    </row>
    <row r="367">
      <c r="A367" s="6"/>
      <c r="B367" s="6" t="s">
        <v>367</v>
      </c>
      <c r="C367" s="3" t="str">
        <f t="shared" si="1"/>
        <v>_dark brown</v>
      </c>
      <c r="D367" s="3" t="str">
        <f t="shared" si="8"/>
        <v>#N/A</v>
      </c>
      <c r="E367" s="3" t="b">
        <f t="shared" si="2"/>
        <v>0</v>
      </c>
      <c r="G367" s="3" t="str">
        <f t="shared" si="3"/>
        <v>#N/A</v>
      </c>
      <c r="H367" s="3" t="b">
        <f t="shared" si="4"/>
        <v>0</v>
      </c>
      <c r="J367" s="3" t="str">
        <f t="shared" si="5"/>
        <v>#N/A</v>
      </c>
      <c r="K367" s="3" t="b">
        <f t="shared" si="6"/>
        <v>0</v>
      </c>
      <c r="M367" s="3" t="str">
        <f t="shared" si="7"/>
        <v>#N/A</v>
      </c>
      <c r="AU367" s="7"/>
      <c r="AV367" s="6"/>
      <c r="AW367" s="8"/>
      <c r="AX367" s="7"/>
      <c r="AY367" s="6"/>
      <c r="AZ367" s="8"/>
      <c r="BA367" s="7"/>
      <c r="BB367" s="6"/>
      <c r="BC367" s="8"/>
      <c r="BD367" s="7"/>
      <c r="BE367" s="6"/>
      <c r="BF367" s="8"/>
      <c r="BG367" s="7"/>
      <c r="BH367" s="6"/>
      <c r="BI367" s="8"/>
      <c r="BJ367" s="7"/>
      <c r="BK367" s="6"/>
      <c r="BL367" s="8"/>
      <c r="BM367" s="7"/>
      <c r="BN367" s="6"/>
      <c r="BO367" s="8"/>
      <c r="BP367" s="7"/>
      <c r="BQ367" s="6"/>
      <c r="BR367" s="8"/>
    </row>
    <row r="368">
      <c r="A368" s="6"/>
      <c r="B368" s="6" t="s">
        <v>368</v>
      </c>
      <c r="C368" s="3" t="str">
        <f t="shared" si="1"/>
        <v>_muted lavender</v>
      </c>
      <c r="D368" s="3" t="str">
        <f t="shared" si="8"/>
        <v>#N/A</v>
      </c>
      <c r="E368" s="3" t="b">
        <f t="shared" si="2"/>
        <v>0</v>
      </c>
      <c r="G368" s="3" t="str">
        <f t="shared" si="3"/>
        <v>#N/A</v>
      </c>
      <c r="H368" s="3" t="b">
        <f t="shared" si="4"/>
        <v>0</v>
      </c>
      <c r="J368" s="3" t="str">
        <f t="shared" si="5"/>
        <v>#N/A</v>
      </c>
      <c r="K368" s="3" t="b">
        <f t="shared" si="6"/>
        <v>0</v>
      </c>
      <c r="M368" s="3" t="str">
        <f t="shared" si="7"/>
        <v>#N/A</v>
      </c>
      <c r="AU368" s="7"/>
      <c r="AV368" s="6"/>
      <c r="AW368" s="8"/>
      <c r="AX368" s="7"/>
      <c r="AY368" s="6"/>
      <c r="AZ368" s="8"/>
      <c r="BA368" s="7"/>
      <c r="BB368" s="6"/>
      <c r="BC368" s="8"/>
      <c r="BD368" s="7"/>
      <c r="BE368" s="6"/>
      <c r="BF368" s="8"/>
      <c r="BG368" s="7"/>
      <c r="BH368" s="6"/>
      <c r="BI368" s="8"/>
      <c r="BJ368" s="7"/>
      <c r="BK368" s="6"/>
      <c r="BL368" s="8"/>
      <c r="BM368" s="7"/>
      <c r="BN368" s="6"/>
      <c r="BO368" s="8"/>
      <c r="BP368" s="7"/>
      <c r="BQ368" s="6"/>
      <c r="BR368" s="8"/>
    </row>
    <row r="369">
      <c r="A369" s="6"/>
      <c r="B369" s="6" t="s">
        <v>369</v>
      </c>
      <c r="C369" s="3" t="str">
        <f t="shared" si="1"/>
        <v>_muted bronze</v>
      </c>
      <c r="D369" s="3" t="str">
        <f t="shared" si="8"/>
        <v>#N/A</v>
      </c>
      <c r="E369" s="3" t="b">
        <f t="shared" si="2"/>
        <v>0</v>
      </c>
      <c r="G369" s="3" t="str">
        <f t="shared" si="3"/>
        <v>#N/A</v>
      </c>
      <c r="H369" s="3" t="b">
        <f t="shared" si="4"/>
        <v>0</v>
      </c>
      <c r="J369" s="3" t="str">
        <f t="shared" si="5"/>
        <v>#N/A</v>
      </c>
      <c r="K369" s="3" t="b">
        <f t="shared" si="6"/>
        <v>0</v>
      </c>
      <c r="M369" s="3" t="str">
        <f t="shared" si="7"/>
        <v>#N/A</v>
      </c>
      <c r="AU369" s="7"/>
      <c r="AV369" s="6"/>
      <c r="AW369" s="8"/>
      <c r="AX369" s="7"/>
      <c r="AY369" s="6"/>
      <c r="AZ369" s="8"/>
      <c r="BA369" s="7"/>
      <c r="BB369" s="6"/>
      <c r="BC369" s="8"/>
      <c r="BD369" s="7"/>
      <c r="BE369" s="6"/>
      <c r="BF369" s="8"/>
      <c r="BG369" s="7"/>
      <c r="BH369" s="6"/>
      <c r="BI369" s="8"/>
      <c r="BJ369" s="7"/>
      <c r="BK369" s="6"/>
      <c r="BL369" s="8"/>
      <c r="BM369" s="7"/>
      <c r="BN369" s="6"/>
      <c r="BO369" s="8"/>
      <c r="BP369" s="7"/>
      <c r="BQ369" s="6"/>
      <c r="BR369" s="8"/>
    </row>
    <row r="370">
      <c r="A370" s="6"/>
      <c r="B370" s="6" t="s">
        <v>370</v>
      </c>
      <c r="C370" s="3" t="str">
        <f t="shared" si="1"/>
        <v>_posh violet</v>
      </c>
      <c r="D370" s="3" t="str">
        <f t="shared" si="8"/>
        <v>#N/A</v>
      </c>
      <c r="E370" s="3" t="b">
        <f t="shared" si="2"/>
        <v>0</v>
      </c>
      <c r="G370" s="3" t="str">
        <f t="shared" si="3"/>
        <v>#N/A</v>
      </c>
      <c r="H370" s="3" t="b">
        <f t="shared" si="4"/>
        <v>0</v>
      </c>
      <c r="J370" s="3" t="str">
        <f t="shared" si="5"/>
        <v>#N/A</v>
      </c>
      <c r="K370" s="3" t="b">
        <f t="shared" si="6"/>
        <v>0</v>
      </c>
      <c r="M370" s="3" t="str">
        <f t="shared" si="7"/>
        <v>#N/A</v>
      </c>
      <c r="AU370" s="7"/>
      <c r="AV370" s="6"/>
      <c r="AW370" s="8"/>
      <c r="AX370" s="7"/>
      <c r="AY370" s="6"/>
      <c r="AZ370" s="8"/>
      <c r="BA370" s="7"/>
      <c r="BB370" s="6"/>
      <c r="BC370" s="8"/>
      <c r="BD370" s="7"/>
      <c r="BE370" s="6"/>
      <c r="BF370" s="8"/>
      <c r="BG370" s="7"/>
      <c r="BH370" s="6"/>
      <c r="BI370" s="8"/>
      <c r="BJ370" s="7"/>
      <c r="BK370" s="6"/>
      <c r="BL370" s="8"/>
      <c r="BM370" s="7"/>
      <c r="BN370" s="6"/>
      <c r="BO370" s="8"/>
      <c r="BP370" s="7"/>
      <c r="BQ370" s="6"/>
      <c r="BR370" s="8"/>
    </row>
    <row r="371">
      <c r="A371" s="6"/>
      <c r="B371" s="6" t="s">
        <v>371</v>
      </c>
      <c r="C371" s="3" t="str">
        <f t="shared" si="1"/>
        <v>_clear green</v>
      </c>
      <c r="D371" s="3" t="str">
        <f t="shared" si="8"/>
        <v>#N/A</v>
      </c>
      <c r="E371" s="3" t="b">
        <f t="shared" si="2"/>
        <v>0</v>
      </c>
      <c r="G371" s="3" t="str">
        <f t="shared" si="3"/>
        <v>#N/A</v>
      </c>
      <c r="H371" s="3" t="b">
        <f t="shared" si="4"/>
        <v>0</v>
      </c>
      <c r="J371" s="3" t="str">
        <f t="shared" si="5"/>
        <v>#N/A</v>
      </c>
      <c r="K371" s="3" t="b">
        <f t="shared" si="6"/>
        <v>0</v>
      </c>
      <c r="M371" s="3" t="str">
        <f t="shared" si="7"/>
        <v>#N/A</v>
      </c>
      <c r="AU371" s="7"/>
      <c r="AV371" s="6"/>
      <c r="AW371" s="8"/>
      <c r="AX371" s="7"/>
      <c r="AY371" s="6"/>
      <c r="AZ371" s="8"/>
      <c r="BA371" s="7"/>
      <c r="BB371" s="6"/>
      <c r="BC371" s="8"/>
      <c r="BD371" s="7"/>
      <c r="BE371" s="6"/>
      <c r="BF371" s="8"/>
      <c r="BG371" s="7"/>
      <c r="BH371" s="6"/>
      <c r="BI371" s="8"/>
      <c r="BJ371" s="7"/>
      <c r="BK371" s="6"/>
      <c r="BL371" s="8"/>
      <c r="BM371" s="7"/>
      <c r="BN371" s="6"/>
      <c r="BO371" s="8"/>
      <c r="BP371" s="7"/>
      <c r="BQ371" s="6"/>
      <c r="BR371" s="8"/>
    </row>
    <row r="372">
      <c r="A372" s="6"/>
      <c r="B372" s="6" t="s">
        <v>372</v>
      </c>
      <c r="C372" s="3" t="str">
        <f t="shared" si="1"/>
        <v>_dotted plum</v>
      </c>
      <c r="D372" s="3" t="str">
        <f t="shared" si="8"/>
        <v>#N/A</v>
      </c>
      <c r="E372" s="3" t="b">
        <f t="shared" si="2"/>
        <v>0</v>
      </c>
      <c r="G372" s="3" t="str">
        <f t="shared" si="3"/>
        <v>#N/A</v>
      </c>
      <c r="H372" s="3" t="b">
        <f t="shared" si="4"/>
        <v>0</v>
      </c>
      <c r="J372" s="3" t="str">
        <f t="shared" si="5"/>
        <v>#N/A</v>
      </c>
      <c r="K372" s="3" t="b">
        <f t="shared" si="6"/>
        <v>0</v>
      </c>
      <c r="M372" s="3" t="str">
        <f t="shared" si="7"/>
        <v>#N/A</v>
      </c>
      <c r="AU372" s="7"/>
      <c r="AV372" s="6"/>
      <c r="AW372" s="8"/>
      <c r="AX372" s="7"/>
      <c r="AY372" s="6"/>
      <c r="AZ372" s="8"/>
      <c r="BA372" s="7"/>
      <c r="BB372" s="6"/>
      <c r="BC372" s="8"/>
      <c r="BD372" s="7"/>
      <c r="BE372" s="6"/>
      <c r="BF372" s="8"/>
      <c r="BG372" s="7"/>
      <c r="BH372" s="6"/>
      <c r="BI372" s="8"/>
      <c r="BJ372" s="7"/>
      <c r="BK372" s="6"/>
      <c r="BL372" s="8"/>
      <c r="BM372" s="7"/>
      <c r="BN372" s="6"/>
      <c r="BO372" s="8"/>
      <c r="BP372" s="7"/>
      <c r="BQ372" s="6"/>
      <c r="BR372" s="8"/>
    </row>
    <row r="373">
      <c r="A373" s="6"/>
      <c r="B373" s="6" t="s">
        <v>373</v>
      </c>
      <c r="C373" s="3" t="str">
        <f t="shared" si="1"/>
        <v>_drab olive</v>
      </c>
      <c r="D373" s="3" t="str">
        <f t="shared" si="8"/>
        <v>#N/A</v>
      </c>
      <c r="E373" s="3" t="b">
        <f t="shared" si="2"/>
        <v>0</v>
      </c>
      <c r="G373" s="3" t="str">
        <f t="shared" si="3"/>
        <v>#N/A</v>
      </c>
      <c r="H373" s="3" t="b">
        <f t="shared" si="4"/>
        <v>0</v>
      </c>
      <c r="J373" s="3" t="str">
        <f t="shared" si="5"/>
        <v>#N/A</v>
      </c>
      <c r="K373" s="3" t="b">
        <f t="shared" si="6"/>
        <v>0</v>
      </c>
      <c r="M373" s="3" t="str">
        <f t="shared" si="7"/>
        <v>#N/A</v>
      </c>
      <c r="AU373" s="7"/>
      <c r="AV373" s="6"/>
      <c r="AW373" s="8"/>
      <c r="AX373" s="7"/>
      <c r="AY373" s="6"/>
      <c r="AZ373" s="8"/>
      <c r="BA373" s="7"/>
      <c r="BB373" s="6"/>
      <c r="BC373" s="8"/>
      <c r="BD373" s="7"/>
      <c r="BE373" s="6"/>
      <c r="BF373" s="8"/>
      <c r="BG373" s="7"/>
      <c r="BH373" s="6"/>
      <c r="BI373" s="8"/>
      <c r="BJ373" s="7"/>
      <c r="BK373" s="6"/>
      <c r="BL373" s="8"/>
      <c r="BM373" s="7"/>
      <c r="BN373" s="6"/>
      <c r="BO373" s="8"/>
      <c r="BP373" s="7"/>
      <c r="BQ373" s="6"/>
      <c r="BR373" s="8"/>
    </row>
    <row r="374">
      <c r="A374" s="6"/>
      <c r="B374" s="6" t="s">
        <v>374</v>
      </c>
      <c r="C374" s="3" t="str">
        <f t="shared" si="1"/>
        <v>_wavy turquoise</v>
      </c>
      <c r="D374" s="3" t="str">
        <f t="shared" si="8"/>
        <v>#N/A</v>
      </c>
      <c r="E374" s="3" t="b">
        <f t="shared" si="2"/>
        <v>0</v>
      </c>
      <c r="G374" s="3" t="str">
        <f t="shared" si="3"/>
        <v>#N/A</v>
      </c>
      <c r="H374" s="3" t="b">
        <f t="shared" si="4"/>
        <v>0</v>
      </c>
      <c r="J374" s="3" t="str">
        <f t="shared" si="5"/>
        <v>#N/A</v>
      </c>
      <c r="K374" s="3" t="b">
        <f t="shared" si="6"/>
        <v>0</v>
      </c>
      <c r="M374" s="3" t="str">
        <f t="shared" si="7"/>
        <v>#N/A</v>
      </c>
      <c r="AU374" s="7"/>
      <c r="AV374" s="6"/>
      <c r="AW374" s="8"/>
      <c r="AX374" s="7"/>
      <c r="AY374" s="6"/>
      <c r="AZ374" s="8"/>
      <c r="BA374" s="7"/>
      <c r="BB374" s="6"/>
      <c r="BC374" s="8"/>
      <c r="BD374" s="7"/>
      <c r="BE374" s="6"/>
      <c r="BF374" s="8"/>
      <c r="BG374" s="7"/>
      <c r="BH374" s="6"/>
      <c r="BI374" s="8"/>
      <c r="BJ374" s="7"/>
      <c r="BK374" s="6"/>
      <c r="BL374" s="8"/>
      <c r="BM374" s="7"/>
      <c r="BN374" s="6"/>
      <c r="BO374" s="8"/>
      <c r="BP374" s="7"/>
      <c r="BQ374" s="6"/>
      <c r="BR374" s="8"/>
    </row>
    <row r="375">
      <c r="A375" s="6"/>
      <c r="B375" s="6" t="s">
        <v>375</v>
      </c>
      <c r="C375" s="3" t="str">
        <f t="shared" si="1"/>
        <v>_dark violet</v>
      </c>
      <c r="D375" s="3" t="str">
        <f t="shared" si="8"/>
        <v>#N/A</v>
      </c>
      <c r="E375" s="3" t="b">
        <f t="shared" si="2"/>
        <v>0</v>
      </c>
      <c r="G375" s="3" t="str">
        <f t="shared" si="3"/>
        <v>#N/A</v>
      </c>
      <c r="H375" s="3" t="b">
        <f t="shared" si="4"/>
        <v>0</v>
      </c>
      <c r="J375" s="3" t="str">
        <f t="shared" si="5"/>
        <v>#N/A</v>
      </c>
      <c r="K375" s="3" t="b">
        <f t="shared" si="6"/>
        <v>0</v>
      </c>
      <c r="M375" s="3" t="str">
        <f t="shared" si="7"/>
        <v>#N/A</v>
      </c>
      <c r="AU375" s="7"/>
      <c r="AV375" s="6"/>
      <c r="AW375" s="8"/>
      <c r="AX375" s="7"/>
      <c r="AY375" s="6"/>
      <c r="AZ375" s="8"/>
      <c r="BA375" s="7"/>
      <c r="BB375" s="6"/>
      <c r="BC375" s="8"/>
      <c r="BD375" s="7"/>
      <c r="BE375" s="6"/>
      <c r="BF375" s="8"/>
      <c r="BG375" s="7"/>
      <c r="BH375" s="6"/>
      <c r="BI375" s="8"/>
      <c r="BJ375" s="7"/>
      <c r="BK375" s="6"/>
      <c r="BL375" s="8"/>
      <c r="BM375" s="7"/>
      <c r="BN375" s="6"/>
      <c r="BO375" s="8"/>
      <c r="BP375" s="7"/>
      <c r="BQ375" s="6"/>
      <c r="BR375" s="8"/>
    </row>
    <row r="376">
      <c r="A376" s="6"/>
      <c r="B376" s="6" t="s">
        <v>376</v>
      </c>
      <c r="C376" s="3" t="str">
        <f t="shared" si="1"/>
        <v>_posh gold</v>
      </c>
      <c r="D376" s="3" t="str">
        <f t="shared" si="8"/>
        <v>#N/A</v>
      </c>
      <c r="E376" s="3" t="b">
        <f t="shared" si="2"/>
        <v>0</v>
      </c>
      <c r="G376" s="3" t="str">
        <f t="shared" si="3"/>
        <v>#N/A</v>
      </c>
      <c r="H376" s="3" t="b">
        <f t="shared" si="4"/>
        <v>0</v>
      </c>
      <c r="J376" s="3" t="str">
        <f t="shared" si="5"/>
        <v>#N/A</v>
      </c>
      <c r="K376" s="3" t="b">
        <f t="shared" si="6"/>
        <v>0</v>
      </c>
      <c r="M376" s="3" t="str">
        <f t="shared" si="7"/>
        <v>#N/A</v>
      </c>
      <c r="AU376" s="7"/>
      <c r="AV376" s="6"/>
      <c r="AW376" s="8"/>
      <c r="AX376" s="7"/>
      <c r="AY376" s="6"/>
      <c r="AZ376" s="8"/>
      <c r="BA376" s="7"/>
      <c r="BB376" s="6"/>
      <c r="BC376" s="8"/>
      <c r="BD376" s="7"/>
      <c r="BE376" s="6"/>
      <c r="BF376" s="8"/>
      <c r="BG376" s="7"/>
      <c r="BH376" s="6"/>
      <c r="BI376" s="8"/>
      <c r="BJ376" s="7"/>
      <c r="BK376" s="6"/>
      <c r="BL376" s="8"/>
      <c r="BM376" s="7"/>
      <c r="BN376" s="6"/>
      <c r="BO376" s="8"/>
      <c r="BP376" s="7"/>
      <c r="BQ376" s="6"/>
      <c r="BR376" s="8"/>
    </row>
    <row r="377">
      <c r="A377" s="6"/>
      <c r="B377" s="6" t="s">
        <v>377</v>
      </c>
      <c r="C377" s="3" t="str">
        <f t="shared" si="1"/>
        <v>_dim cyan</v>
      </c>
      <c r="D377" s="3" t="str">
        <f t="shared" si="8"/>
        <v>#N/A</v>
      </c>
      <c r="E377" s="3" t="b">
        <f t="shared" si="2"/>
        <v>0</v>
      </c>
      <c r="G377" s="3" t="str">
        <f t="shared" si="3"/>
        <v>#N/A</v>
      </c>
      <c r="H377" s="3" t="b">
        <f t="shared" si="4"/>
        <v>0</v>
      </c>
      <c r="J377" s="3" t="str">
        <f t="shared" si="5"/>
        <v>#N/A</v>
      </c>
      <c r="K377" s="3" t="b">
        <f t="shared" si="6"/>
        <v>0</v>
      </c>
      <c r="M377" s="3" t="str">
        <f t="shared" si="7"/>
        <v>#N/A</v>
      </c>
      <c r="AU377" s="7"/>
      <c r="AV377" s="6"/>
      <c r="AW377" s="8"/>
      <c r="AX377" s="7"/>
      <c r="AY377" s="6"/>
      <c r="AZ377" s="8"/>
      <c r="BA377" s="7"/>
      <c r="BB377" s="6"/>
      <c r="BC377" s="8"/>
      <c r="BD377" s="7"/>
      <c r="BE377" s="6"/>
      <c r="BF377" s="8"/>
      <c r="BG377" s="7"/>
      <c r="BH377" s="6"/>
      <c r="BI377" s="8"/>
      <c r="BJ377" s="7"/>
      <c r="BK377" s="6"/>
      <c r="BL377" s="8"/>
      <c r="BM377" s="7"/>
      <c r="BN377" s="6"/>
      <c r="BO377" s="8"/>
      <c r="BP377" s="7"/>
      <c r="BQ377" s="6"/>
      <c r="BR377" s="8"/>
    </row>
    <row r="378">
      <c r="A378" s="6"/>
      <c r="B378" s="6" t="s">
        <v>378</v>
      </c>
      <c r="C378" s="3" t="str">
        <f t="shared" si="1"/>
        <v>_posh red</v>
      </c>
      <c r="D378" s="3" t="str">
        <f t="shared" si="8"/>
        <v>#N/A</v>
      </c>
      <c r="E378" s="3" t="b">
        <f t="shared" si="2"/>
        <v>0</v>
      </c>
      <c r="G378" s="3" t="str">
        <f t="shared" si="3"/>
        <v>#N/A</v>
      </c>
      <c r="H378" s="3" t="b">
        <f t="shared" si="4"/>
        <v>0</v>
      </c>
      <c r="J378" s="3" t="str">
        <f t="shared" si="5"/>
        <v>#N/A</v>
      </c>
      <c r="K378" s="3" t="b">
        <f t="shared" si="6"/>
        <v>0</v>
      </c>
      <c r="M378" s="3" t="str">
        <f t="shared" si="7"/>
        <v>#N/A</v>
      </c>
      <c r="AU378" s="7"/>
      <c r="AV378" s="6"/>
      <c r="AW378" s="8"/>
      <c r="AX378" s="7"/>
      <c r="AY378" s="6"/>
      <c r="AZ378" s="8"/>
      <c r="BA378" s="7"/>
      <c r="BB378" s="6"/>
      <c r="BC378" s="8"/>
      <c r="BD378" s="7"/>
      <c r="BE378" s="6"/>
      <c r="BF378" s="8"/>
      <c r="BG378" s="7"/>
      <c r="BH378" s="6"/>
      <c r="BI378" s="8"/>
      <c r="BJ378" s="7"/>
      <c r="BK378" s="6"/>
      <c r="BL378" s="8"/>
      <c r="BM378" s="7"/>
      <c r="BN378" s="6"/>
      <c r="BO378" s="8"/>
      <c r="BP378" s="7"/>
      <c r="BQ378" s="6"/>
      <c r="BR378" s="8"/>
    </row>
    <row r="379">
      <c r="A379" s="6"/>
      <c r="B379" s="6" t="s">
        <v>379</v>
      </c>
      <c r="C379" s="3" t="str">
        <f t="shared" si="1"/>
        <v>_dull tan</v>
      </c>
      <c r="D379" s="3" t="str">
        <f t="shared" si="8"/>
        <v>#N/A</v>
      </c>
      <c r="E379" s="3" t="b">
        <f t="shared" si="2"/>
        <v>0</v>
      </c>
      <c r="G379" s="3" t="str">
        <f t="shared" si="3"/>
        <v>#N/A</v>
      </c>
      <c r="H379" s="3" t="b">
        <f t="shared" si="4"/>
        <v>0</v>
      </c>
      <c r="J379" s="3" t="str">
        <f t="shared" si="5"/>
        <v>#N/A</v>
      </c>
      <c r="K379" s="3" t="b">
        <f t="shared" si="6"/>
        <v>0</v>
      </c>
      <c r="M379" s="3" t="str">
        <f t="shared" si="7"/>
        <v>#N/A</v>
      </c>
      <c r="AU379" s="7"/>
      <c r="AV379" s="6"/>
      <c r="AW379" s="8"/>
      <c r="AX379" s="7"/>
      <c r="AY379" s="6"/>
      <c r="AZ379" s="8"/>
      <c r="BA379" s="7"/>
      <c r="BB379" s="6"/>
      <c r="BC379" s="8"/>
      <c r="BD379" s="7"/>
      <c r="BE379" s="6"/>
      <c r="BF379" s="8"/>
      <c r="BG379" s="7"/>
      <c r="BH379" s="6"/>
      <c r="BI379" s="8"/>
      <c r="BJ379" s="7"/>
      <c r="BK379" s="6"/>
      <c r="BL379" s="8"/>
      <c r="BM379" s="7"/>
      <c r="BN379" s="6"/>
      <c r="BO379" s="8"/>
      <c r="BP379" s="7"/>
      <c r="BQ379" s="6"/>
      <c r="BR379" s="8"/>
    </row>
    <row r="380">
      <c r="A380" s="6"/>
      <c r="B380" s="6" t="s">
        <v>380</v>
      </c>
      <c r="C380" s="3" t="str">
        <f t="shared" si="1"/>
        <v>_faded indigo</v>
      </c>
      <c r="D380" s="3" t="str">
        <f t="shared" si="8"/>
        <v>#N/A</v>
      </c>
      <c r="E380" s="3" t="b">
        <f t="shared" si="2"/>
        <v>0</v>
      </c>
      <c r="G380" s="3" t="str">
        <f t="shared" si="3"/>
        <v>#N/A</v>
      </c>
      <c r="H380" s="3" t="b">
        <f t="shared" si="4"/>
        <v>0</v>
      </c>
      <c r="J380" s="3" t="str">
        <f t="shared" si="5"/>
        <v>#N/A</v>
      </c>
      <c r="K380" s="3" t="b">
        <f t="shared" si="6"/>
        <v>0</v>
      </c>
      <c r="M380" s="3" t="str">
        <f t="shared" si="7"/>
        <v>#N/A</v>
      </c>
      <c r="AU380" s="7"/>
      <c r="AV380" s="6"/>
      <c r="AW380" s="8"/>
      <c r="AX380" s="7"/>
      <c r="AY380" s="6"/>
      <c r="AZ380" s="8"/>
      <c r="BA380" s="7"/>
      <c r="BB380" s="6"/>
      <c r="BC380" s="8"/>
      <c r="BD380" s="7"/>
      <c r="BE380" s="6"/>
      <c r="BF380" s="8"/>
      <c r="BG380" s="7"/>
      <c r="BH380" s="6"/>
      <c r="BI380" s="8"/>
      <c r="BJ380" s="7"/>
      <c r="BK380" s="6"/>
      <c r="BL380" s="8"/>
      <c r="BM380" s="7"/>
      <c r="BN380" s="6"/>
      <c r="BO380" s="8"/>
      <c r="BP380" s="7"/>
      <c r="BQ380" s="6"/>
      <c r="BR380" s="8"/>
    </row>
    <row r="381">
      <c r="A381" s="6"/>
      <c r="B381" s="6" t="s">
        <v>381</v>
      </c>
      <c r="C381" s="3" t="str">
        <f t="shared" si="1"/>
        <v>_clear violet</v>
      </c>
      <c r="D381" s="3" t="str">
        <f t="shared" si="8"/>
        <v>#N/A</v>
      </c>
      <c r="E381" s="3" t="b">
        <f t="shared" si="2"/>
        <v>0</v>
      </c>
      <c r="G381" s="3" t="str">
        <f t="shared" si="3"/>
        <v>#N/A</v>
      </c>
      <c r="H381" s="3" t="b">
        <f t="shared" si="4"/>
        <v>0</v>
      </c>
      <c r="J381" s="3" t="str">
        <f t="shared" si="5"/>
        <v>#N/A</v>
      </c>
      <c r="K381" s="3" t="b">
        <f t="shared" si="6"/>
        <v>0</v>
      </c>
      <c r="M381" s="3" t="str">
        <f t="shared" si="7"/>
        <v>#N/A</v>
      </c>
      <c r="AU381" s="7"/>
      <c r="AV381" s="6"/>
      <c r="AW381" s="8"/>
      <c r="AX381" s="7"/>
      <c r="AY381" s="6"/>
      <c r="AZ381" s="8"/>
      <c r="BA381" s="7"/>
      <c r="BB381" s="6"/>
      <c r="BC381" s="8"/>
      <c r="BD381" s="7"/>
      <c r="BE381" s="6"/>
      <c r="BF381" s="8"/>
      <c r="BG381" s="7"/>
      <c r="BH381" s="6"/>
      <c r="BI381" s="8"/>
      <c r="BJ381" s="7"/>
      <c r="BK381" s="6"/>
      <c r="BL381" s="8"/>
      <c r="BM381" s="7"/>
      <c r="BN381" s="6"/>
      <c r="BO381" s="8"/>
      <c r="BP381" s="7"/>
      <c r="BQ381" s="6"/>
      <c r="BR381" s="8"/>
    </row>
    <row r="382">
      <c r="A382" s="6"/>
      <c r="B382" s="6" t="s">
        <v>382</v>
      </c>
      <c r="C382" s="3" t="str">
        <f t="shared" si="1"/>
        <v>_clear indigo</v>
      </c>
      <c r="D382" s="3" t="str">
        <f t="shared" si="8"/>
        <v>#N/A</v>
      </c>
      <c r="E382" s="3" t="b">
        <f t="shared" si="2"/>
        <v>0</v>
      </c>
      <c r="G382" s="3" t="str">
        <f t="shared" si="3"/>
        <v>#N/A</v>
      </c>
      <c r="H382" s="3" t="b">
        <f t="shared" si="4"/>
        <v>0</v>
      </c>
      <c r="J382" s="3" t="str">
        <f t="shared" si="5"/>
        <v>#N/A</v>
      </c>
      <c r="K382" s="3" t="b">
        <f t="shared" si="6"/>
        <v>0</v>
      </c>
      <c r="M382" s="3" t="str">
        <f t="shared" si="7"/>
        <v>#N/A</v>
      </c>
      <c r="AU382" s="7"/>
      <c r="AV382" s="6"/>
      <c r="AW382" s="8"/>
      <c r="AX382" s="7"/>
      <c r="AY382" s="6"/>
      <c r="AZ382" s="8"/>
      <c r="BA382" s="7"/>
      <c r="BB382" s="6"/>
      <c r="BC382" s="8"/>
      <c r="BD382" s="7"/>
      <c r="BE382" s="6"/>
      <c r="BF382" s="8"/>
      <c r="BG382" s="7"/>
      <c r="BH382" s="6"/>
      <c r="BI382" s="8"/>
      <c r="BJ382" s="7"/>
      <c r="BK382" s="6"/>
      <c r="BL382" s="8"/>
      <c r="BM382" s="7"/>
      <c r="BN382" s="6"/>
      <c r="BO382" s="8"/>
      <c r="BP382" s="7"/>
      <c r="BQ382" s="6"/>
      <c r="BR382" s="8"/>
    </row>
    <row r="383">
      <c r="A383" s="6"/>
      <c r="B383" s="6" t="s">
        <v>383</v>
      </c>
      <c r="C383" s="3" t="str">
        <f t="shared" si="1"/>
        <v>_bright turquoise</v>
      </c>
      <c r="D383" s="3" t="str">
        <f t="shared" si="8"/>
        <v>#N/A</v>
      </c>
      <c r="E383" s="3" t="b">
        <f t="shared" si="2"/>
        <v>0</v>
      </c>
      <c r="G383" s="3" t="str">
        <f t="shared" si="3"/>
        <v>#N/A</v>
      </c>
      <c r="H383" s="3" t="b">
        <f t="shared" si="4"/>
        <v>0</v>
      </c>
      <c r="J383" s="3" t="str">
        <f t="shared" si="5"/>
        <v>#N/A</v>
      </c>
      <c r="K383" s="3" t="b">
        <f t="shared" si="6"/>
        <v>0</v>
      </c>
      <c r="M383" s="3" t="str">
        <f t="shared" si="7"/>
        <v>#N/A</v>
      </c>
      <c r="AU383" s="7"/>
      <c r="AV383" s="6"/>
      <c r="AW383" s="8"/>
      <c r="AX383" s="7"/>
      <c r="AY383" s="6"/>
      <c r="AZ383" s="8"/>
      <c r="BA383" s="7"/>
      <c r="BB383" s="6"/>
      <c r="BC383" s="8"/>
      <c r="BD383" s="7"/>
      <c r="BE383" s="6"/>
      <c r="BF383" s="8"/>
      <c r="BG383" s="7"/>
      <c r="BH383" s="6"/>
      <c r="BI383" s="8"/>
      <c r="BJ383" s="7"/>
      <c r="BK383" s="6"/>
      <c r="BL383" s="8"/>
      <c r="BM383" s="7"/>
      <c r="BN383" s="6"/>
      <c r="BO383" s="8"/>
      <c r="BP383" s="7"/>
      <c r="BQ383" s="6"/>
      <c r="BR383" s="8"/>
    </row>
    <row r="384">
      <c r="A384" s="6"/>
      <c r="B384" s="6" t="s">
        <v>384</v>
      </c>
      <c r="C384" s="3" t="str">
        <f t="shared" si="1"/>
        <v>_muted tomato</v>
      </c>
      <c r="D384" s="3" t="str">
        <f t="shared" si="8"/>
        <v>#N/A</v>
      </c>
      <c r="E384" s="3" t="b">
        <f t="shared" si="2"/>
        <v>0</v>
      </c>
      <c r="G384" s="3" t="str">
        <f t="shared" si="3"/>
        <v>#N/A</v>
      </c>
      <c r="H384" s="3" t="b">
        <f t="shared" si="4"/>
        <v>0</v>
      </c>
      <c r="J384" s="3" t="str">
        <f t="shared" si="5"/>
        <v>#N/A</v>
      </c>
      <c r="K384" s="3" t="b">
        <f t="shared" si="6"/>
        <v>0</v>
      </c>
      <c r="M384" s="3" t="str">
        <f t="shared" si="7"/>
        <v>#N/A</v>
      </c>
      <c r="AU384" s="7"/>
      <c r="AV384" s="6"/>
      <c r="AW384" s="8"/>
      <c r="AX384" s="7"/>
      <c r="AY384" s="6"/>
      <c r="AZ384" s="8"/>
      <c r="BA384" s="7"/>
      <c r="BB384" s="6"/>
      <c r="BC384" s="8"/>
      <c r="BD384" s="7"/>
      <c r="BE384" s="6"/>
      <c r="BF384" s="8"/>
      <c r="BG384" s="7"/>
      <c r="BH384" s="6"/>
      <c r="BI384" s="8"/>
      <c r="BJ384" s="7"/>
      <c r="BK384" s="6"/>
      <c r="BL384" s="8"/>
      <c r="BM384" s="7"/>
      <c r="BN384" s="6"/>
      <c r="BO384" s="8"/>
      <c r="BP384" s="7"/>
      <c r="BQ384" s="6"/>
      <c r="BR384" s="8"/>
    </row>
    <row r="385">
      <c r="A385" s="6"/>
      <c r="B385" s="6" t="s">
        <v>385</v>
      </c>
      <c r="C385" s="3" t="str">
        <f t="shared" si="1"/>
        <v>_posh silver</v>
      </c>
      <c r="D385" s="3" t="str">
        <f t="shared" si="8"/>
        <v>#N/A</v>
      </c>
      <c r="E385" s="3" t="b">
        <f t="shared" si="2"/>
        <v>0</v>
      </c>
      <c r="G385" s="3" t="str">
        <f t="shared" si="3"/>
        <v>#N/A</v>
      </c>
      <c r="H385" s="3" t="b">
        <f t="shared" si="4"/>
        <v>0</v>
      </c>
      <c r="J385" s="3" t="str">
        <f t="shared" si="5"/>
        <v>#N/A</v>
      </c>
      <c r="K385" s="3" t="b">
        <f t="shared" si="6"/>
        <v>0</v>
      </c>
      <c r="M385" s="3" t="str">
        <f t="shared" si="7"/>
        <v>#N/A</v>
      </c>
      <c r="AU385" s="7"/>
      <c r="AV385" s="6"/>
      <c r="AW385" s="8"/>
      <c r="AX385" s="7"/>
      <c r="AY385" s="6"/>
      <c r="AZ385" s="8"/>
      <c r="BA385" s="7"/>
      <c r="BB385" s="6"/>
      <c r="BC385" s="8"/>
      <c r="BD385" s="7"/>
      <c r="BE385" s="6"/>
      <c r="BF385" s="8"/>
      <c r="BG385" s="7"/>
      <c r="BH385" s="6"/>
      <c r="BI385" s="8"/>
      <c r="BJ385" s="7"/>
      <c r="BK385" s="6"/>
      <c r="BL385" s="8"/>
      <c r="BM385" s="7"/>
      <c r="BN385" s="6"/>
      <c r="BO385" s="8"/>
      <c r="BP385" s="7"/>
      <c r="BQ385" s="6"/>
      <c r="BR385" s="8"/>
    </row>
    <row r="386">
      <c r="A386" s="6"/>
      <c r="B386" s="6" t="s">
        <v>386</v>
      </c>
      <c r="C386" s="3" t="str">
        <f t="shared" si="1"/>
        <v>_mirrored olive</v>
      </c>
      <c r="D386" s="3" t="str">
        <f t="shared" si="8"/>
        <v>#N/A</v>
      </c>
      <c r="E386" s="3" t="b">
        <f t="shared" si="2"/>
        <v>0</v>
      </c>
      <c r="G386" s="3" t="str">
        <f t="shared" si="3"/>
        <v>#N/A</v>
      </c>
      <c r="H386" s="3" t="b">
        <f t="shared" si="4"/>
        <v>0</v>
      </c>
      <c r="J386" s="3" t="str">
        <f t="shared" si="5"/>
        <v>#N/A</v>
      </c>
      <c r="K386" s="3" t="b">
        <f t="shared" si="6"/>
        <v>0</v>
      </c>
      <c r="M386" s="3" t="str">
        <f t="shared" si="7"/>
        <v>#N/A</v>
      </c>
      <c r="AU386" s="7"/>
      <c r="AV386" s="6"/>
      <c r="AW386" s="8"/>
      <c r="AX386" s="7"/>
      <c r="AY386" s="6"/>
      <c r="AZ386" s="8"/>
      <c r="BA386" s="7"/>
      <c r="BB386" s="6"/>
      <c r="BC386" s="8"/>
      <c r="BD386" s="7"/>
      <c r="BE386" s="6"/>
      <c r="BF386" s="8"/>
      <c r="BG386" s="7"/>
      <c r="BH386" s="6"/>
      <c r="BI386" s="8"/>
      <c r="BJ386" s="7"/>
      <c r="BK386" s="6"/>
      <c r="BL386" s="8"/>
      <c r="BM386" s="7"/>
      <c r="BN386" s="6"/>
      <c r="BO386" s="8"/>
      <c r="BP386" s="7"/>
      <c r="BQ386" s="6"/>
      <c r="BR386" s="8"/>
    </row>
    <row r="387">
      <c r="A387" s="6"/>
      <c r="B387" s="6" t="s">
        <v>387</v>
      </c>
      <c r="C387" s="3" t="str">
        <f t="shared" si="1"/>
        <v>_shiny tomato</v>
      </c>
      <c r="D387" s="3" t="str">
        <f t="shared" si="8"/>
        <v>#N/A</v>
      </c>
      <c r="E387" s="3" t="b">
        <f t="shared" si="2"/>
        <v>0</v>
      </c>
      <c r="G387" s="3" t="str">
        <f t="shared" si="3"/>
        <v>#N/A</v>
      </c>
      <c r="H387" s="3" t="b">
        <f t="shared" si="4"/>
        <v>0</v>
      </c>
      <c r="J387" s="3" t="str">
        <f t="shared" si="5"/>
        <v>#N/A</v>
      </c>
      <c r="K387" s="3" t="b">
        <f t="shared" si="6"/>
        <v>0</v>
      </c>
      <c r="M387" s="3" t="str">
        <f t="shared" si="7"/>
        <v>#N/A</v>
      </c>
      <c r="AU387" s="7"/>
      <c r="AV387" s="6"/>
      <c r="AW387" s="8"/>
      <c r="AX387" s="7"/>
      <c r="AY387" s="6"/>
      <c r="AZ387" s="8"/>
      <c r="BA387" s="7"/>
      <c r="BB387" s="6"/>
      <c r="BC387" s="8"/>
      <c r="BD387" s="7"/>
      <c r="BE387" s="6"/>
      <c r="BF387" s="8"/>
      <c r="BG387" s="7"/>
      <c r="BH387" s="6"/>
      <c r="BI387" s="8"/>
      <c r="BJ387" s="7"/>
      <c r="BK387" s="6"/>
      <c r="BL387" s="8"/>
      <c r="BM387" s="7"/>
      <c r="BN387" s="6"/>
      <c r="BO387" s="8"/>
      <c r="BP387" s="7"/>
      <c r="BQ387" s="6"/>
      <c r="BR387" s="8"/>
    </row>
    <row r="388">
      <c r="A388" s="6"/>
      <c r="B388" s="6" t="s">
        <v>388</v>
      </c>
      <c r="C388" s="3" t="str">
        <f t="shared" si="1"/>
        <v>_striped coral</v>
      </c>
      <c r="D388" s="3" t="str">
        <f t="shared" si="8"/>
        <v>#N/A</v>
      </c>
      <c r="E388" s="3" t="b">
        <f t="shared" si="2"/>
        <v>0</v>
      </c>
      <c r="G388" s="3" t="str">
        <f t="shared" si="3"/>
        <v>#N/A</v>
      </c>
      <c r="H388" s="3" t="b">
        <f t="shared" si="4"/>
        <v>0</v>
      </c>
      <c r="J388" s="3" t="str">
        <f t="shared" si="5"/>
        <v>#N/A</v>
      </c>
      <c r="K388" s="3" t="b">
        <f t="shared" si="6"/>
        <v>0</v>
      </c>
      <c r="M388" s="3" t="str">
        <f t="shared" si="7"/>
        <v>#N/A</v>
      </c>
      <c r="AU388" s="7"/>
      <c r="AV388" s="6"/>
      <c r="AW388" s="8"/>
      <c r="AX388" s="7"/>
      <c r="AY388" s="6"/>
      <c r="AZ388" s="8"/>
      <c r="BA388" s="7"/>
      <c r="BB388" s="6"/>
      <c r="BC388" s="8"/>
      <c r="BD388" s="7"/>
      <c r="BE388" s="6"/>
      <c r="BF388" s="8"/>
      <c r="BG388" s="7"/>
      <c r="BH388" s="6"/>
      <c r="BI388" s="8"/>
      <c r="BJ388" s="7"/>
      <c r="BK388" s="6"/>
      <c r="BL388" s="8"/>
      <c r="BM388" s="7"/>
      <c r="BN388" s="6"/>
      <c r="BO388" s="8"/>
      <c r="BP388" s="7"/>
      <c r="BQ388" s="6"/>
      <c r="BR388" s="8"/>
    </row>
    <row r="389">
      <c r="A389" s="6"/>
      <c r="B389" s="6" t="s">
        <v>389</v>
      </c>
      <c r="C389" s="3" t="str">
        <f t="shared" si="1"/>
        <v>_mirrored chartreuse</v>
      </c>
      <c r="D389" s="3" t="str">
        <f t="shared" si="8"/>
        <v>#N/A</v>
      </c>
      <c r="E389" s="3" t="b">
        <f t="shared" si="2"/>
        <v>0</v>
      </c>
      <c r="G389" s="3" t="str">
        <f t="shared" si="3"/>
        <v>#N/A</v>
      </c>
      <c r="H389" s="3" t="b">
        <f t="shared" si="4"/>
        <v>0</v>
      </c>
      <c r="J389" s="3" t="str">
        <f t="shared" si="5"/>
        <v>#N/A</v>
      </c>
      <c r="K389" s="3" t="b">
        <f t="shared" si="6"/>
        <v>0</v>
      </c>
      <c r="M389" s="3" t="str">
        <f t="shared" si="7"/>
        <v>#N/A</v>
      </c>
      <c r="AU389" s="7"/>
      <c r="AV389" s="6"/>
      <c r="AW389" s="8"/>
      <c r="AX389" s="7"/>
      <c r="AY389" s="6"/>
      <c r="AZ389" s="8"/>
      <c r="BA389" s="7"/>
      <c r="BB389" s="6"/>
      <c r="BC389" s="8"/>
      <c r="BD389" s="7"/>
      <c r="BE389" s="6"/>
      <c r="BF389" s="8"/>
      <c r="BG389" s="7"/>
      <c r="BH389" s="6"/>
      <c r="BI389" s="8"/>
      <c r="BJ389" s="7"/>
      <c r="BK389" s="6"/>
      <c r="BL389" s="8"/>
      <c r="BM389" s="7"/>
      <c r="BN389" s="6"/>
      <c r="BO389" s="8"/>
      <c r="BP389" s="7"/>
      <c r="BQ389" s="6"/>
      <c r="BR389" s="8"/>
    </row>
    <row r="390">
      <c r="A390" s="6"/>
      <c r="B390" s="6" t="s">
        <v>390</v>
      </c>
      <c r="C390" s="3" t="str">
        <f t="shared" si="1"/>
        <v>_pale maroon</v>
      </c>
      <c r="D390" s="3" t="str">
        <f t="shared" si="8"/>
        <v>#N/A</v>
      </c>
      <c r="E390" s="3" t="b">
        <f t="shared" si="2"/>
        <v>0</v>
      </c>
      <c r="G390" s="3" t="str">
        <f t="shared" si="3"/>
        <v>#N/A</v>
      </c>
      <c r="H390" s="3" t="b">
        <f t="shared" si="4"/>
        <v>0</v>
      </c>
      <c r="J390" s="3" t="str">
        <f t="shared" si="5"/>
        <v>#N/A</v>
      </c>
      <c r="K390" s="3" t="b">
        <f t="shared" si="6"/>
        <v>0</v>
      </c>
      <c r="M390" s="3" t="str">
        <f t="shared" si="7"/>
        <v>#N/A</v>
      </c>
      <c r="AU390" s="7"/>
      <c r="AV390" s="6"/>
      <c r="AW390" s="8"/>
      <c r="AX390" s="7"/>
      <c r="AY390" s="6"/>
      <c r="AZ390" s="8"/>
      <c r="BA390" s="7"/>
      <c r="BB390" s="6"/>
      <c r="BC390" s="8"/>
      <c r="BD390" s="7"/>
      <c r="BE390" s="6"/>
      <c r="BF390" s="8"/>
      <c r="BG390" s="7"/>
      <c r="BH390" s="6"/>
      <c r="BI390" s="8"/>
      <c r="BJ390" s="7"/>
      <c r="BK390" s="6"/>
      <c r="BL390" s="8"/>
      <c r="BM390" s="7"/>
      <c r="BN390" s="6"/>
      <c r="BO390" s="8"/>
      <c r="BP390" s="7"/>
      <c r="BQ390" s="6"/>
      <c r="BR390" s="8"/>
    </row>
    <row r="391">
      <c r="A391" s="6"/>
      <c r="B391" s="6" t="s">
        <v>391</v>
      </c>
      <c r="C391" s="3" t="str">
        <f t="shared" si="1"/>
        <v>_striped black</v>
      </c>
      <c r="D391" s="3" t="str">
        <f t="shared" si="8"/>
        <v>#N/A</v>
      </c>
      <c r="E391" s="3" t="b">
        <f t="shared" si="2"/>
        <v>0</v>
      </c>
      <c r="G391" s="3" t="str">
        <f t="shared" si="3"/>
        <v>#N/A</v>
      </c>
      <c r="H391" s="3" t="b">
        <f t="shared" si="4"/>
        <v>0</v>
      </c>
      <c r="J391" s="3" t="str">
        <f t="shared" si="5"/>
        <v>#N/A</v>
      </c>
      <c r="K391" s="3" t="b">
        <f t="shared" si="6"/>
        <v>1</v>
      </c>
      <c r="M391" s="3" t="str">
        <f t="shared" si="7"/>
        <v>#N/A</v>
      </c>
      <c r="AU391" s="7"/>
      <c r="AV391" s="6"/>
      <c r="AW391" s="8"/>
      <c r="AX391" s="7"/>
      <c r="AY391" s="6"/>
      <c r="AZ391" s="8"/>
      <c r="BA391" s="7"/>
      <c r="BB391" s="6"/>
      <c r="BC391" s="8"/>
      <c r="BD391" s="7"/>
      <c r="BE391" s="6"/>
      <c r="BF391" s="8"/>
      <c r="BG391" s="7"/>
      <c r="BH391" s="6"/>
      <c r="BI391" s="8"/>
      <c r="BJ391" s="7"/>
      <c r="BK391" s="6"/>
      <c r="BL391" s="8"/>
      <c r="BM391" s="7"/>
      <c r="BN391" s="6"/>
      <c r="BO391" s="8"/>
      <c r="BP391" s="7"/>
      <c r="BQ391" s="6"/>
      <c r="BR391" s="8"/>
    </row>
    <row r="392">
      <c r="A392" s="6"/>
      <c r="B392" s="6" t="s">
        <v>392</v>
      </c>
      <c r="C392" s="3" t="str">
        <f t="shared" si="1"/>
        <v>_dim maroon</v>
      </c>
      <c r="D392" s="3" t="str">
        <f t="shared" si="8"/>
        <v>#N/A</v>
      </c>
      <c r="E392" s="3" t="b">
        <f t="shared" si="2"/>
        <v>0</v>
      </c>
      <c r="G392" s="3" t="str">
        <f t="shared" si="3"/>
        <v>#N/A</v>
      </c>
      <c r="H392" s="3" t="b">
        <f t="shared" si="4"/>
        <v>0</v>
      </c>
      <c r="J392" s="3" t="str">
        <f t="shared" si="5"/>
        <v>#N/A</v>
      </c>
      <c r="K392" s="3" t="b">
        <f t="shared" si="6"/>
        <v>0</v>
      </c>
      <c r="M392" s="3" t="str">
        <f t="shared" si="7"/>
        <v>#N/A</v>
      </c>
      <c r="AU392" s="7"/>
      <c r="AV392" s="6"/>
      <c r="AW392" s="8"/>
      <c r="AX392" s="7"/>
      <c r="AY392" s="6"/>
      <c r="AZ392" s="8"/>
      <c r="BA392" s="7"/>
      <c r="BB392" s="6"/>
      <c r="BC392" s="8"/>
      <c r="BD392" s="7"/>
      <c r="BE392" s="6"/>
      <c r="BF392" s="8"/>
      <c r="BG392" s="7"/>
      <c r="BH392" s="6"/>
      <c r="BI392" s="8"/>
      <c r="BJ392" s="7"/>
      <c r="BK392" s="6"/>
      <c r="BL392" s="8"/>
      <c r="BM392" s="7"/>
      <c r="BN392" s="6"/>
      <c r="BO392" s="8"/>
      <c r="BP392" s="7"/>
      <c r="BQ392" s="6"/>
      <c r="BR392" s="8"/>
    </row>
    <row r="393">
      <c r="A393" s="6"/>
      <c r="B393" s="6" t="s">
        <v>393</v>
      </c>
      <c r="C393" s="3" t="str">
        <f t="shared" si="1"/>
        <v>_bright beige</v>
      </c>
      <c r="D393" s="3" t="str">
        <f t="shared" si="8"/>
        <v>#N/A</v>
      </c>
      <c r="E393" s="3" t="b">
        <f t="shared" si="2"/>
        <v>0</v>
      </c>
      <c r="G393" s="3" t="str">
        <f t="shared" si="3"/>
        <v>#N/A</v>
      </c>
      <c r="H393" s="3" t="b">
        <f t="shared" si="4"/>
        <v>0</v>
      </c>
      <c r="J393" s="3" t="str">
        <f t="shared" si="5"/>
        <v>#N/A</v>
      </c>
      <c r="K393" s="3" t="b">
        <f t="shared" si="6"/>
        <v>0</v>
      </c>
      <c r="M393" s="3" t="str">
        <f t="shared" si="7"/>
        <v>#N/A</v>
      </c>
      <c r="AU393" s="7"/>
      <c r="AV393" s="6"/>
      <c r="AW393" s="8"/>
      <c r="AX393" s="7"/>
      <c r="AY393" s="6"/>
      <c r="AZ393" s="8"/>
      <c r="BA393" s="7"/>
      <c r="BB393" s="6"/>
      <c r="BC393" s="8"/>
      <c r="BD393" s="7"/>
      <c r="BE393" s="6"/>
      <c r="BF393" s="8"/>
      <c r="BG393" s="7"/>
      <c r="BH393" s="6"/>
      <c r="BI393" s="8"/>
      <c r="BJ393" s="7"/>
      <c r="BK393" s="6"/>
      <c r="BL393" s="8"/>
      <c r="BM393" s="7"/>
      <c r="BN393" s="6"/>
      <c r="BO393" s="8"/>
      <c r="BP393" s="7"/>
      <c r="BQ393" s="6"/>
      <c r="BR393" s="8"/>
    </row>
    <row r="394">
      <c r="A394" s="6"/>
      <c r="B394" s="6" t="s">
        <v>394</v>
      </c>
      <c r="C394" s="3" t="str">
        <f t="shared" si="1"/>
        <v>_shiny gray</v>
      </c>
      <c r="D394" s="3" t="str">
        <f t="shared" si="8"/>
        <v>#N/A</v>
      </c>
      <c r="E394" s="3" t="b">
        <f t="shared" si="2"/>
        <v>0</v>
      </c>
      <c r="G394" s="3" t="str">
        <f t="shared" si="3"/>
        <v>#N/A</v>
      </c>
      <c r="H394" s="3" t="b">
        <f t="shared" si="4"/>
        <v>0</v>
      </c>
      <c r="J394" s="3" t="str">
        <f t="shared" si="5"/>
        <v>#N/A</v>
      </c>
      <c r="K394" s="3" t="b">
        <f t="shared" si="6"/>
        <v>1</v>
      </c>
      <c r="M394" s="3" t="str">
        <f t="shared" si="7"/>
        <v>#N/A</v>
      </c>
      <c r="AU394" s="7"/>
      <c r="AV394" s="6"/>
      <c r="AW394" s="8"/>
      <c r="AX394" s="7"/>
      <c r="AY394" s="6"/>
      <c r="AZ394" s="8"/>
      <c r="BA394" s="7"/>
      <c r="BB394" s="6"/>
      <c r="BC394" s="8"/>
      <c r="BD394" s="7"/>
      <c r="BE394" s="6"/>
      <c r="BF394" s="8"/>
      <c r="BG394" s="7"/>
      <c r="BH394" s="6"/>
      <c r="BI394" s="8"/>
      <c r="BJ394" s="7"/>
      <c r="BK394" s="6"/>
      <c r="BL394" s="8"/>
      <c r="BM394" s="7"/>
      <c r="BN394" s="6"/>
      <c r="BO394" s="8"/>
      <c r="BP394" s="7"/>
      <c r="BQ394" s="6"/>
      <c r="BR394" s="8"/>
    </row>
    <row r="395">
      <c r="A395" s="6"/>
      <c r="B395" s="6" t="s">
        <v>395</v>
      </c>
      <c r="C395" s="3" t="str">
        <f t="shared" si="1"/>
        <v>_drab lime</v>
      </c>
      <c r="D395" s="3" t="str">
        <f t="shared" si="8"/>
        <v>#N/A</v>
      </c>
      <c r="E395" s="3" t="b">
        <f t="shared" si="2"/>
        <v>0</v>
      </c>
      <c r="G395" s="3" t="str">
        <f t="shared" si="3"/>
        <v>#N/A</v>
      </c>
      <c r="H395" s="3" t="b">
        <f t="shared" si="4"/>
        <v>0</v>
      </c>
      <c r="J395" s="3" t="str">
        <f t="shared" si="5"/>
        <v>#N/A</v>
      </c>
      <c r="K395" s="3" t="b">
        <f t="shared" si="6"/>
        <v>0</v>
      </c>
      <c r="M395" s="3" t="str">
        <f t="shared" si="7"/>
        <v>#N/A</v>
      </c>
      <c r="AU395" s="7"/>
      <c r="AV395" s="6"/>
      <c r="AW395" s="8"/>
      <c r="AX395" s="7"/>
      <c r="AY395" s="6"/>
      <c r="AZ395" s="8"/>
      <c r="BA395" s="7"/>
      <c r="BB395" s="6"/>
      <c r="BC395" s="8"/>
      <c r="BD395" s="7"/>
      <c r="BE395" s="6"/>
      <c r="BF395" s="8"/>
      <c r="BG395" s="7"/>
      <c r="BH395" s="6"/>
      <c r="BI395" s="8"/>
      <c r="BJ395" s="7"/>
      <c r="BK395" s="6"/>
      <c r="BL395" s="8"/>
      <c r="BM395" s="7"/>
      <c r="BN395" s="6"/>
      <c r="BO395" s="8"/>
      <c r="BP395" s="7"/>
      <c r="BQ395" s="6"/>
      <c r="BR395" s="8"/>
    </row>
    <row r="396">
      <c r="A396" s="6"/>
      <c r="B396" s="6" t="s">
        <v>396</v>
      </c>
      <c r="C396" s="3" t="str">
        <f t="shared" si="1"/>
        <v>_dull gray</v>
      </c>
      <c r="D396" s="3" t="str">
        <f t="shared" si="8"/>
        <v>#N/A</v>
      </c>
      <c r="E396" s="3" t="b">
        <f t="shared" si="2"/>
        <v>0</v>
      </c>
      <c r="G396" s="3" t="str">
        <f t="shared" si="3"/>
        <v>#N/A</v>
      </c>
      <c r="H396" s="3" t="b">
        <f t="shared" si="4"/>
        <v>0</v>
      </c>
      <c r="J396" s="3" t="str">
        <f t="shared" si="5"/>
        <v>#N/A</v>
      </c>
      <c r="K396" s="3" t="b">
        <f t="shared" si="6"/>
        <v>0</v>
      </c>
      <c r="M396" s="3" t="str">
        <f t="shared" si="7"/>
        <v>#N/A</v>
      </c>
      <c r="AU396" s="7"/>
      <c r="AV396" s="6"/>
      <c r="AW396" s="8"/>
      <c r="AX396" s="7"/>
      <c r="AY396" s="6"/>
      <c r="AZ396" s="8"/>
      <c r="BA396" s="7"/>
      <c r="BB396" s="6"/>
      <c r="BC396" s="8"/>
      <c r="BD396" s="7"/>
      <c r="BE396" s="6"/>
      <c r="BF396" s="8"/>
      <c r="BG396" s="7"/>
      <c r="BH396" s="6"/>
      <c r="BI396" s="8"/>
      <c r="BJ396" s="7"/>
      <c r="BK396" s="6"/>
      <c r="BL396" s="8"/>
      <c r="BM396" s="7"/>
      <c r="BN396" s="6"/>
      <c r="BO396" s="8"/>
      <c r="BP396" s="7"/>
      <c r="BQ396" s="6"/>
      <c r="BR396" s="8"/>
    </row>
    <row r="397">
      <c r="A397" s="6"/>
      <c r="B397" s="6" t="s">
        <v>397</v>
      </c>
      <c r="C397" s="3" t="str">
        <f t="shared" si="1"/>
        <v>_light olive</v>
      </c>
      <c r="D397" s="3" t="str">
        <f t="shared" si="8"/>
        <v>#N/A</v>
      </c>
      <c r="E397" s="3" t="b">
        <f t="shared" si="2"/>
        <v>0</v>
      </c>
      <c r="G397" s="3" t="str">
        <f t="shared" si="3"/>
        <v>#N/A</v>
      </c>
      <c r="H397" s="3" t="b">
        <f t="shared" si="4"/>
        <v>0</v>
      </c>
      <c r="J397" s="3" t="str">
        <f t="shared" si="5"/>
        <v>#N/A</v>
      </c>
      <c r="K397" s="3" t="b">
        <f t="shared" si="6"/>
        <v>0</v>
      </c>
      <c r="M397" s="3" t="str">
        <f t="shared" si="7"/>
        <v>#N/A</v>
      </c>
      <c r="AU397" s="7"/>
      <c r="AV397" s="6"/>
      <c r="AW397" s="8"/>
      <c r="AX397" s="7"/>
      <c r="AY397" s="6"/>
      <c r="AZ397" s="8"/>
      <c r="BA397" s="7"/>
      <c r="BB397" s="6"/>
      <c r="BC397" s="8"/>
      <c r="BD397" s="7"/>
      <c r="BE397" s="6"/>
      <c r="BF397" s="8"/>
      <c r="BG397" s="7"/>
      <c r="BH397" s="6"/>
      <c r="BI397" s="8"/>
      <c r="BJ397" s="7"/>
      <c r="BK397" s="6"/>
      <c r="BL397" s="8"/>
      <c r="BM397" s="7"/>
      <c r="BN397" s="6"/>
      <c r="BO397" s="8"/>
      <c r="BP397" s="7"/>
      <c r="BQ397" s="6"/>
      <c r="BR397" s="8"/>
    </row>
    <row r="398">
      <c r="A398" s="6"/>
      <c r="B398" s="6" t="s">
        <v>398</v>
      </c>
      <c r="C398" s="3" t="str">
        <f t="shared" si="1"/>
        <v>_vibrant violet</v>
      </c>
      <c r="D398" s="3" t="str">
        <f t="shared" si="8"/>
        <v>#N/A</v>
      </c>
      <c r="E398" s="3" t="b">
        <f t="shared" si="2"/>
        <v>0</v>
      </c>
      <c r="G398" s="3" t="str">
        <f t="shared" si="3"/>
        <v>#N/A</v>
      </c>
      <c r="H398" s="3" t="b">
        <f t="shared" si="4"/>
        <v>0</v>
      </c>
      <c r="J398" s="3" t="str">
        <f t="shared" si="5"/>
        <v>#N/A</v>
      </c>
      <c r="K398" s="3" t="b">
        <f t="shared" si="6"/>
        <v>0</v>
      </c>
      <c r="M398" s="3" t="str">
        <f t="shared" si="7"/>
        <v>#N/A</v>
      </c>
      <c r="AU398" s="7"/>
      <c r="AV398" s="6"/>
      <c r="AW398" s="8"/>
      <c r="AX398" s="7"/>
      <c r="AY398" s="6"/>
      <c r="AZ398" s="8"/>
      <c r="BA398" s="7"/>
      <c r="BB398" s="6"/>
      <c r="BC398" s="8"/>
      <c r="BD398" s="7"/>
      <c r="BE398" s="6"/>
      <c r="BF398" s="8"/>
      <c r="BG398" s="7"/>
      <c r="BH398" s="6"/>
      <c r="BI398" s="8"/>
      <c r="BJ398" s="7"/>
      <c r="BK398" s="6"/>
      <c r="BL398" s="8"/>
      <c r="BM398" s="7"/>
      <c r="BN398" s="6"/>
      <c r="BO398" s="8"/>
      <c r="BP398" s="7"/>
      <c r="BQ398" s="6"/>
      <c r="BR398" s="8"/>
    </row>
    <row r="399">
      <c r="A399" s="6"/>
      <c r="B399" s="6" t="s">
        <v>399</v>
      </c>
      <c r="C399" s="3" t="str">
        <f t="shared" si="1"/>
        <v>_posh lavender</v>
      </c>
      <c r="D399" s="3" t="str">
        <f t="shared" si="8"/>
        <v>#N/A</v>
      </c>
      <c r="E399" s="3" t="b">
        <f t="shared" si="2"/>
        <v>0</v>
      </c>
      <c r="G399" s="3" t="str">
        <f t="shared" si="3"/>
        <v>#N/A</v>
      </c>
      <c r="H399" s="3" t="b">
        <f t="shared" si="4"/>
        <v>0</v>
      </c>
      <c r="J399" s="3" t="str">
        <f t="shared" si="5"/>
        <v>#N/A</v>
      </c>
      <c r="K399" s="3" t="b">
        <f t="shared" si="6"/>
        <v>0</v>
      </c>
      <c r="M399" s="3" t="str">
        <f t="shared" si="7"/>
        <v>#N/A</v>
      </c>
      <c r="AU399" s="7"/>
      <c r="AV399" s="6"/>
      <c r="AW399" s="8"/>
      <c r="AX399" s="7"/>
      <c r="AY399" s="6"/>
      <c r="AZ399" s="8"/>
      <c r="BA399" s="7"/>
      <c r="BB399" s="6"/>
      <c r="BC399" s="8"/>
      <c r="BD399" s="7"/>
      <c r="BE399" s="6"/>
      <c r="BF399" s="8"/>
      <c r="BG399" s="7"/>
      <c r="BH399" s="6"/>
      <c r="BI399" s="8"/>
      <c r="BJ399" s="7"/>
      <c r="BK399" s="6"/>
      <c r="BL399" s="8"/>
      <c r="BM399" s="7"/>
      <c r="BN399" s="6"/>
      <c r="BO399" s="8"/>
      <c r="BP399" s="7"/>
      <c r="BQ399" s="6"/>
      <c r="BR399" s="8"/>
    </row>
    <row r="400">
      <c r="A400" s="6"/>
      <c r="B400" s="6" t="s">
        <v>400</v>
      </c>
      <c r="C400" s="3" t="str">
        <f t="shared" si="1"/>
        <v>_plaid coral</v>
      </c>
      <c r="D400" s="3" t="str">
        <f t="shared" si="8"/>
        <v>#N/A</v>
      </c>
      <c r="E400" s="3" t="b">
        <f t="shared" si="2"/>
        <v>0</v>
      </c>
      <c r="G400" s="3" t="str">
        <f t="shared" si="3"/>
        <v>#N/A</v>
      </c>
      <c r="H400" s="3" t="b">
        <f t="shared" si="4"/>
        <v>0</v>
      </c>
      <c r="J400" s="3" t="str">
        <f t="shared" si="5"/>
        <v>#N/A</v>
      </c>
      <c r="K400" s="3" t="b">
        <f t="shared" si="6"/>
        <v>0</v>
      </c>
      <c r="M400" s="3" t="str">
        <f t="shared" si="7"/>
        <v>#N/A</v>
      </c>
      <c r="AU400" s="7"/>
      <c r="AV400" s="6"/>
      <c r="AW400" s="8"/>
      <c r="AX400" s="7"/>
      <c r="AY400" s="6"/>
      <c r="AZ400" s="8"/>
      <c r="BA400" s="7"/>
      <c r="BB400" s="6"/>
      <c r="BC400" s="8"/>
      <c r="BD400" s="7"/>
      <c r="BE400" s="6"/>
      <c r="BF400" s="8"/>
      <c r="BG400" s="7"/>
      <c r="BH400" s="6"/>
      <c r="BI400" s="8"/>
      <c r="BJ400" s="7"/>
      <c r="BK400" s="6"/>
      <c r="BL400" s="8"/>
      <c r="BM400" s="7"/>
      <c r="BN400" s="6"/>
      <c r="BO400" s="8"/>
      <c r="BP400" s="7"/>
      <c r="BQ400" s="6"/>
      <c r="BR400" s="8"/>
    </row>
    <row r="401">
      <c r="A401" s="6"/>
      <c r="B401" s="6" t="s">
        <v>401</v>
      </c>
      <c r="C401" s="3" t="str">
        <f t="shared" si="1"/>
        <v>_vibrant blue</v>
      </c>
      <c r="D401" s="3" t="str">
        <f t="shared" si="8"/>
        <v>#N/A</v>
      </c>
      <c r="E401" s="3" t="b">
        <f t="shared" si="2"/>
        <v>0</v>
      </c>
      <c r="G401" s="3" t="str">
        <f t="shared" si="3"/>
        <v>#N/A</v>
      </c>
      <c r="H401" s="3" t="b">
        <f t="shared" si="4"/>
        <v>0</v>
      </c>
      <c r="J401" s="3" t="str">
        <f t="shared" si="5"/>
        <v>#N/A</v>
      </c>
      <c r="K401" s="3" t="b">
        <f t="shared" si="6"/>
        <v>0</v>
      </c>
      <c r="M401" s="3" t="str">
        <f t="shared" si="7"/>
        <v>#N/A</v>
      </c>
      <c r="AU401" s="7"/>
      <c r="AV401" s="6"/>
      <c r="AW401" s="8"/>
      <c r="AX401" s="7"/>
      <c r="AY401" s="6"/>
      <c r="AZ401" s="8"/>
      <c r="BA401" s="7"/>
      <c r="BB401" s="6"/>
      <c r="BC401" s="8"/>
      <c r="BD401" s="7"/>
      <c r="BE401" s="6"/>
      <c r="BF401" s="8"/>
      <c r="BG401" s="7"/>
      <c r="BH401" s="6"/>
      <c r="BI401" s="8"/>
      <c r="BJ401" s="7"/>
      <c r="BK401" s="6"/>
      <c r="BL401" s="8"/>
      <c r="BM401" s="7"/>
      <c r="BN401" s="6"/>
      <c r="BO401" s="8"/>
      <c r="BP401" s="7"/>
      <c r="BQ401" s="6"/>
      <c r="BR401" s="8"/>
    </row>
    <row r="402">
      <c r="A402" s="6"/>
      <c r="B402" s="6" t="s">
        <v>402</v>
      </c>
      <c r="C402" s="3" t="str">
        <f t="shared" si="1"/>
        <v>_dim aqua</v>
      </c>
      <c r="D402" s="3" t="str">
        <f t="shared" si="8"/>
        <v>#N/A</v>
      </c>
      <c r="E402" s="3" t="b">
        <f t="shared" si="2"/>
        <v>0</v>
      </c>
      <c r="G402" s="3" t="str">
        <f t="shared" si="3"/>
        <v>#N/A</v>
      </c>
      <c r="H402" s="3" t="b">
        <f t="shared" si="4"/>
        <v>0</v>
      </c>
      <c r="J402" s="3" t="str">
        <f t="shared" si="5"/>
        <v>#N/A</v>
      </c>
      <c r="K402" s="3" t="b">
        <f t="shared" si="6"/>
        <v>0</v>
      </c>
      <c r="M402" s="3" t="str">
        <f t="shared" si="7"/>
        <v>#N/A</v>
      </c>
      <c r="AU402" s="7"/>
      <c r="AV402" s="6"/>
      <c r="AW402" s="8"/>
      <c r="AX402" s="7"/>
      <c r="AY402" s="6"/>
      <c r="AZ402" s="8"/>
      <c r="BA402" s="7"/>
      <c r="BB402" s="6"/>
      <c r="BC402" s="8"/>
      <c r="BD402" s="7"/>
      <c r="BE402" s="6"/>
      <c r="BF402" s="8"/>
      <c r="BG402" s="7"/>
      <c r="BH402" s="6"/>
      <c r="BI402" s="8"/>
      <c r="BJ402" s="7"/>
      <c r="BK402" s="6"/>
      <c r="BL402" s="8"/>
      <c r="BM402" s="7"/>
      <c r="BN402" s="6"/>
      <c r="BO402" s="8"/>
      <c r="BP402" s="7"/>
      <c r="BQ402" s="6"/>
      <c r="BR402" s="8"/>
    </row>
    <row r="403">
      <c r="A403" s="6"/>
      <c r="B403" s="6" t="s">
        <v>403</v>
      </c>
      <c r="C403" s="3" t="str">
        <f t="shared" si="1"/>
        <v>_wavy bronze</v>
      </c>
      <c r="D403" s="3" t="str">
        <f t="shared" si="8"/>
        <v>#N/A</v>
      </c>
      <c r="E403" s="3" t="b">
        <f t="shared" si="2"/>
        <v>0</v>
      </c>
      <c r="G403" s="3" t="str">
        <f t="shared" si="3"/>
        <v>#N/A</v>
      </c>
      <c r="H403" s="3" t="b">
        <f t="shared" si="4"/>
        <v>0</v>
      </c>
      <c r="J403" s="3" t="str">
        <f t="shared" si="5"/>
        <v>#N/A</v>
      </c>
      <c r="K403" s="3" t="b">
        <f t="shared" si="6"/>
        <v>0</v>
      </c>
      <c r="M403" s="3" t="str">
        <f t="shared" si="7"/>
        <v>#N/A</v>
      </c>
      <c r="AU403" s="7"/>
      <c r="AV403" s="6"/>
      <c r="AW403" s="8"/>
      <c r="AX403" s="7"/>
      <c r="AY403" s="6"/>
      <c r="AZ403" s="8"/>
      <c r="BA403" s="7"/>
      <c r="BB403" s="6"/>
      <c r="BC403" s="8"/>
      <c r="BD403" s="7"/>
      <c r="BE403" s="6"/>
      <c r="BF403" s="8"/>
      <c r="BG403" s="7"/>
      <c r="BH403" s="6"/>
      <c r="BI403" s="8"/>
      <c r="BJ403" s="7"/>
      <c r="BK403" s="6"/>
      <c r="BL403" s="8"/>
      <c r="BM403" s="7"/>
      <c r="BN403" s="6"/>
      <c r="BO403" s="8"/>
      <c r="BP403" s="7"/>
      <c r="BQ403" s="6"/>
      <c r="BR403" s="8"/>
    </row>
    <row r="404">
      <c r="A404" s="6"/>
      <c r="B404" s="6" t="s">
        <v>404</v>
      </c>
      <c r="C404" s="3" t="str">
        <f t="shared" si="1"/>
        <v>_muted plum</v>
      </c>
      <c r="D404" s="3" t="str">
        <f t="shared" si="8"/>
        <v>#N/A</v>
      </c>
      <c r="E404" s="3" t="b">
        <f t="shared" si="2"/>
        <v>0</v>
      </c>
      <c r="G404" s="3" t="str">
        <f t="shared" si="3"/>
        <v>#N/A</v>
      </c>
      <c r="H404" s="3" t="b">
        <f t="shared" si="4"/>
        <v>0</v>
      </c>
      <c r="J404" s="3" t="str">
        <f t="shared" si="5"/>
        <v>#N/A</v>
      </c>
      <c r="K404" s="3" t="b">
        <f t="shared" si="6"/>
        <v>0</v>
      </c>
      <c r="M404" s="3" t="str">
        <f t="shared" si="7"/>
        <v>#N/A</v>
      </c>
      <c r="AU404" s="7"/>
      <c r="AV404" s="6"/>
      <c r="AW404" s="8"/>
      <c r="AX404" s="7"/>
      <c r="AY404" s="6"/>
      <c r="AZ404" s="8"/>
      <c r="BA404" s="7"/>
      <c r="BB404" s="6"/>
      <c r="BC404" s="8"/>
      <c r="BD404" s="7"/>
      <c r="BE404" s="6"/>
      <c r="BF404" s="8"/>
      <c r="BG404" s="7"/>
      <c r="BH404" s="6"/>
      <c r="BI404" s="8"/>
      <c r="BJ404" s="7"/>
      <c r="BK404" s="6"/>
      <c r="BL404" s="8"/>
      <c r="BM404" s="7"/>
      <c r="BN404" s="6"/>
      <c r="BO404" s="8"/>
      <c r="BP404" s="7"/>
      <c r="BQ404" s="6"/>
      <c r="BR404" s="8"/>
    </row>
    <row r="405">
      <c r="A405" s="6"/>
      <c r="B405" s="6" t="s">
        <v>405</v>
      </c>
      <c r="C405" s="3" t="str">
        <f t="shared" si="1"/>
        <v>_dull turquoise</v>
      </c>
      <c r="D405" s="3" t="str">
        <f t="shared" si="8"/>
        <v>#N/A</v>
      </c>
      <c r="E405" s="3" t="b">
        <f t="shared" si="2"/>
        <v>0</v>
      </c>
      <c r="G405" s="3" t="str">
        <f t="shared" si="3"/>
        <v>#N/A</v>
      </c>
      <c r="H405" s="3" t="b">
        <f t="shared" si="4"/>
        <v>0</v>
      </c>
      <c r="J405" s="3" t="str">
        <f t="shared" si="5"/>
        <v>#N/A</v>
      </c>
      <c r="K405" s="3" t="b">
        <f t="shared" si="6"/>
        <v>0</v>
      </c>
      <c r="M405" s="3" t="str">
        <f t="shared" si="7"/>
        <v>#N/A</v>
      </c>
      <c r="AU405" s="7"/>
      <c r="AV405" s="6"/>
      <c r="AW405" s="8"/>
      <c r="AX405" s="7"/>
      <c r="AY405" s="6"/>
      <c r="AZ405" s="8"/>
      <c r="BA405" s="7"/>
      <c r="BB405" s="6"/>
      <c r="BC405" s="8"/>
      <c r="BD405" s="7"/>
      <c r="BE405" s="6"/>
      <c r="BF405" s="8"/>
      <c r="BG405" s="7"/>
      <c r="BH405" s="6"/>
      <c r="BI405" s="8"/>
      <c r="BJ405" s="7"/>
      <c r="BK405" s="6"/>
      <c r="BL405" s="8"/>
      <c r="BM405" s="7"/>
      <c r="BN405" s="6"/>
      <c r="BO405" s="8"/>
      <c r="BP405" s="7"/>
      <c r="BQ405" s="6"/>
      <c r="BR405" s="8"/>
    </row>
    <row r="406">
      <c r="A406" s="6"/>
      <c r="B406" s="6" t="s">
        <v>406</v>
      </c>
      <c r="C406" s="3" t="str">
        <f t="shared" si="1"/>
        <v>_plaid blue</v>
      </c>
      <c r="D406" s="3" t="str">
        <f t="shared" si="8"/>
        <v>#N/A</v>
      </c>
      <c r="E406" s="3" t="b">
        <f t="shared" si="2"/>
        <v>0</v>
      </c>
      <c r="G406" s="3" t="str">
        <f t="shared" si="3"/>
        <v>#N/A</v>
      </c>
      <c r="H406" s="3" t="b">
        <f t="shared" si="4"/>
        <v>0</v>
      </c>
      <c r="J406" s="3" t="str">
        <f t="shared" si="5"/>
        <v>#N/A</v>
      </c>
      <c r="K406" s="3" t="b">
        <f t="shared" si="6"/>
        <v>0</v>
      </c>
      <c r="M406" s="3" t="str">
        <f t="shared" si="7"/>
        <v>#N/A</v>
      </c>
      <c r="AU406" s="7"/>
      <c r="AV406" s="6"/>
      <c r="AW406" s="8"/>
      <c r="AX406" s="7"/>
      <c r="AY406" s="6"/>
      <c r="AZ406" s="8"/>
      <c r="BA406" s="7"/>
      <c r="BB406" s="6"/>
      <c r="BC406" s="8"/>
      <c r="BD406" s="7"/>
      <c r="BE406" s="6"/>
      <c r="BF406" s="8"/>
      <c r="BG406" s="7"/>
      <c r="BH406" s="6"/>
      <c r="BI406" s="8"/>
      <c r="BJ406" s="7"/>
      <c r="BK406" s="6"/>
      <c r="BL406" s="8"/>
      <c r="BM406" s="7"/>
      <c r="BN406" s="6"/>
      <c r="BO406" s="8"/>
      <c r="BP406" s="7"/>
      <c r="BQ406" s="6"/>
      <c r="BR406" s="8"/>
    </row>
    <row r="407">
      <c r="A407" s="6"/>
      <c r="B407" s="6" t="s">
        <v>407</v>
      </c>
      <c r="C407" s="3" t="str">
        <f t="shared" si="1"/>
        <v>_dotted tan</v>
      </c>
      <c r="D407" s="3" t="str">
        <f t="shared" si="8"/>
        <v>#N/A</v>
      </c>
      <c r="E407" s="3" t="b">
        <f t="shared" si="2"/>
        <v>0</v>
      </c>
      <c r="G407" s="3" t="str">
        <f t="shared" si="3"/>
        <v>#N/A</v>
      </c>
      <c r="H407" s="3" t="b">
        <f t="shared" si="4"/>
        <v>0</v>
      </c>
      <c r="J407" s="3" t="str">
        <f t="shared" si="5"/>
        <v>#N/A</v>
      </c>
      <c r="K407" s="3" t="b">
        <f t="shared" si="6"/>
        <v>0</v>
      </c>
      <c r="M407" s="3" t="str">
        <f t="shared" si="7"/>
        <v>#N/A</v>
      </c>
      <c r="AU407" s="7"/>
      <c r="AV407" s="6"/>
      <c r="AW407" s="8"/>
      <c r="AX407" s="7"/>
      <c r="AY407" s="6"/>
      <c r="AZ407" s="8"/>
      <c r="BA407" s="7"/>
      <c r="BB407" s="6"/>
      <c r="BC407" s="8"/>
      <c r="BD407" s="7"/>
      <c r="BE407" s="6"/>
      <c r="BF407" s="8"/>
      <c r="BG407" s="7"/>
      <c r="BH407" s="6"/>
      <c r="BI407" s="8"/>
      <c r="BJ407" s="7"/>
      <c r="BK407" s="6"/>
      <c r="BL407" s="8"/>
      <c r="BM407" s="7"/>
      <c r="BN407" s="6"/>
      <c r="BO407" s="8"/>
      <c r="BP407" s="7"/>
      <c r="BQ407" s="6"/>
      <c r="BR407" s="8"/>
    </row>
    <row r="408">
      <c r="A408" s="6"/>
      <c r="B408" s="6" t="s">
        <v>408</v>
      </c>
      <c r="C408" s="3" t="str">
        <f t="shared" si="1"/>
        <v>_plaid black</v>
      </c>
      <c r="D408" s="3" t="str">
        <f t="shared" si="8"/>
        <v>#N/A</v>
      </c>
      <c r="E408" s="3" t="b">
        <f t="shared" si="2"/>
        <v>0</v>
      </c>
      <c r="G408" s="3" t="str">
        <f t="shared" si="3"/>
        <v>#N/A</v>
      </c>
      <c r="H408" s="3" t="b">
        <f t="shared" si="4"/>
        <v>0</v>
      </c>
      <c r="J408" s="3" t="str">
        <f t="shared" si="5"/>
        <v>#N/A</v>
      </c>
      <c r="K408" s="3" t="b">
        <f t="shared" si="6"/>
        <v>0</v>
      </c>
      <c r="M408" s="3" t="str">
        <f t="shared" si="7"/>
        <v>#N/A</v>
      </c>
      <c r="AU408" s="7"/>
      <c r="AV408" s="6"/>
      <c r="AW408" s="8"/>
      <c r="AX408" s="7"/>
      <c r="AY408" s="6"/>
      <c r="AZ408" s="8"/>
      <c r="BA408" s="7"/>
      <c r="BB408" s="6"/>
      <c r="BC408" s="8"/>
      <c r="BD408" s="7"/>
      <c r="BE408" s="6"/>
      <c r="BF408" s="8"/>
      <c r="BG408" s="7"/>
      <c r="BH408" s="6"/>
      <c r="BI408" s="8"/>
      <c r="BJ408" s="7"/>
      <c r="BK408" s="6"/>
      <c r="BL408" s="8"/>
      <c r="BM408" s="7"/>
      <c r="BN408" s="6"/>
      <c r="BO408" s="8"/>
      <c r="BP408" s="7"/>
      <c r="BQ408" s="6"/>
      <c r="BR408" s="8"/>
    </row>
    <row r="409">
      <c r="A409" s="6"/>
      <c r="B409" s="6" t="s">
        <v>409</v>
      </c>
      <c r="C409" s="3" t="str">
        <f t="shared" si="1"/>
        <v>_light cyan</v>
      </c>
      <c r="D409" s="3" t="str">
        <f t="shared" si="8"/>
        <v>#N/A</v>
      </c>
      <c r="E409" s="3" t="b">
        <f t="shared" si="2"/>
        <v>0</v>
      </c>
      <c r="G409" s="3" t="str">
        <f t="shared" si="3"/>
        <v>#N/A</v>
      </c>
      <c r="H409" s="3" t="b">
        <f t="shared" si="4"/>
        <v>0</v>
      </c>
      <c r="J409" s="3" t="str">
        <f t="shared" si="5"/>
        <v>#N/A</v>
      </c>
      <c r="K409" s="3" t="b">
        <f t="shared" si="6"/>
        <v>0</v>
      </c>
      <c r="M409" s="3" t="str">
        <f t="shared" si="7"/>
        <v>#N/A</v>
      </c>
      <c r="AU409" s="7"/>
      <c r="AV409" s="6"/>
      <c r="AW409" s="8"/>
      <c r="AX409" s="7"/>
      <c r="AY409" s="6"/>
      <c r="AZ409" s="8"/>
      <c r="BA409" s="7"/>
      <c r="BB409" s="6"/>
      <c r="BC409" s="8"/>
      <c r="BD409" s="7"/>
      <c r="BE409" s="6"/>
      <c r="BF409" s="8"/>
      <c r="BG409" s="7"/>
      <c r="BH409" s="6"/>
      <c r="BI409" s="8"/>
      <c r="BJ409" s="7"/>
      <c r="BK409" s="6"/>
      <c r="BL409" s="8"/>
      <c r="BM409" s="7"/>
      <c r="BN409" s="6"/>
      <c r="BO409" s="8"/>
      <c r="BP409" s="7"/>
      <c r="BQ409" s="6"/>
      <c r="BR409" s="8"/>
    </row>
    <row r="410">
      <c r="A410" s="6"/>
      <c r="B410" s="6" t="s">
        <v>410</v>
      </c>
      <c r="C410" s="3" t="str">
        <f t="shared" si="1"/>
        <v>_dull fuchsia</v>
      </c>
      <c r="D410" s="3" t="str">
        <f t="shared" si="8"/>
        <v>#N/A</v>
      </c>
      <c r="E410" s="3" t="b">
        <f t="shared" si="2"/>
        <v>0</v>
      </c>
      <c r="G410" s="3" t="str">
        <f t="shared" si="3"/>
        <v>#N/A</v>
      </c>
      <c r="H410" s="3" t="b">
        <f t="shared" si="4"/>
        <v>0</v>
      </c>
      <c r="J410" s="3" t="str">
        <f t="shared" si="5"/>
        <v>#N/A</v>
      </c>
      <c r="K410" s="3" t="b">
        <f t="shared" si="6"/>
        <v>0</v>
      </c>
      <c r="M410" s="3" t="str">
        <f t="shared" si="7"/>
        <v>#N/A</v>
      </c>
      <c r="AU410" s="7"/>
      <c r="AV410" s="6"/>
      <c r="AW410" s="8"/>
      <c r="AX410" s="7"/>
      <c r="AY410" s="6"/>
      <c r="AZ410" s="8"/>
      <c r="BA410" s="7"/>
      <c r="BB410" s="6"/>
      <c r="BC410" s="8"/>
      <c r="BD410" s="7"/>
      <c r="BE410" s="6"/>
      <c r="BF410" s="8"/>
      <c r="BG410" s="7"/>
      <c r="BH410" s="6"/>
      <c r="BI410" s="8"/>
      <c r="BJ410" s="7"/>
      <c r="BK410" s="6"/>
      <c r="BL410" s="8"/>
      <c r="BM410" s="7"/>
      <c r="BN410" s="6"/>
      <c r="BO410" s="8"/>
      <c r="BP410" s="7"/>
      <c r="BQ410" s="6"/>
      <c r="BR410" s="8"/>
    </row>
    <row r="411">
      <c r="A411" s="6"/>
      <c r="B411" s="6" t="s">
        <v>411</v>
      </c>
      <c r="C411" s="3" t="str">
        <f t="shared" si="1"/>
        <v>_dark turquoise</v>
      </c>
      <c r="D411" s="3" t="str">
        <f t="shared" si="8"/>
        <v>#N/A</v>
      </c>
      <c r="E411" s="3" t="b">
        <f t="shared" si="2"/>
        <v>0</v>
      </c>
      <c r="G411" s="3" t="str">
        <f t="shared" si="3"/>
        <v>#N/A</v>
      </c>
      <c r="H411" s="3" t="b">
        <f t="shared" si="4"/>
        <v>0</v>
      </c>
      <c r="J411" s="3" t="str">
        <f t="shared" si="5"/>
        <v>#N/A</v>
      </c>
      <c r="K411" s="3" t="b">
        <f t="shared" si="6"/>
        <v>0</v>
      </c>
      <c r="M411" s="3" t="str">
        <f t="shared" si="7"/>
        <v>#N/A</v>
      </c>
      <c r="AU411" s="7"/>
      <c r="AV411" s="6"/>
      <c r="AW411" s="8"/>
      <c r="AX411" s="7"/>
      <c r="AY411" s="6"/>
      <c r="AZ411" s="8"/>
      <c r="BA411" s="7"/>
      <c r="BB411" s="6"/>
      <c r="BC411" s="8"/>
      <c r="BD411" s="7"/>
      <c r="BE411" s="6"/>
      <c r="BF411" s="8"/>
      <c r="BG411" s="7"/>
      <c r="BH411" s="6"/>
      <c r="BI411" s="8"/>
      <c r="BJ411" s="7"/>
      <c r="BK411" s="6"/>
      <c r="BL411" s="8"/>
      <c r="BM411" s="7"/>
      <c r="BN411" s="6"/>
      <c r="BO411" s="8"/>
      <c r="BP411" s="7"/>
      <c r="BQ411" s="6"/>
      <c r="BR411" s="8"/>
    </row>
    <row r="412">
      <c r="A412" s="6"/>
      <c r="B412" s="6" t="s">
        <v>412</v>
      </c>
      <c r="C412" s="3" t="str">
        <f t="shared" si="1"/>
        <v>_vibrant silver</v>
      </c>
      <c r="D412" s="3" t="str">
        <f t="shared" si="8"/>
        <v>#N/A</v>
      </c>
      <c r="E412" s="3" t="b">
        <f t="shared" si="2"/>
        <v>0</v>
      </c>
      <c r="G412" s="3" t="str">
        <f t="shared" si="3"/>
        <v>#N/A</v>
      </c>
      <c r="H412" s="3" t="b">
        <f t="shared" si="4"/>
        <v>0</v>
      </c>
      <c r="J412" s="3" t="str">
        <f t="shared" si="5"/>
        <v>#N/A</v>
      </c>
      <c r="K412" s="3" t="b">
        <f t="shared" si="6"/>
        <v>0</v>
      </c>
      <c r="M412" s="3" t="str">
        <f t="shared" si="7"/>
        <v>#N/A</v>
      </c>
      <c r="AU412" s="7"/>
      <c r="AV412" s="6"/>
      <c r="AW412" s="8"/>
      <c r="AX412" s="7"/>
      <c r="AY412" s="6"/>
      <c r="AZ412" s="8"/>
      <c r="BA412" s="7"/>
      <c r="BB412" s="6"/>
      <c r="BC412" s="8"/>
      <c r="BD412" s="7"/>
      <c r="BE412" s="6"/>
      <c r="BF412" s="8"/>
      <c r="BG412" s="7"/>
      <c r="BH412" s="6"/>
      <c r="BI412" s="8"/>
      <c r="BJ412" s="7"/>
      <c r="BK412" s="6"/>
      <c r="BL412" s="8"/>
      <c r="BM412" s="7"/>
      <c r="BN412" s="6"/>
      <c r="BO412" s="8"/>
      <c r="BP412" s="7"/>
      <c r="BQ412" s="6"/>
      <c r="BR412" s="8"/>
    </row>
    <row r="413">
      <c r="A413" s="6"/>
      <c r="B413" s="6" t="s">
        <v>413</v>
      </c>
      <c r="C413" s="3" t="str">
        <f t="shared" si="1"/>
        <v>_dotted tomato</v>
      </c>
      <c r="D413" s="3" t="str">
        <f t="shared" si="8"/>
        <v>#N/A</v>
      </c>
      <c r="E413" s="3" t="b">
        <f t="shared" si="2"/>
        <v>0</v>
      </c>
      <c r="G413" s="3" t="str">
        <f t="shared" si="3"/>
        <v>#N/A</v>
      </c>
      <c r="H413" s="3" t="b">
        <f t="shared" si="4"/>
        <v>0</v>
      </c>
      <c r="J413" s="3" t="str">
        <f t="shared" si="5"/>
        <v>#N/A</v>
      </c>
      <c r="K413" s="3" t="b">
        <f t="shared" si="6"/>
        <v>0</v>
      </c>
      <c r="M413" s="3" t="str">
        <f t="shared" si="7"/>
        <v>#N/A</v>
      </c>
      <c r="AU413" s="7"/>
      <c r="AV413" s="6"/>
      <c r="AW413" s="8"/>
      <c r="AX413" s="7"/>
      <c r="AY413" s="6"/>
      <c r="AZ413" s="8"/>
      <c r="BA413" s="7"/>
      <c r="BB413" s="6"/>
      <c r="BC413" s="8"/>
      <c r="BD413" s="7"/>
      <c r="BE413" s="6"/>
      <c r="BF413" s="8"/>
      <c r="BG413" s="7"/>
      <c r="BH413" s="6"/>
      <c r="BI413" s="8"/>
      <c r="BJ413" s="7"/>
      <c r="BK413" s="6"/>
      <c r="BL413" s="8"/>
      <c r="BM413" s="7"/>
      <c r="BN413" s="6"/>
      <c r="BO413" s="8"/>
      <c r="BP413" s="7"/>
      <c r="BQ413" s="6"/>
      <c r="BR413" s="8"/>
    </row>
    <row r="414">
      <c r="A414" s="6"/>
      <c r="B414" s="6" t="s">
        <v>414</v>
      </c>
      <c r="C414" s="3" t="str">
        <f t="shared" si="1"/>
        <v>_vibrant white</v>
      </c>
      <c r="D414" s="3" t="str">
        <f t="shared" si="8"/>
        <v>#N/A</v>
      </c>
      <c r="E414" s="3" t="b">
        <f t="shared" si="2"/>
        <v>0</v>
      </c>
      <c r="G414" s="3" t="str">
        <f t="shared" si="3"/>
        <v>#N/A</v>
      </c>
      <c r="H414" s="3" t="b">
        <f t="shared" si="4"/>
        <v>0</v>
      </c>
      <c r="J414" s="3" t="str">
        <f t="shared" si="5"/>
        <v>#N/A</v>
      </c>
      <c r="K414" s="3" t="b">
        <f t="shared" si="6"/>
        <v>0</v>
      </c>
      <c r="M414" s="3" t="str">
        <f t="shared" si="7"/>
        <v>#N/A</v>
      </c>
      <c r="AU414" s="7"/>
      <c r="AV414" s="6"/>
      <c r="AW414" s="8"/>
      <c r="AX414" s="7"/>
      <c r="AY414" s="6"/>
      <c r="AZ414" s="8"/>
      <c r="BA414" s="7"/>
      <c r="BB414" s="6"/>
      <c r="BC414" s="8"/>
      <c r="BD414" s="7"/>
      <c r="BE414" s="6"/>
      <c r="BF414" s="8"/>
      <c r="BG414" s="7"/>
      <c r="BH414" s="6"/>
      <c r="BI414" s="8"/>
      <c r="BJ414" s="7"/>
      <c r="BK414" s="6"/>
      <c r="BL414" s="8"/>
      <c r="BM414" s="7"/>
      <c r="BN414" s="6"/>
      <c r="BO414" s="8"/>
      <c r="BP414" s="7"/>
      <c r="BQ414" s="6"/>
      <c r="BR414" s="8"/>
    </row>
    <row r="415">
      <c r="A415" s="6"/>
      <c r="B415" s="6" t="s">
        <v>415</v>
      </c>
      <c r="C415" s="3" t="str">
        <f t="shared" si="1"/>
        <v>_shiny fuchsia</v>
      </c>
      <c r="D415" s="3" t="str">
        <f t="shared" si="8"/>
        <v>#N/A</v>
      </c>
      <c r="E415" s="3" t="b">
        <f t="shared" si="2"/>
        <v>0</v>
      </c>
      <c r="G415" s="3" t="str">
        <f t="shared" si="3"/>
        <v>#N/A</v>
      </c>
      <c r="H415" s="3" t="b">
        <f t="shared" si="4"/>
        <v>0</v>
      </c>
      <c r="J415" s="3" t="str">
        <f t="shared" si="5"/>
        <v>#N/A</v>
      </c>
      <c r="K415" s="3" t="b">
        <f t="shared" si="6"/>
        <v>0</v>
      </c>
      <c r="M415" s="3" t="str">
        <f t="shared" si="7"/>
        <v>#N/A</v>
      </c>
      <c r="AU415" s="7"/>
      <c r="AV415" s="6"/>
      <c r="AW415" s="8"/>
      <c r="AX415" s="7"/>
      <c r="AY415" s="6"/>
      <c r="AZ415" s="8"/>
      <c r="BA415" s="7"/>
      <c r="BB415" s="6"/>
      <c r="BC415" s="8"/>
      <c r="BD415" s="7"/>
      <c r="BE415" s="6"/>
      <c r="BF415" s="8"/>
      <c r="BG415" s="7"/>
      <c r="BH415" s="6"/>
      <c r="BI415" s="8"/>
      <c r="BJ415" s="7"/>
      <c r="BK415" s="6"/>
      <c r="BL415" s="8"/>
      <c r="BM415" s="7"/>
      <c r="BN415" s="6"/>
      <c r="BO415" s="8"/>
      <c r="BP415" s="7"/>
      <c r="BQ415" s="6"/>
      <c r="BR415" s="8"/>
    </row>
    <row r="416">
      <c r="A416" s="6"/>
      <c r="B416" s="6" t="s">
        <v>416</v>
      </c>
      <c r="C416" s="3" t="str">
        <f t="shared" si="1"/>
        <v>_wavy fuchsia</v>
      </c>
      <c r="D416" s="3" t="str">
        <f t="shared" si="8"/>
        <v>#N/A</v>
      </c>
      <c r="E416" s="3" t="b">
        <f t="shared" si="2"/>
        <v>0</v>
      </c>
      <c r="G416" s="3" t="str">
        <f t="shared" si="3"/>
        <v>#N/A</v>
      </c>
      <c r="H416" s="3" t="b">
        <f t="shared" si="4"/>
        <v>0</v>
      </c>
      <c r="J416" s="3" t="str">
        <f t="shared" si="5"/>
        <v>#N/A</v>
      </c>
      <c r="K416" s="3" t="b">
        <f t="shared" si="6"/>
        <v>0</v>
      </c>
      <c r="M416" s="3" t="str">
        <f t="shared" si="7"/>
        <v>#N/A</v>
      </c>
      <c r="AU416" s="7"/>
      <c r="AV416" s="6"/>
      <c r="AW416" s="8"/>
      <c r="AX416" s="7"/>
      <c r="AY416" s="6"/>
      <c r="AZ416" s="8"/>
      <c r="BA416" s="7"/>
      <c r="BB416" s="6"/>
      <c r="BC416" s="8"/>
      <c r="BD416" s="7"/>
      <c r="BE416" s="6"/>
      <c r="BF416" s="8"/>
      <c r="BG416" s="7"/>
      <c r="BH416" s="6"/>
      <c r="BI416" s="8"/>
      <c r="BJ416" s="7"/>
      <c r="BK416" s="6"/>
      <c r="BL416" s="8"/>
      <c r="BM416" s="7"/>
      <c r="BN416" s="6"/>
      <c r="BO416" s="8"/>
      <c r="BP416" s="7"/>
      <c r="BQ416" s="6"/>
      <c r="BR416" s="8"/>
    </row>
    <row r="417">
      <c r="A417" s="6"/>
      <c r="B417" s="6" t="s">
        <v>417</v>
      </c>
      <c r="C417" s="3" t="str">
        <f t="shared" si="1"/>
        <v>_dotted gray</v>
      </c>
      <c r="D417" s="3" t="str">
        <f t="shared" si="8"/>
        <v>#N/A</v>
      </c>
      <c r="E417" s="3" t="b">
        <f t="shared" si="2"/>
        <v>0</v>
      </c>
      <c r="G417" s="3" t="str">
        <f t="shared" si="3"/>
        <v>#N/A</v>
      </c>
      <c r="H417" s="3" t="b">
        <f t="shared" si="4"/>
        <v>0</v>
      </c>
      <c r="J417" s="3" t="str">
        <f t="shared" si="5"/>
        <v>#N/A</v>
      </c>
      <c r="K417" s="3" t="b">
        <f t="shared" si="6"/>
        <v>0</v>
      </c>
      <c r="M417" s="3" t="str">
        <f t="shared" si="7"/>
        <v>#N/A</v>
      </c>
      <c r="AU417" s="7"/>
      <c r="AV417" s="6"/>
      <c r="AW417" s="8"/>
      <c r="AX417" s="7"/>
      <c r="AY417" s="6"/>
      <c r="AZ417" s="8"/>
      <c r="BA417" s="7"/>
      <c r="BB417" s="6"/>
      <c r="BC417" s="8"/>
      <c r="BD417" s="7"/>
      <c r="BE417" s="6"/>
      <c r="BF417" s="8"/>
      <c r="BG417" s="7"/>
      <c r="BH417" s="6"/>
      <c r="BI417" s="8"/>
      <c r="BJ417" s="7"/>
      <c r="BK417" s="6"/>
      <c r="BL417" s="8"/>
      <c r="BM417" s="7"/>
      <c r="BN417" s="6"/>
      <c r="BO417" s="8"/>
      <c r="BP417" s="7"/>
      <c r="BQ417" s="6"/>
      <c r="BR417" s="8"/>
    </row>
    <row r="418">
      <c r="A418" s="6"/>
      <c r="B418" s="6" t="s">
        <v>418</v>
      </c>
      <c r="C418" s="3" t="str">
        <f t="shared" si="1"/>
        <v>_bright tomato</v>
      </c>
      <c r="D418" s="3" t="str">
        <f t="shared" si="8"/>
        <v>#N/A</v>
      </c>
      <c r="E418" s="3" t="b">
        <f t="shared" si="2"/>
        <v>0</v>
      </c>
      <c r="G418" s="3" t="str">
        <f t="shared" si="3"/>
        <v>#N/A</v>
      </c>
      <c r="H418" s="3" t="b">
        <f t="shared" si="4"/>
        <v>0</v>
      </c>
      <c r="J418" s="3" t="str">
        <f t="shared" si="5"/>
        <v>#N/A</v>
      </c>
      <c r="K418" s="3" t="b">
        <f t="shared" si="6"/>
        <v>0</v>
      </c>
      <c r="M418" s="3" t="str">
        <f t="shared" si="7"/>
        <v>#N/A</v>
      </c>
      <c r="AU418" s="7"/>
      <c r="AV418" s="6"/>
      <c r="AW418" s="8"/>
      <c r="AX418" s="7"/>
      <c r="AY418" s="6"/>
      <c r="AZ418" s="8"/>
      <c r="BA418" s="7"/>
      <c r="BB418" s="6"/>
      <c r="BC418" s="8"/>
      <c r="BD418" s="7"/>
      <c r="BE418" s="6"/>
      <c r="BF418" s="8"/>
      <c r="BG418" s="7"/>
      <c r="BH418" s="6"/>
      <c r="BI418" s="8"/>
      <c r="BJ418" s="7"/>
      <c r="BK418" s="6"/>
      <c r="BL418" s="8"/>
      <c r="BM418" s="7"/>
      <c r="BN418" s="6"/>
      <c r="BO418" s="8"/>
      <c r="BP418" s="7"/>
      <c r="BQ418" s="6"/>
      <c r="BR418" s="8"/>
    </row>
    <row r="419">
      <c r="A419" s="6"/>
      <c r="B419" s="6" t="s">
        <v>419</v>
      </c>
      <c r="C419" s="3" t="str">
        <f t="shared" si="1"/>
        <v>_clear chartreuse</v>
      </c>
      <c r="D419" s="3" t="str">
        <f t="shared" si="8"/>
        <v>#N/A</v>
      </c>
      <c r="E419" s="3" t="b">
        <f t="shared" si="2"/>
        <v>0</v>
      </c>
      <c r="G419" s="3" t="str">
        <f t="shared" si="3"/>
        <v>#N/A</v>
      </c>
      <c r="H419" s="3" t="b">
        <f t="shared" si="4"/>
        <v>0</v>
      </c>
      <c r="J419" s="3" t="str">
        <f t="shared" si="5"/>
        <v>#N/A</v>
      </c>
      <c r="K419" s="3" t="b">
        <f t="shared" si="6"/>
        <v>0</v>
      </c>
      <c r="M419" s="3" t="str">
        <f t="shared" si="7"/>
        <v>#N/A</v>
      </c>
      <c r="AU419" s="7"/>
      <c r="AV419" s="6"/>
      <c r="AW419" s="8"/>
      <c r="AX419" s="7"/>
      <c r="AY419" s="6"/>
      <c r="AZ419" s="8"/>
      <c r="BA419" s="7"/>
      <c r="BB419" s="6"/>
      <c r="BC419" s="8"/>
      <c r="BD419" s="7"/>
      <c r="BE419" s="6"/>
      <c r="BF419" s="8"/>
      <c r="BG419" s="7"/>
      <c r="BH419" s="6"/>
      <c r="BI419" s="8"/>
      <c r="BJ419" s="7"/>
      <c r="BK419" s="6"/>
      <c r="BL419" s="8"/>
      <c r="BM419" s="7"/>
      <c r="BN419" s="6"/>
      <c r="BO419" s="8"/>
      <c r="BP419" s="7"/>
      <c r="BQ419" s="6"/>
      <c r="BR419" s="8"/>
    </row>
    <row r="420">
      <c r="A420" s="6"/>
      <c r="B420" s="6" t="s">
        <v>420</v>
      </c>
      <c r="C420" s="3" t="str">
        <f t="shared" si="1"/>
        <v>_dim teal</v>
      </c>
      <c r="D420" s="3" t="str">
        <f t="shared" si="8"/>
        <v>#N/A</v>
      </c>
      <c r="E420" s="3" t="b">
        <f t="shared" si="2"/>
        <v>0</v>
      </c>
      <c r="G420" s="3" t="str">
        <f t="shared" si="3"/>
        <v>#N/A</v>
      </c>
      <c r="H420" s="3" t="b">
        <f t="shared" si="4"/>
        <v>0</v>
      </c>
      <c r="J420" s="3" t="str">
        <f t="shared" si="5"/>
        <v>#N/A</v>
      </c>
      <c r="K420" s="3" t="b">
        <f t="shared" si="6"/>
        <v>0</v>
      </c>
      <c r="M420" s="3" t="str">
        <f t="shared" si="7"/>
        <v>#N/A</v>
      </c>
      <c r="AU420" s="7"/>
      <c r="AV420" s="6"/>
      <c r="AW420" s="8"/>
      <c r="AX420" s="7"/>
      <c r="AY420" s="6"/>
      <c r="AZ420" s="8"/>
      <c r="BA420" s="7"/>
      <c r="BB420" s="6"/>
      <c r="BC420" s="8"/>
      <c r="BD420" s="7"/>
      <c r="BE420" s="6"/>
      <c r="BF420" s="8"/>
      <c r="BG420" s="7"/>
      <c r="BH420" s="6"/>
      <c r="BI420" s="8"/>
      <c r="BJ420" s="7"/>
      <c r="BK420" s="6"/>
      <c r="BL420" s="8"/>
      <c r="BM420" s="7"/>
      <c r="BN420" s="6"/>
      <c r="BO420" s="8"/>
      <c r="BP420" s="7"/>
      <c r="BQ420" s="6"/>
      <c r="BR420" s="8"/>
    </row>
    <row r="421">
      <c r="A421" s="6"/>
      <c r="B421" s="6" t="s">
        <v>421</v>
      </c>
      <c r="C421" s="3" t="str">
        <f t="shared" si="1"/>
        <v>_dotted yellow</v>
      </c>
      <c r="D421" s="3" t="str">
        <f t="shared" si="8"/>
        <v>#N/A</v>
      </c>
      <c r="E421" s="3" t="b">
        <f t="shared" si="2"/>
        <v>0</v>
      </c>
      <c r="G421" s="3" t="str">
        <f t="shared" si="3"/>
        <v>#N/A</v>
      </c>
      <c r="H421" s="3" t="b">
        <f t="shared" si="4"/>
        <v>0</v>
      </c>
      <c r="J421" s="3" t="str">
        <f t="shared" si="5"/>
        <v>#N/A</v>
      </c>
      <c r="K421" s="3" t="b">
        <f t="shared" si="6"/>
        <v>0</v>
      </c>
      <c r="M421" s="3" t="str">
        <f t="shared" si="7"/>
        <v>#N/A</v>
      </c>
      <c r="AU421" s="7"/>
      <c r="AV421" s="6"/>
      <c r="AW421" s="8"/>
      <c r="AX421" s="7"/>
      <c r="AY421" s="6"/>
      <c r="AZ421" s="8"/>
      <c r="BA421" s="7"/>
      <c r="BB421" s="6"/>
      <c r="BC421" s="8"/>
      <c r="BD421" s="7"/>
      <c r="BE421" s="6"/>
      <c r="BF421" s="8"/>
      <c r="BG421" s="7"/>
      <c r="BH421" s="6"/>
      <c r="BI421" s="8"/>
      <c r="BJ421" s="7"/>
      <c r="BK421" s="6"/>
      <c r="BL421" s="8"/>
      <c r="BM421" s="7"/>
      <c r="BN421" s="6"/>
      <c r="BO421" s="8"/>
      <c r="BP421" s="7"/>
      <c r="BQ421" s="6"/>
      <c r="BR421" s="8"/>
    </row>
    <row r="422">
      <c r="A422" s="6"/>
      <c r="B422" s="6" t="s">
        <v>422</v>
      </c>
      <c r="C422" s="3" t="str">
        <f t="shared" si="1"/>
        <v>_dark indigo</v>
      </c>
      <c r="D422" s="3" t="str">
        <f t="shared" si="8"/>
        <v>#N/A</v>
      </c>
      <c r="E422" s="3" t="b">
        <f t="shared" si="2"/>
        <v>0</v>
      </c>
      <c r="G422" s="3" t="str">
        <f t="shared" si="3"/>
        <v>#N/A</v>
      </c>
      <c r="H422" s="3" t="b">
        <f t="shared" si="4"/>
        <v>0</v>
      </c>
      <c r="J422" s="3" t="str">
        <f t="shared" si="5"/>
        <v>#N/A</v>
      </c>
      <c r="K422" s="3" t="b">
        <f t="shared" si="6"/>
        <v>0</v>
      </c>
      <c r="M422" s="3" t="str">
        <f t="shared" si="7"/>
        <v>#N/A</v>
      </c>
      <c r="AU422" s="7"/>
      <c r="AV422" s="6"/>
      <c r="AW422" s="8"/>
      <c r="AX422" s="7"/>
      <c r="AY422" s="6"/>
      <c r="AZ422" s="8"/>
      <c r="BA422" s="7"/>
      <c r="BB422" s="6"/>
      <c r="BC422" s="8"/>
      <c r="BD422" s="7"/>
      <c r="BE422" s="6"/>
      <c r="BF422" s="8"/>
      <c r="BG422" s="7"/>
      <c r="BH422" s="6"/>
      <c r="BI422" s="8"/>
      <c r="BJ422" s="7"/>
      <c r="BK422" s="6"/>
      <c r="BL422" s="8"/>
      <c r="BM422" s="7"/>
      <c r="BN422" s="6"/>
      <c r="BO422" s="8"/>
      <c r="BP422" s="7"/>
      <c r="BQ422" s="6"/>
      <c r="BR422" s="8"/>
    </row>
    <row r="423">
      <c r="A423" s="6"/>
      <c r="B423" s="6" t="s">
        <v>423</v>
      </c>
      <c r="C423" s="3" t="str">
        <f t="shared" si="1"/>
        <v>_wavy black</v>
      </c>
      <c r="D423" s="3" t="str">
        <f t="shared" si="8"/>
        <v>#N/A</v>
      </c>
      <c r="E423" s="3" t="b">
        <f t="shared" si="2"/>
        <v>0</v>
      </c>
      <c r="G423" s="3" t="str">
        <f t="shared" si="3"/>
        <v>#N/A</v>
      </c>
      <c r="H423" s="3" t="b">
        <f t="shared" si="4"/>
        <v>0</v>
      </c>
      <c r="J423" s="3" t="str">
        <f t="shared" si="5"/>
        <v>#N/A</v>
      </c>
      <c r="K423" s="3" t="b">
        <f t="shared" si="6"/>
        <v>0</v>
      </c>
      <c r="M423" s="3" t="str">
        <f t="shared" si="7"/>
        <v>#N/A</v>
      </c>
      <c r="AU423" s="7"/>
      <c r="AV423" s="6"/>
      <c r="AW423" s="8"/>
      <c r="AX423" s="7"/>
      <c r="AY423" s="6"/>
      <c r="AZ423" s="8"/>
      <c r="BA423" s="7"/>
      <c r="BB423" s="6"/>
      <c r="BC423" s="8"/>
      <c r="BD423" s="7"/>
      <c r="BE423" s="6"/>
      <c r="BF423" s="8"/>
      <c r="BG423" s="7"/>
      <c r="BH423" s="6"/>
      <c r="BI423" s="8"/>
      <c r="BJ423" s="7"/>
      <c r="BK423" s="6"/>
      <c r="BL423" s="8"/>
      <c r="BM423" s="7"/>
      <c r="BN423" s="6"/>
      <c r="BO423" s="8"/>
      <c r="BP423" s="7"/>
      <c r="BQ423" s="6"/>
      <c r="BR423" s="8"/>
    </row>
    <row r="424">
      <c r="A424" s="6"/>
      <c r="B424" s="6" t="s">
        <v>424</v>
      </c>
      <c r="C424" s="3" t="str">
        <f t="shared" si="1"/>
        <v>_striped green</v>
      </c>
      <c r="D424" s="3" t="str">
        <f t="shared" si="8"/>
        <v>#N/A</v>
      </c>
      <c r="E424" s="3" t="b">
        <f t="shared" si="2"/>
        <v>0</v>
      </c>
      <c r="G424" s="3" t="str">
        <f t="shared" si="3"/>
        <v>#N/A</v>
      </c>
      <c r="H424" s="3" t="b">
        <f t="shared" si="4"/>
        <v>0</v>
      </c>
      <c r="J424" s="3" t="str">
        <f t="shared" si="5"/>
        <v>#N/A</v>
      </c>
      <c r="K424" s="3" t="b">
        <f t="shared" si="6"/>
        <v>0</v>
      </c>
      <c r="M424" s="3" t="str">
        <f t="shared" si="7"/>
        <v>#N/A</v>
      </c>
      <c r="AU424" s="7"/>
      <c r="AV424" s="6"/>
      <c r="AW424" s="8"/>
      <c r="AX424" s="7"/>
      <c r="AY424" s="6"/>
      <c r="AZ424" s="8"/>
      <c r="BA424" s="7"/>
      <c r="BB424" s="6"/>
      <c r="BC424" s="8"/>
      <c r="BD424" s="7"/>
      <c r="BE424" s="6"/>
      <c r="BF424" s="8"/>
      <c r="BG424" s="7"/>
      <c r="BH424" s="6"/>
      <c r="BI424" s="8"/>
      <c r="BJ424" s="7"/>
      <c r="BK424" s="6"/>
      <c r="BL424" s="8"/>
      <c r="BM424" s="7"/>
      <c r="BN424" s="6"/>
      <c r="BO424" s="8"/>
      <c r="BP424" s="7"/>
      <c r="BQ424" s="6"/>
      <c r="BR424" s="8"/>
    </row>
    <row r="425">
      <c r="A425" s="6"/>
      <c r="B425" s="6" t="s">
        <v>425</v>
      </c>
      <c r="C425" s="3" t="str">
        <f t="shared" si="1"/>
        <v>_dull lime</v>
      </c>
      <c r="D425" s="3" t="str">
        <f t="shared" si="8"/>
        <v>#N/A</v>
      </c>
      <c r="E425" s="3" t="b">
        <f t="shared" si="2"/>
        <v>0</v>
      </c>
      <c r="G425" s="3" t="str">
        <f t="shared" si="3"/>
        <v>#N/A</v>
      </c>
      <c r="H425" s="3" t="b">
        <f t="shared" si="4"/>
        <v>0</v>
      </c>
      <c r="J425" s="3" t="str">
        <f t="shared" si="5"/>
        <v>#N/A</v>
      </c>
      <c r="K425" s="3" t="b">
        <f t="shared" si="6"/>
        <v>0</v>
      </c>
      <c r="M425" s="3" t="str">
        <f t="shared" si="7"/>
        <v>#N/A</v>
      </c>
      <c r="AU425" s="7"/>
      <c r="AV425" s="6"/>
      <c r="AW425" s="8"/>
      <c r="AX425" s="7"/>
      <c r="AY425" s="6"/>
      <c r="AZ425" s="8"/>
      <c r="BA425" s="7"/>
      <c r="BB425" s="6"/>
      <c r="BC425" s="8"/>
      <c r="BD425" s="7"/>
      <c r="BE425" s="6"/>
      <c r="BF425" s="8"/>
      <c r="BG425" s="7"/>
      <c r="BH425" s="6"/>
      <c r="BI425" s="8"/>
      <c r="BJ425" s="7"/>
      <c r="BK425" s="6"/>
      <c r="BL425" s="8"/>
      <c r="BM425" s="7"/>
      <c r="BN425" s="6"/>
      <c r="BO425" s="8"/>
      <c r="BP425" s="7"/>
      <c r="BQ425" s="6"/>
      <c r="BR425" s="8"/>
    </row>
    <row r="426">
      <c r="A426" s="6"/>
      <c r="B426" s="6" t="s">
        <v>426</v>
      </c>
      <c r="C426" s="3" t="str">
        <f t="shared" si="1"/>
        <v>_faded chartreuse</v>
      </c>
      <c r="D426" s="3" t="str">
        <f t="shared" si="8"/>
        <v>#N/A</v>
      </c>
      <c r="E426" s="3" t="b">
        <f t="shared" si="2"/>
        <v>0</v>
      </c>
      <c r="G426" s="3" t="str">
        <f t="shared" si="3"/>
        <v>#N/A</v>
      </c>
      <c r="H426" s="3" t="b">
        <f t="shared" si="4"/>
        <v>0</v>
      </c>
      <c r="J426" s="3" t="str">
        <f t="shared" si="5"/>
        <v>#N/A</v>
      </c>
      <c r="K426" s="3" t="b">
        <f t="shared" si="6"/>
        <v>0</v>
      </c>
      <c r="M426" s="3" t="str">
        <f t="shared" si="7"/>
        <v>#N/A</v>
      </c>
      <c r="AU426" s="7"/>
      <c r="AV426" s="6"/>
      <c r="AW426" s="8"/>
      <c r="AX426" s="7"/>
      <c r="AY426" s="6"/>
      <c r="AZ426" s="8"/>
      <c r="BA426" s="7"/>
      <c r="BB426" s="6"/>
      <c r="BC426" s="8"/>
      <c r="BD426" s="7"/>
      <c r="BE426" s="6"/>
      <c r="BF426" s="8"/>
      <c r="BG426" s="7"/>
      <c r="BH426" s="6"/>
      <c r="BI426" s="8"/>
      <c r="BJ426" s="7"/>
      <c r="BK426" s="6"/>
      <c r="BL426" s="8"/>
      <c r="BM426" s="7"/>
      <c r="BN426" s="6"/>
      <c r="BO426" s="8"/>
      <c r="BP426" s="7"/>
      <c r="BQ426" s="6"/>
      <c r="BR426" s="8"/>
    </row>
    <row r="427">
      <c r="A427" s="6"/>
      <c r="B427" s="6" t="s">
        <v>427</v>
      </c>
      <c r="C427" s="3" t="str">
        <f t="shared" si="1"/>
        <v>_dark yellow</v>
      </c>
      <c r="D427" s="3" t="str">
        <f t="shared" si="8"/>
        <v>#N/A</v>
      </c>
      <c r="E427" s="3" t="b">
        <f t="shared" si="2"/>
        <v>0</v>
      </c>
      <c r="G427" s="3" t="str">
        <f t="shared" si="3"/>
        <v>#N/A</v>
      </c>
      <c r="H427" s="3" t="b">
        <f t="shared" si="4"/>
        <v>0</v>
      </c>
      <c r="J427" s="3" t="str">
        <f t="shared" si="5"/>
        <v>#N/A</v>
      </c>
      <c r="K427" s="3" t="b">
        <f t="shared" si="6"/>
        <v>0</v>
      </c>
      <c r="M427" s="3" t="str">
        <f t="shared" si="7"/>
        <v>#N/A</v>
      </c>
      <c r="AU427" s="7"/>
      <c r="AV427" s="6"/>
      <c r="AW427" s="8"/>
      <c r="AX427" s="7"/>
      <c r="AY427" s="6"/>
      <c r="AZ427" s="8"/>
      <c r="BA427" s="7"/>
      <c r="BB427" s="6"/>
      <c r="BC427" s="8"/>
      <c r="BD427" s="7"/>
      <c r="BE427" s="6"/>
      <c r="BF427" s="8"/>
      <c r="BG427" s="7"/>
      <c r="BH427" s="6"/>
      <c r="BI427" s="8"/>
      <c r="BJ427" s="7"/>
      <c r="BK427" s="6"/>
      <c r="BL427" s="8"/>
      <c r="BM427" s="7"/>
      <c r="BN427" s="6"/>
      <c r="BO427" s="8"/>
      <c r="BP427" s="7"/>
      <c r="BQ427" s="6"/>
      <c r="BR427" s="8"/>
    </row>
    <row r="428">
      <c r="A428" s="6"/>
      <c r="B428" s="6" t="s">
        <v>428</v>
      </c>
      <c r="C428" s="3" t="str">
        <f t="shared" si="1"/>
        <v>_plaid beige</v>
      </c>
      <c r="D428" s="3" t="str">
        <f t="shared" si="8"/>
        <v>#N/A</v>
      </c>
      <c r="E428" s="3" t="b">
        <f t="shared" si="2"/>
        <v>0</v>
      </c>
      <c r="G428" s="3" t="str">
        <f t="shared" si="3"/>
        <v>#N/A</v>
      </c>
      <c r="H428" s="3" t="b">
        <f t="shared" si="4"/>
        <v>0</v>
      </c>
      <c r="J428" s="3" t="str">
        <f t="shared" si="5"/>
        <v>#N/A</v>
      </c>
      <c r="K428" s="3" t="b">
        <f t="shared" si="6"/>
        <v>0</v>
      </c>
      <c r="M428" s="3" t="str">
        <f t="shared" si="7"/>
        <v>#N/A</v>
      </c>
      <c r="AU428" s="7"/>
      <c r="AV428" s="6"/>
      <c r="AW428" s="8"/>
      <c r="AX428" s="7"/>
      <c r="AY428" s="6"/>
      <c r="AZ428" s="8"/>
      <c r="BA428" s="7"/>
      <c r="BB428" s="6"/>
      <c r="BC428" s="8"/>
      <c r="BD428" s="7"/>
      <c r="BE428" s="6"/>
      <c r="BF428" s="8"/>
      <c r="BG428" s="7"/>
      <c r="BH428" s="6"/>
      <c r="BI428" s="8"/>
      <c r="BJ428" s="7"/>
      <c r="BK428" s="6"/>
      <c r="BL428" s="8"/>
      <c r="BM428" s="7"/>
      <c r="BN428" s="6"/>
      <c r="BO428" s="8"/>
      <c r="BP428" s="7"/>
      <c r="BQ428" s="6"/>
      <c r="BR428" s="8"/>
    </row>
    <row r="429">
      <c r="A429" s="6"/>
      <c r="B429" s="6" t="s">
        <v>429</v>
      </c>
      <c r="C429" s="3" t="str">
        <f t="shared" si="1"/>
        <v>_faded maroon</v>
      </c>
      <c r="D429" s="3" t="str">
        <f t="shared" si="8"/>
        <v>#N/A</v>
      </c>
      <c r="E429" s="3" t="b">
        <f t="shared" si="2"/>
        <v>0</v>
      </c>
      <c r="G429" s="3" t="str">
        <f t="shared" si="3"/>
        <v>#N/A</v>
      </c>
      <c r="H429" s="3" t="b">
        <f t="shared" si="4"/>
        <v>0</v>
      </c>
      <c r="J429" s="3" t="str">
        <f t="shared" si="5"/>
        <v>#N/A</v>
      </c>
      <c r="K429" s="3" t="b">
        <f t="shared" si="6"/>
        <v>0</v>
      </c>
      <c r="M429" s="3" t="str">
        <f t="shared" si="7"/>
        <v>#N/A</v>
      </c>
      <c r="AU429" s="7"/>
      <c r="AV429" s="6"/>
      <c r="AW429" s="8"/>
      <c r="AX429" s="7"/>
      <c r="AY429" s="6"/>
      <c r="AZ429" s="8"/>
      <c r="BA429" s="7"/>
      <c r="BB429" s="6"/>
      <c r="BC429" s="8"/>
      <c r="BD429" s="7"/>
      <c r="BE429" s="6"/>
      <c r="BF429" s="8"/>
      <c r="BG429" s="7"/>
      <c r="BH429" s="6"/>
      <c r="BI429" s="8"/>
      <c r="BJ429" s="7"/>
      <c r="BK429" s="6"/>
      <c r="BL429" s="8"/>
      <c r="BM429" s="7"/>
      <c r="BN429" s="6"/>
      <c r="BO429" s="8"/>
      <c r="BP429" s="7"/>
      <c r="BQ429" s="6"/>
      <c r="BR429" s="8"/>
    </row>
    <row r="430">
      <c r="A430" s="6"/>
      <c r="B430" s="6" t="s">
        <v>430</v>
      </c>
      <c r="C430" s="3" t="str">
        <f t="shared" si="1"/>
        <v>_muted silver</v>
      </c>
      <c r="D430" s="3" t="str">
        <f t="shared" si="8"/>
        <v>#N/A</v>
      </c>
      <c r="E430" s="3" t="b">
        <f t="shared" si="2"/>
        <v>0</v>
      </c>
      <c r="G430" s="3" t="str">
        <f t="shared" si="3"/>
        <v>#N/A</v>
      </c>
      <c r="H430" s="3" t="b">
        <f t="shared" si="4"/>
        <v>0</v>
      </c>
      <c r="J430" s="3" t="str">
        <f t="shared" si="5"/>
        <v>#N/A</v>
      </c>
      <c r="K430" s="3" t="b">
        <f t="shared" si="6"/>
        <v>1</v>
      </c>
      <c r="M430" s="3" t="str">
        <f t="shared" si="7"/>
        <v>#N/A</v>
      </c>
      <c r="AU430" s="7"/>
      <c r="AV430" s="6"/>
      <c r="AW430" s="8"/>
      <c r="AX430" s="7"/>
      <c r="AY430" s="6"/>
      <c r="AZ430" s="8"/>
      <c r="BA430" s="7"/>
      <c r="BB430" s="6"/>
      <c r="BC430" s="8"/>
      <c r="BD430" s="7"/>
      <c r="BE430" s="6"/>
      <c r="BF430" s="8"/>
      <c r="BG430" s="7"/>
      <c r="BH430" s="6"/>
      <c r="BI430" s="8"/>
      <c r="BJ430" s="7"/>
      <c r="BK430" s="6"/>
      <c r="BL430" s="8"/>
      <c r="BM430" s="7"/>
      <c r="BN430" s="6"/>
      <c r="BO430" s="8"/>
      <c r="BP430" s="7"/>
      <c r="BQ430" s="6"/>
      <c r="BR430" s="8"/>
    </row>
    <row r="431">
      <c r="A431" s="6"/>
      <c r="B431" s="6" t="s">
        <v>431</v>
      </c>
      <c r="C431" s="3" t="str">
        <f t="shared" si="1"/>
        <v>_pale violet</v>
      </c>
      <c r="D431" s="3" t="str">
        <f t="shared" si="8"/>
        <v>#N/A</v>
      </c>
      <c r="E431" s="3" t="b">
        <f t="shared" si="2"/>
        <v>0</v>
      </c>
      <c r="G431" s="3" t="str">
        <f t="shared" si="3"/>
        <v>#N/A</v>
      </c>
      <c r="H431" s="3" t="b">
        <f t="shared" si="4"/>
        <v>0</v>
      </c>
      <c r="J431" s="3" t="str">
        <f t="shared" si="5"/>
        <v>#N/A</v>
      </c>
      <c r="K431" s="3" t="b">
        <f t="shared" si="6"/>
        <v>0</v>
      </c>
      <c r="M431" s="3" t="str">
        <f t="shared" si="7"/>
        <v>#N/A</v>
      </c>
      <c r="AU431" s="7"/>
      <c r="AV431" s="6"/>
      <c r="AW431" s="8"/>
      <c r="AX431" s="7"/>
      <c r="AY431" s="6"/>
      <c r="AZ431" s="8"/>
      <c r="BA431" s="7"/>
      <c r="BB431" s="6"/>
      <c r="BC431" s="8"/>
      <c r="BD431" s="7"/>
      <c r="BE431" s="6"/>
      <c r="BF431" s="8"/>
      <c r="BG431" s="7"/>
      <c r="BH431" s="6"/>
      <c r="BI431" s="8"/>
      <c r="BJ431" s="7"/>
      <c r="BK431" s="6"/>
      <c r="BL431" s="8"/>
      <c r="BM431" s="7"/>
      <c r="BN431" s="6"/>
      <c r="BO431" s="8"/>
      <c r="BP431" s="7"/>
      <c r="BQ431" s="6"/>
      <c r="BR431" s="8"/>
    </row>
    <row r="432">
      <c r="A432" s="6"/>
      <c r="B432" s="6" t="s">
        <v>432</v>
      </c>
      <c r="C432" s="3" t="str">
        <f t="shared" si="1"/>
        <v>_dim olive</v>
      </c>
      <c r="D432" s="3" t="str">
        <f t="shared" si="8"/>
        <v>#N/A</v>
      </c>
      <c r="E432" s="3" t="b">
        <f t="shared" si="2"/>
        <v>0</v>
      </c>
      <c r="G432" s="3" t="str">
        <f t="shared" si="3"/>
        <v>#N/A</v>
      </c>
      <c r="H432" s="3" t="b">
        <f t="shared" si="4"/>
        <v>0</v>
      </c>
      <c r="J432" s="3" t="str">
        <f t="shared" si="5"/>
        <v>#N/A</v>
      </c>
      <c r="K432" s="3" t="b">
        <f t="shared" si="6"/>
        <v>0</v>
      </c>
      <c r="M432" s="3" t="str">
        <f t="shared" si="7"/>
        <v>#N/A</v>
      </c>
      <c r="AU432" s="7"/>
      <c r="AV432" s="6"/>
      <c r="AW432" s="8"/>
      <c r="AX432" s="7"/>
      <c r="AY432" s="6"/>
      <c r="AZ432" s="8"/>
      <c r="BA432" s="7"/>
      <c r="BB432" s="6"/>
      <c r="BC432" s="8"/>
      <c r="BD432" s="7"/>
      <c r="BE432" s="6"/>
      <c r="BF432" s="8"/>
      <c r="BG432" s="7"/>
      <c r="BH432" s="6"/>
      <c r="BI432" s="8"/>
      <c r="BJ432" s="7"/>
      <c r="BK432" s="6"/>
      <c r="BL432" s="8"/>
      <c r="BM432" s="7"/>
      <c r="BN432" s="6"/>
      <c r="BO432" s="8"/>
      <c r="BP432" s="7"/>
      <c r="BQ432" s="6"/>
      <c r="BR432" s="8"/>
    </row>
    <row r="433">
      <c r="A433" s="6"/>
      <c r="B433" s="6" t="s">
        <v>433</v>
      </c>
      <c r="C433" s="3" t="str">
        <f t="shared" si="1"/>
        <v>_mirrored bronze</v>
      </c>
      <c r="D433" s="3" t="str">
        <f t="shared" si="8"/>
        <v>#N/A</v>
      </c>
      <c r="E433" s="3" t="b">
        <f t="shared" si="2"/>
        <v>0</v>
      </c>
      <c r="G433" s="3" t="str">
        <f t="shared" si="3"/>
        <v>#N/A</v>
      </c>
      <c r="H433" s="3" t="b">
        <f t="shared" si="4"/>
        <v>0</v>
      </c>
      <c r="J433" s="3" t="str">
        <f t="shared" si="5"/>
        <v>#N/A</v>
      </c>
      <c r="K433" s="3" t="b">
        <f t="shared" si="6"/>
        <v>0</v>
      </c>
      <c r="M433" s="3" t="str">
        <f t="shared" si="7"/>
        <v>#N/A</v>
      </c>
      <c r="AU433" s="7"/>
      <c r="AV433" s="6"/>
      <c r="AW433" s="8"/>
      <c r="AX433" s="7"/>
      <c r="AY433" s="6"/>
      <c r="AZ433" s="8"/>
      <c r="BA433" s="7"/>
      <c r="BB433" s="6"/>
      <c r="BC433" s="8"/>
      <c r="BD433" s="7"/>
      <c r="BE433" s="6"/>
      <c r="BF433" s="8"/>
      <c r="BG433" s="7"/>
      <c r="BH433" s="6"/>
      <c r="BI433" s="8"/>
      <c r="BJ433" s="7"/>
      <c r="BK433" s="6"/>
      <c r="BL433" s="8"/>
      <c r="BM433" s="7"/>
      <c r="BN433" s="6"/>
      <c r="BO433" s="8"/>
      <c r="BP433" s="7"/>
      <c r="BQ433" s="6"/>
      <c r="BR433" s="8"/>
    </row>
    <row r="434">
      <c r="A434" s="6"/>
      <c r="B434" s="6" t="s">
        <v>434</v>
      </c>
      <c r="C434" s="3" t="str">
        <f t="shared" si="1"/>
        <v>_dull green</v>
      </c>
      <c r="D434" s="3" t="str">
        <f t="shared" si="8"/>
        <v>#N/A</v>
      </c>
      <c r="E434" s="3" t="b">
        <f t="shared" si="2"/>
        <v>0</v>
      </c>
      <c r="G434" s="3" t="str">
        <f t="shared" si="3"/>
        <v>#N/A</v>
      </c>
      <c r="H434" s="3" t="b">
        <f t="shared" si="4"/>
        <v>0</v>
      </c>
      <c r="J434" s="3" t="str">
        <f t="shared" si="5"/>
        <v>#N/A</v>
      </c>
      <c r="K434" s="3" t="b">
        <f t="shared" si="6"/>
        <v>0</v>
      </c>
      <c r="M434" s="3" t="str">
        <f t="shared" si="7"/>
        <v>#N/A</v>
      </c>
      <c r="AU434" s="7"/>
      <c r="AV434" s="6"/>
      <c r="AW434" s="8"/>
      <c r="AX434" s="7"/>
      <c r="AY434" s="6"/>
      <c r="AZ434" s="8"/>
      <c r="BA434" s="7"/>
      <c r="BB434" s="6"/>
      <c r="BC434" s="8"/>
      <c r="BD434" s="7"/>
      <c r="BE434" s="6"/>
      <c r="BF434" s="8"/>
      <c r="BG434" s="7"/>
      <c r="BH434" s="6"/>
      <c r="BI434" s="8"/>
      <c r="BJ434" s="7"/>
      <c r="BK434" s="6"/>
      <c r="BL434" s="8"/>
      <c r="BM434" s="7"/>
      <c r="BN434" s="6"/>
      <c r="BO434" s="8"/>
      <c r="BP434" s="7"/>
      <c r="BQ434" s="6"/>
      <c r="BR434" s="8"/>
    </row>
    <row r="435">
      <c r="A435" s="6"/>
      <c r="B435" s="6" t="s">
        <v>435</v>
      </c>
      <c r="C435" s="3" t="str">
        <f t="shared" si="1"/>
        <v>_bright gray</v>
      </c>
      <c r="D435" s="3" t="str">
        <f t="shared" si="8"/>
        <v>#N/A</v>
      </c>
      <c r="E435" s="3" t="b">
        <f t="shared" si="2"/>
        <v>0</v>
      </c>
      <c r="G435" s="3" t="str">
        <f t="shared" si="3"/>
        <v>#N/A</v>
      </c>
      <c r="H435" s="3" t="b">
        <f t="shared" si="4"/>
        <v>0</v>
      </c>
      <c r="J435" s="3" t="str">
        <f t="shared" si="5"/>
        <v>#N/A</v>
      </c>
      <c r="K435" s="3" t="b">
        <f t="shared" si="6"/>
        <v>0</v>
      </c>
      <c r="M435" s="3" t="str">
        <f t="shared" si="7"/>
        <v>#N/A</v>
      </c>
      <c r="AU435" s="7"/>
      <c r="AV435" s="6"/>
      <c r="AW435" s="8"/>
      <c r="AX435" s="7"/>
      <c r="AY435" s="6"/>
      <c r="AZ435" s="8"/>
      <c r="BA435" s="7"/>
      <c r="BB435" s="6"/>
      <c r="BC435" s="8"/>
      <c r="BD435" s="7"/>
      <c r="BE435" s="6"/>
      <c r="BF435" s="8"/>
      <c r="BG435" s="7"/>
      <c r="BH435" s="6"/>
      <c r="BI435" s="8"/>
      <c r="BJ435" s="7"/>
      <c r="BK435" s="6"/>
      <c r="BL435" s="8"/>
      <c r="BM435" s="7"/>
      <c r="BN435" s="6"/>
      <c r="BO435" s="8"/>
      <c r="BP435" s="7"/>
      <c r="BQ435" s="6"/>
      <c r="BR435" s="8"/>
    </row>
    <row r="436">
      <c r="A436" s="6"/>
      <c r="B436" s="6" t="s">
        <v>436</v>
      </c>
      <c r="C436" s="3" t="str">
        <f t="shared" si="1"/>
        <v>_light indigo</v>
      </c>
      <c r="D436" s="3" t="str">
        <f t="shared" si="8"/>
        <v>#N/A</v>
      </c>
      <c r="E436" s="3" t="b">
        <f t="shared" si="2"/>
        <v>0</v>
      </c>
      <c r="G436" s="3" t="str">
        <f t="shared" si="3"/>
        <v>#N/A</v>
      </c>
      <c r="H436" s="3" t="b">
        <f t="shared" si="4"/>
        <v>0</v>
      </c>
      <c r="J436" s="3" t="str">
        <f t="shared" si="5"/>
        <v>#N/A</v>
      </c>
      <c r="K436" s="3" t="b">
        <f t="shared" si="6"/>
        <v>0</v>
      </c>
      <c r="M436" s="3" t="str">
        <f t="shared" si="7"/>
        <v>#N/A</v>
      </c>
      <c r="AU436" s="7"/>
      <c r="AV436" s="6"/>
      <c r="AW436" s="8"/>
      <c r="AX436" s="7"/>
      <c r="AY436" s="6"/>
      <c r="AZ436" s="8"/>
      <c r="BA436" s="7"/>
      <c r="BB436" s="6"/>
      <c r="BC436" s="8"/>
      <c r="BD436" s="7"/>
      <c r="BE436" s="6"/>
      <c r="BF436" s="8"/>
      <c r="BG436" s="7"/>
      <c r="BH436" s="6"/>
      <c r="BI436" s="8"/>
      <c r="BJ436" s="7"/>
      <c r="BK436" s="6"/>
      <c r="BL436" s="8"/>
      <c r="BM436" s="7"/>
      <c r="BN436" s="6"/>
      <c r="BO436" s="8"/>
      <c r="BP436" s="7"/>
      <c r="BQ436" s="6"/>
      <c r="BR436" s="8"/>
    </row>
    <row r="437">
      <c r="A437" s="6"/>
      <c r="B437" s="6" t="s">
        <v>437</v>
      </c>
      <c r="C437" s="3" t="str">
        <f t="shared" si="1"/>
        <v>_bright magenta</v>
      </c>
      <c r="D437" s="3" t="str">
        <f t="shared" si="8"/>
        <v>#N/A</v>
      </c>
      <c r="E437" s="3" t="b">
        <f t="shared" si="2"/>
        <v>0</v>
      </c>
      <c r="G437" s="3" t="str">
        <f t="shared" si="3"/>
        <v>#N/A</v>
      </c>
      <c r="H437" s="3" t="b">
        <f t="shared" si="4"/>
        <v>0</v>
      </c>
      <c r="J437" s="3" t="str">
        <f t="shared" si="5"/>
        <v>#N/A</v>
      </c>
      <c r="K437" s="3" t="b">
        <f t="shared" si="6"/>
        <v>0</v>
      </c>
      <c r="M437" s="3" t="str">
        <f t="shared" si="7"/>
        <v>#N/A</v>
      </c>
      <c r="AU437" s="7"/>
      <c r="AV437" s="6"/>
      <c r="AW437" s="8"/>
      <c r="AX437" s="7"/>
      <c r="AY437" s="6"/>
      <c r="AZ437" s="8"/>
      <c r="BA437" s="7"/>
      <c r="BB437" s="6"/>
      <c r="BC437" s="8"/>
      <c r="BD437" s="7"/>
      <c r="BE437" s="6"/>
      <c r="BF437" s="8"/>
      <c r="BG437" s="7"/>
      <c r="BH437" s="6"/>
      <c r="BI437" s="8"/>
      <c r="BJ437" s="7"/>
      <c r="BK437" s="6"/>
      <c r="BL437" s="8"/>
      <c r="BM437" s="7"/>
      <c r="BN437" s="6"/>
      <c r="BO437" s="8"/>
      <c r="BP437" s="7"/>
      <c r="BQ437" s="6"/>
      <c r="BR437" s="8"/>
    </row>
    <row r="438">
      <c r="A438" s="6"/>
      <c r="B438" s="6" t="s">
        <v>438</v>
      </c>
      <c r="C438" s="3" t="str">
        <f t="shared" si="1"/>
        <v>_posh crimson</v>
      </c>
      <c r="D438" s="3" t="str">
        <f t="shared" si="8"/>
        <v>#N/A</v>
      </c>
      <c r="E438" s="3" t="b">
        <f t="shared" si="2"/>
        <v>0</v>
      </c>
      <c r="G438" s="3" t="str">
        <f t="shared" si="3"/>
        <v>#N/A</v>
      </c>
      <c r="H438" s="3" t="b">
        <f t="shared" si="4"/>
        <v>0</v>
      </c>
      <c r="J438" s="3" t="str">
        <f t="shared" si="5"/>
        <v>#N/A</v>
      </c>
      <c r="K438" s="3" t="b">
        <f t="shared" si="6"/>
        <v>0</v>
      </c>
      <c r="M438" s="3" t="str">
        <f t="shared" si="7"/>
        <v>#N/A</v>
      </c>
      <c r="AU438" s="7"/>
      <c r="AV438" s="6"/>
      <c r="AW438" s="8"/>
      <c r="AX438" s="7"/>
      <c r="AY438" s="6"/>
      <c r="AZ438" s="8"/>
      <c r="BA438" s="7"/>
      <c r="BB438" s="6"/>
      <c r="BC438" s="8"/>
      <c r="BD438" s="7"/>
      <c r="BE438" s="6"/>
      <c r="BF438" s="8"/>
      <c r="BG438" s="7"/>
      <c r="BH438" s="6"/>
      <c r="BI438" s="8"/>
      <c r="BJ438" s="7"/>
      <c r="BK438" s="6"/>
      <c r="BL438" s="8"/>
      <c r="BM438" s="7"/>
      <c r="BN438" s="6"/>
      <c r="BO438" s="8"/>
      <c r="BP438" s="7"/>
      <c r="BQ438" s="6"/>
      <c r="BR438" s="8"/>
    </row>
    <row r="439">
      <c r="A439" s="6"/>
      <c r="B439" s="6" t="s">
        <v>439</v>
      </c>
      <c r="C439" s="3" t="str">
        <f t="shared" si="1"/>
        <v>_vibrant plum</v>
      </c>
      <c r="D439" s="3" t="str">
        <f t="shared" si="8"/>
        <v>#N/A</v>
      </c>
      <c r="E439" s="3" t="b">
        <f t="shared" si="2"/>
        <v>0</v>
      </c>
      <c r="G439" s="3" t="str">
        <f t="shared" si="3"/>
        <v>#N/A</v>
      </c>
      <c r="H439" s="3" t="b">
        <f t="shared" si="4"/>
        <v>0</v>
      </c>
      <c r="J439" s="3" t="str">
        <f t="shared" si="5"/>
        <v>#N/A</v>
      </c>
      <c r="K439" s="3" t="b">
        <f t="shared" si="6"/>
        <v>0</v>
      </c>
      <c r="M439" s="3" t="str">
        <f t="shared" si="7"/>
        <v>#N/A</v>
      </c>
      <c r="AU439" s="7"/>
      <c r="AV439" s="6"/>
      <c r="AW439" s="8"/>
      <c r="AX439" s="7"/>
      <c r="AY439" s="6"/>
      <c r="AZ439" s="8"/>
      <c r="BA439" s="7"/>
      <c r="BB439" s="6"/>
      <c r="BC439" s="8"/>
      <c r="BD439" s="7"/>
      <c r="BE439" s="6"/>
      <c r="BF439" s="8"/>
      <c r="BG439" s="7"/>
      <c r="BH439" s="6"/>
      <c r="BI439" s="8"/>
      <c r="BJ439" s="7"/>
      <c r="BK439" s="6"/>
      <c r="BL439" s="8"/>
      <c r="BM439" s="7"/>
      <c r="BN439" s="6"/>
      <c r="BO439" s="8"/>
      <c r="BP439" s="7"/>
      <c r="BQ439" s="6"/>
      <c r="BR439" s="8"/>
    </row>
    <row r="440">
      <c r="A440" s="6"/>
      <c r="B440" s="6" t="s">
        <v>440</v>
      </c>
      <c r="C440" s="3" t="str">
        <f t="shared" si="1"/>
        <v>_wavy lime</v>
      </c>
      <c r="D440" s="3" t="str">
        <f t="shared" si="8"/>
        <v>#N/A</v>
      </c>
      <c r="E440" s="3" t="b">
        <f t="shared" si="2"/>
        <v>0</v>
      </c>
      <c r="G440" s="3" t="str">
        <f t="shared" si="3"/>
        <v>#N/A</v>
      </c>
      <c r="H440" s="3" t="b">
        <f t="shared" si="4"/>
        <v>0</v>
      </c>
      <c r="J440" s="3" t="str">
        <f t="shared" si="5"/>
        <v>#N/A</v>
      </c>
      <c r="K440" s="3" t="b">
        <f t="shared" si="6"/>
        <v>0</v>
      </c>
      <c r="M440" s="3" t="str">
        <f t="shared" si="7"/>
        <v>#N/A</v>
      </c>
      <c r="AU440" s="7"/>
      <c r="AV440" s="6"/>
      <c r="AW440" s="8"/>
      <c r="AX440" s="7"/>
      <c r="AY440" s="6"/>
      <c r="AZ440" s="8"/>
      <c r="BA440" s="7"/>
      <c r="BB440" s="6"/>
      <c r="BC440" s="8"/>
      <c r="BD440" s="7"/>
      <c r="BE440" s="6"/>
      <c r="BF440" s="8"/>
      <c r="BG440" s="7"/>
      <c r="BH440" s="6"/>
      <c r="BI440" s="8"/>
      <c r="BJ440" s="7"/>
      <c r="BK440" s="6"/>
      <c r="BL440" s="8"/>
      <c r="BM440" s="7"/>
      <c r="BN440" s="6"/>
      <c r="BO440" s="8"/>
      <c r="BP440" s="7"/>
      <c r="BQ440" s="6"/>
      <c r="BR440" s="8"/>
    </row>
    <row r="441">
      <c r="A441" s="6"/>
      <c r="B441" s="6" t="s">
        <v>441</v>
      </c>
      <c r="C441" s="3" t="str">
        <f t="shared" si="1"/>
        <v>_shiny silver</v>
      </c>
      <c r="D441" s="3" t="str">
        <f t="shared" si="8"/>
        <v>#N/A</v>
      </c>
      <c r="E441" s="3" t="b">
        <f t="shared" si="2"/>
        <v>0</v>
      </c>
      <c r="G441" s="3" t="str">
        <f t="shared" si="3"/>
        <v>#N/A</v>
      </c>
      <c r="H441" s="3" t="b">
        <f t="shared" si="4"/>
        <v>0</v>
      </c>
      <c r="J441" s="3" t="str">
        <f t="shared" si="5"/>
        <v>#N/A</v>
      </c>
      <c r="K441" s="3" t="b">
        <f t="shared" si="6"/>
        <v>0</v>
      </c>
      <c r="M441" s="3" t="str">
        <f t="shared" si="7"/>
        <v>#N/A</v>
      </c>
      <c r="AU441" s="7"/>
      <c r="AV441" s="6"/>
      <c r="AW441" s="8"/>
      <c r="AX441" s="7"/>
      <c r="AY441" s="6"/>
      <c r="AZ441" s="8"/>
      <c r="BA441" s="7"/>
      <c r="BB441" s="6"/>
      <c r="BC441" s="8"/>
      <c r="BD441" s="7"/>
      <c r="BE441" s="6"/>
      <c r="BF441" s="8"/>
      <c r="BG441" s="7"/>
      <c r="BH441" s="6"/>
      <c r="BI441" s="8"/>
      <c r="BJ441" s="7"/>
      <c r="BK441" s="6"/>
      <c r="BL441" s="8"/>
      <c r="BM441" s="7"/>
      <c r="BN441" s="6"/>
      <c r="BO441" s="8"/>
      <c r="BP441" s="7"/>
      <c r="BQ441" s="6"/>
      <c r="BR441" s="8"/>
    </row>
    <row r="442">
      <c r="A442" s="6"/>
      <c r="B442" s="6" t="s">
        <v>442</v>
      </c>
      <c r="C442" s="3" t="str">
        <f t="shared" si="1"/>
        <v>_dark tan</v>
      </c>
      <c r="D442" s="3" t="str">
        <f t="shared" si="8"/>
        <v>#N/A</v>
      </c>
      <c r="E442" s="3" t="b">
        <f t="shared" si="2"/>
        <v>0</v>
      </c>
      <c r="G442" s="3" t="str">
        <f t="shared" si="3"/>
        <v>#N/A</v>
      </c>
      <c r="H442" s="3" t="b">
        <f t="shared" si="4"/>
        <v>0</v>
      </c>
      <c r="J442" s="3" t="str">
        <f t="shared" si="5"/>
        <v>#N/A</v>
      </c>
      <c r="K442" s="3" t="b">
        <f t="shared" si="6"/>
        <v>0</v>
      </c>
      <c r="M442" s="3" t="str">
        <f t="shared" si="7"/>
        <v>#N/A</v>
      </c>
      <c r="AU442" s="7"/>
      <c r="AV442" s="6"/>
      <c r="AW442" s="8"/>
      <c r="AX442" s="7"/>
      <c r="AY442" s="6"/>
      <c r="AZ442" s="8"/>
      <c r="BA442" s="7"/>
      <c r="BB442" s="6"/>
      <c r="BC442" s="8"/>
      <c r="BD442" s="7"/>
      <c r="BE442" s="6"/>
      <c r="BF442" s="8"/>
      <c r="BG442" s="7"/>
      <c r="BH442" s="6"/>
      <c r="BI442" s="8"/>
      <c r="BJ442" s="7"/>
      <c r="BK442" s="6"/>
      <c r="BL442" s="8"/>
      <c r="BM442" s="7"/>
      <c r="BN442" s="6"/>
      <c r="BO442" s="8"/>
      <c r="BP442" s="7"/>
      <c r="BQ442" s="6"/>
      <c r="BR442" s="8"/>
    </row>
    <row r="443">
      <c r="A443" s="6"/>
      <c r="B443" s="6" t="s">
        <v>443</v>
      </c>
      <c r="C443" s="3" t="str">
        <f t="shared" si="1"/>
        <v>_mirrored brown</v>
      </c>
      <c r="D443" s="3" t="str">
        <f t="shared" si="8"/>
        <v>#N/A</v>
      </c>
      <c r="E443" s="3" t="b">
        <f t="shared" si="2"/>
        <v>0</v>
      </c>
      <c r="G443" s="3" t="str">
        <f t="shared" si="3"/>
        <v>#N/A</v>
      </c>
      <c r="H443" s="3" t="b">
        <f t="shared" si="4"/>
        <v>0</v>
      </c>
      <c r="J443" s="3" t="str">
        <f t="shared" si="5"/>
        <v>#N/A</v>
      </c>
      <c r="K443" s="3" t="b">
        <f t="shared" si="6"/>
        <v>0</v>
      </c>
      <c r="M443" s="3" t="str">
        <f t="shared" si="7"/>
        <v>#N/A</v>
      </c>
      <c r="AU443" s="7"/>
      <c r="AV443" s="6"/>
      <c r="AW443" s="8"/>
      <c r="AX443" s="7"/>
      <c r="AY443" s="6"/>
      <c r="AZ443" s="8"/>
      <c r="BA443" s="7"/>
      <c r="BB443" s="6"/>
      <c r="BC443" s="8"/>
      <c r="BD443" s="7"/>
      <c r="BE443" s="6"/>
      <c r="BF443" s="8"/>
      <c r="BG443" s="7"/>
      <c r="BH443" s="6"/>
      <c r="BI443" s="8"/>
      <c r="BJ443" s="7"/>
      <c r="BK443" s="6"/>
      <c r="BL443" s="8"/>
      <c r="BM443" s="7"/>
      <c r="BN443" s="6"/>
      <c r="BO443" s="8"/>
      <c r="BP443" s="7"/>
      <c r="BQ443" s="6"/>
      <c r="BR443" s="8"/>
    </row>
    <row r="444">
      <c r="A444" s="6"/>
      <c r="B444" s="6" t="s">
        <v>444</v>
      </c>
      <c r="C444" s="3" t="str">
        <f t="shared" si="1"/>
        <v>_muted brown</v>
      </c>
      <c r="D444" s="3" t="str">
        <f t="shared" si="8"/>
        <v>#N/A</v>
      </c>
      <c r="E444" s="3" t="b">
        <f t="shared" si="2"/>
        <v>0</v>
      </c>
      <c r="G444" s="3" t="str">
        <f t="shared" si="3"/>
        <v>#N/A</v>
      </c>
      <c r="H444" s="3" t="b">
        <f t="shared" si="4"/>
        <v>0</v>
      </c>
      <c r="J444" s="3" t="str">
        <f t="shared" si="5"/>
        <v>#N/A</v>
      </c>
      <c r="K444" s="3" t="b">
        <f t="shared" si="6"/>
        <v>0</v>
      </c>
      <c r="M444" s="3" t="str">
        <f t="shared" si="7"/>
        <v>#N/A</v>
      </c>
      <c r="AU444" s="7"/>
      <c r="AV444" s="6"/>
      <c r="AW444" s="8"/>
      <c r="AX444" s="7"/>
      <c r="AY444" s="6"/>
      <c r="AZ444" s="8"/>
      <c r="BA444" s="7"/>
      <c r="BB444" s="6"/>
      <c r="BC444" s="8"/>
      <c r="BD444" s="7"/>
      <c r="BE444" s="6"/>
      <c r="BF444" s="8"/>
      <c r="BG444" s="7"/>
      <c r="BH444" s="6"/>
      <c r="BI444" s="8"/>
      <c r="BJ444" s="7"/>
      <c r="BK444" s="6"/>
      <c r="BL444" s="8"/>
      <c r="BM444" s="7"/>
      <c r="BN444" s="6"/>
      <c r="BO444" s="8"/>
      <c r="BP444" s="7"/>
      <c r="BQ444" s="6"/>
      <c r="BR444" s="8"/>
    </row>
    <row r="445">
      <c r="A445" s="6"/>
      <c r="B445" s="6" t="s">
        <v>445</v>
      </c>
      <c r="C445" s="3" t="str">
        <f t="shared" si="1"/>
        <v>_posh black</v>
      </c>
      <c r="D445" s="3" t="str">
        <f t="shared" si="8"/>
        <v>#N/A</v>
      </c>
      <c r="E445" s="3" t="b">
        <f t="shared" si="2"/>
        <v>0</v>
      </c>
      <c r="G445" s="3" t="str">
        <f t="shared" si="3"/>
        <v>#N/A</v>
      </c>
      <c r="H445" s="3" t="b">
        <f t="shared" si="4"/>
        <v>0</v>
      </c>
      <c r="J445" s="3" t="str">
        <f t="shared" si="5"/>
        <v>#N/A</v>
      </c>
      <c r="K445" s="3" t="b">
        <f t="shared" si="6"/>
        <v>0</v>
      </c>
      <c r="M445" s="3" t="str">
        <f t="shared" si="7"/>
        <v>#N/A</v>
      </c>
      <c r="AU445" s="7"/>
      <c r="AV445" s="6"/>
      <c r="AW445" s="8"/>
      <c r="AX445" s="7"/>
      <c r="AY445" s="6"/>
      <c r="AZ445" s="8"/>
      <c r="BA445" s="7"/>
      <c r="BB445" s="6"/>
      <c r="BC445" s="8"/>
      <c r="BD445" s="7"/>
      <c r="BE445" s="6"/>
      <c r="BF445" s="8"/>
      <c r="BG445" s="7"/>
      <c r="BH445" s="6"/>
      <c r="BI445" s="8"/>
      <c r="BJ445" s="7"/>
      <c r="BK445" s="6"/>
      <c r="BL445" s="8"/>
      <c r="BM445" s="7"/>
      <c r="BN445" s="6"/>
      <c r="BO445" s="8"/>
      <c r="BP445" s="7"/>
      <c r="BQ445" s="6"/>
      <c r="BR445" s="8"/>
    </row>
    <row r="446">
      <c r="A446" s="6"/>
      <c r="B446" s="6" t="s">
        <v>446</v>
      </c>
      <c r="C446" s="3" t="str">
        <f t="shared" si="1"/>
        <v>_wavy aqua</v>
      </c>
      <c r="D446" s="3" t="str">
        <f t="shared" si="8"/>
        <v>#N/A</v>
      </c>
      <c r="E446" s="3" t="b">
        <f t="shared" si="2"/>
        <v>0</v>
      </c>
      <c r="G446" s="3" t="str">
        <f t="shared" si="3"/>
        <v>#N/A</v>
      </c>
      <c r="H446" s="3" t="b">
        <f t="shared" si="4"/>
        <v>0</v>
      </c>
      <c r="J446" s="3" t="str">
        <f t="shared" si="5"/>
        <v>#N/A</v>
      </c>
      <c r="K446" s="3" t="b">
        <f t="shared" si="6"/>
        <v>0</v>
      </c>
      <c r="M446" s="3" t="str">
        <f t="shared" si="7"/>
        <v>#N/A</v>
      </c>
      <c r="AU446" s="7"/>
      <c r="AV446" s="6"/>
      <c r="AW446" s="8"/>
      <c r="AX446" s="7"/>
      <c r="AY446" s="6"/>
      <c r="AZ446" s="8"/>
      <c r="BA446" s="7"/>
      <c r="BB446" s="6"/>
      <c r="BC446" s="8"/>
      <c r="BD446" s="7"/>
      <c r="BE446" s="6"/>
      <c r="BF446" s="8"/>
      <c r="BG446" s="7"/>
      <c r="BH446" s="6"/>
      <c r="BI446" s="8"/>
      <c r="BJ446" s="7"/>
      <c r="BK446" s="6"/>
      <c r="BL446" s="8"/>
      <c r="BM446" s="7"/>
      <c r="BN446" s="6"/>
      <c r="BO446" s="8"/>
      <c r="BP446" s="7"/>
      <c r="BQ446" s="6"/>
      <c r="BR446" s="8"/>
    </row>
    <row r="447">
      <c r="A447" s="6"/>
      <c r="B447" s="6" t="s">
        <v>447</v>
      </c>
      <c r="C447" s="3" t="str">
        <f t="shared" si="1"/>
        <v>_vibrant chartreuse</v>
      </c>
      <c r="D447" s="3" t="str">
        <f t="shared" si="8"/>
        <v>#N/A</v>
      </c>
      <c r="E447" s="3" t="b">
        <f t="shared" si="2"/>
        <v>0</v>
      </c>
      <c r="G447" s="3" t="str">
        <f t="shared" si="3"/>
        <v>#N/A</v>
      </c>
      <c r="H447" s="3" t="b">
        <f t="shared" si="4"/>
        <v>0</v>
      </c>
      <c r="J447" s="3" t="str">
        <f t="shared" si="5"/>
        <v>#N/A</v>
      </c>
      <c r="K447" s="3" t="b">
        <f t="shared" si="6"/>
        <v>0</v>
      </c>
      <c r="M447" s="3" t="str">
        <f t="shared" si="7"/>
        <v>#N/A</v>
      </c>
      <c r="AU447" s="7"/>
      <c r="AV447" s="6"/>
      <c r="AW447" s="8"/>
      <c r="AX447" s="7"/>
      <c r="AY447" s="6"/>
      <c r="AZ447" s="8"/>
      <c r="BA447" s="7"/>
      <c r="BB447" s="6"/>
      <c r="BC447" s="8"/>
      <c r="BD447" s="7"/>
      <c r="BE447" s="6"/>
      <c r="BF447" s="8"/>
      <c r="BG447" s="7"/>
      <c r="BH447" s="6"/>
      <c r="BI447" s="8"/>
      <c r="BJ447" s="7"/>
      <c r="BK447" s="6"/>
      <c r="BL447" s="8"/>
      <c r="BM447" s="7"/>
      <c r="BN447" s="6"/>
      <c r="BO447" s="8"/>
      <c r="BP447" s="7"/>
      <c r="BQ447" s="6"/>
      <c r="BR447" s="8"/>
    </row>
    <row r="448">
      <c r="A448" s="6"/>
      <c r="B448" s="6" t="s">
        <v>448</v>
      </c>
      <c r="C448" s="3" t="str">
        <f t="shared" si="1"/>
        <v>_wavy silver</v>
      </c>
      <c r="D448" s="3" t="str">
        <f t="shared" si="8"/>
        <v>#N/A</v>
      </c>
      <c r="E448" s="3" t="b">
        <f t="shared" si="2"/>
        <v>0</v>
      </c>
      <c r="G448" s="3" t="str">
        <f t="shared" si="3"/>
        <v>#N/A</v>
      </c>
      <c r="H448" s="3" t="b">
        <f t="shared" si="4"/>
        <v>0</v>
      </c>
      <c r="J448" s="3" t="str">
        <f t="shared" si="5"/>
        <v>#N/A</v>
      </c>
      <c r="K448" s="3" t="b">
        <f t="shared" si="6"/>
        <v>0</v>
      </c>
      <c r="M448" s="3" t="str">
        <f t="shared" si="7"/>
        <v>#N/A</v>
      </c>
      <c r="AU448" s="7"/>
      <c r="AV448" s="6"/>
      <c r="AW448" s="8"/>
      <c r="AX448" s="7"/>
      <c r="AY448" s="6"/>
      <c r="AZ448" s="8"/>
      <c r="BA448" s="7"/>
      <c r="BB448" s="6"/>
      <c r="BC448" s="8"/>
      <c r="BD448" s="7"/>
      <c r="BE448" s="6"/>
      <c r="BF448" s="8"/>
      <c r="BG448" s="7"/>
      <c r="BH448" s="6"/>
      <c r="BI448" s="8"/>
      <c r="BJ448" s="7"/>
      <c r="BK448" s="6"/>
      <c r="BL448" s="8"/>
      <c r="BM448" s="7"/>
      <c r="BN448" s="6"/>
      <c r="BO448" s="8"/>
      <c r="BP448" s="7"/>
      <c r="BQ448" s="6"/>
      <c r="BR448" s="8"/>
    </row>
    <row r="449">
      <c r="A449" s="6"/>
      <c r="B449" s="6" t="s">
        <v>449</v>
      </c>
      <c r="C449" s="3" t="str">
        <f t="shared" si="1"/>
        <v>_shiny salmon</v>
      </c>
      <c r="D449" s="3" t="str">
        <f t="shared" si="8"/>
        <v>#N/A</v>
      </c>
      <c r="E449" s="3" t="b">
        <f t="shared" si="2"/>
        <v>0</v>
      </c>
      <c r="G449" s="3" t="str">
        <f t="shared" si="3"/>
        <v>#N/A</v>
      </c>
      <c r="H449" s="3" t="b">
        <f t="shared" si="4"/>
        <v>0</v>
      </c>
      <c r="J449" s="3" t="str">
        <f t="shared" si="5"/>
        <v>#N/A</v>
      </c>
      <c r="K449" s="3" t="b">
        <f t="shared" si="6"/>
        <v>0</v>
      </c>
      <c r="M449" s="3" t="str">
        <f t="shared" si="7"/>
        <v>#N/A</v>
      </c>
      <c r="AU449" s="7"/>
      <c r="AV449" s="6"/>
      <c r="AW449" s="8"/>
      <c r="AX449" s="7"/>
      <c r="AY449" s="6"/>
      <c r="AZ449" s="8"/>
      <c r="BA449" s="7"/>
      <c r="BB449" s="6"/>
      <c r="BC449" s="8"/>
      <c r="BD449" s="7"/>
      <c r="BE449" s="6"/>
      <c r="BF449" s="8"/>
      <c r="BG449" s="7"/>
      <c r="BH449" s="6"/>
      <c r="BI449" s="8"/>
      <c r="BJ449" s="7"/>
      <c r="BK449" s="6"/>
      <c r="BL449" s="8"/>
      <c r="BM449" s="7"/>
      <c r="BN449" s="6"/>
      <c r="BO449" s="8"/>
      <c r="BP449" s="7"/>
      <c r="BQ449" s="6"/>
      <c r="BR449" s="8"/>
    </row>
    <row r="450">
      <c r="A450" s="6"/>
      <c r="B450" s="6" t="s">
        <v>450</v>
      </c>
      <c r="C450" s="3" t="str">
        <f t="shared" si="1"/>
        <v>_clear purple</v>
      </c>
      <c r="D450" s="3" t="str">
        <f t="shared" si="8"/>
        <v>#N/A</v>
      </c>
      <c r="E450" s="3" t="b">
        <f t="shared" si="2"/>
        <v>0</v>
      </c>
      <c r="G450" s="3" t="str">
        <f t="shared" si="3"/>
        <v>#N/A</v>
      </c>
      <c r="H450" s="3" t="b">
        <f t="shared" si="4"/>
        <v>0</v>
      </c>
      <c r="J450" s="3" t="str">
        <f t="shared" si="5"/>
        <v>#N/A</v>
      </c>
      <c r="K450" s="3" t="b">
        <f t="shared" si="6"/>
        <v>0</v>
      </c>
      <c r="M450" s="3" t="str">
        <f t="shared" si="7"/>
        <v>#N/A</v>
      </c>
      <c r="AU450" s="7"/>
      <c r="AV450" s="6"/>
      <c r="AW450" s="8"/>
      <c r="AX450" s="7"/>
      <c r="AY450" s="6"/>
      <c r="AZ450" s="8"/>
      <c r="BA450" s="7"/>
      <c r="BB450" s="6"/>
      <c r="BC450" s="8"/>
      <c r="BD450" s="7"/>
      <c r="BE450" s="6"/>
      <c r="BF450" s="8"/>
      <c r="BG450" s="7"/>
      <c r="BH450" s="6"/>
      <c r="BI450" s="8"/>
      <c r="BJ450" s="7"/>
      <c r="BK450" s="6"/>
      <c r="BL450" s="8"/>
      <c r="BM450" s="7"/>
      <c r="BN450" s="6"/>
      <c r="BO450" s="8"/>
      <c r="BP450" s="7"/>
      <c r="BQ450" s="6"/>
      <c r="BR450" s="8"/>
    </row>
    <row r="451">
      <c r="A451" s="6"/>
      <c r="B451" s="6" t="s">
        <v>451</v>
      </c>
      <c r="C451" s="3" t="str">
        <f t="shared" si="1"/>
        <v>_clear cyan</v>
      </c>
      <c r="D451" s="3" t="str">
        <f t="shared" si="8"/>
        <v>#N/A</v>
      </c>
      <c r="E451" s="3" t="b">
        <f t="shared" si="2"/>
        <v>0</v>
      </c>
      <c r="G451" s="3" t="str">
        <f t="shared" si="3"/>
        <v>#N/A</v>
      </c>
      <c r="H451" s="3" t="b">
        <f t="shared" si="4"/>
        <v>0</v>
      </c>
      <c r="J451" s="3" t="str">
        <f t="shared" si="5"/>
        <v>#N/A</v>
      </c>
      <c r="K451" s="3" t="b">
        <f t="shared" si="6"/>
        <v>0</v>
      </c>
      <c r="M451" s="3" t="str">
        <f t="shared" si="7"/>
        <v>#N/A</v>
      </c>
      <c r="AU451" s="7"/>
      <c r="AV451" s="6"/>
      <c r="AW451" s="8"/>
      <c r="AX451" s="7"/>
      <c r="AY451" s="6"/>
      <c r="AZ451" s="8"/>
      <c r="BA451" s="7"/>
      <c r="BB451" s="6"/>
      <c r="BC451" s="8"/>
      <c r="BD451" s="7"/>
      <c r="BE451" s="6"/>
      <c r="BF451" s="8"/>
      <c r="BG451" s="7"/>
      <c r="BH451" s="6"/>
      <c r="BI451" s="8"/>
      <c r="BJ451" s="7"/>
      <c r="BK451" s="6"/>
      <c r="BL451" s="8"/>
      <c r="BM451" s="7"/>
      <c r="BN451" s="6"/>
      <c r="BO451" s="8"/>
      <c r="BP451" s="7"/>
      <c r="BQ451" s="6"/>
      <c r="BR451" s="8"/>
    </row>
    <row r="452">
      <c r="A452" s="6"/>
      <c r="B452" s="6" t="s">
        <v>452</v>
      </c>
      <c r="C452" s="3" t="str">
        <f t="shared" si="1"/>
        <v>_wavy coral</v>
      </c>
      <c r="D452" s="3" t="str">
        <f t="shared" si="8"/>
        <v>#N/A</v>
      </c>
      <c r="E452" s="3" t="b">
        <f t="shared" si="2"/>
        <v>0</v>
      </c>
      <c r="G452" s="3" t="str">
        <f t="shared" si="3"/>
        <v>#N/A</v>
      </c>
      <c r="H452" s="3" t="b">
        <f t="shared" si="4"/>
        <v>0</v>
      </c>
      <c r="J452" s="3" t="str">
        <f t="shared" si="5"/>
        <v>#N/A</v>
      </c>
      <c r="K452" s="3" t="b">
        <f t="shared" si="6"/>
        <v>0</v>
      </c>
      <c r="M452" s="3" t="str">
        <f t="shared" si="7"/>
        <v>#N/A</v>
      </c>
      <c r="AU452" s="7"/>
      <c r="AV452" s="6"/>
      <c r="AW452" s="8"/>
      <c r="AX452" s="7"/>
      <c r="AY452" s="6"/>
      <c r="AZ452" s="8"/>
      <c r="BA452" s="7"/>
      <c r="BB452" s="6"/>
      <c r="BC452" s="8"/>
      <c r="BD452" s="7"/>
      <c r="BE452" s="6"/>
      <c r="BF452" s="8"/>
      <c r="BG452" s="7"/>
      <c r="BH452" s="6"/>
      <c r="BI452" s="8"/>
      <c r="BJ452" s="7"/>
      <c r="BK452" s="6"/>
      <c r="BL452" s="8"/>
      <c r="BM452" s="7"/>
      <c r="BN452" s="6"/>
      <c r="BO452" s="8"/>
      <c r="BP452" s="7"/>
      <c r="BQ452" s="6"/>
      <c r="BR452" s="8"/>
    </row>
    <row r="453">
      <c r="A453" s="6"/>
      <c r="B453" s="6" t="s">
        <v>453</v>
      </c>
      <c r="C453" s="3" t="str">
        <f t="shared" si="1"/>
        <v>_wavy green</v>
      </c>
      <c r="D453" s="3" t="str">
        <f t="shared" si="8"/>
        <v>#N/A</v>
      </c>
      <c r="E453" s="3" t="b">
        <f t="shared" si="2"/>
        <v>0</v>
      </c>
      <c r="G453" s="3" t="str">
        <f t="shared" si="3"/>
        <v>#N/A</v>
      </c>
      <c r="H453" s="3" t="b">
        <f t="shared" si="4"/>
        <v>0</v>
      </c>
      <c r="J453" s="3" t="str">
        <f t="shared" si="5"/>
        <v>#N/A</v>
      </c>
      <c r="K453" s="3" t="b">
        <f t="shared" si="6"/>
        <v>0</v>
      </c>
      <c r="M453" s="3" t="str">
        <f t="shared" si="7"/>
        <v>#N/A</v>
      </c>
      <c r="AU453" s="7"/>
      <c r="AV453" s="6"/>
      <c r="AW453" s="8"/>
      <c r="AX453" s="7"/>
      <c r="AY453" s="6"/>
      <c r="AZ453" s="8"/>
      <c r="BA453" s="7"/>
      <c r="BB453" s="6"/>
      <c r="BC453" s="8"/>
      <c r="BD453" s="7"/>
      <c r="BE453" s="6"/>
      <c r="BF453" s="8"/>
      <c r="BG453" s="7"/>
      <c r="BH453" s="6"/>
      <c r="BI453" s="8"/>
      <c r="BJ453" s="7"/>
      <c r="BK453" s="6"/>
      <c r="BL453" s="8"/>
      <c r="BM453" s="7"/>
      <c r="BN453" s="6"/>
      <c r="BO453" s="8"/>
      <c r="BP453" s="7"/>
      <c r="BQ453" s="6"/>
      <c r="BR453" s="8"/>
    </row>
    <row r="454">
      <c r="A454" s="6"/>
      <c r="B454" s="6" t="s">
        <v>454</v>
      </c>
      <c r="C454" s="3" t="str">
        <f t="shared" si="1"/>
        <v>_mirrored gold</v>
      </c>
      <c r="D454" s="3" t="str">
        <f t="shared" si="8"/>
        <v>#N/A</v>
      </c>
      <c r="E454" s="3" t="b">
        <f t="shared" si="2"/>
        <v>0</v>
      </c>
      <c r="G454" s="3" t="str">
        <f t="shared" si="3"/>
        <v>#N/A</v>
      </c>
      <c r="H454" s="3" t="b">
        <f t="shared" si="4"/>
        <v>0</v>
      </c>
      <c r="J454" s="3" t="str">
        <f t="shared" si="5"/>
        <v>#N/A</v>
      </c>
      <c r="K454" s="3" t="b">
        <f t="shared" si="6"/>
        <v>0</v>
      </c>
      <c r="M454" s="3" t="str">
        <f t="shared" si="7"/>
        <v>#N/A</v>
      </c>
      <c r="AU454" s="7"/>
      <c r="AV454" s="6"/>
      <c r="AW454" s="8"/>
      <c r="AX454" s="7"/>
      <c r="AY454" s="6"/>
      <c r="AZ454" s="8"/>
      <c r="BA454" s="7"/>
      <c r="BB454" s="6"/>
      <c r="BC454" s="8"/>
      <c r="BD454" s="7"/>
      <c r="BE454" s="6"/>
      <c r="BF454" s="8"/>
      <c r="BG454" s="7"/>
      <c r="BH454" s="6"/>
      <c r="BI454" s="8"/>
      <c r="BJ454" s="7"/>
      <c r="BK454" s="6"/>
      <c r="BL454" s="8"/>
      <c r="BM454" s="7"/>
      <c r="BN454" s="6"/>
      <c r="BO454" s="8"/>
      <c r="BP454" s="7"/>
      <c r="BQ454" s="6"/>
      <c r="BR454" s="8"/>
    </row>
    <row r="455">
      <c r="A455" s="6"/>
      <c r="B455" s="6" t="s">
        <v>455</v>
      </c>
      <c r="C455" s="3" t="str">
        <f t="shared" si="1"/>
        <v>_muted fuchsia</v>
      </c>
      <c r="D455" s="3" t="str">
        <f t="shared" si="8"/>
        <v>#N/A</v>
      </c>
      <c r="E455" s="3" t="b">
        <f t="shared" si="2"/>
        <v>0</v>
      </c>
      <c r="G455" s="3" t="str">
        <f t="shared" si="3"/>
        <v>#N/A</v>
      </c>
      <c r="H455" s="3" t="b">
        <f t="shared" si="4"/>
        <v>0</v>
      </c>
      <c r="J455" s="3" t="str">
        <f t="shared" si="5"/>
        <v>#N/A</v>
      </c>
      <c r="K455" s="3" t="b">
        <f t="shared" si="6"/>
        <v>0</v>
      </c>
      <c r="M455" s="3" t="str">
        <f t="shared" si="7"/>
        <v>#N/A</v>
      </c>
      <c r="AU455" s="7"/>
      <c r="AV455" s="6"/>
      <c r="AW455" s="8"/>
      <c r="AX455" s="7"/>
      <c r="AY455" s="6"/>
      <c r="AZ455" s="8"/>
      <c r="BA455" s="7"/>
      <c r="BB455" s="6"/>
      <c r="BC455" s="8"/>
      <c r="BD455" s="7"/>
      <c r="BE455" s="6"/>
      <c r="BF455" s="8"/>
      <c r="BG455" s="7"/>
      <c r="BH455" s="6"/>
      <c r="BI455" s="8"/>
      <c r="BJ455" s="7"/>
      <c r="BK455" s="6"/>
      <c r="BL455" s="8"/>
      <c r="BM455" s="7"/>
      <c r="BN455" s="6"/>
      <c r="BO455" s="8"/>
      <c r="BP455" s="7"/>
      <c r="BQ455" s="6"/>
      <c r="BR455" s="8"/>
    </row>
    <row r="456">
      <c r="A456" s="6"/>
      <c r="B456" s="6" t="s">
        <v>456</v>
      </c>
      <c r="C456" s="3" t="str">
        <f t="shared" si="1"/>
        <v>_clear maroon</v>
      </c>
      <c r="D456" s="3" t="str">
        <f t="shared" si="8"/>
        <v>#N/A</v>
      </c>
      <c r="E456" s="3" t="b">
        <f t="shared" si="2"/>
        <v>0</v>
      </c>
      <c r="G456" s="3" t="str">
        <f t="shared" si="3"/>
        <v>#N/A</v>
      </c>
      <c r="H456" s="3" t="b">
        <f t="shared" si="4"/>
        <v>0</v>
      </c>
      <c r="J456" s="3" t="str">
        <f t="shared" si="5"/>
        <v>#N/A</v>
      </c>
      <c r="K456" s="3" t="b">
        <f t="shared" si="6"/>
        <v>0</v>
      </c>
      <c r="M456" s="3" t="str">
        <f t="shared" si="7"/>
        <v>#N/A</v>
      </c>
      <c r="AU456" s="7"/>
      <c r="AV456" s="6"/>
      <c r="AW456" s="8"/>
      <c r="AX456" s="7"/>
      <c r="AY456" s="6"/>
      <c r="AZ456" s="8"/>
      <c r="BA456" s="7"/>
      <c r="BB456" s="6"/>
      <c r="BC456" s="8"/>
      <c r="BD456" s="7"/>
      <c r="BE456" s="6"/>
      <c r="BF456" s="8"/>
      <c r="BG456" s="7"/>
      <c r="BH456" s="6"/>
      <c r="BI456" s="8"/>
      <c r="BJ456" s="7"/>
      <c r="BK456" s="6"/>
      <c r="BL456" s="8"/>
      <c r="BM456" s="7"/>
      <c r="BN456" s="6"/>
      <c r="BO456" s="8"/>
      <c r="BP456" s="7"/>
      <c r="BQ456" s="6"/>
      <c r="BR456" s="8"/>
    </row>
    <row r="457">
      <c r="A457" s="6"/>
      <c r="B457" s="6" t="s">
        <v>457</v>
      </c>
      <c r="C457" s="3" t="str">
        <f t="shared" si="1"/>
        <v>_faded salmon</v>
      </c>
      <c r="D457" s="3" t="str">
        <f t="shared" si="8"/>
        <v>#N/A</v>
      </c>
      <c r="E457" s="3" t="b">
        <f t="shared" si="2"/>
        <v>0</v>
      </c>
      <c r="G457" s="3" t="str">
        <f t="shared" si="3"/>
        <v>#N/A</v>
      </c>
      <c r="H457" s="3" t="b">
        <f t="shared" si="4"/>
        <v>0</v>
      </c>
      <c r="J457" s="3" t="str">
        <f t="shared" si="5"/>
        <v>#N/A</v>
      </c>
      <c r="K457" s="3" t="b">
        <f t="shared" si="6"/>
        <v>0</v>
      </c>
      <c r="M457" s="3" t="str">
        <f t="shared" si="7"/>
        <v>#N/A</v>
      </c>
      <c r="AU457" s="7"/>
      <c r="AV457" s="6"/>
      <c r="AW457" s="8"/>
      <c r="AX457" s="7"/>
      <c r="AY457" s="6"/>
      <c r="AZ457" s="8"/>
      <c r="BA457" s="7"/>
      <c r="BB457" s="6"/>
      <c r="BC457" s="8"/>
      <c r="BD457" s="7"/>
      <c r="BE457" s="6"/>
      <c r="BF457" s="8"/>
      <c r="BG457" s="7"/>
      <c r="BH457" s="6"/>
      <c r="BI457" s="8"/>
      <c r="BJ457" s="7"/>
      <c r="BK457" s="6"/>
      <c r="BL457" s="8"/>
      <c r="BM457" s="7"/>
      <c r="BN457" s="6"/>
      <c r="BO457" s="8"/>
      <c r="BP457" s="7"/>
      <c r="BQ457" s="6"/>
      <c r="BR457" s="8"/>
    </row>
    <row r="458">
      <c r="A458" s="6"/>
      <c r="B458" s="6" t="s">
        <v>458</v>
      </c>
      <c r="C458" s="3" t="str">
        <f t="shared" si="1"/>
        <v>_striped aqua</v>
      </c>
      <c r="D458" s="3" t="str">
        <f t="shared" si="8"/>
        <v>#N/A</v>
      </c>
      <c r="E458" s="3" t="b">
        <f t="shared" si="2"/>
        <v>0</v>
      </c>
      <c r="G458" s="3" t="str">
        <f t="shared" si="3"/>
        <v>#N/A</v>
      </c>
      <c r="H458" s="3" t="b">
        <f t="shared" si="4"/>
        <v>0</v>
      </c>
      <c r="J458" s="3" t="str">
        <f t="shared" si="5"/>
        <v>#N/A</v>
      </c>
      <c r="K458" s="3" t="b">
        <f t="shared" si="6"/>
        <v>0</v>
      </c>
      <c r="M458" s="3" t="str">
        <f t="shared" si="7"/>
        <v>#N/A</v>
      </c>
      <c r="AU458" s="7"/>
      <c r="AV458" s="6"/>
      <c r="AW458" s="8"/>
      <c r="AX458" s="7"/>
      <c r="AY458" s="6"/>
      <c r="AZ458" s="8"/>
      <c r="BA458" s="7"/>
      <c r="BB458" s="6"/>
      <c r="BC458" s="8"/>
      <c r="BD458" s="7"/>
      <c r="BE458" s="6"/>
      <c r="BF458" s="8"/>
      <c r="BG458" s="7"/>
      <c r="BH458" s="6"/>
      <c r="BI458" s="8"/>
      <c r="BJ458" s="7"/>
      <c r="BK458" s="6"/>
      <c r="BL458" s="8"/>
      <c r="BM458" s="7"/>
      <c r="BN458" s="6"/>
      <c r="BO458" s="8"/>
      <c r="BP458" s="7"/>
      <c r="BQ458" s="6"/>
      <c r="BR458" s="8"/>
    </row>
    <row r="459">
      <c r="A459" s="6"/>
      <c r="B459" s="6" t="s">
        <v>459</v>
      </c>
      <c r="C459" s="3" t="str">
        <f t="shared" si="1"/>
        <v>_plaid fuchsia</v>
      </c>
      <c r="D459" s="3" t="str">
        <f t="shared" si="8"/>
        <v>#N/A</v>
      </c>
      <c r="E459" s="3" t="b">
        <f t="shared" si="2"/>
        <v>0</v>
      </c>
      <c r="G459" s="3" t="str">
        <f t="shared" si="3"/>
        <v>#N/A</v>
      </c>
      <c r="H459" s="3" t="b">
        <f t="shared" si="4"/>
        <v>0</v>
      </c>
      <c r="J459" s="3" t="str">
        <f t="shared" si="5"/>
        <v>#N/A</v>
      </c>
      <c r="K459" s="3" t="b">
        <f t="shared" si="6"/>
        <v>0</v>
      </c>
      <c r="M459" s="3" t="str">
        <f t="shared" si="7"/>
        <v>#N/A</v>
      </c>
      <c r="AU459" s="7"/>
      <c r="AV459" s="6"/>
      <c r="AW459" s="8"/>
      <c r="AX459" s="7"/>
      <c r="AY459" s="6"/>
      <c r="AZ459" s="8"/>
      <c r="BA459" s="7"/>
      <c r="BB459" s="6"/>
      <c r="BC459" s="8"/>
      <c r="BD459" s="7"/>
      <c r="BE459" s="6"/>
      <c r="BF459" s="8"/>
      <c r="BG459" s="7"/>
      <c r="BH459" s="6"/>
      <c r="BI459" s="8"/>
      <c r="BJ459" s="7"/>
      <c r="BK459" s="6"/>
      <c r="BL459" s="8"/>
      <c r="BM459" s="7"/>
      <c r="BN459" s="6"/>
      <c r="BO459" s="8"/>
      <c r="BP459" s="7"/>
      <c r="BQ459" s="6"/>
      <c r="BR459" s="8"/>
    </row>
    <row r="460">
      <c r="A460" s="6"/>
      <c r="B460" s="6" t="s">
        <v>460</v>
      </c>
      <c r="C460" s="3" t="str">
        <f t="shared" si="1"/>
        <v>_pale chartreuse</v>
      </c>
      <c r="D460" s="3" t="str">
        <f t="shared" si="8"/>
        <v>#N/A</v>
      </c>
      <c r="E460" s="3" t="b">
        <f t="shared" si="2"/>
        <v>0</v>
      </c>
      <c r="G460" s="3" t="str">
        <f t="shared" si="3"/>
        <v>#N/A</v>
      </c>
      <c r="H460" s="3" t="b">
        <f t="shared" si="4"/>
        <v>0</v>
      </c>
      <c r="J460" s="3" t="str">
        <f t="shared" si="5"/>
        <v>#N/A</v>
      </c>
      <c r="K460" s="3" t="b">
        <f t="shared" si="6"/>
        <v>0</v>
      </c>
      <c r="M460" s="3" t="str">
        <f t="shared" si="7"/>
        <v>#N/A</v>
      </c>
      <c r="AU460" s="7"/>
      <c r="AV460" s="6"/>
      <c r="AW460" s="8"/>
      <c r="AX460" s="7"/>
      <c r="AY460" s="6"/>
      <c r="AZ460" s="8"/>
      <c r="BA460" s="7"/>
      <c r="BB460" s="6"/>
      <c r="BC460" s="8"/>
      <c r="BD460" s="7"/>
      <c r="BE460" s="6"/>
      <c r="BF460" s="8"/>
      <c r="BG460" s="7"/>
      <c r="BH460" s="6"/>
      <c r="BI460" s="8"/>
      <c r="BJ460" s="7"/>
      <c r="BK460" s="6"/>
      <c r="BL460" s="8"/>
      <c r="BM460" s="7"/>
      <c r="BN460" s="6"/>
      <c r="BO460" s="8"/>
      <c r="BP460" s="7"/>
      <c r="BQ460" s="6"/>
      <c r="BR460" s="8"/>
    </row>
    <row r="461">
      <c r="A461" s="6"/>
      <c r="B461" s="6" t="s">
        <v>461</v>
      </c>
      <c r="C461" s="3" t="str">
        <f t="shared" si="1"/>
        <v>_shiny beige</v>
      </c>
      <c r="D461" s="3" t="str">
        <f t="shared" si="8"/>
        <v>#N/A</v>
      </c>
      <c r="E461" s="3" t="b">
        <f t="shared" si="2"/>
        <v>0</v>
      </c>
      <c r="G461" s="3" t="str">
        <f t="shared" si="3"/>
        <v>#N/A</v>
      </c>
      <c r="H461" s="3" t="b">
        <f t="shared" si="4"/>
        <v>0</v>
      </c>
      <c r="J461" s="3" t="str">
        <f t="shared" si="5"/>
        <v>#N/A</v>
      </c>
      <c r="K461" s="3" t="b">
        <f t="shared" si="6"/>
        <v>0</v>
      </c>
      <c r="M461" s="3" t="str">
        <f t="shared" si="7"/>
        <v>#N/A</v>
      </c>
      <c r="AU461" s="7"/>
      <c r="AV461" s="6"/>
      <c r="AW461" s="8"/>
      <c r="AX461" s="7"/>
      <c r="AY461" s="6"/>
      <c r="AZ461" s="8"/>
      <c r="BA461" s="7"/>
      <c r="BB461" s="6"/>
      <c r="BC461" s="8"/>
      <c r="BD461" s="7"/>
      <c r="BE461" s="6"/>
      <c r="BF461" s="8"/>
      <c r="BG461" s="7"/>
      <c r="BH461" s="6"/>
      <c r="BI461" s="8"/>
      <c r="BJ461" s="7"/>
      <c r="BK461" s="6"/>
      <c r="BL461" s="8"/>
      <c r="BM461" s="7"/>
      <c r="BN461" s="6"/>
      <c r="BO461" s="8"/>
      <c r="BP461" s="7"/>
      <c r="BQ461" s="6"/>
      <c r="BR461" s="8"/>
    </row>
    <row r="462">
      <c r="A462" s="6"/>
      <c r="B462" s="6" t="s">
        <v>462</v>
      </c>
      <c r="C462" s="3" t="str">
        <f t="shared" si="1"/>
        <v>_posh aqua</v>
      </c>
      <c r="D462" s="3" t="str">
        <f t="shared" si="8"/>
        <v>#N/A</v>
      </c>
      <c r="E462" s="3" t="b">
        <f t="shared" si="2"/>
        <v>0</v>
      </c>
      <c r="G462" s="3" t="str">
        <f t="shared" si="3"/>
        <v>#N/A</v>
      </c>
      <c r="H462" s="3" t="b">
        <f t="shared" si="4"/>
        <v>0</v>
      </c>
      <c r="J462" s="3" t="str">
        <f t="shared" si="5"/>
        <v>#N/A</v>
      </c>
      <c r="K462" s="3" t="b">
        <f t="shared" si="6"/>
        <v>0</v>
      </c>
      <c r="M462" s="3" t="str">
        <f t="shared" si="7"/>
        <v>#N/A</v>
      </c>
      <c r="AU462" s="7"/>
      <c r="AV462" s="6"/>
      <c r="AW462" s="8"/>
      <c r="AX462" s="7"/>
      <c r="AY462" s="6"/>
      <c r="AZ462" s="8"/>
      <c r="BA462" s="7"/>
      <c r="BB462" s="6"/>
      <c r="BC462" s="8"/>
      <c r="BD462" s="7"/>
      <c r="BE462" s="6"/>
      <c r="BF462" s="8"/>
      <c r="BG462" s="7"/>
      <c r="BH462" s="6"/>
      <c r="BI462" s="8"/>
      <c r="BJ462" s="7"/>
      <c r="BK462" s="6"/>
      <c r="BL462" s="8"/>
      <c r="BM462" s="7"/>
      <c r="BN462" s="6"/>
      <c r="BO462" s="8"/>
      <c r="BP462" s="7"/>
      <c r="BQ462" s="6"/>
      <c r="BR462" s="8"/>
    </row>
    <row r="463">
      <c r="A463" s="6"/>
      <c r="B463" s="6" t="s">
        <v>463</v>
      </c>
      <c r="C463" s="3" t="str">
        <f t="shared" si="1"/>
        <v>_dull magenta</v>
      </c>
      <c r="D463" s="3" t="str">
        <f t="shared" si="8"/>
        <v>#N/A</v>
      </c>
      <c r="E463" s="3" t="b">
        <f t="shared" si="2"/>
        <v>0</v>
      </c>
      <c r="G463" s="3" t="str">
        <f t="shared" si="3"/>
        <v>#N/A</v>
      </c>
      <c r="H463" s="3" t="b">
        <f t="shared" si="4"/>
        <v>0</v>
      </c>
      <c r="J463" s="3" t="str">
        <f t="shared" si="5"/>
        <v>#N/A</v>
      </c>
      <c r="K463" s="3" t="b">
        <f t="shared" si="6"/>
        <v>0</v>
      </c>
      <c r="M463" s="3" t="str">
        <f t="shared" si="7"/>
        <v>#N/A</v>
      </c>
      <c r="AU463" s="7"/>
      <c r="AV463" s="6"/>
      <c r="AW463" s="8"/>
      <c r="AX463" s="7"/>
      <c r="AY463" s="6"/>
      <c r="AZ463" s="8"/>
      <c r="BA463" s="7"/>
      <c r="BB463" s="6"/>
      <c r="BC463" s="8"/>
      <c r="BD463" s="7"/>
      <c r="BE463" s="6"/>
      <c r="BF463" s="8"/>
      <c r="BG463" s="7"/>
      <c r="BH463" s="6"/>
      <c r="BI463" s="8"/>
      <c r="BJ463" s="7"/>
      <c r="BK463" s="6"/>
      <c r="BL463" s="8"/>
      <c r="BM463" s="7"/>
      <c r="BN463" s="6"/>
      <c r="BO463" s="8"/>
      <c r="BP463" s="7"/>
      <c r="BQ463" s="6"/>
      <c r="BR463" s="8"/>
    </row>
    <row r="464">
      <c r="A464" s="6"/>
      <c r="B464" s="6" t="s">
        <v>464</v>
      </c>
      <c r="C464" s="3" t="str">
        <f t="shared" si="1"/>
        <v>_posh tomato</v>
      </c>
      <c r="D464" s="3" t="str">
        <f t="shared" si="8"/>
        <v>#N/A</v>
      </c>
      <c r="E464" s="3" t="b">
        <f t="shared" si="2"/>
        <v>0</v>
      </c>
      <c r="G464" s="3" t="str">
        <f t="shared" si="3"/>
        <v>#N/A</v>
      </c>
      <c r="H464" s="3" t="b">
        <f t="shared" si="4"/>
        <v>0</v>
      </c>
      <c r="J464" s="3" t="str">
        <f t="shared" si="5"/>
        <v>#N/A</v>
      </c>
      <c r="K464" s="3" t="b">
        <f t="shared" si="6"/>
        <v>0</v>
      </c>
      <c r="M464" s="3" t="str">
        <f t="shared" si="7"/>
        <v>#N/A</v>
      </c>
      <c r="AU464" s="7"/>
      <c r="AV464" s="6"/>
      <c r="AW464" s="8"/>
      <c r="AX464" s="7"/>
      <c r="AY464" s="6"/>
      <c r="AZ464" s="8"/>
      <c r="BA464" s="7"/>
      <c r="BB464" s="6"/>
      <c r="BC464" s="8"/>
      <c r="BD464" s="7"/>
      <c r="BE464" s="6"/>
      <c r="BF464" s="8"/>
      <c r="BG464" s="7"/>
      <c r="BH464" s="6"/>
      <c r="BI464" s="8"/>
      <c r="BJ464" s="7"/>
      <c r="BK464" s="6"/>
      <c r="BL464" s="8"/>
      <c r="BM464" s="7"/>
      <c r="BN464" s="6"/>
      <c r="BO464" s="8"/>
      <c r="BP464" s="7"/>
      <c r="BQ464" s="6"/>
      <c r="BR464" s="8"/>
    </row>
    <row r="465">
      <c r="A465" s="6"/>
      <c r="B465" s="6" t="s">
        <v>465</v>
      </c>
      <c r="C465" s="3" t="str">
        <f t="shared" si="1"/>
        <v>_clear red</v>
      </c>
      <c r="D465" s="3" t="str">
        <f t="shared" si="8"/>
        <v>#N/A</v>
      </c>
      <c r="E465" s="3" t="b">
        <f t="shared" si="2"/>
        <v>0</v>
      </c>
      <c r="G465" s="3" t="str">
        <f t="shared" si="3"/>
        <v>#N/A</v>
      </c>
      <c r="H465" s="3" t="b">
        <f t="shared" si="4"/>
        <v>0</v>
      </c>
      <c r="J465" s="3" t="str">
        <f t="shared" si="5"/>
        <v>#N/A</v>
      </c>
      <c r="K465" s="3" t="b">
        <f t="shared" si="6"/>
        <v>0</v>
      </c>
      <c r="M465" s="3" t="str">
        <f t="shared" si="7"/>
        <v>#N/A</v>
      </c>
      <c r="AU465" s="7"/>
      <c r="AV465" s="6"/>
      <c r="AW465" s="8"/>
      <c r="AX465" s="7"/>
      <c r="AY465" s="6"/>
      <c r="AZ465" s="8"/>
      <c r="BA465" s="7"/>
      <c r="BB465" s="6"/>
      <c r="BC465" s="8"/>
      <c r="BD465" s="7"/>
      <c r="BE465" s="6"/>
      <c r="BF465" s="8"/>
      <c r="BG465" s="7"/>
      <c r="BH465" s="6"/>
      <c r="BI465" s="8"/>
      <c r="BJ465" s="7"/>
      <c r="BK465" s="6"/>
      <c r="BL465" s="8"/>
      <c r="BM465" s="7"/>
      <c r="BN465" s="6"/>
      <c r="BO465" s="8"/>
      <c r="BP465" s="7"/>
      <c r="BQ465" s="6"/>
      <c r="BR465" s="8"/>
    </row>
    <row r="466">
      <c r="A466" s="6"/>
      <c r="B466" s="6" t="s">
        <v>466</v>
      </c>
      <c r="C466" s="3" t="str">
        <f t="shared" si="1"/>
        <v>_dotted aqua</v>
      </c>
      <c r="D466" s="3" t="str">
        <f t="shared" si="8"/>
        <v>#N/A</v>
      </c>
      <c r="E466" s="3" t="b">
        <f t="shared" si="2"/>
        <v>0</v>
      </c>
      <c r="G466" s="3" t="str">
        <f t="shared" si="3"/>
        <v>#N/A</v>
      </c>
      <c r="H466" s="3" t="b">
        <f t="shared" si="4"/>
        <v>0</v>
      </c>
      <c r="J466" s="3" t="str">
        <f t="shared" si="5"/>
        <v>#N/A</v>
      </c>
      <c r="K466" s="3" t="b">
        <f t="shared" si="6"/>
        <v>0</v>
      </c>
      <c r="M466" s="3" t="str">
        <f t="shared" si="7"/>
        <v>#N/A</v>
      </c>
      <c r="AU466" s="7"/>
      <c r="AV466" s="6"/>
      <c r="AW466" s="8"/>
      <c r="AX466" s="7"/>
      <c r="AY466" s="6"/>
      <c r="AZ466" s="8"/>
      <c r="BA466" s="7"/>
      <c r="BB466" s="6"/>
      <c r="BC466" s="8"/>
      <c r="BD466" s="7"/>
      <c r="BE466" s="6"/>
      <c r="BF466" s="8"/>
      <c r="BG466" s="7"/>
      <c r="BH466" s="6"/>
      <c r="BI466" s="8"/>
      <c r="BJ466" s="7"/>
      <c r="BK466" s="6"/>
      <c r="BL466" s="8"/>
      <c r="BM466" s="7"/>
      <c r="BN466" s="6"/>
      <c r="BO466" s="8"/>
      <c r="BP466" s="7"/>
      <c r="BQ466" s="6"/>
      <c r="BR466" s="8"/>
    </row>
    <row r="467">
      <c r="A467" s="6"/>
      <c r="B467" s="6" t="s">
        <v>467</v>
      </c>
      <c r="C467" s="3" t="str">
        <f t="shared" si="1"/>
        <v>_clear olive</v>
      </c>
      <c r="D467" s="3" t="str">
        <f t="shared" si="8"/>
        <v>#N/A</v>
      </c>
      <c r="E467" s="3" t="b">
        <f t="shared" si="2"/>
        <v>0</v>
      </c>
      <c r="G467" s="3" t="str">
        <f t="shared" si="3"/>
        <v>#N/A</v>
      </c>
      <c r="H467" s="3" t="b">
        <f t="shared" si="4"/>
        <v>0</v>
      </c>
      <c r="J467" s="3" t="str">
        <f t="shared" si="5"/>
        <v>#N/A</v>
      </c>
      <c r="K467" s="3" t="b">
        <f t="shared" si="6"/>
        <v>0</v>
      </c>
      <c r="M467" s="3" t="str">
        <f t="shared" si="7"/>
        <v>#N/A</v>
      </c>
      <c r="AU467" s="7"/>
      <c r="AV467" s="6"/>
      <c r="AW467" s="8"/>
      <c r="AX467" s="7"/>
      <c r="AY467" s="6"/>
      <c r="AZ467" s="8"/>
      <c r="BA467" s="7"/>
      <c r="BB467" s="6"/>
      <c r="BC467" s="8"/>
      <c r="BD467" s="7"/>
      <c r="BE467" s="6"/>
      <c r="BF467" s="8"/>
      <c r="BG467" s="7"/>
      <c r="BH467" s="6"/>
      <c r="BI467" s="8"/>
      <c r="BJ467" s="7"/>
      <c r="BK467" s="6"/>
      <c r="BL467" s="8"/>
      <c r="BM467" s="7"/>
      <c r="BN467" s="6"/>
      <c r="BO467" s="8"/>
      <c r="BP467" s="7"/>
      <c r="BQ467" s="6"/>
      <c r="BR467" s="8"/>
    </row>
    <row r="468">
      <c r="A468" s="6"/>
      <c r="B468" s="6" t="s">
        <v>468</v>
      </c>
      <c r="C468" s="3" t="str">
        <f t="shared" si="1"/>
        <v>_dotted green</v>
      </c>
      <c r="D468" s="3" t="str">
        <f t="shared" si="8"/>
        <v>#N/A</v>
      </c>
      <c r="E468" s="3" t="b">
        <f t="shared" si="2"/>
        <v>0</v>
      </c>
      <c r="G468" s="3" t="str">
        <f t="shared" si="3"/>
        <v>#N/A</v>
      </c>
      <c r="H468" s="3" t="b">
        <f t="shared" si="4"/>
        <v>0</v>
      </c>
      <c r="J468" s="3" t="str">
        <f t="shared" si="5"/>
        <v>#N/A</v>
      </c>
      <c r="K468" s="3" t="b">
        <f t="shared" si="6"/>
        <v>0</v>
      </c>
      <c r="M468" s="3" t="str">
        <f t="shared" si="7"/>
        <v>#N/A</v>
      </c>
      <c r="AU468" s="7"/>
      <c r="AV468" s="6"/>
      <c r="AW468" s="8"/>
      <c r="AX468" s="7"/>
      <c r="AY468" s="6"/>
      <c r="AZ468" s="8"/>
      <c r="BA468" s="7"/>
      <c r="BB468" s="6"/>
      <c r="BC468" s="8"/>
      <c r="BD468" s="7"/>
      <c r="BE468" s="6"/>
      <c r="BF468" s="8"/>
      <c r="BG468" s="7"/>
      <c r="BH468" s="6"/>
      <c r="BI468" s="8"/>
      <c r="BJ468" s="7"/>
      <c r="BK468" s="6"/>
      <c r="BL468" s="8"/>
      <c r="BM468" s="7"/>
      <c r="BN468" s="6"/>
      <c r="BO468" s="8"/>
      <c r="BP468" s="7"/>
      <c r="BQ468" s="6"/>
      <c r="BR468" s="8"/>
    </row>
    <row r="469">
      <c r="A469" s="6"/>
      <c r="B469" s="6" t="s">
        <v>469</v>
      </c>
      <c r="C469" s="3" t="str">
        <f t="shared" si="1"/>
        <v>_clear teal</v>
      </c>
      <c r="D469" s="3" t="str">
        <f t="shared" si="8"/>
        <v>#N/A</v>
      </c>
      <c r="E469" s="3" t="b">
        <f t="shared" si="2"/>
        <v>0</v>
      </c>
      <c r="G469" s="3" t="str">
        <f t="shared" si="3"/>
        <v>#N/A</v>
      </c>
      <c r="H469" s="3" t="b">
        <f t="shared" si="4"/>
        <v>0</v>
      </c>
      <c r="J469" s="3" t="str">
        <f t="shared" si="5"/>
        <v>#N/A</v>
      </c>
      <c r="K469" s="3" t="b">
        <f t="shared" si="6"/>
        <v>0</v>
      </c>
      <c r="M469" s="3" t="str">
        <f t="shared" si="7"/>
        <v>#N/A</v>
      </c>
      <c r="AU469" s="7"/>
      <c r="AV469" s="6"/>
      <c r="AW469" s="8"/>
      <c r="AX469" s="7"/>
      <c r="AY469" s="6"/>
      <c r="AZ469" s="8"/>
      <c r="BA469" s="7"/>
      <c r="BB469" s="6"/>
      <c r="BC469" s="8"/>
      <c r="BD469" s="7"/>
      <c r="BE469" s="6"/>
      <c r="BF469" s="8"/>
      <c r="BG469" s="7"/>
      <c r="BH469" s="6"/>
      <c r="BI469" s="8"/>
      <c r="BJ469" s="7"/>
      <c r="BK469" s="6"/>
      <c r="BL469" s="8"/>
      <c r="BM469" s="7"/>
      <c r="BN469" s="6"/>
      <c r="BO469" s="8"/>
      <c r="BP469" s="7"/>
      <c r="BQ469" s="6"/>
      <c r="BR469" s="8"/>
    </row>
    <row r="470">
      <c r="A470" s="6"/>
      <c r="B470" s="6" t="s">
        <v>470</v>
      </c>
      <c r="C470" s="3" t="str">
        <f t="shared" si="1"/>
        <v>_plaid orange</v>
      </c>
      <c r="D470" s="3" t="str">
        <f t="shared" si="8"/>
        <v>#N/A</v>
      </c>
      <c r="E470" s="3" t="b">
        <f t="shared" si="2"/>
        <v>0</v>
      </c>
      <c r="G470" s="3" t="str">
        <f t="shared" si="3"/>
        <v>#N/A</v>
      </c>
      <c r="H470" s="3" t="b">
        <f t="shared" si="4"/>
        <v>0</v>
      </c>
      <c r="J470" s="3" t="str">
        <f t="shared" si="5"/>
        <v>#N/A</v>
      </c>
      <c r="K470" s="3" t="b">
        <f t="shared" si="6"/>
        <v>0</v>
      </c>
      <c r="M470" s="3" t="str">
        <f t="shared" si="7"/>
        <v>#N/A</v>
      </c>
      <c r="AU470" s="7"/>
      <c r="AV470" s="6"/>
      <c r="AW470" s="8"/>
      <c r="AX470" s="7"/>
      <c r="AY470" s="6"/>
      <c r="AZ470" s="8"/>
      <c r="BA470" s="7"/>
      <c r="BB470" s="6"/>
      <c r="BC470" s="8"/>
      <c r="BD470" s="7"/>
      <c r="BE470" s="6"/>
      <c r="BF470" s="8"/>
      <c r="BG470" s="7"/>
      <c r="BH470" s="6"/>
      <c r="BI470" s="8"/>
      <c r="BJ470" s="7"/>
      <c r="BK470" s="6"/>
      <c r="BL470" s="8"/>
      <c r="BM470" s="7"/>
      <c r="BN470" s="6"/>
      <c r="BO470" s="8"/>
      <c r="BP470" s="7"/>
      <c r="BQ470" s="6"/>
      <c r="BR470" s="8"/>
    </row>
    <row r="471">
      <c r="A471" s="6"/>
      <c r="B471" s="6" t="s">
        <v>471</v>
      </c>
      <c r="C471" s="3" t="str">
        <f t="shared" si="1"/>
        <v>_pale teal</v>
      </c>
      <c r="D471" s="3" t="str">
        <f t="shared" si="8"/>
        <v>#N/A</v>
      </c>
      <c r="E471" s="3" t="b">
        <f t="shared" si="2"/>
        <v>0</v>
      </c>
      <c r="G471" s="3" t="str">
        <f t="shared" si="3"/>
        <v>#N/A</v>
      </c>
      <c r="H471" s="3" t="b">
        <f t="shared" si="4"/>
        <v>0</v>
      </c>
      <c r="J471" s="3" t="str">
        <f t="shared" si="5"/>
        <v>#N/A</v>
      </c>
      <c r="K471" s="3" t="b">
        <f t="shared" si="6"/>
        <v>0</v>
      </c>
      <c r="M471" s="3" t="str">
        <f t="shared" si="7"/>
        <v>#N/A</v>
      </c>
      <c r="AU471" s="7"/>
      <c r="AV471" s="6"/>
      <c r="AW471" s="8"/>
      <c r="AX471" s="7"/>
      <c r="AY471" s="6"/>
      <c r="AZ471" s="8"/>
      <c r="BA471" s="7"/>
      <c r="BB471" s="6"/>
      <c r="BC471" s="8"/>
      <c r="BD471" s="7"/>
      <c r="BE471" s="6"/>
      <c r="BF471" s="8"/>
      <c r="BG471" s="7"/>
      <c r="BH471" s="6"/>
      <c r="BI471" s="8"/>
      <c r="BJ471" s="7"/>
      <c r="BK471" s="6"/>
      <c r="BL471" s="8"/>
      <c r="BM471" s="7"/>
      <c r="BN471" s="6"/>
      <c r="BO471" s="8"/>
      <c r="BP471" s="7"/>
      <c r="BQ471" s="6"/>
      <c r="BR471" s="8"/>
    </row>
    <row r="472">
      <c r="A472" s="6"/>
      <c r="B472" s="6" t="s">
        <v>472</v>
      </c>
      <c r="C472" s="3" t="str">
        <f t="shared" si="1"/>
        <v>_posh chartreuse</v>
      </c>
      <c r="D472" s="3" t="str">
        <f t="shared" si="8"/>
        <v>#N/A</v>
      </c>
      <c r="E472" s="3" t="b">
        <f t="shared" si="2"/>
        <v>0</v>
      </c>
      <c r="G472" s="3" t="str">
        <f t="shared" si="3"/>
        <v>#N/A</v>
      </c>
      <c r="H472" s="3" t="b">
        <f t="shared" si="4"/>
        <v>0</v>
      </c>
      <c r="J472" s="3" t="str">
        <f t="shared" si="5"/>
        <v>#N/A</v>
      </c>
      <c r="K472" s="3" t="b">
        <f t="shared" si="6"/>
        <v>0</v>
      </c>
      <c r="M472" s="3" t="str">
        <f t="shared" si="7"/>
        <v>#N/A</v>
      </c>
      <c r="AU472" s="7"/>
      <c r="AV472" s="6"/>
      <c r="AW472" s="8"/>
      <c r="AX472" s="7"/>
      <c r="AY472" s="6"/>
      <c r="AZ472" s="8"/>
      <c r="BA472" s="7"/>
      <c r="BB472" s="6"/>
      <c r="BC472" s="8"/>
      <c r="BD472" s="7"/>
      <c r="BE472" s="6"/>
      <c r="BF472" s="8"/>
      <c r="BG472" s="7"/>
      <c r="BH472" s="6"/>
      <c r="BI472" s="8"/>
      <c r="BJ472" s="7"/>
      <c r="BK472" s="6"/>
      <c r="BL472" s="8"/>
      <c r="BM472" s="7"/>
      <c r="BN472" s="6"/>
      <c r="BO472" s="8"/>
      <c r="BP472" s="7"/>
      <c r="BQ472" s="6"/>
      <c r="BR472" s="8"/>
    </row>
    <row r="473">
      <c r="A473" s="6"/>
      <c r="B473" s="6" t="s">
        <v>473</v>
      </c>
      <c r="C473" s="3" t="str">
        <f t="shared" si="1"/>
        <v>_pale red</v>
      </c>
      <c r="D473" s="3" t="str">
        <f t="shared" si="8"/>
        <v>#N/A</v>
      </c>
      <c r="E473" s="3" t="b">
        <f t="shared" si="2"/>
        <v>0</v>
      </c>
      <c r="G473" s="3" t="str">
        <f t="shared" si="3"/>
        <v>#N/A</v>
      </c>
      <c r="H473" s="3" t="b">
        <f t="shared" si="4"/>
        <v>0</v>
      </c>
      <c r="J473" s="3" t="str">
        <f t="shared" si="5"/>
        <v>#N/A</v>
      </c>
      <c r="K473" s="3" t="b">
        <f t="shared" si="6"/>
        <v>0</v>
      </c>
      <c r="M473" s="3" t="str">
        <f t="shared" si="7"/>
        <v>#N/A</v>
      </c>
      <c r="AU473" s="7"/>
      <c r="AV473" s="6"/>
      <c r="AW473" s="8"/>
      <c r="AX473" s="7"/>
      <c r="AY473" s="6"/>
      <c r="AZ473" s="8"/>
      <c r="BA473" s="7"/>
      <c r="BB473" s="6"/>
      <c r="BC473" s="8"/>
      <c r="BD473" s="7"/>
      <c r="BE473" s="6"/>
      <c r="BF473" s="8"/>
      <c r="BG473" s="7"/>
      <c r="BH473" s="6"/>
      <c r="BI473" s="8"/>
      <c r="BJ473" s="7"/>
      <c r="BK473" s="6"/>
      <c r="BL473" s="8"/>
      <c r="BM473" s="7"/>
      <c r="BN473" s="6"/>
      <c r="BO473" s="8"/>
      <c r="BP473" s="7"/>
      <c r="BQ473" s="6"/>
      <c r="BR473" s="8"/>
    </row>
    <row r="474">
      <c r="A474" s="6"/>
      <c r="B474" s="6" t="s">
        <v>474</v>
      </c>
      <c r="C474" s="3" t="str">
        <f t="shared" si="1"/>
        <v>_faded violet</v>
      </c>
      <c r="D474" s="3" t="str">
        <f t="shared" si="8"/>
        <v>#N/A</v>
      </c>
      <c r="E474" s="3" t="b">
        <f t="shared" si="2"/>
        <v>0</v>
      </c>
      <c r="G474" s="3" t="str">
        <f t="shared" si="3"/>
        <v>#N/A</v>
      </c>
      <c r="H474" s="3" t="b">
        <f t="shared" si="4"/>
        <v>0</v>
      </c>
      <c r="J474" s="3" t="str">
        <f t="shared" si="5"/>
        <v>#N/A</v>
      </c>
      <c r="K474" s="3" t="b">
        <f t="shared" si="6"/>
        <v>0</v>
      </c>
      <c r="M474" s="3" t="str">
        <f t="shared" si="7"/>
        <v>#N/A</v>
      </c>
      <c r="AU474" s="7"/>
      <c r="AV474" s="6"/>
      <c r="AW474" s="8"/>
      <c r="AX474" s="7"/>
      <c r="AY474" s="6"/>
      <c r="AZ474" s="8"/>
      <c r="BA474" s="7"/>
      <c r="BB474" s="6"/>
      <c r="BC474" s="8"/>
      <c r="BD474" s="7"/>
      <c r="BE474" s="6"/>
      <c r="BF474" s="8"/>
      <c r="BG474" s="7"/>
      <c r="BH474" s="6"/>
      <c r="BI474" s="8"/>
      <c r="BJ474" s="7"/>
      <c r="BK474" s="6"/>
      <c r="BL474" s="8"/>
      <c r="BM474" s="7"/>
      <c r="BN474" s="6"/>
      <c r="BO474" s="8"/>
      <c r="BP474" s="7"/>
      <c r="BQ474" s="6"/>
      <c r="BR474" s="8"/>
    </row>
    <row r="475">
      <c r="A475" s="6"/>
      <c r="B475" s="6" t="s">
        <v>475</v>
      </c>
      <c r="C475" s="3" t="str">
        <f t="shared" si="1"/>
        <v>_faded fuchsia</v>
      </c>
      <c r="D475" s="3" t="str">
        <f t="shared" si="8"/>
        <v>#N/A</v>
      </c>
      <c r="E475" s="3" t="b">
        <f t="shared" si="2"/>
        <v>0</v>
      </c>
      <c r="G475" s="3" t="str">
        <f t="shared" si="3"/>
        <v>#N/A</v>
      </c>
      <c r="H475" s="3" t="b">
        <f t="shared" si="4"/>
        <v>0</v>
      </c>
      <c r="J475" s="3" t="str">
        <f t="shared" si="5"/>
        <v>#N/A</v>
      </c>
      <c r="K475" s="3" t="b">
        <f t="shared" si="6"/>
        <v>0</v>
      </c>
      <c r="M475" s="3" t="str">
        <f t="shared" si="7"/>
        <v>#N/A</v>
      </c>
      <c r="AU475" s="7"/>
      <c r="AV475" s="6"/>
      <c r="AW475" s="8"/>
      <c r="AX475" s="7"/>
      <c r="AY475" s="6"/>
      <c r="AZ475" s="8"/>
      <c r="BA475" s="7"/>
      <c r="BB475" s="6"/>
      <c r="BC475" s="8"/>
      <c r="BD475" s="7"/>
      <c r="BE475" s="6"/>
      <c r="BF475" s="8"/>
      <c r="BG475" s="7"/>
      <c r="BH475" s="6"/>
      <c r="BI475" s="8"/>
      <c r="BJ475" s="7"/>
      <c r="BK475" s="6"/>
      <c r="BL475" s="8"/>
      <c r="BM475" s="7"/>
      <c r="BN475" s="6"/>
      <c r="BO475" s="8"/>
      <c r="BP475" s="7"/>
      <c r="BQ475" s="6"/>
      <c r="BR475" s="8"/>
    </row>
    <row r="476">
      <c r="A476" s="6"/>
      <c r="B476" s="6" t="s">
        <v>476</v>
      </c>
      <c r="C476" s="3" t="str">
        <f t="shared" si="1"/>
        <v>_dotted brown</v>
      </c>
      <c r="D476" s="3" t="str">
        <f t="shared" si="8"/>
        <v>#N/A</v>
      </c>
      <c r="E476" s="3" t="b">
        <f t="shared" si="2"/>
        <v>0</v>
      </c>
      <c r="G476" s="3" t="str">
        <f t="shared" si="3"/>
        <v>#N/A</v>
      </c>
      <c r="H476" s="3" t="b">
        <f t="shared" si="4"/>
        <v>0</v>
      </c>
      <c r="J476" s="3" t="str">
        <f t="shared" si="5"/>
        <v>#N/A</v>
      </c>
      <c r="K476" s="3" t="b">
        <f t="shared" si="6"/>
        <v>0</v>
      </c>
      <c r="M476" s="3" t="str">
        <f t="shared" si="7"/>
        <v>#N/A</v>
      </c>
      <c r="AU476" s="7"/>
      <c r="AV476" s="6"/>
      <c r="AW476" s="8"/>
      <c r="AX476" s="7"/>
      <c r="AY476" s="6"/>
      <c r="AZ476" s="8"/>
      <c r="BA476" s="7"/>
      <c r="BB476" s="6"/>
      <c r="BC476" s="8"/>
      <c r="BD476" s="7"/>
      <c r="BE476" s="6"/>
      <c r="BF476" s="8"/>
      <c r="BG476" s="7"/>
      <c r="BH476" s="6"/>
      <c r="BI476" s="8"/>
      <c r="BJ476" s="7"/>
      <c r="BK476" s="6"/>
      <c r="BL476" s="8"/>
      <c r="BM476" s="7"/>
      <c r="BN476" s="6"/>
      <c r="BO476" s="8"/>
      <c r="BP476" s="7"/>
      <c r="BQ476" s="6"/>
      <c r="BR476" s="8"/>
    </row>
    <row r="477">
      <c r="A477" s="6"/>
      <c r="B477" s="6" t="s">
        <v>477</v>
      </c>
      <c r="C477" s="3" t="str">
        <f t="shared" si="1"/>
        <v>_dark teal</v>
      </c>
      <c r="D477" s="3" t="str">
        <f t="shared" si="8"/>
        <v>#N/A</v>
      </c>
      <c r="E477" s="3" t="b">
        <f t="shared" si="2"/>
        <v>0</v>
      </c>
      <c r="G477" s="3" t="str">
        <f t="shared" si="3"/>
        <v>#N/A</v>
      </c>
      <c r="H477" s="3" t="b">
        <f t="shared" si="4"/>
        <v>0</v>
      </c>
      <c r="J477" s="3" t="str">
        <f t="shared" si="5"/>
        <v>#N/A</v>
      </c>
      <c r="K477" s="3" t="b">
        <f t="shared" si="6"/>
        <v>0</v>
      </c>
      <c r="M477" s="3" t="str">
        <f t="shared" si="7"/>
        <v>#N/A</v>
      </c>
      <c r="AU477" s="7"/>
      <c r="AV477" s="6"/>
      <c r="AW477" s="8"/>
      <c r="AX477" s="7"/>
      <c r="AY477" s="6"/>
      <c r="AZ477" s="8"/>
      <c r="BA477" s="7"/>
      <c r="BB477" s="6"/>
      <c r="BC477" s="8"/>
      <c r="BD477" s="7"/>
      <c r="BE477" s="6"/>
      <c r="BF477" s="8"/>
      <c r="BG477" s="7"/>
      <c r="BH477" s="6"/>
      <c r="BI477" s="8"/>
      <c r="BJ477" s="7"/>
      <c r="BK477" s="6"/>
      <c r="BL477" s="8"/>
      <c r="BM477" s="7"/>
      <c r="BN477" s="6"/>
      <c r="BO477" s="8"/>
      <c r="BP477" s="7"/>
      <c r="BQ477" s="6"/>
      <c r="BR477" s="8"/>
    </row>
    <row r="478">
      <c r="A478" s="6"/>
      <c r="B478" s="6" t="s">
        <v>478</v>
      </c>
      <c r="C478" s="3" t="str">
        <f t="shared" si="1"/>
        <v>_bright salmon</v>
      </c>
      <c r="D478" s="3" t="str">
        <f t="shared" si="8"/>
        <v>#N/A</v>
      </c>
      <c r="E478" s="3" t="b">
        <f t="shared" si="2"/>
        <v>0</v>
      </c>
      <c r="G478" s="3" t="str">
        <f t="shared" si="3"/>
        <v>#N/A</v>
      </c>
      <c r="H478" s="3" t="b">
        <f t="shared" si="4"/>
        <v>0</v>
      </c>
      <c r="J478" s="3" t="str">
        <f t="shared" si="5"/>
        <v>#N/A</v>
      </c>
      <c r="K478" s="3" t="b">
        <f t="shared" si="6"/>
        <v>0</v>
      </c>
      <c r="M478" s="3" t="str">
        <f t="shared" si="7"/>
        <v>#N/A</v>
      </c>
      <c r="AU478" s="7"/>
      <c r="AV478" s="6"/>
      <c r="AW478" s="8"/>
      <c r="AX478" s="7"/>
      <c r="AY478" s="6"/>
      <c r="AZ478" s="8"/>
      <c r="BA478" s="7"/>
      <c r="BB478" s="6"/>
      <c r="BC478" s="8"/>
      <c r="BD478" s="7"/>
      <c r="BE478" s="6"/>
      <c r="BF478" s="8"/>
      <c r="BG478" s="7"/>
      <c r="BH478" s="6"/>
      <c r="BI478" s="8"/>
      <c r="BJ478" s="7"/>
      <c r="BK478" s="6"/>
      <c r="BL478" s="8"/>
      <c r="BM478" s="7"/>
      <c r="BN478" s="6"/>
      <c r="BO478" s="8"/>
      <c r="BP478" s="7"/>
      <c r="BQ478" s="6"/>
      <c r="BR478" s="8"/>
    </row>
    <row r="479">
      <c r="A479" s="6"/>
      <c r="B479" s="6" t="s">
        <v>479</v>
      </c>
      <c r="C479" s="3" t="str">
        <f t="shared" si="1"/>
        <v>_pale blue</v>
      </c>
      <c r="D479" s="3" t="str">
        <f t="shared" si="8"/>
        <v>#N/A</v>
      </c>
      <c r="E479" s="3" t="b">
        <f t="shared" si="2"/>
        <v>1</v>
      </c>
      <c r="G479" s="3" t="str">
        <f t="shared" si="3"/>
        <v>#N/A</v>
      </c>
      <c r="H479" s="3" t="b">
        <f t="shared" si="4"/>
        <v>0</v>
      </c>
      <c r="J479" s="3" t="str">
        <f t="shared" si="5"/>
        <v>#N/A</v>
      </c>
      <c r="K479" s="3" t="b">
        <f t="shared" si="6"/>
        <v>0</v>
      </c>
      <c r="M479" s="3" t="str">
        <f t="shared" si="7"/>
        <v>#N/A</v>
      </c>
      <c r="AU479" s="7"/>
      <c r="AV479" s="6"/>
      <c r="AW479" s="8"/>
      <c r="AX479" s="7"/>
      <c r="AY479" s="6"/>
      <c r="AZ479" s="8"/>
      <c r="BA479" s="7"/>
      <c r="BB479" s="6"/>
      <c r="BC479" s="8"/>
      <c r="BD479" s="7"/>
      <c r="BE479" s="6"/>
      <c r="BF479" s="8"/>
      <c r="BG479" s="7"/>
      <c r="BH479" s="6"/>
      <c r="BI479" s="8"/>
      <c r="BJ479" s="7"/>
      <c r="BK479" s="6"/>
      <c r="BL479" s="8"/>
      <c r="BM479" s="7"/>
      <c r="BN479" s="6"/>
      <c r="BO479" s="8"/>
      <c r="BP479" s="7"/>
      <c r="BQ479" s="6"/>
      <c r="BR479" s="8"/>
    </row>
    <row r="480">
      <c r="A480" s="6"/>
      <c r="B480" s="6" t="s">
        <v>480</v>
      </c>
      <c r="C480" s="3" t="str">
        <f t="shared" si="1"/>
        <v>_dim tan</v>
      </c>
      <c r="D480" s="3" t="str">
        <f t="shared" si="8"/>
        <v>#N/A</v>
      </c>
      <c r="E480" s="3" t="b">
        <f t="shared" si="2"/>
        <v>0</v>
      </c>
      <c r="G480" s="3" t="str">
        <f t="shared" si="3"/>
        <v>#N/A</v>
      </c>
      <c r="H480" s="3" t="b">
        <f t="shared" si="4"/>
        <v>0</v>
      </c>
      <c r="J480" s="3" t="str">
        <f t="shared" si="5"/>
        <v>#N/A</v>
      </c>
      <c r="K480" s="3" t="b">
        <f t="shared" si="6"/>
        <v>0</v>
      </c>
      <c r="M480" s="3" t="str">
        <f t="shared" si="7"/>
        <v>#N/A</v>
      </c>
      <c r="AU480" s="7"/>
      <c r="AV480" s="6"/>
      <c r="AW480" s="8"/>
      <c r="AX480" s="7"/>
      <c r="AY480" s="6"/>
      <c r="AZ480" s="8"/>
      <c r="BA480" s="7"/>
      <c r="BB480" s="6"/>
      <c r="BC480" s="8"/>
      <c r="BD480" s="7"/>
      <c r="BE480" s="6"/>
      <c r="BF480" s="8"/>
      <c r="BG480" s="7"/>
      <c r="BH480" s="6"/>
      <c r="BI480" s="8"/>
      <c r="BJ480" s="7"/>
      <c r="BK480" s="6"/>
      <c r="BL480" s="8"/>
      <c r="BM480" s="7"/>
      <c r="BN480" s="6"/>
      <c r="BO480" s="8"/>
      <c r="BP480" s="7"/>
      <c r="BQ480" s="6"/>
      <c r="BR480" s="8"/>
    </row>
    <row r="481">
      <c r="A481" s="6"/>
      <c r="B481" s="6" t="s">
        <v>481</v>
      </c>
      <c r="C481" s="3" t="str">
        <f t="shared" si="1"/>
        <v>_dull beige</v>
      </c>
      <c r="D481" s="3" t="str">
        <f t="shared" si="8"/>
        <v>#N/A</v>
      </c>
      <c r="E481" s="3" t="b">
        <f t="shared" si="2"/>
        <v>0</v>
      </c>
      <c r="G481" s="3" t="str">
        <f t="shared" si="3"/>
        <v>#N/A</v>
      </c>
      <c r="H481" s="3" t="b">
        <f t="shared" si="4"/>
        <v>0</v>
      </c>
      <c r="J481" s="3" t="str">
        <f t="shared" si="5"/>
        <v>#N/A</v>
      </c>
      <c r="K481" s="3" t="b">
        <f t="shared" si="6"/>
        <v>0</v>
      </c>
      <c r="M481" s="3" t="str">
        <f t="shared" si="7"/>
        <v>#N/A</v>
      </c>
      <c r="AU481" s="7"/>
      <c r="AV481" s="6"/>
      <c r="AW481" s="8"/>
      <c r="AX481" s="7"/>
      <c r="AY481" s="6"/>
      <c r="AZ481" s="8"/>
      <c r="BA481" s="7"/>
      <c r="BB481" s="6"/>
      <c r="BC481" s="8"/>
      <c r="BD481" s="7"/>
      <c r="BE481" s="6"/>
      <c r="BF481" s="8"/>
      <c r="BG481" s="7"/>
      <c r="BH481" s="6"/>
      <c r="BI481" s="8"/>
      <c r="BJ481" s="7"/>
      <c r="BK481" s="6"/>
      <c r="BL481" s="8"/>
      <c r="BM481" s="7"/>
      <c r="BN481" s="6"/>
      <c r="BO481" s="8"/>
      <c r="BP481" s="7"/>
      <c r="BQ481" s="6"/>
      <c r="BR481" s="8"/>
    </row>
    <row r="482">
      <c r="A482" s="6"/>
      <c r="B482" s="6" t="s">
        <v>482</v>
      </c>
      <c r="C482" s="3" t="str">
        <f t="shared" si="1"/>
        <v>_clear magenta</v>
      </c>
      <c r="D482" s="3" t="str">
        <f t="shared" si="8"/>
        <v>#N/A</v>
      </c>
      <c r="E482" s="3" t="b">
        <f t="shared" si="2"/>
        <v>0</v>
      </c>
      <c r="G482" s="3" t="str">
        <f t="shared" si="3"/>
        <v>#N/A</v>
      </c>
      <c r="H482" s="3" t="b">
        <f t="shared" si="4"/>
        <v>0</v>
      </c>
      <c r="J482" s="3" t="str">
        <f t="shared" si="5"/>
        <v>#N/A</v>
      </c>
      <c r="K482" s="3" t="b">
        <f t="shared" si="6"/>
        <v>0</v>
      </c>
      <c r="M482" s="3" t="str">
        <f t="shared" si="7"/>
        <v>#N/A</v>
      </c>
      <c r="AU482" s="7"/>
      <c r="AV482" s="6"/>
      <c r="AW482" s="8"/>
      <c r="AX482" s="7"/>
      <c r="AY482" s="6"/>
      <c r="AZ482" s="8"/>
      <c r="BA482" s="7"/>
      <c r="BB482" s="6"/>
      <c r="BC482" s="8"/>
      <c r="BD482" s="7"/>
      <c r="BE482" s="6"/>
      <c r="BF482" s="8"/>
      <c r="BG482" s="7"/>
      <c r="BH482" s="6"/>
      <c r="BI482" s="8"/>
      <c r="BJ482" s="7"/>
      <c r="BK482" s="6"/>
      <c r="BL482" s="8"/>
      <c r="BM482" s="7"/>
      <c r="BN482" s="6"/>
      <c r="BO482" s="8"/>
      <c r="BP482" s="7"/>
      <c r="BQ482" s="6"/>
      <c r="BR482" s="8"/>
    </row>
    <row r="483">
      <c r="A483" s="6"/>
      <c r="B483" s="6" t="s">
        <v>483</v>
      </c>
      <c r="C483" s="3" t="str">
        <f t="shared" si="1"/>
        <v>_bright black</v>
      </c>
      <c r="D483" s="3" t="str">
        <f t="shared" si="8"/>
        <v>#N/A</v>
      </c>
      <c r="E483" s="3" t="b">
        <f t="shared" si="2"/>
        <v>0</v>
      </c>
      <c r="G483" s="3" t="str">
        <f t="shared" si="3"/>
        <v>#N/A</v>
      </c>
      <c r="H483" s="3" t="b">
        <f t="shared" si="4"/>
        <v>0</v>
      </c>
      <c r="J483" s="3" t="str">
        <f t="shared" si="5"/>
        <v>#N/A</v>
      </c>
      <c r="K483" s="3" t="b">
        <f t="shared" si="6"/>
        <v>0</v>
      </c>
      <c r="M483" s="3" t="str">
        <f t="shared" si="7"/>
        <v>#N/A</v>
      </c>
      <c r="AU483" s="7"/>
      <c r="AV483" s="6"/>
      <c r="AW483" s="8"/>
      <c r="AX483" s="7"/>
      <c r="AY483" s="6"/>
      <c r="AZ483" s="8"/>
      <c r="BA483" s="7"/>
      <c r="BB483" s="6"/>
      <c r="BC483" s="8"/>
      <c r="BD483" s="7"/>
      <c r="BE483" s="6"/>
      <c r="BF483" s="8"/>
      <c r="BG483" s="7"/>
      <c r="BH483" s="6"/>
      <c r="BI483" s="8"/>
      <c r="BJ483" s="7"/>
      <c r="BK483" s="6"/>
      <c r="BL483" s="8"/>
      <c r="BM483" s="7"/>
      <c r="BN483" s="6"/>
      <c r="BO483" s="8"/>
      <c r="BP483" s="7"/>
      <c r="BQ483" s="6"/>
      <c r="BR483" s="8"/>
    </row>
    <row r="484">
      <c r="A484" s="6"/>
      <c r="B484" s="6" t="s">
        <v>484</v>
      </c>
      <c r="C484" s="3" t="str">
        <f t="shared" si="1"/>
        <v>_muted aqua</v>
      </c>
      <c r="D484" s="3" t="str">
        <f t="shared" si="8"/>
        <v>#N/A</v>
      </c>
      <c r="E484" s="3" t="b">
        <f t="shared" si="2"/>
        <v>0</v>
      </c>
      <c r="G484" s="3" t="str">
        <f t="shared" si="3"/>
        <v>#N/A</v>
      </c>
      <c r="H484" s="3" t="b">
        <f t="shared" si="4"/>
        <v>0</v>
      </c>
      <c r="J484" s="3" t="str">
        <f t="shared" si="5"/>
        <v>#N/A</v>
      </c>
      <c r="K484" s="3" t="b">
        <f t="shared" si="6"/>
        <v>0</v>
      </c>
      <c r="M484" s="3" t="str">
        <f t="shared" si="7"/>
        <v>#N/A</v>
      </c>
      <c r="AU484" s="7"/>
      <c r="AV484" s="6"/>
      <c r="AW484" s="8"/>
      <c r="AX484" s="7"/>
      <c r="AY484" s="6"/>
      <c r="AZ484" s="8"/>
      <c r="BA484" s="7"/>
      <c r="BB484" s="6"/>
      <c r="BC484" s="8"/>
      <c r="BD484" s="7"/>
      <c r="BE484" s="6"/>
      <c r="BF484" s="8"/>
      <c r="BG484" s="7"/>
      <c r="BH484" s="6"/>
      <c r="BI484" s="8"/>
      <c r="BJ484" s="7"/>
      <c r="BK484" s="6"/>
      <c r="BL484" s="8"/>
      <c r="BM484" s="7"/>
      <c r="BN484" s="6"/>
      <c r="BO484" s="8"/>
      <c r="BP484" s="7"/>
      <c r="BQ484" s="6"/>
      <c r="BR484" s="8"/>
    </row>
    <row r="485">
      <c r="A485" s="6"/>
      <c r="B485" s="6" t="s">
        <v>485</v>
      </c>
      <c r="C485" s="3" t="str">
        <f t="shared" si="1"/>
        <v>_faded blue</v>
      </c>
      <c r="D485" s="3" t="str">
        <f t="shared" si="8"/>
        <v>#N/A</v>
      </c>
      <c r="E485" s="3" t="b">
        <f t="shared" si="2"/>
        <v>0</v>
      </c>
      <c r="G485" s="3" t="str">
        <f t="shared" si="3"/>
        <v>#N/A</v>
      </c>
      <c r="H485" s="3" t="b">
        <f t="shared" si="4"/>
        <v>0</v>
      </c>
      <c r="J485" s="3" t="str">
        <f t="shared" si="5"/>
        <v>#N/A</v>
      </c>
      <c r="K485" s="3" t="b">
        <f t="shared" si="6"/>
        <v>0</v>
      </c>
      <c r="M485" s="3" t="str">
        <f t="shared" si="7"/>
        <v>#N/A</v>
      </c>
      <c r="AU485" s="7"/>
      <c r="AV485" s="6"/>
      <c r="AW485" s="8"/>
      <c r="AX485" s="7"/>
      <c r="AY485" s="6"/>
      <c r="AZ485" s="8"/>
      <c r="BA485" s="7"/>
      <c r="BB485" s="6"/>
      <c r="BC485" s="8"/>
      <c r="BD485" s="7"/>
      <c r="BE485" s="6"/>
      <c r="BF485" s="8"/>
      <c r="BG485" s="7"/>
      <c r="BH485" s="6"/>
      <c r="BI485" s="8"/>
      <c r="BJ485" s="7"/>
      <c r="BK485" s="6"/>
      <c r="BL485" s="8"/>
      <c r="BM485" s="7"/>
      <c r="BN485" s="6"/>
      <c r="BO485" s="8"/>
      <c r="BP485" s="7"/>
      <c r="BQ485" s="6"/>
      <c r="BR485" s="8"/>
    </row>
    <row r="486">
      <c r="A486" s="6"/>
      <c r="B486" s="6" t="s">
        <v>486</v>
      </c>
      <c r="C486" s="3" t="str">
        <f t="shared" si="1"/>
        <v>_dotted indigo</v>
      </c>
      <c r="D486" s="3" t="str">
        <f t="shared" si="8"/>
        <v>#N/A</v>
      </c>
      <c r="E486" s="3" t="b">
        <f t="shared" si="2"/>
        <v>0</v>
      </c>
      <c r="G486" s="3" t="str">
        <f t="shared" si="3"/>
        <v>#N/A</v>
      </c>
      <c r="H486" s="3" t="b">
        <f t="shared" si="4"/>
        <v>0</v>
      </c>
      <c r="J486" s="3" t="str">
        <f t="shared" si="5"/>
        <v>#N/A</v>
      </c>
      <c r="K486" s="3" t="b">
        <f t="shared" si="6"/>
        <v>0</v>
      </c>
      <c r="M486" s="3" t="str">
        <f t="shared" si="7"/>
        <v>#N/A</v>
      </c>
      <c r="AU486" s="7"/>
      <c r="AV486" s="6"/>
      <c r="AW486" s="8"/>
      <c r="AX486" s="7"/>
      <c r="AY486" s="6"/>
      <c r="AZ486" s="8"/>
      <c r="BA486" s="7"/>
      <c r="BB486" s="6"/>
      <c r="BC486" s="8"/>
      <c r="BD486" s="7"/>
      <c r="BE486" s="6"/>
      <c r="BF486" s="8"/>
      <c r="BG486" s="7"/>
      <c r="BH486" s="6"/>
      <c r="BI486" s="8"/>
      <c r="BJ486" s="7"/>
      <c r="BK486" s="6"/>
      <c r="BL486" s="8"/>
      <c r="BM486" s="7"/>
      <c r="BN486" s="6"/>
      <c r="BO486" s="8"/>
      <c r="BP486" s="7"/>
      <c r="BQ486" s="6"/>
      <c r="BR486" s="8"/>
    </row>
    <row r="487">
      <c r="A487" s="6"/>
      <c r="B487" s="6" t="s">
        <v>487</v>
      </c>
      <c r="C487" s="3" t="str">
        <f t="shared" si="1"/>
        <v>_striped chartreuse</v>
      </c>
      <c r="D487" s="3" t="str">
        <f t="shared" si="8"/>
        <v>#N/A</v>
      </c>
      <c r="E487" s="3" t="b">
        <f t="shared" si="2"/>
        <v>0</v>
      </c>
      <c r="G487" s="3" t="str">
        <f t="shared" si="3"/>
        <v>#N/A</v>
      </c>
      <c r="H487" s="3" t="b">
        <f t="shared" si="4"/>
        <v>0</v>
      </c>
      <c r="J487" s="3" t="str">
        <f t="shared" si="5"/>
        <v>#N/A</v>
      </c>
      <c r="K487" s="3" t="b">
        <f t="shared" si="6"/>
        <v>0</v>
      </c>
      <c r="M487" s="3" t="str">
        <f t="shared" si="7"/>
        <v>#N/A</v>
      </c>
      <c r="AU487" s="7"/>
      <c r="AV487" s="6"/>
      <c r="AW487" s="8"/>
      <c r="AX487" s="7"/>
      <c r="AY487" s="6"/>
      <c r="AZ487" s="8"/>
      <c r="BA487" s="7"/>
      <c r="BB487" s="6"/>
      <c r="BC487" s="8"/>
      <c r="BD487" s="7"/>
      <c r="BE487" s="6"/>
      <c r="BF487" s="8"/>
      <c r="BG487" s="7"/>
      <c r="BH487" s="6"/>
      <c r="BI487" s="8"/>
      <c r="BJ487" s="7"/>
      <c r="BK487" s="6"/>
      <c r="BL487" s="8"/>
      <c r="BM487" s="7"/>
      <c r="BN487" s="6"/>
      <c r="BO487" s="8"/>
      <c r="BP487" s="7"/>
      <c r="BQ487" s="6"/>
      <c r="BR487" s="8"/>
    </row>
    <row r="488">
      <c r="A488" s="6"/>
      <c r="B488" s="6" t="s">
        <v>488</v>
      </c>
      <c r="C488" s="3" t="str">
        <f t="shared" si="1"/>
        <v>_dim indigo</v>
      </c>
      <c r="D488" s="3" t="str">
        <f t="shared" si="8"/>
        <v>#N/A</v>
      </c>
      <c r="E488" s="3" t="b">
        <f t="shared" si="2"/>
        <v>0</v>
      </c>
      <c r="G488" s="3" t="str">
        <f t="shared" si="3"/>
        <v>#N/A</v>
      </c>
      <c r="H488" s="3" t="b">
        <f t="shared" si="4"/>
        <v>0</v>
      </c>
      <c r="J488" s="3" t="str">
        <f t="shared" si="5"/>
        <v>#N/A</v>
      </c>
      <c r="K488" s="3" t="b">
        <f t="shared" si="6"/>
        <v>0</v>
      </c>
      <c r="M488" s="3" t="str">
        <f t="shared" si="7"/>
        <v>#N/A</v>
      </c>
      <c r="AU488" s="7"/>
      <c r="AV488" s="6"/>
      <c r="AW488" s="8"/>
      <c r="AX488" s="7"/>
      <c r="AY488" s="6"/>
      <c r="AZ488" s="8"/>
      <c r="BA488" s="7"/>
      <c r="BB488" s="6"/>
      <c r="BC488" s="8"/>
      <c r="BD488" s="7"/>
      <c r="BE488" s="6"/>
      <c r="BF488" s="8"/>
      <c r="BG488" s="7"/>
      <c r="BH488" s="6"/>
      <c r="BI488" s="8"/>
      <c r="BJ488" s="7"/>
      <c r="BK488" s="6"/>
      <c r="BL488" s="8"/>
      <c r="BM488" s="7"/>
      <c r="BN488" s="6"/>
      <c r="BO488" s="8"/>
      <c r="BP488" s="7"/>
      <c r="BQ488" s="6"/>
      <c r="BR488" s="8"/>
    </row>
    <row r="489">
      <c r="A489" s="6"/>
      <c r="B489" s="6" t="s">
        <v>489</v>
      </c>
      <c r="C489" s="3" t="str">
        <f t="shared" si="1"/>
        <v>_dotted purple</v>
      </c>
      <c r="D489" s="3" t="str">
        <f t="shared" si="8"/>
        <v>#N/A</v>
      </c>
      <c r="E489" s="3" t="b">
        <f t="shared" si="2"/>
        <v>0</v>
      </c>
      <c r="G489" s="3" t="str">
        <f t="shared" si="3"/>
        <v>#N/A</v>
      </c>
      <c r="H489" s="3" t="b">
        <f t="shared" si="4"/>
        <v>0</v>
      </c>
      <c r="J489" s="3" t="str">
        <f t="shared" si="5"/>
        <v>#N/A</v>
      </c>
      <c r="K489" s="3" t="b">
        <f t="shared" si="6"/>
        <v>0</v>
      </c>
      <c r="M489" s="3" t="str">
        <f t="shared" si="7"/>
        <v>#N/A</v>
      </c>
      <c r="AU489" s="7"/>
      <c r="AV489" s="6"/>
      <c r="AW489" s="8"/>
      <c r="AX489" s="7"/>
      <c r="AY489" s="6"/>
      <c r="AZ489" s="8"/>
      <c r="BA489" s="7"/>
      <c r="BB489" s="6"/>
      <c r="BC489" s="8"/>
      <c r="BD489" s="7"/>
      <c r="BE489" s="6"/>
      <c r="BF489" s="8"/>
      <c r="BG489" s="7"/>
      <c r="BH489" s="6"/>
      <c r="BI489" s="8"/>
      <c r="BJ489" s="7"/>
      <c r="BK489" s="6"/>
      <c r="BL489" s="8"/>
      <c r="BM489" s="7"/>
      <c r="BN489" s="6"/>
      <c r="BO489" s="8"/>
      <c r="BP489" s="7"/>
      <c r="BQ489" s="6"/>
      <c r="BR489" s="8"/>
    </row>
    <row r="490">
      <c r="A490" s="6"/>
      <c r="B490" s="6" t="s">
        <v>490</v>
      </c>
      <c r="C490" s="3" t="str">
        <f t="shared" si="1"/>
        <v>_muted chartreuse</v>
      </c>
      <c r="D490" s="3" t="str">
        <f t="shared" si="8"/>
        <v>#N/A</v>
      </c>
      <c r="E490" s="3" t="b">
        <f t="shared" si="2"/>
        <v>0</v>
      </c>
      <c r="G490" s="3" t="str">
        <f t="shared" si="3"/>
        <v>#N/A</v>
      </c>
      <c r="H490" s="3" t="b">
        <f t="shared" si="4"/>
        <v>0</v>
      </c>
      <c r="J490" s="3" t="str">
        <f t="shared" si="5"/>
        <v>#N/A</v>
      </c>
      <c r="K490" s="3" t="b">
        <f t="shared" si="6"/>
        <v>0</v>
      </c>
      <c r="M490" s="3" t="str">
        <f t="shared" si="7"/>
        <v>#N/A</v>
      </c>
      <c r="AU490" s="7"/>
      <c r="AV490" s="6"/>
      <c r="AW490" s="8"/>
      <c r="AX490" s="7"/>
      <c r="AY490" s="6"/>
      <c r="AZ490" s="8"/>
      <c r="BA490" s="7"/>
      <c r="BB490" s="6"/>
      <c r="BC490" s="8"/>
      <c r="BD490" s="7"/>
      <c r="BE490" s="6"/>
      <c r="BF490" s="8"/>
      <c r="BG490" s="7"/>
      <c r="BH490" s="6"/>
      <c r="BI490" s="8"/>
      <c r="BJ490" s="7"/>
      <c r="BK490" s="6"/>
      <c r="BL490" s="8"/>
      <c r="BM490" s="7"/>
      <c r="BN490" s="6"/>
      <c r="BO490" s="8"/>
      <c r="BP490" s="7"/>
      <c r="BQ490" s="6"/>
      <c r="BR490" s="8"/>
    </row>
    <row r="491">
      <c r="A491" s="6"/>
      <c r="B491" s="6" t="s">
        <v>491</v>
      </c>
      <c r="C491" s="3" t="str">
        <f t="shared" si="1"/>
        <v>_shiny purple</v>
      </c>
      <c r="D491" s="3" t="str">
        <f t="shared" si="8"/>
        <v>#N/A</v>
      </c>
      <c r="E491" s="3" t="b">
        <f t="shared" si="2"/>
        <v>0</v>
      </c>
      <c r="G491" s="3" t="str">
        <f t="shared" si="3"/>
        <v>#N/A</v>
      </c>
      <c r="H491" s="3" t="b">
        <f t="shared" si="4"/>
        <v>0</v>
      </c>
      <c r="J491" s="3" t="str">
        <f t="shared" si="5"/>
        <v>#N/A</v>
      </c>
      <c r="K491" s="3" t="b">
        <f t="shared" si="6"/>
        <v>0</v>
      </c>
      <c r="M491" s="3" t="str">
        <f t="shared" si="7"/>
        <v>#N/A</v>
      </c>
      <c r="AU491" s="7"/>
      <c r="AV491" s="6"/>
      <c r="AW491" s="8"/>
      <c r="AX491" s="7"/>
      <c r="AY491" s="6"/>
      <c r="AZ491" s="8"/>
      <c r="BA491" s="7"/>
      <c r="BB491" s="6"/>
      <c r="BC491" s="8"/>
      <c r="BD491" s="7"/>
      <c r="BE491" s="6"/>
      <c r="BF491" s="8"/>
      <c r="BG491" s="7"/>
      <c r="BH491" s="6"/>
      <c r="BI491" s="8"/>
      <c r="BJ491" s="7"/>
      <c r="BK491" s="6"/>
      <c r="BL491" s="8"/>
      <c r="BM491" s="7"/>
      <c r="BN491" s="6"/>
      <c r="BO491" s="8"/>
      <c r="BP491" s="7"/>
      <c r="BQ491" s="6"/>
      <c r="BR491" s="8"/>
    </row>
    <row r="492">
      <c r="A492" s="6"/>
      <c r="B492" s="6" t="s">
        <v>492</v>
      </c>
      <c r="C492" s="3" t="str">
        <f t="shared" si="1"/>
        <v>_faded white</v>
      </c>
      <c r="D492" s="3" t="str">
        <f t="shared" si="8"/>
        <v>#N/A</v>
      </c>
      <c r="E492" s="3" t="b">
        <f t="shared" si="2"/>
        <v>0</v>
      </c>
      <c r="G492" s="3" t="str">
        <f t="shared" si="3"/>
        <v>#N/A</v>
      </c>
      <c r="H492" s="3" t="b">
        <f t="shared" si="4"/>
        <v>0</v>
      </c>
      <c r="J492" s="3" t="str">
        <f t="shared" si="5"/>
        <v>#N/A</v>
      </c>
      <c r="K492" s="3" t="b">
        <f t="shared" si="6"/>
        <v>0</v>
      </c>
      <c r="M492" s="3" t="str">
        <f t="shared" si="7"/>
        <v>#N/A</v>
      </c>
      <c r="AU492" s="7"/>
      <c r="AV492" s="6"/>
      <c r="AW492" s="8"/>
      <c r="AX492" s="7"/>
      <c r="AY492" s="6"/>
      <c r="AZ492" s="8"/>
      <c r="BA492" s="7"/>
      <c r="BB492" s="6"/>
      <c r="BC492" s="8"/>
      <c r="BD492" s="7"/>
      <c r="BE492" s="6"/>
      <c r="BF492" s="8"/>
      <c r="BG492" s="7"/>
      <c r="BH492" s="6"/>
      <c r="BI492" s="8"/>
      <c r="BJ492" s="7"/>
      <c r="BK492" s="6"/>
      <c r="BL492" s="8"/>
      <c r="BM492" s="7"/>
      <c r="BN492" s="6"/>
      <c r="BO492" s="8"/>
      <c r="BP492" s="7"/>
      <c r="BQ492" s="6"/>
      <c r="BR492" s="8"/>
    </row>
    <row r="493">
      <c r="A493" s="6"/>
      <c r="B493" s="6" t="s">
        <v>493</v>
      </c>
      <c r="C493" s="3" t="str">
        <f t="shared" si="1"/>
        <v>_muted red</v>
      </c>
      <c r="D493" s="3" t="str">
        <f t="shared" si="8"/>
        <v>#N/A</v>
      </c>
      <c r="E493" s="3" t="b">
        <f t="shared" si="2"/>
        <v>0</v>
      </c>
      <c r="G493" s="3" t="str">
        <f t="shared" si="3"/>
        <v>#N/A</v>
      </c>
      <c r="H493" s="3" t="b">
        <f t="shared" si="4"/>
        <v>0</v>
      </c>
      <c r="J493" s="3" t="str">
        <f t="shared" si="5"/>
        <v>#N/A</v>
      </c>
      <c r="K493" s="3" t="b">
        <f t="shared" si="6"/>
        <v>0</v>
      </c>
      <c r="M493" s="3" t="str">
        <f t="shared" si="7"/>
        <v>#N/A</v>
      </c>
      <c r="AU493" s="7"/>
      <c r="AV493" s="6"/>
      <c r="AW493" s="8"/>
      <c r="AX493" s="7"/>
      <c r="AY493" s="6"/>
      <c r="AZ493" s="8"/>
      <c r="BA493" s="7"/>
      <c r="BB493" s="6"/>
      <c r="BC493" s="8"/>
      <c r="BD493" s="7"/>
      <c r="BE493" s="6"/>
      <c r="BF493" s="8"/>
      <c r="BG493" s="7"/>
      <c r="BH493" s="6"/>
      <c r="BI493" s="8"/>
      <c r="BJ493" s="7"/>
      <c r="BK493" s="6"/>
      <c r="BL493" s="8"/>
      <c r="BM493" s="7"/>
      <c r="BN493" s="6"/>
      <c r="BO493" s="8"/>
      <c r="BP493" s="7"/>
      <c r="BQ493" s="6"/>
      <c r="BR493" s="8"/>
    </row>
    <row r="494">
      <c r="A494" s="6"/>
      <c r="B494" s="6" t="s">
        <v>494</v>
      </c>
      <c r="C494" s="3" t="str">
        <f t="shared" si="1"/>
        <v>_mirrored tan</v>
      </c>
      <c r="D494" s="3" t="str">
        <f t="shared" si="8"/>
        <v>#N/A</v>
      </c>
      <c r="E494" s="3" t="b">
        <f t="shared" si="2"/>
        <v>0</v>
      </c>
      <c r="G494" s="3" t="str">
        <f t="shared" si="3"/>
        <v>#N/A</v>
      </c>
      <c r="H494" s="3" t="b">
        <f t="shared" si="4"/>
        <v>0</v>
      </c>
      <c r="J494" s="3" t="str">
        <f t="shared" si="5"/>
        <v>#N/A</v>
      </c>
      <c r="K494" s="3" t="b">
        <f t="shared" si="6"/>
        <v>0</v>
      </c>
      <c r="M494" s="3" t="str">
        <f t="shared" si="7"/>
        <v>#N/A</v>
      </c>
      <c r="AU494" s="7"/>
      <c r="AV494" s="6"/>
      <c r="AW494" s="8"/>
      <c r="AX494" s="7"/>
      <c r="AY494" s="6"/>
      <c r="AZ494" s="8"/>
      <c r="BA494" s="7"/>
      <c r="BB494" s="6"/>
      <c r="BC494" s="8"/>
      <c r="BD494" s="7"/>
      <c r="BE494" s="6"/>
      <c r="BF494" s="8"/>
      <c r="BG494" s="7"/>
      <c r="BH494" s="6"/>
      <c r="BI494" s="8"/>
      <c r="BJ494" s="7"/>
      <c r="BK494" s="6"/>
      <c r="BL494" s="8"/>
      <c r="BM494" s="7"/>
      <c r="BN494" s="6"/>
      <c r="BO494" s="8"/>
      <c r="BP494" s="7"/>
      <c r="BQ494" s="6"/>
      <c r="BR494" s="8"/>
    </row>
    <row r="495">
      <c r="A495" s="6"/>
      <c r="B495" s="6" t="s">
        <v>495</v>
      </c>
      <c r="C495" s="3" t="str">
        <f t="shared" si="1"/>
        <v>_dim blue</v>
      </c>
      <c r="D495" s="3" t="str">
        <f t="shared" si="8"/>
        <v>#N/A</v>
      </c>
      <c r="E495" s="3" t="b">
        <f t="shared" si="2"/>
        <v>0</v>
      </c>
      <c r="G495" s="3" t="str">
        <f t="shared" si="3"/>
        <v>#N/A</v>
      </c>
      <c r="H495" s="3" t="b">
        <f t="shared" si="4"/>
        <v>0</v>
      </c>
      <c r="J495" s="3" t="str">
        <f t="shared" si="5"/>
        <v>#N/A</v>
      </c>
      <c r="K495" s="3" t="b">
        <f t="shared" si="6"/>
        <v>0</v>
      </c>
      <c r="M495" s="3" t="str">
        <f t="shared" si="7"/>
        <v>#N/A</v>
      </c>
      <c r="AU495" s="7"/>
      <c r="AV495" s="6"/>
      <c r="AW495" s="8"/>
      <c r="AX495" s="7"/>
      <c r="AY495" s="6"/>
      <c r="AZ495" s="8"/>
      <c r="BA495" s="7"/>
      <c r="BB495" s="6"/>
      <c r="BC495" s="8"/>
      <c r="BD495" s="7"/>
      <c r="BE495" s="6"/>
      <c r="BF495" s="8"/>
      <c r="BG495" s="7"/>
      <c r="BH495" s="6"/>
      <c r="BI495" s="8"/>
      <c r="BJ495" s="7"/>
      <c r="BK495" s="6"/>
      <c r="BL495" s="8"/>
      <c r="BM495" s="7"/>
      <c r="BN495" s="6"/>
      <c r="BO495" s="8"/>
      <c r="BP495" s="7"/>
      <c r="BQ495" s="6"/>
      <c r="BR495" s="8"/>
    </row>
    <row r="496">
      <c r="A496" s="6"/>
      <c r="B496" s="6" t="s">
        <v>496</v>
      </c>
      <c r="C496" s="3" t="str">
        <f t="shared" si="1"/>
        <v>_bright indigo</v>
      </c>
      <c r="D496" s="3" t="str">
        <f t="shared" si="8"/>
        <v>#N/A</v>
      </c>
      <c r="E496" s="3" t="b">
        <f t="shared" si="2"/>
        <v>0</v>
      </c>
      <c r="G496" s="3" t="str">
        <f t="shared" si="3"/>
        <v>#N/A</v>
      </c>
      <c r="H496" s="3" t="b">
        <f t="shared" si="4"/>
        <v>0</v>
      </c>
      <c r="J496" s="3" t="str">
        <f t="shared" si="5"/>
        <v>#N/A</v>
      </c>
      <c r="K496" s="3" t="b">
        <f t="shared" si="6"/>
        <v>0</v>
      </c>
      <c r="M496" s="3" t="str">
        <f t="shared" si="7"/>
        <v>#N/A</v>
      </c>
      <c r="AU496" s="7"/>
      <c r="AV496" s="6"/>
      <c r="AW496" s="8"/>
      <c r="AX496" s="7"/>
      <c r="AY496" s="6"/>
      <c r="AZ496" s="8"/>
      <c r="BA496" s="7"/>
      <c r="BB496" s="6"/>
      <c r="BC496" s="8"/>
      <c r="BD496" s="7"/>
      <c r="BE496" s="6"/>
      <c r="BF496" s="8"/>
      <c r="BG496" s="7"/>
      <c r="BH496" s="6"/>
      <c r="BI496" s="8"/>
      <c r="BJ496" s="7"/>
      <c r="BK496" s="6"/>
      <c r="BL496" s="8"/>
      <c r="BM496" s="7"/>
      <c r="BN496" s="6"/>
      <c r="BO496" s="8"/>
      <c r="BP496" s="7"/>
      <c r="BQ496" s="6"/>
      <c r="BR496" s="8"/>
    </row>
    <row r="497">
      <c r="A497" s="6"/>
      <c r="B497" s="6" t="s">
        <v>497</v>
      </c>
      <c r="C497" s="3" t="str">
        <f t="shared" si="1"/>
        <v>_striped crimson</v>
      </c>
      <c r="D497" s="3" t="str">
        <f t="shared" si="8"/>
        <v>#N/A</v>
      </c>
      <c r="E497" s="3" t="b">
        <f t="shared" si="2"/>
        <v>0</v>
      </c>
      <c r="G497" s="3" t="str">
        <f t="shared" si="3"/>
        <v>#N/A</v>
      </c>
      <c r="H497" s="3" t="b">
        <f t="shared" si="4"/>
        <v>0</v>
      </c>
      <c r="J497" s="3" t="str">
        <f t="shared" si="5"/>
        <v>#N/A</v>
      </c>
      <c r="K497" s="3" t="b">
        <f t="shared" si="6"/>
        <v>0</v>
      </c>
      <c r="M497" s="3" t="str">
        <f t="shared" si="7"/>
        <v>#N/A</v>
      </c>
      <c r="AU497" s="7"/>
      <c r="AV497" s="6"/>
      <c r="AW497" s="8"/>
      <c r="AX497" s="7"/>
      <c r="AY497" s="6"/>
      <c r="AZ497" s="8"/>
      <c r="BA497" s="7"/>
      <c r="BB497" s="6"/>
      <c r="BC497" s="8"/>
      <c r="BD497" s="7"/>
      <c r="BE497" s="6"/>
      <c r="BF497" s="8"/>
      <c r="BG497" s="7"/>
      <c r="BH497" s="6"/>
      <c r="BI497" s="8"/>
      <c r="BJ497" s="7"/>
      <c r="BK497" s="6"/>
      <c r="BL497" s="8"/>
      <c r="BM497" s="7"/>
      <c r="BN497" s="6"/>
      <c r="BO497" s="8"/>
      <c r="BP497" s="7"/>
      <c r="BQ497" s="6"/>
      <c r="BR497" s="8"/>
    </row>
    <row r="498">
      <c r="A498" s="6"/>
      <c r="B498" s="6" t="s">
        <v>498</v>
      </c>
      <c r="C498" s="3" t="str">
        <f t="shared" si="1"/>
        <v>_light orange</v>
      </c>
      <c r="D498" s="3" t="str">
        <f t="shared" si="8"/>
        <v>#N/A</v>
      </c>
      <c r="E498" s="3" t="b">
        <f t="shared" si="2"/>
        <v>0</v>
      </c>
      <c r="G498" s="3" t="str">
        <f t="shared" si="3"/>
        <v>#N/A</v>
      </c>
      <c r="H498" s="3" t="b">
        <f t="shared" si="4"/>
        <v>0</v>
      </c>
      <c r="J498" s="3" t="str">
        <f t="shared" si="5"/>
        <v>#N/A</v>
      </c>
      <c r="K498" s="3" t="b">
        <f t="shared" si="6"/>
        <v>0</v>
      </c>
      <c r="M498" s="3" t="str">
        <f t="shared" si="7"/>
        <v>#N/A</v>
      </c>
      <c r="AU498" s="7"/>
      <c r="AV498" s="6"/>
      <c r="AW498" s="8"/>
      <c r="AX498" s="7"/>
      <c r="AY498" s="6"/>
      <c r="AZ498" s="8"/>
      <c r="BA498" s="7"/>
      <c r="BB498" s="6"/>
      <c r="BC498" s="8"/>
      <c r="BD498" s="7"/>
      <c r="BE498" s="6"/>
      <c r="BF498" s="8"/>
      <c r="BG498" s="7"/>
      <c r="BH498" s="6"/>
      <c r="BI498" s="8"/>
      <c r="BJ498" s="7"/>
      <c r="BK498" s="6"/>
      <c r="BL498" s="8"/>
      <c r="BM498" s="7"/>
      <c r="BN498" s="6"/>
      <c r="BO498" s="8"/>
      <c r="BP498" s="7"/>
      <c r="BQ498" s="6"/>
      <c r="BR498" s="8"/>
    </row>
    <row r="499">
      <c r="A499" s="6"/>
      <c r="B499" s="6" t="s">
        <v>499</v>
      </c>
      <c r="C499" s="3" t="str">
        <f t="shared" si="1"/>
        <v>_posh yellow</v>
      </c>
      <c r="D499" s="3" t="str">
        <f t="shared" si="8"/>
        <v>#N/A</v>
      </c>
      <c r="E499" s="3" t="b">
        <f t="shared" si="2"/>
        <v>0</v>
      </c>
      <c r="G499" s="3" t="str">
        <f t="shared" si="3"/>
        <v>#N/A</v>
      </c>
      <c r="H499" s="3" t="b">
        <f t="shared" si="4"/>
        <v>0</v>
      </c>
      <c r="J499" s="3" t="str">
        <f t="shared" si="5"/>
        <v>#N/A</v>
      </c>
      <c r="K499" s="3" t="b">
        <f t="shared" si="6"/>
        <v>0</v>
      </c>
      <c r="M499" s="3" t="str">
        <f t="shared" si="7"/>
        <v>#N/A</v>
      </c>
      <c r="AU499" s="7"/>
      <c r="AV499" s="6"/>
      <c r="AW499" s="8"/>
      <c r="AX499" s="7"/>
      <c r="AY499" s="6"/>
      <c r="AZ499" s="8"/>
      <c r="BA499" s="7"/>
      <c r="BB499" s="6"/>
      <c r="BC499" s="8"/>
      <c r="BD499" s="7"/>
      <c r="BE499" s="6"/>
      <c r="BF499" s="8"/>
      <c r="BG499" s="7"/>
      <c r="BH499" s="6"/>
      <c r="BI499" s="8"/>
      <c r="BJ499" s="7"/>
      <c r="BK499" s="6"/>
      <c r="BL499" s="8"/>
      <c r="BM499" s="7"/>
      <c r="BN499" s="6"/>
      <c r="BO499" s="8"/>
      <c r="BP499" s="7"/>
      <c r="BQ499" s="6"/>
      <c r="BR499" s="8"/>
    </row>
    <row r="500">
      <c r="A500" s="6"/>
      <c r="B500" s="6" t="s">
        <v>500</v>
      </c>
      <c r="C500" s="3" t="str">
        <f t="shared" si="1"/>
        <v>_dotted beige</v>
      </c>
      <c r="D500" s="3" t="str">
        <f t="shared" si="8"/>
        <v>#N/A</v>
      </c>
      <c r="E500" s="3" t="b">
        <f t="shared" si="2"/>
        <v>0</v>
      </c>
      <c r="G500" s="3" t="str">
        <f t="shared" si="3"/>
        <v>#N/A</v>
      </c>
      <c r="H500" s="3" t="b">
        <f t="shared" si="4"/>
        <v>0</v>
      </c>
      <c r="J500" s="3" t="str">
        <f t="shared" si="5"/>
        <v>#N/A</v>
      </c>
      <c r="K500" s="3" t="b">
        <f t="shared" si="6"/>
        <v>0</v>
      </c>
      <c r="M500" s="3" t="str">
        <f t="shared" si="7"/>
        <v>#N/A</v>
      </c>
      <c r="AU500" s="7"/>
      <c r="AV500" s="6"/>
      <c r="AW500" s="8"/>
      <c r="AX500" s="7"/>
      <c r="AY500" s="6"/>
      <c r="AZ500" s="8"/>
      <c r="BA500" s="7"/>
      <c r="BB500" s="6"/>
      <c r="BC500" s="8"/>
      <c r="BD500" s="7"/>
      <c r="BE500" s="6"/>
      <c r="BF500" s="8"/>
      <c r="BG500" s="7"/>
      <c r="BH500" s="6"/>
      <c r="BI500" s="8"/>
      <c r="BJ500" s="7"/>
      <c r="BK500" s="6"/>
      <c r="BL500" s="8"/>
      <c r="BM500" s="7"/>
      <c r="BN500" s="6"/>
      <c r="BO500" s="8"/>
      <c r="BP500" s="7"/>
      <c r="BQ500" s="6"/>
      <c r="BR500" s="8"/>
    </row>
    <row r="501">
      <c r="A501" s="6"/>
      <c r="B501" s="6" t="s">
        <v>501</v>
      </c>
      <c r="C501" s="3" t="str">
        <f t="shared" si="1"/>
        <v>_faded aqua</v>
      </c>
      <c r="D501" s="3" t="str">
        <f t="shared" si="8"/>
        <v>#N/A</v>
      </c>
      <c r="E501" s="3" t="b">
        <f t="shared" si="2"/>
        <v>0</v>
      </c>
      <c r="G501" s="3" t="str">
        <f t="shared" si="3"/>
        <v>#N/A</v>
      </c>
      <c r="H501" s="3" t="b">
        <f t="shared" si="4"/>
        <v>0</v>
      </c>
      <c r="J501" s="3" t="str">
        <f t="shared" si="5"/>
        <v>#N/A</v>
      </c>
      <c r="K501" s="3" t="b">
        <f t="shared" si="6"/>
        <v>0</v>
      </c>
      <c r="M501" s="3" t="str">
        <f t="shared" si="7"/>
        <v>#N/A</v>
      </c>
      <c r="AU501" s="7"/>
      <c r="AV501" s="6"/>
      <c r="AW501" s="8"/>
      <c r="AX501" s="7"/>
      <c r="AY501" s="6"/>
      <c r="AZ501" s="8"/>
      <c r="BA501" s="7"/>
      <c r="BB501" s="6"/>
      <c r="BC501" s="8"/>
      <c r="BD501" s="7"/>
      <c r="BE501" s="6"/>
      <c r="BF501" s="8"/>
      <c r="BG501" s="7"/>
      <c r="BH501" s="6"/>
      <c r="BI501" s="8"/>
      <c r="BJ501" s="7"/>
      <c r="BK501" s="6"/>
      <c r="BL501" s="8"/>
      <c r="BM501" s="7"/>
      <c r="BN501" s="6"/>
      <c r="BO501" s="8"/>
      <c r="BP501" s="7"/>
      <c r="BQ501" s="6"/>
      <c r="BR501" s="8"/>
    </row>
    <row r="502">
      <c r="A502" s="6"/>
      <c r="B502" s="6" t="s">
        <v>502</v>
      </c>
      <c r="C502" s="3" t="str">
        <f t="shared" si="1"/>
        <v>_shiny red</v>
      </c>
      <c r="D502" s="3" t="str">
        <f t="shared" si="8"/>
        <v>#N/A</v>
      </c>
      <c r="E502" s="3" t="b">
        <f t="shared" si="2"/>
        <v>0</v>
      </c>
      <c r="G502" s="3" t="str">
        <f t="shared" si="3"/>
        <v>#N/A</v>
      </c>
      <c r="H502" s="3" t="b">
        <f t="shared" si="4"/>
        <v>0</v>
      </c>
      <c r="J502" s="3" t="str">
        <f t="shared" si="5"/>
        <v>#N/A</v>
      </c>
      <c r="K502" s="3" t="b">
        <f t="shared" si="6"/>
        <v>1</v>
      </c>
      <c r="M502" s="3" t="str">
        <f t="shared" si="7"/>
        <v>#N/A</v>
      </c>
      <c r="AU502" s="7"/>
      <c r="AV502" s="6"/>
      <c r="AW502" s="8"/>
      <c r="AX502" s="7"/>
      <c r="AY502" s="6"/>
      <c r="AZ502" s="8"/>
      <c r="BA502" s="7"/>
      <c r="BB502" s="6"/>
      <c r="BC502" s="8"/>
      <c r="BD502" s="7"/>
      <c r="BE502" s="6"/>
      <c r="BF502" s="8"/>
      <c r="BG502" s="7"/>
      <c r="BH502" s="6"/>
      <c r="BI502" s="8"/>
      <c r="BJ502" s="7"/>
      <c r="BK502" s="6"/>
      <c r="BL502" s="8"/>
      <c r="BM502" s="7"/>
      <c r="BN502" s="6"/>
      <c r="BO502" s="8"/>
      <c r="BP502" s="7"/>
      <c r="BQ502" s="6"/>
      <c r="BR502" s="8"/>
    </row>
    <row r="503">
      <c r="A503" s="6"/>
      <c r="B503" s="6" t="s">
        <v>503</v>
      </c>
      <c r="C503" s="3" t="str">
        <f t="shared" si="1"/>
        <v>_light tomato</v>
      </c>
      <c r="D503" s="3" t="str">
        <f t="shared" si="8"/>
        <v>#N/A</v>
      </c>
      <c r="E503" s="3" t="b">
        <f t="shared" si="2"/>
        <v>0</v>
      </c>
      <c r="G503" s="3" t="str">
        <f t="shared" si="3"/>
        <v>#N/A</v>
      </c>
      <c r="H503" s="3" t="b">
        <f t="shared" si="4"/>
        <v>0</v>
      </c>
      <c r="J503" s="3" t="str">
        <f t="shared" si="5"/>
        <v>#N/A</v>
      </c>
      <c r="K503" s="3" t="b">
        <f t="shared" si="6"/>
        <v>0</v>
      </c>
      <c r="M503" s="3" t="str">
        <f t="shared" si="7"/>
        <v>#N/A</v>
      </c>
      <c r="AU503" s="7"/>
      <c r="AV503" s="6"/>
      <c r="AW503" s="8"/>
      <c r="AX503" s="7"/>
      <c r="AY503" s="6"/>
      <c r="AZ503" s="8"/>
      <c r="BA503" s="7"/>
      <c r="BB503" s="6"/>
      <c r="BC503" s="8"/>
      <c r="BD503" s="7"/>
      <c r="BE503" s="6"/>
      <c r="BF503" s="8"/>
      <c r="BG503" s="7"/>
      <c r="BH503" s="6"/>
      <c r="BI503" s="8"/>
      <c r="BJ503" s="7"/>
      <c r="BK503" s="6"/>
      <c r="BL503" s="8"/>
      <c r="BM503" s="7"/>
      <c r="BN503" s="6"/>
      <c r="BO503" s="8"/>
      <c r="BP503" s="7"/>
      <c r="BQ503" s="6"/>
      <c r="BR503" s="8"/>
    </row>
    <row r="504">
      <c r="A504" s="6"/>
      <c r="B504" s="6" t="s">
        <v>504</v>
      </c>
      <c r="C504" s="3" t="str">
        <f t="shared" si="1"/>
        <v>_bright olive</v>
      </c>
      <c r="D504" s="3" t="str">
        <f t="shared" si="8"/>
        <v>#N/A</v>
      </c>
      <c r="E504" s="3" t="b">
        <f t="shared" si="2"/>
        <v>0</v>
      </c>
      <c r="G504" s="3" t="str">
        <f t="shared" si="3"/>
        <v>#N/A</v>
      </c>
      <c r="H504" s="3" t="b">
        <f t="shared" si="4"/>
        <v>0</v>
      </c>
      <c r="J504" s="3" t="str">
        <f t="shared" si="5"/>
        <v>#N/A</v>
      </c>
      <c r="K504" s="3" t="b">
        <f t="shared" si="6"/>
        <v>0</v>
      </c>
      <c r="M504" s="3" t="str">
        <f t="shared" si="7"/>
        <v>#N/A</v>
      </c>
      <c r="AU504" s="7"/>
      <c r="AV504" s="6"/>
      <c r="AW504" s="8"/>
      <c r="AX504" s="7"/>
      <c r="AY504" s="6"/>
      <c r="AZ504" s="8"/>
      <c r="BA504" s="7"/>
      <c r="BB504" s="6"/>
      <c r="BC504" s="8"/>
      <c r="BD504" s="7"/>
      <c r="BE504" s="6"/>
      <c r="BF504" s="8"/>
      <c r="BG504" s="7"/>
      <c r="BH504" s="6"/>
      <c r="BI504" s="8"/>
      <c r="BJ504" s="7"/>
      <c r="BK504" s="6"/>
      <c r="BL504" s="8"/>
      <c r="BM504" s="7"/>
      <c r="BN504" s="6"/>
      <c r="BO504" s="8"/>
      <c r="BP504" s="7"/>
      <c r="BQ504" s="6"/>
      <c r="BR504" s="8"/>
    </row>
    <row r="505">
      <c r="A505" s="6"/>
      <c r="B505" s="6" t="s">
        <v>505</v>
      </c>
      <c r="C505" s="3" t="str">
        <f t="shared" si="1"/>
        <v>_mirrored white</v>
      </c>
      <c r="D505" s="3" t="str">
        <f t="shared" si="8"/>
        <v>#N/A</v>
      </c>
      <c r="E505" s="3" t="b">
        <f t="shared" si="2"/>
        <v>0</v>
      </c>
      <c r="G505" s="3" t="str">
        <f t="shared" si="3"/>
        <v>#N/A</v>
      </c>
      <c r="H505" s="3" t="b">
        <f t="shared" si="4"/>
        <v>0</v>
      </c>
      <c r="J505" s="3" t="str">
        <f t="shared" si="5"/>
        <v>#N/A</v>
      </c>
      <c r="K505" s="3" t="b">
        <f t="shared" si="6"/>
        <v>0</v>
      </c>
      <c r="M505" s="3" t="str">
        <f t="shared" si="7"/>
        <v>#N/A</v>
      </c>
      <c r="AU505" s="7"/>
      <c r="AV505" s="6"/>
      <c r="AW505" s="8"/>
      <c r="AX505" s="7"/>
      <c r="AY505" s="6"/>
      <c r="AZ505" s="8"/>
      <c r="BA505" s="7"/>
      <c r="BB505" s="6"/>
      <c r="BC505" s="8"/>
      <c r="BD505" s="7"/>
      <c r="BE505" s="6"/>
      <c r="BF505" s="8"/>
      <c r="BG505" s="7"/>
      <c r="BH505" s="6"/>
      <c r="BI505" s="8"/>
      <c r="BJ505" s="7"/>
      <c r="BK505" s="6"/>
      <c r="BL505" s="8"/>
      <c r="BM505" s="7"/>
      <c r="BN505" s="6"/>
      <c r="BO505" s="8"/>
      <c r="BP505" s="7"/>
      <c r="BQ505" s="6"/>
      <c r="BR505" s="8"/>
    </row>
    <row r="506">
      <c r="A506" s="6"/>
      <c r="B506" s="6" t="s">
        <v>506</v>
      </c>
      <c r="C506" s="3" t="str">
        <f t="shared" si="1"/>
        <v>_posh olive</v>
      </c>
      <c r="D506" s="3" t="str">
        <f t="shared" si="8"/>
        <v>#N/A</v>
      </c>
      <c r="E506" s="3" t="b">
        <f t="shared" si="2"/>
        <v>0</v>
      </c>
      <c r="G506" s="3" t="str">
        <f t="shared" si="3"/>
        <v>#N/A</v>
      </c>
      <c r="H506" s="3" t="b">
        <f t="shared" si="4"/>
        <v>0</v>
      </c>
      <c r="J506" s="3" t="str">
        <f t="shared" si="5"/>
        <v>#N/A</v>
      </c>
      <c r="K506" s="3" t="b">
        <f t="shared" si="6"/>
        <v>0</v>
      </c>
      <c r="M506" s="3" t="str">
        <f t="shared" si="7"/>
        <v>#N/A</v>
      </c>
      <c r="AU506" s="7"/>
      <c r="AV506" s="6"/>
      <c r="AW506" s="8"/>
      <c r="AX506" s="7"/>
      <c r="AY506" s="6"/>
      <c r="AZ506" s="8"/>
      <c r="BA506" s="7"/>
      <c r="BB506" s="6"/>
      <c r="BC506" s="8"/>
      <c r="BD506" s="7"/>
      <c r="BE506" s="6"/>
      <c r="BF506" s="8"/>
      <c r="BG506" s="7"/>
      <c r="BH506" s="6"/>
      <c r="BI506" s="8"/>
      <c r="BJ506" s="7"/>
      <c r="BK506" s="6"/>
      <c r="BL506" s="8"/>
      <c r="BM506" s="7"/>
      <c r="BN506" s="6"/>
      <c r="BO506" s="8"/>
      <c r="BP506" s="7"/>
      <c r="BQ506" s="6"/>
      <c r="BR506" s="8"/>
    </row>
    <row r="507">
      <c r="A507" s="6"/>
      <c r="B507" s="6" t="s">
        <v>507</v>
      </c>
      <c r="C507" s="3" t="str">
        <f t="shared" si="1"/>
        <v>_vibrant lime</v>
      </c>
      <c r="D507" s="3" t="str">
        <f t="shared" si="8"/>
        <v>#N/A</v>
      </c>
      <c r="E507" s="3" t="b">
        <f t="shared" si="2"/>
        <v>0</v>
      </c>
      <c r="G507" s="3" t="str">
        <f t="shared" si="3"/>
        <v>#N/A</v>
      </c>
      <c r="H507" s="3" t="b">
        <f t="shared" si="4"/>
        <v>0</v>
      </c>
      <c r="J507" s="3" t="str">
        <f t="shared" si="5"/>
        <v>#N/A</v>
      </c>
      <c r="K507" s="3" t="b">
        <f t="shared" si="6"/>
        <v>0</v>
      </c>
      <c r="M507" s="3" t="str">
        <f t="shared" si="7"/>
        <v>#N/A</v>
      </c>
      <c r="AU507" s="7"/>
      <c r="AV507" s="6"/>
      <c r="AW507" s="8"/>
      <c r="AX507" s="7"/>
      <c r="AY507" s="6"/>
      <c r="AZ507" s="8"/>
      <c r="BA507" s="7"/>
      <c r="BB507" s="6"/>
      <c r="BC507" s="8"/>
      <c r="BD507" s="7"/>
      <c r="BE507" s="6"/>
      <c r="BF507" s="8"/>
      <c r="BG507" s="7"/>
      <c r="BH507" s="6"/>
      <c r="BI507" s="8"/>
      <c r="BJ507" s="7"/>
      <c r="BK507" s="6"/>
      <c r="BL507" s="8"/>
      <c r="BM507" s="7"/>
      <c r="BN507" s="6"/>
      <c r="BO507" s="8"/>
      <c r="BP507" s="7"/>
      <c r="BQ507" s="6"/>
      <c r="BR507" s="8"/>
    </row>
    <row r="508">
      <c r="A508" s="6"/>
      <c r="B508" s="6" t="s">
        <v>508</v>
      </c>
      <c r="C508" s="3" t="str">
        <f t="shared" si="1"/>
        <v>_striped brown</v>
      </c>
      <c r="D508" s="3" t="str">
        <f t="shared" si="8"/>
        <v>#N/A</v>
      </c>
      <c r="E508" s="3" t="b">
        <f t="shared" si="2"/>
        <v>0</v>
      </c>
      <c r="G508" s="3" t="str">
        <f t="shared" si="3"/>
        <v>#N/A</v>
      </c>
      <c r="H508" s="3" t="b">
        <f t="shared" si="4"/>
        <v>0</v>
      </c>
      <c r="J508" s="3" t="str">
        <f t="shared" si="5"/>
        <v>#N/A</v>
      </c>
      <c r="K508" s="3" t="b">
        <f t="shared" si="6"/>
        <v>0</v>
      </c>
      <c r="M508" s="3" t="str">
        <f t="shared" si="7"/>
        <v>#N/A</v>
      </c>
      <c r="AU508" s="7"/>
      <c r="AV508" s="6"/>
      <c r="AW508" s="8"/>
      <c r="AX508" s="7"/>
      <c r="AY508" s="6"/>
      <c r="AZ508" s="8"/>
      <c r="BA508" s="7"/>
      <c r="BB508" s="6"/>
      <c r="BC508" s="8"/>
      <c r="BD508" s="7"/>
      <c r="BE508" s="6"/>
      <c r="BF508" s="8"/>
      <c r="BG508" s="7"/>
      <c r="BH508" s="6"/>
      <c r="BI508" s="8"/>
      <c r="BJ508" s="7"/>
      <c r="BK508" s="6"/>
      <c r="BL508" s="8"/>
      <c r="BM508" s="7"/>
      <c r="BN508" s="6"/>
      <c r="BO508" s="8"/>
      <c r="BP508" s="7"/>
      <c r="BQ508" s="6"/>
      <c r="BR508" s="8"/>
    </row>
    <row r="509">
      <c r="A509" s="6"/>
      <c r="B509" s="6" t="s">
        <v>509</v>
      </c>
      <c r="C509" s="3" t="str">
        <f t="shared" si="1"/>
        <v>_striped lavender</v>
      </c>
      <c r="D509" s="3" t="str">
        <f t="shared" si="8"/>
        <v>#N/A</v>
      </c>
      <c r="E509" s="3" t="b">
        <f t="shared" si="2"/>
        <v>0</v>
      </c>
      <c r="G509" s="3" t="str">
        <f t="shared" si="3"/>
        <v>#N/A</v>
      </c>
      <c r="H509" s="3" t="b">
        <f t="shared" si="4"/>
        <v>0</v>
      </c>
      <c r="J509" s="3" t="str">
        <f t="shared" si="5"/>
        <v>#N/A</v>
      </c>
      <c r="K509" s="3" t="b">
        <f t="shared" si="6"/>
        <v>0</v>
      </c>
      <c r="M509" s="3" t="str">
        <f t="shared" si="7"/>
        <v>#N/A</v>
      </c>
      <c r="AU509" s="7"/>
      <c r="AV509" s="6"/>
      <c r="AW509" s="8"/>
      <c r="AX509" s="7"/>
      <c r="AY509" s="6"/>
      <c r="AZ509" s="8"/>
      <c r="BA509" s="7"/>
      <c r="BB509" s="6"/>
      <c r="BC509" s="8"/>
      <c r="BD509" s="7"/>
      <c r="BE509" s="6"/>
      <c r="BF509" s="8"/>
      <c r="BG509" s="7"/>
      <c r="BH509" s="6"/>
      <c r="BI509" s="8"/>
      <c r="BJ509" s="7"/>
      <c r="BK509" s="6"/>
      <c r="BL509" s="8"/>
      <c r="BM509" s="7"/>
      <c r="BN509" s="6"/>
      <c r="BO509" s="8"/>
      <c r="BP509" s="7"/>
      <c r="BQ509" s="6"/>
      <c r="BR509" s="8"/>
    </row>
    <row r="510">
      <c r="A510" s="6"/>
      <c r="B510" s="6" t="s">
        <v>510</v>
      </c>
      <c r="C510" s="3" t="str">
        <f t="shared" si="1"/>
        <v>_wavy white</v>
      </c>
      <c r="D510" s="3" t="str">
        <f t="shared" si="8"/>
        <v>#N/A</v>
      </c>
      <c r="E510" s="3" t="b">
        <f t="shared" si="2"/>
        <v>0</v>
      </c>
      <c r="G510" s="3" t="str">
        <f t="shared" si="3"/>
        <v>#N/A</v>
      </c>
      <c r="H510" s="3" t="b">
        <f t="shared" si="4"/>
        <v>0</v>
      </c>
      <c r="J510" s="3" t="str">
        <f t="shared" si="5"/>
        <v>#N/A</v>
      </c>
      <c r="K510" s="3" t="b">
        <f t="shared" si="6"/>
        <v>0</v>
      </c>
      <c r="M510" s="3" t="str">
        <f t="shared" si="7"/>
        <v>#N/A</v>
      </c>
      <c r="AU510" s="7"/>
      <c r="AV510" s="6"/>
      <c r="AW510" s="8"/>
      <c r="AX510" s="7"/>
      <c r="AY510" s="6"/>
      <c r="AZ510" s="8"/>
      <c r="BA510" s="7"/>
      <c r="BB510" s="6"/>
      <c r="BC510" s="8"/>
      <c r="BD510" s="7"/>
      <c r="BE510" s="6"/>
      <c r="BF510" s="8"/>
      <c r="BG510" s="7"/>
      <c r="BH510" s="6"/>
      <c r="BI510" s="8"/>
      <c r="BJ510" s="7"/>
      <c r="BK510" s="6"/>
      <c r="BL510" s="8"/>
      <c r="BM510" s="7"/>
      <c r="BN510" s="6"/>
      <c r="BO510" s="8"/>
      <c r="BP510" s="7"/>
      <c r="BQ510" s="6"/>
      <c r="BR510" s="8"/>
    </row>
    <row r="511">
      <c r="A511" s="6"/>
      <c r="B511" s="6" t="s">
        <v>511</v>
      </c>
      <c r="C511" s="3" t="str">
        <f t="shared" si="1"/>
        <v>_dark bronze</v>
      </c>
      <c r="D511" s="3" t="str">
        <f t="shared" si="8"/>
        <v>#N/A</v>
      </c>
      <c r="E511" s="3" t="b">
        <f t="shared" si="2"/>
        <v>0</v>
      </c>
      <c r="G511" s="3" t="str">
        <f t="shared" si="3"/>
        <v>#N/A</v>
      </c>
      <c r="H511" s="3" t="b">
        <f t="shared" si="4"/>
        <v>0</v>
      </c>
      <c r="J511" s="3" t="str">
        <f t="shared" si="5"/>
        <v>#N/A</v>
      </c>
      <c r="K511" s="3" t="b">
        <f t="shared" si="6"/>
        <v>0</v>
      </c>
      <c r="M511" s="3" t="str">
        <f t="shared" si="7"/>
        <v>#N/A</v>
      </c>
      <c r="AU511" s="7"/>
      <c r="AV511" s="6"/>
      <c r="AW511" s="8"/>
      <c r="AX511" s="7"/>
      <c r="AY511" s="6"/>
      <c r="AZ511" s="8"/>
      <c r="BA511" s="7"/>
      <c r="BB511" s="6"/>
      <c r="BC511" s="8"/>
      <c r="BD511" s="7"/>
      <c r="BE511" s="6"/>
      <c r="BF511" s="8"/>
      <c r="BG511" s="7"/>
      <c r="BH511" s="6"/>
      <c r="BI511" s="8"/>
      <c r="BJ511" s="7"/>
      <c r="BK511" s="6"/>
      <c r="BL511" s="8"/>
      <c r="BM511" s="7"/>
      <c r="BN511" s="6"/>
      <c r="BO511" s="8"/>
      <c r="BP511" s="7"/>
      <c r="BQ511" s="6"/>
      <c r="BR511" s="8"/>
    </row>
    <row r="512">
      <c r="A512" s="6"/>
      <c r="B512" s="6" t="s">
        <v>512</v>
      </c>
      <c r="C512" s="3" t="str">
        <f t="shared" si="1"/>
        <v>_mirrored black</v>
      </c>
      <c r="D512" s="3" t="str">
        <f t="shared" si="8"/>
        <v>#N/A</v>
      </c>
      <c r="E512" s="3" t="b">
        <f t="shared" si="2"/>
        <v>0</v>
      </c>
      <c r="G512" s="3" t="str">
        <f t="shared" si="3"/>
        <v>#N/A</v>
      </c>
      <c r="H512" s="3" t="b">
        <f t="shared" si="4"/>
        <v>0</v>
      </c>
      <c r="J512" s="3" t="str">
        <f t="shared" si="5"/>
        <v>#N/A</v>
      </c>
      <c r="K512" s="3" t="b">
        <f t="shared" si="6"/>
        <v>0</v>
      </c>
      <c r="M512" s="3" t="str">
        <f t="shared" si="7"/>
        <v>#N/A</v>
      </c>
      <c r="AU512" s="7"/>
      <c r="AV512" s="6"/>
      <c r="AW512" s="8"/>
      <c r="AX512" s="7"/>
      <c r="AY512" s="6"/>
      <c r="AZ512" s="8"/>
      <c r="BA512" s="7"/>
      <c r="BB512" s="6"/>
      <c r="BC512" s="8"/>
      <c r="BD512" s="7"/>
      <c r="BE512" s="6"/>
      <c r="BF512" s="8"/>
      <c r="BG512" s="7"/>
      <c r="BH512" s="6"/>
      <c r="BI512" s="8"/>
      <c r="BJ512" s="7"/>
      <c r="BK512" s="6"/>
      <c r="BL512" s="8"/>
      <c r="BM512" s="7"/>
      <c r="BN512" s="6"/>
      <c r="BO512" s="8"/>
      <c r="BP512" s="7"/>
      <c r="BQ512" s="6"/>
      <c r="BR512" s="8"/>
    </row>
    <row r="513">
      <c r="A513" s="6"/>
      <c r="B513" s="6" t="s">
        <v>513</v>
      </c>
      <c r="C513" s="3" t="str">
        <f t="shared" si="1"/>
        <v>_shiny magenta</v>
      </c>
      <c r="D513" s="3" t="str">
        <f t="shared" si="8"/>
        <v>#N/A</v>
      </c>
      <c r="E513" s="3" t="b">
        <f t="shared" si="2"/>
        <v>0</v>
      </c>
      <c r="G513" s="3" t="str">
        <f t="shared" si="3"/>
        <v>#N/A</v>
      </c>
      <c r="H513" s="3" t="b">
        <f t="shared" si="4"/>
        <v>0</v>
      </c>
      <c r="J513" s="3" t="str">
        <f t="shared" si="5"/>
        <v>#N/A</v>
      </c>
      <c r="K513" s="3" t="b">
        <f t="shared" si="6"/>
        <v>0</v>
      </c>
      <c r="M513" s="3" t="str">
        <f t="shared" si="7"/>
        <v>#N/A</v>
      </c>
      <c r="AU513" s="7"/>
      <c r="AV513" s="6"/>
      <c r="AW513" s="8"/>
      <c r="AX513" s="7"/>
      <c r="AY513" s="6"/>
      <c r="AZ513" s="8"/>
      <c r="BA513" s="7"/>
      <c r="BB513" s="6"/>
      <c r="BC513" s="8"/>
      <c r="BD513" s="7"/>
      <c r="BE513" s="6"/>
      <c r="BF513" s="8"/>
      <c r="BG513" s="7"/>
      <c r="BH513" s="6"/>
      <c r="BI513" s="8"/>
      <c r="BJ513" s="7"/>
      <c r="BK513" s="6"/>
      <c r="BL513" s="8"/>
      <c r="BM513" s="7"/>
      <c r="BN513" s="6"/>
      <c r="BO513" s="8"/>
      <c r="BP513" s="7"/>
      <c r="BQ513" s="6"/>
      <c r="BR513" s="8"/>
    </row>
    <row r="514">
      <c r="A514" s="6"/>
      <c r="B514" s="6" t="s">
        <v>514</v>
      </c>
      <c r="C514" s="3" t="str">
        <f t="shared" si="1"/>
        <v>_light bronze</v>
      </c>
      <c r="D514" s="3" t="str">
        <f t="shared" si="8"/>
        <v>#N/A</v>
      </c>
      <c r="E514" s="3" t="b">
        <f t="shared" si="2"/>
        <v>0</v>
      </c>
      <c r="G514" s="3" t="str">
        <f t="shared" si="3"/>
        <v>#N/A</v>
      </c>
      <c r="H514" s="3" t="b">
        <f t="shared" si="4"/>
        <v>0</v>
      </c>
      <c r="J514" s="3" t="str">
        <f t="shared" si="5"/>
        <v>#N/A</v>
      </c>
      <c r="K514" s="3" t="b">
        <f t="shared" si="6"/>
        <v>0</v>
      </c>
      <c r="M514" s="3" t="str">
        <f t="shared" si="7"/>
        <v>#N/A</v>
      </c>
      <c r="AU514" s="7"/>
      <c r="AV514" s="6"/>
      <c r="AW514" s="8"/>
      <c r="AX514" s="7"/>
      <c r="AY514" s="6"/>
      <c r="AZ514" s="8"/>
      <c r="BA514" s="7"/>
      <c r="BB514" s="6"/>
      <c r="BC514" s="8"/>
      <c r="BD514" s="7"/>
      <c r="BE514" s="6"/>
      <c r="BF514" s="8"/>
      <c r="BG514" s="7"/>
      <c r="BH514" s="6"/>
      <c r="BI514" s="8"/>
      <c r="BJ514" s="7"/>
      <c r="BK514" s="6"/>
      <c r="BL514" s="8"/>
      <c r="BM514" s="7"/>
      <c r="BN514" s="6"/>
      <c r="BO514" s="8"/>
      <c r="BP514" s="7"/>
      <c r="BQ514" s="6"/>
      <c r="BR514" s="8"/>
    </row>
    <row r="515">
      <c r="A515" s="6"/>
      <c r="B515" s="6" t="s">
        <v>515</v>
      </c>
      <c r="C515" s="3" t="str">
        <f t="shared" si="1"/>
        <v>_mirrored gray</v>
      </c>
      <c r="D515" s="3" t="str">
        <f t="shared" si="8"/>
        <v>#N/A</v>
      </c>
      <c r="E515" s="3" t="b">
        <f t="shared" si="2"/>
        <v>0</v>
      </c>
      <c r="G515" s="3" t="str">
        <f t="shared" si="3"/>
        <v>#N/A</v>
      </c>
      <c r="H515" s="3" t="b">
        <f t="shared" si="4"/>
        <v>0</v>
      </c>
      <c r="J515" s="3" t="str">
        <f t="shared" si="5"/>
        <v>#N/A</v>
      </c>
      <c r="K515" s="3" t="b">
        <f t="shared" si="6"/>
        <v>0</v>
      </c>
      <c r="M515" s="3" t="str">
        <f t="shared" si="7"/>
        <v>#N/A</v>
      </c>
      <c r="AU515" s="7"/>
      <c r="AV515" s="6"/>
      <c r="AW515" s="8"/>
      <c r="AX515" s="7"/>
      <c r="AY515" s="6"/>
      <c r="AZ515" s="8"/>
      <c r="BA515" s="7"/>
      <c r="BB515" s="6"/>
      <c r="BC515" s="8"/>
      <c r="BD515" s="7"/>
      <c r="BE515" s="6"/>
      <c r="BF515" s="8"/>
      <c r="BG515" s="7"/>
      <c r="BH515" s="6"/>
      <c r="BI515" s="8"/>
      <c r="BJ515" s="7"/>
      <c r="BK515" s="6"/>
      <c r="BL515" s="8"/>
      <c r="BM515" s="7"/>
      <c r="BN515" s="6"/>
      <c r="BO515" s="8"/>
      <c r="BP515" s="7"/>
      <c r="BQ515" s="6"/>
      <c r="BR515" s="8"/>
    </row>
    <row r="516">
      <c r="A516" s="6"/>
      <c r="B516" s="6" t="s">
        <v>516</v>
      </c>
      <c r="C516" s="3" t="str">
        <f t="shared" si="1"/>
        <v>_bright lavender</v>
      </c>
      <c r="D516" s="3" t="str">
        <f t="shared" si="8"/>
        <v>#N/A</v>
      </c>
      <c r="E516" s="3" t="b">
        <f t="shared" si="2"/>
        <v>0</v>
      </c>
      <c r="G516" s="3" t="str">
        <f t="shared" si="3"/>
        <v>#N/A</v>
      </c>
      <c r="H516" s="3" t="b">
        <f t="shared" si="4"/>
        <v>0</v>
      </c>
      <c r="J516" s="3" t="str">
        <f t="shared" si="5"/>
        <v>#N/A</v>
      </c>
      <c r="K516" s="3" t="b">
        <f t="shared" si="6"/>
        <v>0</v>
      </c>
      <c r="M516" s="3" t="str">
        <f t="shared" si="7"/>
        <v>#N/A</v>
      </c>
      <c r="AU516" s="7"/>
      <c r="AV516" s="6"/>
      <c r="AW516" s="8"/>
      <c r="AX516" s="7"/>
      <c r="AY516" s="6"/>
      <c r="AZ516" s="8"/>
      <c r="BA516" s="7"/>
      <c r="BB516" s="6"/>
      <c r="BC516" s="8"/>
      <c r="BD516" s="7"/>
      <c r="BE516" s="6"/>
      <c r="BF516" s="8"/>
      <c r="BG516" s="7"/>
      <c r="BH516" s="6"/>
      <c r="BI516" s="8"/>
      <c r="BJ516" s="7"/>
      <c r="BK516" s="6"/>
      <c r="BL516" s="8"/>
      <c r="BM516" s="7"/>
      <c r="BN516" s="6"/>
      <c r="BO516" s="8"/>
      <c r="BP516" s="7"/>
      <c r="BQ516" s="6"/>
      <c r="BR516" s="8"/>
    </row>
    <row r="517">
      <c r="A517" s="6"/>
      <c r="B517" s="6" t="s">
        <v>517</v>
      </c>
      <c r="C517" s="3" t="str">
        <f t="shared" si="1"/>
        <v>_drab yellow</v>
      </c>
      <c r="D517" s="3" t="str">
        <f t="shared" si="8"/>
        <v>#N/A</v>
      </c>
      <c r="E517" s="3" t="b">
        <f t="shared" si="2"/>
        <v>0</v>
      </c>
      <c r="G517" s="3" t="str">
        <f t="shared" si="3"/>
        <v>#N/A</v>
      </c>
      <c r="H517" s="3" t="b">
        <f t="shared" si="4"/>
        <v>0</v>
      </c>
      <c r="J517" s="3" t="str">
        <f t="shared" si="5"/>
        <v>#N/A</v>
      </c>
      <c r="K517" s="3" t="b">
        <f t="shared" si="6"/>
        <v>0</v>
      </c>
      <c r="M517" s="3" t="str">
        <f t="shared" si="7"/>
        <v>#N/A</v>
      </c>
      <c r="AU517" s="7"/>
      <c r="AV517" s="6"/>
      <c r="AW517" s="8"/>
      <c r="AX517" s="7"/>
      <c r="AY517" s="6"/>
      <c r="AZ517" s="8"/>
      <c r="BA517" s="7"/>
      <c r="BB517" s="6"/>
      <c r="BC517" s="8"/>
      <c r="BD517" s="7"/>
      <c r="BE517" s="6"/>
      <c r="BF517" s="8"/>
      <c r="BG517" s="7"/>
      <c r="BH517" s="6"/>
      <c r="BI517" s="8"/>
      <c r="BJ517" s="7"/>
      <c r="BK517" s="6"/>
      <c r="BL517" s="8"/>
      <c r="BM517" s="7"/>
      <c r="BN517" s="6"/>
      <c r="BO517" s="8"/>
      <c r="BP517" s="7"/>
      <c r="BQ517" s="6"/>
      <c r="BR517" s="8"/>
    </row>
    <row r="518">
      <c r="A518" s="6"/>
      <c r="B518" s="6" t="s">
        <v>518</v>
      </c>
      <c r="C518" s="3" t="str">
        <f t="shared" si="1"/>
        <v>_dark chartreuse</v>
      </c>
      <c r="D518" s="3" t="str">
        <f t="shared" si="8"/>
        <v>#N/A</v>
      </c>
      <c r="E518" s="3" t="b">
        <f t="shared" si="2"/>
        <v>0</v>
      </c>
      <c r="G518" s="3" t="str">
        <f t="shared" si="3"/>
        <v>#N/A</v>
      </c>
      <c r="H518" s="3" t="b">
        <f t="shared" si="4"/>
        <v>0</v>
      </c>
      <c r="J518" s="3" t="str">
        <f t="shared" si="5"/>
        <v>#N/A</v>
      </c>
      <c r="K518" s="3" t="b">
        <f t="shared" si="6"/>
        <v>0</v>
      </c>
      <c r="M518" s="3" t="str">
        <f t="shared" si="7"/>
        <v>#N/A</v>
      </c>
      <c r="AU518" s="7"/>
      <c r="AV518" s="6"/>
      <c r="AW518" s="8"/>
      <c r="AX518" s="7"/>
      <c r="AY518" s="6"/>
      <c r="AZ518" s="8"/>
      <c r="BA518" s="7"/>
      <c r="BB518" s="6"/>
      <c r="BC518" s="8"/>
      <c r="BD518" s="7"/>
      <c r="BE518" s="6"/>
      <c r="BF518" s="8"/>
      <c r="BG518" s="7"/>
      <c r="BH518" s="6"/>
      <c r="BI518" s="8"/>
      <c r="BJ518" s="7"/>
      <c r="BK518" s="6"/>
      <c r="BL518" s="8"/>
      <c r="BM518" s="7"/>
      <c r="BN518" s="6"/>
      <c r="BO518" s="8"/>
      <c r="BP518" s="7"/>
      <c r="BQ518" s="6"/>
      <c r="BR518" s="8"/>
    </row>
    <row r="519">
      <c r="A519" s="6"/>
      <c r="B519" s="6" t="s">
        <v>519</v>
      </c>
      <c r="C519" s="3" t="str">
        <f t="shared" si="1"/>
        <v>_vibrant indigo</v>
      </c>
      <c r="D519" s="3" t="str">
        <f t="shared" si="8"/>
        <v>#N/A</v>
      </c>
      <c r="E519" s="3" t="b">
        <f t="shared" si="2"/>
        <v>0</v>
      </c>
      <c r="G519" s="3" t="str">
        <f t="shared" si="3"/>
        <v>#N/A</v>
      </c>
      <c r="H519" s="3" t="b">
        <f t="shared" si="4"/>
        <v>0</v>
      </c>
      <c r="J519" s="3" t="str">
        <f t="shared" si="5"/>
        <v>#N/A</v>
      </c>
      <c r="K519" s="3" t="b">
        <f t="shared" si="6"/>
        <v>0</v>
      </c>
      <c r="M519" s="3" t="str">
        <f t="shared" si="7"/>
        <v>#N/A</v>
      </c>
      <c r="AU519" s="7"/>
      <c r="AV519" s="6"/>
      <c r="AW519" s="8"/>
      <c r="AX519" s="7"/>
      <c r="AY519" s="6"/>
      <c r="AZ519" s="8"/>
      <c r="BA519" s="7"/>
      <c r="BB519" s="6"/>
      <c r="BC519" s="8"/>
      <c r="BD519" s="7"/>
      <c r="BE519" s="6"/>
      <c r="BF519" s="8"/>
      <c r="BG519" s="7"/>
      <c r="BH519" s="6"/>
      <c r="BI519" s="8"/>
      <c r="BJ519" s="7"/>
      <c r="BK519" s="6"/>
      <c r="BL519" s="8"/>
      <c r="BM519" s="7"/>
      <c r="BN519" s="6"/>
      <c r="BO519" s="8"/>
      <c r="BP519" s="7"/>
      <c r="BQ519" s="6"/>
      <c r="BR519" s="8"/>
    </row>
    <row r="520">
      <c r="A520" s="6"/>
      <c r="B520" s="6" t="s">
        <v>520</v>
      </c>
      <c r="C520" s="3" t="str">
        <f t="shared" si="1"/>
        <v>_plaid green</v>
      </c>
      <c r="D520" s="3" t="str">
        <f t="shared" si="8"/>
        <v>#N/A</v>
      </c>
      <c r="E520" s="3" t="b">
        <f t="shared" si="2"/>
        <v>0</v>
      </c>
      <c r="G520" s="3" t="str">
        <f t="shared" si="3"/>
        <v>#N/A</v>
      </c>
      <c r="H520" s="3" t="b">
        <f t="shared" si="4"/>
        <v>0</v>
      </c>
      <c r="J520" s="3" t="str">
        <f t="shared" si="5"/>
        <v>#N/A</v>
      </c>
      <c r="K520" s="3" t="b">
        <f t="shared" si="6"/>
        <v>0</v>
      </c>
      <c r="M520" s="3" t="str">
        <f t="shared" si="7"/>
        <v>#N/A</v>
      </c>
      <c r="AU520" s="7"/>
      <c r="AV520" s="6"/>
      <c r="AW520" s="8"/>
      <c r="AX520" s="7"/>
      <c r="AY520" s="6"/>
      <c r="AZ520" s="8"/>
      <c r="BA520" s="7"/>
      <c r="BB520" s="6"/>
      <c r="BC520" s="8"/>
      <c r="BD520" s="7"/>
      <c r="BE520" s="6"/>
      <c r="BF520" s="8"/>
      <c r="BG520" s="7"/>
      <c r="BH520" s="6"/>
      <c r="BI520" s="8"/>
      <c r="BJ520" s="7"/>
      <c r="BK520" s="6"/>
      <c r="BL520" s="8"/>
      <c r="BM520" s="7"/>
      <c r="BN520" s="6"/>
      <c r="BO520" s="8"/>
      <c r="BP520" s="7"/>
      <c r="BQ520" s="6"/>
      <c r="BR520" s="8"/>
    </row>
    <row r="521">
      <c r="A521" s="6"/>
      <c r="B521" s="6" t="s">
        <v>521</v>
      </c>
      <c r="C521" s="3" t="str">
        <f t="shared" si="1"/>
        <v>_mirrored purple</v>
      </c>
      <c r="D521" s="3" t="str">
        <f t="shared" si="8"/>
        <v>#N/A</v>
      </c>
      <c r="E521" s="3" t="b">
        <f t="shared" si="2"/>
        <v>0</v>
      </c>
      <c r="G521" s="3" t="str">
        <f t="shared" si="3"/>
        <v>#N/A</v>
      </c>
      <c r="H521" s="3" t="b">
        <f t="shared" si="4"/>
        <v>0</v>
      </c>
      <c r="J521" s="3" t="str">
        <f t="shared" si="5"/>
        <v>#N/A</v>
      </c>
      <c r="K521" s="3" t="b">
        <f t="shared" si="6"/>
        <v>0</v>
      </c>
      <c r="M521" s="3" t="str">
        <f t="shared" si="7"/>
        <v>#N/A</v>
      </c>
      <c r="AU521" s="7"/>
      <c r="AV521" s="6"/>
      <c r="AW521" s="8"/>
      <c r="AX521" s="7"/>
      <c r="AY521" s="6"/>
      <c r="AZ521" s="8"/>
      <c r="BA521" s="7"/>
      <c r="BB521" s="6"/>
      <c r="BC521" s="8"/>
      <c r="BD521" s="7"/>
      <c r="BE521" s="6"/>
      <c r="BF521" s="8"/>
      <c r="BG521" s="7"/>
      <c r="BH521" s="6"/>
      <c r="BI521" s="8"/>
      <c r="BJ521" s="7"/>
      <c r="BK521" s="6"/>
      <c r="BL521" s="8"/>
      <c r="BM521" s="7"/>
      <c r="BN521" s="6"/>
      <c r="BO521" s="8"/>
      <c r="BP521" s="7"/>
      <c r="BQ521" s="6"/>
      <c r="BR521" s="8"/>
    </row>
    <row r="522">
      <c r="A522" s="6"/>
      <c r="B522" s="6" t="s">
        <v>522</v>
      </c>
      <c r="C522" s="3" t="str">
        <f t="shared" si="1"/>
        <v>_vibrant yellow</v>
      </c>
      <c r="D522" s="3" t="str">
        <f t="shared" si="8"/>
        <v>#N/A</v>
      </c>
      <c r="E522" s="3" t="b">
        <f t="shared" si="2"/>
        <v>0</v>
      </c>
      <c r="G522" s="3" t="str">
        <f t="shared" si="3"/>
        <v>#N/A</v>
      </c>
      <c r="H522" s="3" t="b">
        <f t="shared" si="4"/>
        <v>0</v>
      </c>
      <c r="J522" s="3" t="str">
        <f t="shared" si="5"/>
        <v>#N/A</v>
      </c>
      <c r="K522" s="3" t="b">
        <f t="shared" si="6"/>
        <v>0</v>
      </c>
      <c r="M522" s="3" t="str">
        <f t="shared" si="7"/>
        <v>#N/A</v>
      </c>
      <c r="AU522" s="7"/>
      <c r="AV522" s="6"/>
      <c r="AW522" s="8"/>
      <c r="AX522" s="7"/>
      <c r="AY522" s="6"/>
      <c r="AZ522" s="8"/>
      <c r="BA522" s="7"/>
      <c r="BB522" s="6"/>
      <c r="BC522" s="8"/>
      <c r="BD522" s="7"/>
      <c r="BE522" s="6"/>
      <c r="BF522" s="8"/>
      <c r="BG522" s="7"/>
      <c r="BH522" s="6"/>
      <c r="BI522" s="8"/>
      <c r="BJ522" s="7"/>
      <c r="BK522" s="6"/>
      <c r="BL522" s="8"/>
      <c r="BM522" s="7"/>
      <c r="BN522" s="6"/>
      <c r="BO522" s="8"/>
      <c r="BP522" s="7"/>
      <c r="BQ522" s="6"/>
      <c r="BR522" s="8"/>
    </row>
    <row r="523">
      <c r="A523" s="6"/>
      <c r="B523" s="6" t="s">
        <v>523</v>
      </c>
      <c r="C523" s="3" t="str">
        <f t="shared" si="1"/>
        <v>_pale gold</v>
      </c>
      <c r="D523" s="3" t="str">
        <f t="shared" si="8"/>
        <v>#N/A</v>
      </c>
      <c r="E523" s="3" t="b">
        <f t="shared" si="2"/>
        <v>0</v>
      </c>
      <c r="G523" s="3" t="str">
        <f t="shared" si="3"/>
        <v>#N/A</v>
      </c>
      <c r="H523" s="3" t="b">
        <f t="shared" si="4"/>
        <v>0</v>
      </c>
      <c r="J523" s="3" t="str">
        <f t="shared" si="5"/>
        <v>#N/A</v>
      </c>
      <c r="K523" s="3" t="b">
        <f t="shared" si="6"/>
        <v>0</v>
      </c>
      <c r="M523" s="3" t="str">
        <f t="shared" si="7"/>
        <v>#N/A</v>
      </c>
      <c r="AU523" s="7"/>
      <c r="AV523" s="6"/>
      <c r="AW523" s="8"/>
      <c r="AX523" s="7"/>
      <c r="AY523" s="6"/>
      <c r="AZ523" s="8"/>
      <c r="BA523" s="7"/>
      <c r="BB523" s="6"/>
      <c r="BC523" s="8"/>
      <c r="BD523" s="7"/>
      <c r="BE523" s="6"/>
      <c r="BF523" s="8"/>
      <c r="BG523" s="7"/>
      <c r="BH523" s="6"/>
      <c r="BI523" s="8"/>
      <c r="BJ523" s="7"/>
      <c r="BK523" s="6"/>
      <c r="BL523" s="8"/>
      <c r="BM523" s="7"/>
      <c r="BN523" s="6"/>
      <c r="BO523" s="8"/>
      <c r="BP523" s="7"/>
      <c r="BQ523" s="6"/>
      <c r="BR523" s="8"/>
    </row>
    <row r="524">
      <c r="A524" s="6"/>
      <c r="B524" s="6" t="s">
        <v>524</v>
      </c>
      <c r="C524" s="3" t="str">
        <f t="shared" si="1"/>
        <v>_shiny cyan</v>
      </c>
      <c r="D524" s="3" t="str">
        <f t="shared" si="8"/>
        <v>#N/A</v>
      </c>
      <c r="E524" s="3" t="b">
        <f t="shared" si="2"/>
        <v>0</v>
      </c>
      <c r="G524" s="3" t="str">
        <f t="shared" si="3"/>
        <v>#N/A</v>
      </c>
      <c r="H524" s="3" t="b">
        <f t="shared" si="4"/>
        <v>0</v>
      </c>
      <c r="J524" s="3" t="str">
        <f t="shared" si="5"/>
        <v>#N/A</v>
      </c>
      <c r="K524" s="3" t="b">
        <f t="shared" si="6"/>
        <v>0</v>
      </c>
      <c r="M524" s="3" t="str">
        <f t="shared" si="7"/>
        <v>#N/A</v>
      </c>
      <c r="AU524" s="7"/>
      <c r="AV524" s="6"/>
      <c r="AW524" s="8"/>
      <c r="AX524" s="7"/>
      <c r="AY524" s="6"/>
      <c r="AZ524" s="8"/>
      <c r="BA524" s="7"/>
      <c r="BB524" s="6"/>
      <c r="BC524" s="8"/>
      <c r="BD524" s="7"/>
      <c r="BE524" s="6"/>
      <c r="BF524" s="8"/>
      <c r="BG524" s="7"/>
      <c r="BH524" s="6"/>
      <c r="BI524" s="8"/>
      <c r="BJ524" s="7"/>
      <c r="BK524" s="6"/>
      <c r="BL524" s="8"/>
      <c r="BM524" s="7"/>
      <c r="BN524" s="6"/>
      <c r="BO524" s="8"/>
      <c r="BP524" s="7"/>
      <c r="BQ524" s="6"/>
      <c r="BR524" s="8"/>
    </row>
    <row r="525">
      <c r="A525" s="6"/>
      <c r="B525" s="6" t="s">
        <v>525</v>
      </c>
      <c r="C525" s="3" t="str">
        <f t="shared" si="1"/>
        <v>_dim salmon</v>
      </c>
      <c r="D525" s="3" t="str">
        <f t="shared" si="8"/>
        <v>#N/A</v>
      </c>
      <c r="E525" s="3" t="b">
        <f t="shared" si="2"/>
        <v>0</v>
      </c>
      <c r="G525" s="3" t="str">
        <f t="shared" si="3"/>
        <v>#N/A</v>
      </c>
      <c r="H525" s="3" t="b">
        <f t="shared" si="4"/>
        <v>0</v>
      </c>
      <c r="J525" s="3" t="str">
        <f t="shared" si="5"/>
        <v>#N/A</v>
      </c>
      <c r="K525" s="3" t="b">
        <f t="shared" si="6"/>
        <v>0</v>
      </c>
      <c r="M525" s="3" t="str">
        <f t="shared" si="7"/>
        <v>#N/A</v>
      </c>
      <c r="AU525" s="7"/>
      <c r="AV525" s="6"/>
      <c r="AW525" s="8"/>
      <c r="AX525" s="7"/>
      <c r="AY525" s="6"/>
      <c r="AZ525" s="8"/>
      <c r="BA525" s="7"/>
      <c r="BB525" s="6"/>
      <c r="BC525" s="8"/>
      <c r="BD525" s="7"/>
      <c r="BE525" s="6"/>
      <c r="BF525" s="8"/>
      <c r="BG525" s="7"/>
      <c r="BH525" s="6"/>
      <c r="BI525" s="8"/>
      <c r="BJ525" s="7"/>
      <c r="BK525" s="6"/>
      <c r="BL525" s="8"/>
      <c r="BM525" s="7"/>
      <c r="BN525" s="6"/>
      <c r="BO525" s="8"/>
      <c r="BP525" s="7"/>
      <c r="BQ525" s="6"/>
      <c r="BR525" s="8"/>
    </row>
    <row r="526">
      <c r="A526" s="6"/>
      <c r="B526" s="6" t="s">
        <v>526</v>
      </c>
      <c r="C526" s="3" t="str">
        <f t="shared" si="1"/>
        <v>_dark crimson</v>
      </c>
      <c r="D526" s="3" t="str">
        <f t="shared" si="8"/>
        <v>#N/A</v>
      </c>
      <c r="E526" s="3" t="b">
        <f t="shared" si="2"/>
        <v>0</v>
      </c>
      <c r="G526" s="3" t="str">
        <f t="shared" si="3"/>
        <v>#N/A</v>
      </c>
      <c r="H526" s="3" t="b">
        <f t="shared" si="4"/>
        <v>0</v>
      </c>
      <c r="J526" s="3" t="str">
        <f t="shared" si="5"/>
        <v>#N/A</v>
      </c>
      <c r="K526" s="3" t="b">
        <f t="shared" si="6"/>
        <v>0</v>
      </c>
      <c r="M526" s="3" t="str">
        <f t="shared" si="7"/>
        <v>#N/A</v>
      </c>
      <c r="AU526" s="7"/>
      <c r="AV526" s="6"/>
      <c r="AW526" s="8"/>
      <c r="AX526" s="7"/>
      <c r="AY526" s="6"/>
      <c r="AZ526" s="8"/>
      <c r="BA526" s="7"/>
      <c r="BB526" s="6"/>
      <c r="BC526" s="8"/>
      <c r="BD526" s="7"/>
      <c r="BE526" s="6"/>
      <c r="BF526" s="8"/>
      <c r="BG526" s="7"/>
      <c r="BH526" s="6"/>
      <c r="BI526" s="8"/>
      <c r="BJ526" s="7"/>
      <c r="BK526" s="6"/>
      <c r="BL526" s="8"/>
      <c r="BM526" s="7"/>
      <c r="BN526" s="6"/>
      <c r="BO526" s="8"/>
      <c r="BP526" s="7"/>
      <c r="BQ526" s="6"/>
      <c r="BR526" s="8"/>
    </row>
    <row r="527">
      <c r="A527" s="6"/>
      <c r="B527" s="6" t="s">
        <v>527</v>
      </c>
      <c r="C527" s="3" t="str">
        <f t="shared" si="1"/>
        <v>_vibrant gold</v>
      </c>
      <c r="D527" s="3" t="str">
        <f t="shared" si="8"/>
        <v>#N/A</v>
      </c>
      <c r="E527" s="3" t="b">
        <f t="shared" si="2"/>
        <v>0</v>
      </c>
      <c r="G527" s="3" t="str">
        <f t="shared" si="3"/>
        <v>#N/A</v>
      </c>
      <c r="H527" s="3" t="b">
        <f t="shared" si="4"/>
        <v>0</v>
      </c>
      <c r="J527" s="3" t="str">
        <f t="shared" si="5"/>
        <v>#N/A</v>
      </c>
      <c r="K527" s="3" t="b">
        <f t="shared" si="6"/>
        <v>0</v>
      </c>
      <c r="M527" s="3" t="str">
        <f t="shared" si="7"/>
        <v>#N/A</v>
      </c>
      <c r="AU527" s="7"/>
      <c r="AV527" s="6"/>
      <c r="AW527" s="8"/>
      <c r="AX527" s="7"/>
      <c r="AY527" s="6"/>
      <c r="AZ527" s="8"/>
      <c r="BA527" s="7"/>
      <c r="BB527" s="6"/>
      <c r="BC527" s="8"/>
      <c r="BD527" s="7"/>
      <c r="BE527" s="6"/>
      <c r="BF527" s="8"/>
      <c r="BG527" s="7"/>
      <c r="BH527" s="6"/>
      <c r="BI527" s="8"/>
      <c r="BJ527" s="7"/>
      <c r="BK527" s="6"/>
      <c r="BL527" s="8"/>
      <c r="BM527" s="7"/>
      <c r="BN527" s="6"/>
      <c r="BO527" s="8"/>
      <c r="BP527" s="7"/>
      <c r="BQ527" s="6"/>
      <c r="BR527" s="8"/>
    </row>
    <row r="528">
      <c r="A528" s="6"/>
      <c r="B528" s="6" t="s">
        <v>528</v>
      </c>
      <c r="C528" s="3" t="str">
        <f t="shared" si="1"/>
        <v>_faded magenta</v>
      </c>
      <c r="D528" s="3" t="str">
        <f t="shared" si="8"/>
        <v>#N/A</v>
      </c>
      <c r="E528" s="3" t="b">
        <f t="shared" si="2"/>
        <v>0</v>
      </c>
      <c r="G528" s="3" t="str">
        <f t="shared" si="3"/>
        <v>#N/A</v>
      </c>
      <c r="H528" s="3" t="b">
        <f t="shared" si="4"/>
        <v>0</v>
      </c>
      <c r="J528" s="3" t="str">
        <f t="shared" si="5"/>
        <v>#N/A</v>
      </c>
      <c r="K528" s="3" t="b">
        <f t="shared" si="6"/>
        <v>0</v>
      </c>
      <c r="M528" s="3" t="str">
        <f t="shared" si="7"/>
        <v>#N/A</v>
      </c>
      <c r="AU528" s="7"/>
      <c r="AV528" s="6"/>
      <c r="AW528" s="8"/>
      <c r="AX528" s="7"/>
      <c r="AY528" s="6"/>
      <c r="AZ528" s="8"/>
      <c r="BA528" s="7"/>
      <c r="BB528" s="6"/>
      <c r="BC528" s="8"/>
      <c r="BD528" s="7"/>
      <c r="BE528" s="6"/>
      <c r="BF528" s="8"/>
      <c r="BG528" s="7"/>
      <c r="BH528" s="6"/>
      <c r="BI528" s="8"/>
      <c r="BJ528" s="7"/>
      <c r="BK528" s="6"/>
      <c r="BL528" s="8"/>
      <c r="BM528" s="7"/>
      <c r="BN528" s="6"/>
      <c r="BO528" s="8"/>
      <c r="BP528" s="7"/>
      <c r="BQ528" s="6"/>
      <c r="BR528" s="8"/>
    </row>
    <row r="529">
      <c r="A529" s="6"/>
      <c r="B529" s="6" t="s">
        <v>529</v>
      </c>
      <c r="C529" s="3" t="str">
        <f t="shared" si="1"/>
        <v>_drab black</v>
      </c>
      <c r="D529" s="3" t="str">
        <f t="shared" si="8"/>
        <v>#N/A</v>
      </c>
      <c r="E529" s="3" t="b">
        <f t="shared" si="2"/>
        <v>0</v>
      </c>
      <c r="G529" s="3" t="str">
        <f t="shared" si="3"/>
        <v>#N/A</v>
      </c>
      <c r="H529" s="3" t="b">
        <f t="shared" si="4"/>
        <v>0</v>
      </c>
      <c r="J529" s="3" t="str">
        <f t="shared" si="5"/>
        <v>#N/A</v>
      </c>
      <c r="K529" s="3" t="b">
        <f t="shared" si="6"/>
        <v>0</v>
      </c>
      <c r="M529" s="3" t="str">
        <f t="shared" si="7"/>
        <v>#N/A</v>
      </c>
      <c r="AU529" s="7"/>
      <c r="AV529" s="6"/>
      <c r="AW529" s="8"/>
      <c r="AX529" s="7"/>
      <c r="AY529" s="6"/>
      <c r="AZ529" s="8"/>
      <c r="BA529" s="7"/>
      <c r="BB529" s="6"/>
      <c r="BC529" s="8"/>
      <c r="BD529" s="7"/>
      <c r="BE529" s="6"/>
      <c r="BF529" s="8"/>
      <c r="BG529" s="7"/>
      <c r="BH529" s="6"/>
      <c r="BI529" s="8"/>
      <c r="BJ529" s="7"/>
      <c r="BK529" s="6"/>
      <c r="BL529" s="8"/>
      <c r="BM529" s="7"/>
      <c r="BN529" s="6"/>
      <c r="BO529" s="8"/>
      <c r="BP529" s="7"/>
      <c r="BQ529" s="6"/>
      <c r="BR529" s="8"/>
    </row>
    <row r="530">
      <c r="A530" s="6"/>
      <c r="B530" s="6" t="s">
        <v>530</v>
      </c>
      <c r="C530" s="3" t="str">
        <f t="shared" si="1"/>
        <v>_bright green</v>
      </c>
      <c r="D530" s="3" t="str">
        <f t="shared" si="8"/>
        <v>#N/A</v>
      </c>
      <c r="E530" s="3" t="b">
        <f t="shared" si="2"/>
        <v>0</v>
      </c>
      <c r="G530" s="3" t="str">
        <f t="shared" si="3"/>
        <v>#N/A</v>
      </c>
      <c r="H530" s="3" t="b">
        <f t="shared" si="4"/>
        <v>0</v>
      </c>
      <c r="J530" s="3" t="str">
        <f t="shared" si="5"/>
        <v>#N/A</v>
      </c>
      <c r="K530" s="3" t="b">
        <f t="shared" si="6"/>
        <v>0</v>
      </c>
      <c r="M530" s="3" t="str">
        <f t="shared" si="7"/>
        <v>#N/A</v>
      </c>
      <c r="AU530" s="7"/>
      <c r="AV530" s="6"/>
      <c r="AW530" s="8"/>
      <c r="AX530" s="7"/>
      <c r="AY530" s="6"/>
      <c r="AZ530" s="8"/>
      <c r="BA530" s="7"/>
      <c r="BB530" s="6"/>
      <c r="BC530" s="8"/>
      <c r="BD530" s="7"/>
      <c r="BE530" s="6"/>
      <c r="BF530" s="8"/>
      <c r="BG530" s="7"/>
      <c r="BH530" s="6"/>
      <c r="BI530" s="8"/>
      <c r="BJ530" s="7"/>
      <c r="BK530" s="6"/>
      <c r="BL530" s="8"/>
      <c r="BM530" s="7"/>
      <c r="BN530" s="6"/>
      <c r="BO530" s="8"/>
      <c r="BP530" s="7"/>
      <c r="BQ530" s="6"/>
      <c r="BR530" s="8"/>
    </row>
    <row r="531">
      <c r="A531" s="6"/>
      <c r="B531" s="6" t="s">
        <v>531</v>
      </c>
      <c r="C531" s="3" t="str">
        <f t="shared" si="1"/>
        <v>_bright aqua</v>
      </c>
      <c r="D531" s="3" t="str">
        <f t="shared" si="8"/>
        <v>#N/A</v>
      </c>
      <c r="E531" s="3" t="b">
        <f t="shared" si="2"/>
        <v>0</v>
      </c>
      <c r="G531" s="3" t="str">
        <f t="shared" si="3"/>
        <v>#N/A</v>
      </c>
      <c r="H531" s="3" t="b">
        <f t="shared" si="4"/>
        <v>0</v>
      </c>
      <c r="J531" s="3" t="str">
        <f t="shared" si="5"/>
        <v>#N/A</v>
      </c>
      <c r="K531" s="3" t="b">
        <f t="shared" si="6"/>
        <v>0</v>
      </c>
      <c r="M531" s="3" t="str">
        <f t="shared" si="7"/>
        <v>#N/A</v>
      </c>
      <c r="AU531" s="7"/>
      <c r="AV531" s="6"/>
      <c r="AW531" s="8"/>
      <c r="AX531" s="7"/>
      <c r="AY531" s="6"/>
      <c r="AZ531" s="8"/>
      <c r="BA531" s="7"/>
      <c r="BB531" s="6"/>
      <c r="BC531" s="8"/>
      <c r="BD531" s="7"/>
      <c r="BE531" s="6"/>
      <c r="BF531" s="8"/>
      <c r="BG531" s="7"/>
      <c r="BH531" s="6"/>
      <c r="BI531" s="8"/>
      <c r="BJ531" s="7"/>
      <c r="BK531" s="6"/>
      <c r="BL531" s="8"/>
      <c r="BM531" s="7"/>
      <c r="BN531" s="6"/>
      <c r="BO531" s="8"/>
      <c r="BP531" s="7"/>
      <c r="BQ531" s="6"/>
      <c r="BR531" s="8"/>
    </row>
    <row r="532">
      <c r="A532" s="6"/>
      <c r="B532" s="6" t="s">
        <v>532</v>
      </c>
      <c r="C532" s="3" t="str">
        <f t="shared" si="1"/>
        <v>_pale olive</v>
      </c>
      <c r="D532" s="3" t="str">
        <f t="shared" si="8"/>
        <v>#N/A</v>
      </c>
      <c r="E532" s="3" t="b">
        <f t="shared" si="2"/>
        <v>0</v>
      </c>
      <c r="G532" s="3" t="str">
        <f t="shared" si="3"/>
        <v>#N/A</v>
      </c>
      <c r="H532" s="3" t="b">
        <f t="shared" si="4"/>
        <v>0</v>
      </c>
      <c r="J532" s="3" t="str">
        <f t="shared" si="5"/>
        <v>#N/A</v>
      </c>
      <c r="K532" s="3" t="b">
        <f t="shared" si="6"/>
        <v>0</v>
      </c>
      <c r="M532" s="3" t="str">
        <f t="shared" si="7"/>
        <v>#N/A</v>
      </c>
      <c r="AU532" s="7"/>
      <c r="AV532" s="6"/>
      <c r="AW532" s="8"/>
      <c r="AX532" s="7"/>
      <c r="AY532" s="6"/>
      <c r="AZ532" s="8"/>
      <c r="BA532" s="7"/>
      <c r="BB532" s="6"/>
      <c r="BC532" s="8"/>
      <c r="BD532" s="7"/>
      <c r="BE532" s="6"/>
      <c r="BF532" s="8"/>
      <c r="BG532" s="7"/>
      <c r="BH532" s="6"/>
      <c r="BI532" s="8"/>
      <c r="BJ532" s="7"/>
      <c r="BK532" s="6"/>
      <c r="BL532" s="8"/>
      <c r="BM532" s="7"/>
      <c r="BN532" s="6"/>
      <c r="BO532" s="8"/>
      <c r="BP532" s="7"/>
      <c r="BQ532" s="6"/>
      <c r="BR532" s="8"/>
    </row>
    <row r="533">
      <c r="A533" s="6"/>
      <c r="B533" s="6" t="s">
        <v>533</v>
      </c>
      <c r="C533" s="3" t="str">
        <f t="shared" si="1"/>
        <v>_mirrored fuchsia</v>
      </c>
      <c r="D533" s="3" t="str">
        <f t="shared" si="8"/>
        <v>#N/A</v>
      </c>
      <c r="E533" s="3" t="b">
        <f t="shared" si="2"/>
        <v>0</v>
      </c>
      <c r="G533" s="3" t="str">
        <f t="shared" si="3"/>
        <v>#N/A</v>
      </c>
      <c r="H533" s="3" t="b">
        <f t="shared" si="4"/>
        <v>0</v>
      </c>
      <c r="J533" s="3" t="str">
        <f t="shared" si="5"/>
        <v>#N/A</v>
      </c>
      <c r="K533" s="3" t="b">
        <f t="shared" si="6"/>
        <v>0</v>
      </c>
      <c r="M533" s="3" t="str">
        <f t="shared" si="7"/>
        <v>#N/A</v>
      </c>
      <c r="AU533" s="7"/>
      <c r="AV533" s="6"/>
      <c r="AW533" s="8"/>
      <c r="AX533" s="7"/>
      <c r="AY533" s="6"/>
      <c r="AZ533" s="8"/>
      <c r="BA533" s="7"/>
      <c r="BB533" s="6"/>
      <c r="BC533" s="8"/>
      <c r="BD533" s="7"/>
      <c r="BE533" s="6"/>
      <c r="BF533" s="8"/>
      <c r="BG533" s="7"/>
      <c r="BH533" s="6"/>
      <c r="BI533" s="8"/>
      <c r="BJ533" s="7"/>
      <c r="BK533" s="6"/>
      <c r="BL533" s="8"/>
      <c r="BM533" s="7"/>
      <c r="BN533" s="6"/>
      <c r="BO533" s="8"/>
      <c r="BP533" s="7"/>
      <c r="BQ533" s="6"/>
      <c r="BR533" s="8"/>
    </row>
    <row r="534">
      <c r="A534" s="6"/>
      <c r="B534" s="6" t="s">
        <v>534</v>
      </c>
      <c r="C534" s="3" t="str">
        <f t="shared" si="1"/>
        <v>_mirrored red</v>
      </c>
      <c r="D534" s="3" t="str">
        <f t="shared" si="8"/>
        <v>#N/A</v>
      </c>
      <c r="E534" s="3" t="b">
        <f t="shared" si="2"/>
        <v>0</v>
      </c>
      <c r="G534" s="3" t="str">
        <f t="shared" si="3"/>
        <v>#N/A</v>
      </c>
      <c r="H534" s="3" t="b">
        <f t="shared" si="4"/>
        <v>0</v>
      </c>
      <c r="J534" s="3" t="str">
        <f t="shared" si="5"/>
        <v>#N/A</v>
      </c>
      <c r="K534" s="3" t="b">
        <f t="shared" si="6"/>
        <v>0</v>
      </c>
      <c r="M534" s="3" t="str">
        <f t="shared" si="7"/>
        <v>#N/A</v>
      </c>
      <c r="AU534" s="7"/>
      <c r="AV534" s="6"/>
      <c r="AW534" s="8"/>
      <c r="AX534" s="7"/>
      <c r="AY534" s="6"/>
      <c r="AZ534" s="8"/>
      <c r="BA534" s="7"/>
      <c r="BB534" s="6"/>
      <c r="BC534" s="8"/>
      <c r="BD534" s="7"/>
      <c r="BE534" s="6"/>
      <c r="BF534" s="8"/>
      <c r="BG534" s="7"/>
      <c r="BH534" s="6"/>
      <c r="BI534" s="8"/>
      <c r="BJ534" s="7"/>
      <c r="BK534" s="6"/>
      <c r="BL534" s="8"/>
      <c r="BM534" s="7"/>
      <c r="BN534" s="6"/>
      <c r="BO534" s="8"/>
      <c r="BP534" s="7"/>
      <c r="BQ534" s="6"/>
      <c r="BR534" s="8"/>
    </row>
    <row r="535">
      <c r="A535" s="6"/>
      <c r="B535" s="6" t="s">
        <v>535</v>
      </c>
      <c r="C535" s="3" t="str">
        <f t="shared" si="1"/>
        <v>_wavy blue</v>
      </c>
      <c r="D535" s="3" t="str">
        <f t="shared" si="8"/>
        <v>#N/A</v>
      </c>
      <c r="E535" s="3" t="b">
        <f t="shared" si="2"/>
        <v>0</v>
      </c>
      <c r="G535" s="3" t="str">
        <f t="shared" si="3"/>
        <v>#N/A</v>
      </c>
      <c r="H535" s="3" t="b">
        <f t="shared" si="4"/>
        <v>0</v>
      </c>
      <c r="J535" s="3" t="str">
        <f t="shared" si="5"/>
        <v>#N/A</v>
      </c>
      <c r="K535" s="3" t="b">
        <f t="shared" si="6"/>
        <v>0</v>
      </c>
      <c r="M535" s="3" t="str">
        <f t="shared" si="7"/>
        <v>#N/A</v>
      </c>
      <c r="AU535" s="7"/>
      <c r="AV535" s="6"/>
      <c r="AW535" s="8"/>
      <c r="AX535" s="7"/>
      <c r="AY535" s="6"/>
      <c r="AZ535" s="8"/>
      <c r="BA535" s="7"/>
      <c r="BB535" s="6"/>
      <c r="BC535" s="8"/>
      <c r="BD535" s="7"/>
      <c r="BE535" s="6"/>
      <c r="BF535" s="8"/>
      <c r="BG535" s="7"/>
      <c r="BH535" s="6"/>
      <c r="BI535" s="8"/>
      <c r="BJ535" s="7"/>
      <c r="BK535" s="6"/>
      <c r="BL535" s="8"/>
      <c r="BM535" s="7"/>
      <c r="BN535" s="6"/>
      <c r="BO535" s="8"/>
      <c r="BP535" s="7"/>
      <c r="BQ535" s="6"/>
      <c r="BR535" s="8"/>
    </row>
    <row r="536">
      <c r="A536" s="6"/>
      <c r="B536" s="6" t="s">
        <v>536</v>
      </c>
      <c r="C536" s="3" t="str">
        <f t="shared" si="1"/>
        <v>_clear silver</v>
      </c>
      <c r="D536" s="3" t="str">
        <f t="shared" si="8"/>
        <v>#N/A</v>
      </c>
      <c r="E536" s="3" t="b">
        <f t="shared" si="2"/>
        <v>0</v>
      </c>
      <c r="G536" s="3" t="str">
        <f t="shared" si="3"/>
        <v>#N/A</v>
      </c>
      <c r="H536" s="3" t="b">
        <f t="shared" si="4"/>
        <v>0</v>
      </c>
      <c r="J536" s="3" t="str">
        <f t="shared" si="5"/>
        <v>#N/A</v>
      </c>
      <c r="K536" s="3" t="b">
        <f t="shared" si="6"/>
        <v>0</v>
      </c>
      <c r="M536" s="3" t="str">
        <f t="shared" si="7"/>
        <v>#N/A</v>
      </c>
      <c r="AU536" s="7"/>
      <c r="AV536" s="6"/>
      <c r="AW536" s="8"/>
      <c r="AX536" s="7"/>
      <c r="AY536" s="6"/>
      <c r="AZ536" s="8"/>
      <c r="BA536" s="7"/>
      <c r="BB536" s="6"/>
      <c r="BC536" s="8"/>
      <c r="BD536" s="7"/>
      <c r="BE536" s="6"/>
      <c r="BF536" s="8"/>
      <c r="BG536" s="7"/>
      <c r="BH536" s="6"/>
      <c r="BI536" s="8"/>
      <c r="BJ536" s="7"/>
      <c r="BK536" s="6"/>
      <c r="BL536" s="8"/>
      <c r="BM536" s="7"/>
      <c r="BN536" s="6"/>
      <c r="BO536" s="8"/>
      <c r="BP536" s="7"/>
      <c r="BQ536" s="6"/>
      <c r="BR536" s="8"/>
    </row>
    <row r="537">
      <c r="A537" s="6"/>
      <c r="B537" s="6" t="s">
        <v>537</v>
      </c>
      <c r="C537" s="3" t="str">
        <f t="shared" si="1"/>
        <v>_muted white</v>
      </c>
      <c r="D537" s="3" t="str">
        <f t="shared" si="8"/>
        <v>#N/A</v>
      </c>
      <c r="E537" s="3" t="b">
        <f t="shared" si="2"/>
        <v>0</v>
      </c>
      <c r="G537" s="3" t="str">
        <f t="shared" si="3"/>
        <v>#N/A</v>
      </c>
      <c r="H537" s="3" t="b">
        <f t="shared" si="4"/>
        <v>0</v>
      </c>
      <c r="J537" s="3" t="str">
        <f t="shared" si="5"/>
        <v>#N/A</v>
      </c>
      <c r="K537" s="3" t="b">
        <f t="shared" si="6"/>
        <v>0</v>
      </c>
      <c r="M537" s="3" t="str">
        <f t="shared" si="7"/>
        <v>#N/A</v>
      </c>
      <c r="AU537" s="7"/>
      <c r="AV537" s="6"/>
      <c r="AW537" s="8"/>
      <c r="AX537" s="7"/>
      <c r="AY537" s="6"/>
      <c r="AZ537" s="8"/>
      <c r="BA537" s="7"/>
      <c r="BB537" s="6"/>
      <c r="BC537" s="8"/>
      <c r="BD537" s="7"/>
      <c r="BE537" s="6"/>
      <c r="BF537" s="8"/>
      <c r="BG537" s="7"/>
      <c r="BH537" s="6"/>
      <c r="BI537" s="8"/>
      <c r="BJ537" s="7"/>
      <c r="BK537" s="6"/>
      <c r="BL537" s="8"/>
      <c r="BM537" s="7"/>
      <c r="BN537" s="6"/>
      <c r="BO537" s="8"/>
      <c r="BP537" s="7"/>
      <c r="BQ537" s="6"/>
      <c r="BR537" s="8"/>
    </row>
    <row r="538">
      <c r="A538" s="6"/>
      <c r="B538" s="6" t="s">
        <v>538</v>
      </c>
      <c r="C538" s="3" t="str">
        <f t="shared" si="1"/>
        <v>_dim tomato</v>
      </c>
      <c r="D538" s="3" t="str">
        <f t="shared" si="8"/>
        <v>#N/A</v>
      </c>
      <c r="E538" s="3" t="b">
        <f t="shared" si="2"/>
        <v>0</v>
      </c>
      <c r="G538" s="3" t="str">
        <f t="shared" si="3"/>
        <v>#N/A</v>
      </c>
      <c r="H538" s="3" t="b">
        <f t="shared" si="4"/>
        <v>0</v>
      </c>
      <c r="J538" s="3" t="str">
        <f t="shared" si="5"/>
        <v>#N/A</v>
      </c>
      <c r="K538" s="3" t="b">
        <f t="shared" si="6"/>
        <v>0</v>
      </c>
      <c r="M538" s="3" t="str">
        <f t="shared" si="7"/>
        <v>#N/A</v>
      </c>
      <c r="AU538" s="7"/>
      <c r="AV538" s="6"/>
      <c r="AW538" s="8"/>
      <c r="AX538" s="7"/>
      <c r="AY538" s="6"/>
      <c r="AZ538" s="8"/>
      <c r="BA538" s="7"/>
      <c r="BB538" s="6"/>
      <c r="BC538" s="8"/>
      <c r="BD538" s="7"/>
      <c r="BE538" s="6"/>
      <c r="BF538" s="8"/>
      <c r="BG538" s="7"/>
      <c r="BH538" s="6"/>
      <c r="BI538" s="8"/>
      <c r="BJ538" s="7"/>
      <c r="BK538" s="6"/>
      <c r="BL538" s="8"/>
      <c r="BM538" s="7"/>
      <c r="BN538" s="6"/>
      <c r="BO538" s="8"/>
      <c r="BP538" s="7"/>
      <c r="BQ538" s="6"/>
      <c r="BR538" s="8"/>
    </row>
    <row r="539">
      <c r="A539" s="6"/>
      <c r="B539" s="6" t="s">
        <v>539</v>
      </c>
      <c r="C539" s="3" t="str">
        <f t="shared" si="1"/>
        <v>_drab beige</v>
      </c>
      <c r="D539" s="3" t="str">
        <f t="shared" si="8"/>
        <v>#N/A</v>
      </c>
      <c r="E539" s="3" t="b">
        <f t="shared" si="2"/>
        <v>0</v>
      </c>
      <c r="G539" s="3" t="str">
        <f t="shared" si="3"/>
        <v>#N/A</v>
      </c>
      <c r="H539" s="3" t="b">
        <f t="shared" si="4"/>
        <v>0</v>
      </c>
      <c r="J539" s="3" t="str">
        <f t="shared" si="5"/>
        <v>#N/A</v>
      </c>
      <c r="K539" s="3" t="b">
        <f t="shared" si="6"/>
        <v>0</v>
      </c>
      <c r="M539" s="3" t="str">
        <f t="shared" si="7"/>
        <v>#N/A</v>
      </c>
      <c r="AU539" s="7"/>
      <c r="AV539" s="6"/>
      <c r="AW539" s="8"/>
      <c r="AX539" s="7"/>
      <c r="AY539" s="6"/>
      <c r="AZ539" s="8"/>
      <c r="BA539" s="7"/>
      <c r="BB539" s="6"/>
      <c r="BC539" s="8"/>
      <c r="BD539" s="7"/>
      <c r="BE539" s="6"/>
      <c r="BF539" s="8"/>
      <c r="BG539" s="7"/>
      <c r="BH539" s="6"/>
      <c r="BI539" s="8"/>
      <c r="BJ539" s="7"/>
      <c r="BK539" s="6"/>
      <c r="BL539" s="8"/>
      <c r="BM539" s="7"/>
      <c r="BN539" s="6"/>
      <c r="BO539" s="8"/>
      <c r="BP539" s="7"/>
      <c r="BQ539" s="6"/>
      <c r="BR539" s="8"/>
    </row>
    <row r="540">
      <c r="A540" s="6"/>
      <c r="B540" s="6" t="s">
        <v>540</v>
      </c>
      <c r="C540" s="3" t="str">
        <f t="shared" si="1"/>
        <v>_clear gold</v>
      </c>
      <c r="D540" s="3" t="str">
        <f t="shared" si="8"/>
        <v>#N/A</v>
      </c>
      <c r="E540" s="3" t="b">
        <f t="shared" si="2"/>
        <v>0</v>
      </c>
      <c r="G540" s="3" t="str">
        <f t="shared" si="3"/>
        <v>#N/A</v>
      </c>
      <c r="H540" s="3" t="b">
        <f t="shared" si="4"/>
        <v>0</v>
      </c>
      <c r="J540" s="3" t="str">
        <f t="shared" si="5"/>
        <v>#N/A</v>
      </c>
      <c r="K540" s="3" t="b">
        <f t="shared" si="6"/>
        <v>0</v>
      </c>
      <c r="M540" s="3" t="str">
        <f t="shared" si="7"/>
        <v>#N/A</v>
      </c>
      <c r="AU540" s="7"/>
      <c r="AV540" s="6"/>
      <c r="AW540" s="8"/>
      <c r="AX540" s="7"/>
      <c r="AY540" s="6"/>
      <c r="AZ540" s="8"/>
      <c r="BA540" s="7"/>
      <c r="BB540" s="6"/>
      <c r="BC540" s="8"/>
      <c r="BD540" s="7"/>
      <c r="BE540" s="6"/>
      <c r="BF540" s="8"/>
      <c r="BG540" s="7"/>
      <c r="BH540" s="6"/>
      <c r="BI540" s="8"/>
      <c r="BJ540" s="7"/>
      <c r="BK540" s="6"/>
      <c r="BL540" s="8"/>
      <c r="BM540" s="7"/>
      <c r="BN540" s="6"/>
      <c r="BO540" s="8"/>
      <c r="BP540" s="7"/>
      <c r="BQ540" s="6"/>
      <c r="BR540" s="8"/>
    </row>
    <row r="541">
      <c r="A541" s="6"/>
      <c r="B541" s="6" t="s">
        <v>541</v>
      </c>
      <c r="C541" s="3" t="str">
        <f t="shared" si="1"/>
        <v>_vibrant orange</v>
      </c>
      <c r="D541" s="3" t="str">
        <f t="shared" si="8"/>
        <v>#N/A</v>
      </c>
      <c r="E541" s="3" t="b">
        <f t="shared" si="2"/>
        <v>0</v>
      </c>
      <c r="G541" s="3" t="str">
        <f t="shared" si="3"/>
        <v>#N/A</v>
      </c>
      <c r="H541" s="3" t="b">
        <f t="shared" si="4"/>
        <v>0</v>
      </c>
      <c r="J541" s="3" t="str">
        <f t="shared" si="5"/>
        <v>#N/A</v>
      </c>
      <c r="K541" s="3" t="b">
        <f t="shared" si="6"/>
        <v>0</v>
      </c>
      <c r="M541" s="3" t="str">
        <f t="shared" si="7"/>
        <v>#N/A</v>
      </c>
      <c r="AU541" s="7"/>
      <c r="AV541" s="6"/>
      <c r="AW541" s="8"/>
      <c r="AX541" s="7"/>
      <c r="AY541" s="6"/>
      <c r="AZ541" s="8"/>
      <c r="BA541" s="7"/>
      <c r="BB541" s="6"/>
      <c r="BC541" s="8"/>
      <c r="BD541" s="7"/>
      <c r="BE541" s="6"/>
      <c r="BF541" s="8"/>
      <c r="BG541" s="7"/>
      <c r="BH541" s="6"/>
      <c r="BI541" s="8"/>
      <c r="BJ541" s="7"/>
      <c r="BK541" s="6"/>
      <c r="BL541" s="8"/>
      <c r="BM541" s="7"/>
      <c r="BN541" s="6"/>
      <c r="BO541" s="8"/>
      <c r="BP541" s="7"/>
      <c r="BQ541" s="6"/>
      <c r="BR541" s="8"/>
    </row>
    <row r="542">
      <c r="A542" s="6"/>
      <c r="B542" s="6" t="s">
        <v>542</v>
      </c>
      <c r="C542" s="3" t="str">
        <f t="shared" si="1"/>
        <v>_striped tan</v>
      </c>
      <c r="D542" s="3" t="str">
        <f t="shared" si="8"/>
        <v>#N/A</v>
      </c>
      <c r="E542" s="3" t="b">
        <f t="shared" si="2"/>
        <v>0</v>
      </c>
      <c r="G542" s="3" t="str">
        <f t="shared" si="3"/>
        <v>#N/A</v>
      </c>
      <c r="H542" s="3" t="b">
        <f t="shared" si="4"/>
        <v>0</v>
      </c>
      <c r="J542" s="3" t="str">
        <f t="shared" si="5"/>
        <v>#N/A</v>
      </c>
      <c r="K542" s="3" t="b">
        <f t="shared" si="6"/>
        <v>0</v>
      </c>
      <c r="M542" s="3" t="str">
        <f t="shared" si="7"/>
        <v>#N/A</v>
      </c>
      <c r="AU542" s="7"/>
      <c r="AV542" s="6"/>
      <c r="AW542" s="8"/>
      <c r="AX542" s="7"/>
      <c r="AY542" s="6"/>
      <c r="AZ542" s="8"/>
      <c r="BA542" s="7"/>
      <c r="BB542" s="6"/>
      <c r="BC542" s="8"/>
      <c r="BD542" s="7"/>
      <c r="BE542" s="6"/>
      <c r="BF542" s="8"/>
      <c r="BG542" s="7"/>
      <c r="BH542" s="6"/>
      <c r="BI542" s="8"/>
      <c r="BJ542" s="7"/>
      <c r="BK542" s="6"/>
      <c r="BL542" s="8"/>
      <c r="BM542" s="7"/>
      <c r="BN542" s="6"/>
      <c r="BO542" s="8"/>
      <c r="BP542" s="7"/>
      <c r="BQ542" s="6"/>
      <c r="BR542" s="8"/>
    </row>
    <row r="543">
      <c r="A543" s="6"/>
      <c r="B543" s="6" t="s">
        <v>543</v>
      </c>
      <c r="C543" s="3" t="str">
        <f t="shared" si="1"/>
        <v>_bright lime</v>
      </c>
      <c r="D543" s="3" t="str">
        <f t="shared" si="8"/>
        <v>#N/A</v>
      </c>
      <c r="E543" s="3" t="b">
        <f t="shared" si="2"/>
        <v>0</v>
      </c>
      <c r="G543" s="3" t="str">
        <f t="shared" si="3"/>
        <v>#N/A</v>
      </c>
      <c r="H543" s="3" t="b">
        <f t="shared" si="4"/>
        <v>0</v>
      </c>
      <c r="J543" s="3" t="str">
        <f t="shared" si="5"/>
        <v>#N/A</v>
      </c>
      <c r="K543" s="3" t="b">
        <f t="shared" si="6"/>
        <v>0</v>
      </c>
      <c r="M543" s="3" t="str">
        <f t="shared" si="7"/>
        <v>#N/A</v>
      </c>
      <c r="AU543" s="7"/>
      <c r="AV543" s="6"/>
      <c r="AW543" s="8"/>
      <c r="AX543" s="7"/>
      <c r="AY543" s="6"/>
      <c r="AZ543" s="8"/>
      <c r="BA543" s="7"/>
      <c r="BB543" s="6"/>
      <c r="BC543" s="8"/>
      <c r="BD543" s="7"/>
      <c r="BE543" s="6"/>
      <c r="BF543" s="8"/>
      <c r="BG543" s="7"/>
      <c r="BH543" s="6"/>
      <c r="BI543" s="8"/>
      <c r="BJ543" s="7"/>
      <c r="BK543" s="6"/>
      <c r="BL543" s="8"/>
      <c r="BM543" s="7"/>
      <c r="BN543" s="6"/>
      <c r="BO543" s="8"/>
      <c r="BP543" s="7"/>
      <c r="BQ543" s="6"/>
      <c r="BR543" s="8"/>
    </row>
    <row r="544">
      <c r="A544" s="6"/>
      <c r="B544" s="6" t="s">
        <v>544</v>
      </c>
      <c r="C544" s="3" t="str">
        <f t="shared" si="1"/>
        <v>_bright red</v>
      </c>
      <c r="D544" s="3" t="str">
        <f t="shared" si="8"/>
        <v>#N/A</v>
      </c>
      <c r="E544" s="3" t="b">
        <f t="shared" si="2"/>
        <v>0</v>
      </c>
      <c r="G544" s="3" t="str">
        <f t="shared" si="3"/>
        <v>#N/A</v>
      </c>
      <c r="H544" s="3" t="b">
        <f t="shared" si="4"/>
        <v>0</v>
      </c>
      <c r="J544" s="3" t="str">
        <f t="shared" si="5"/>
        <v>#N/A</v>
      </c>
      <c r="K544" s="3" t="b">
        <f t="shared" si="6"/>
        <v>0</v>
      </c>
      <c r="M544" s="3" t="str">
        <f t="shared" si="7"/>
        <v>#N/A</v>
      </c>
      <c r="AU544" s="7"/>
      <c r="AV544" s="6"/>
      <c r="AW544" s="8"/>
      <c r="AX544" s="7"/>
      <c r="AY544" s="6"/>
      <c r="AZ544" s="8"/>
      <c r="BA544" s="7"/>
      <c r="BB544" s="6"/>
      <c r="BC544" s="8"/>
      <c r="BD544" s="7"/>
      <c r="BE544" s="6"/>
      <c r="BF544" s="8"/>
      <c r="BG544" s="7"/>
      <c r="BH544" s="6"/>
      <c r="BI544" s="8"/>
      <c r="BJ544" s="7"/>
      <c r="BK544" s="6"/>
      <c r="BL544" s="8"/>
      <c r="BM544" s="7"/>
      <c r="BN544" s="6"/>
      <c r="BO544" s="8"/>
      <c r="BP544" s="7"/>
      <c r="BQ544" s="6"/>
      <c r="BR544" s="8"/>
    </row>
    <row r="545">
      <c r="A545" s="6"/>
      <c r="B545" s="6" t="s">
        <v>545</v>
      </c>
      <c r="C545" s="3" t="str">
        <f t="shared" si="1"/>
        <v>_vibrant green</v>
      </c>
      <c r="D545" s="3" t="str">
        <f t="shared" si="8"/>
        <v>#N/A</v>
      </c>
      <c r="E545" s="3" t="b">
        <f t="shared" si="2"/>
        <v>0</v>
      </c>
      <c r="G545" s="3" t="str">
        <f t="shared" si="3"/>
        <v>#N/A</v>
      </c>
      <c r="H545" s="3" t="b">
        <f t="shared" si="4"/>
        <v>0</v>
      </c>
      <c r="J545" s="3" t="str">
        <f t="shared" si="5"/>
        <v>#N/A</v>
      </c>
      <c r="K545" s="3" t="b">
        <f t="shared" si="6"/>
        <v>0</v>
      </c>
      <c r="M545" s="3" t="str">
        <f t="shared" si="7"/>
        <v>#N/A</v>
      </c>
      <c r="AU545" s="7"/>
      <c r="AV545" s="6"/>
      <c r="AW545" s="8"/>
      <c r="AX545" s="7"/>
      <c r="AY545" s="6"/>
      <c r="AZ545" s="8"/>
      <c r="BA545" s="7"/>
      <c r="BB545" s="6"/>
      <c r="BC545" s="8"/>
      <c r="BD545" s="7"/>
      <c r="BE545" s="6"/>
      <c r="BF545" s="8"/>
      <c r="BG545" s="7"/>
      <c r="BH545" s="6"/>
      <c r="BI545" s="8"/>
      <c r="BJ545" s="7"/>
      <c r="BK545" s="6"/>
      <c r="BL545" s="8"/>
      <c r="BM545" s="7"/>
      <c r="BN545" s="6"/>
      <c r="BO545" s="8"/>
      <c r="BP545" s="7"/>
      <c r="BQ545" s="6"/>
      <c r="BR545" s="8"/>
    </row>
    <row r="546">
      <c r="A546" s="6"/>
      <c r="B546" s="6" t="s">
        <v>546</v>
      </c>
      <c r="C546" s="3" t="str">
        <f t="shared" si="1"/>
        <v>_light tan</v>
      </c>
      <c r="D546" s="3" t="str">
        <f t="shared" si="8"/>
        <v>#N/A</v>
      </c>
      <c r="E546" s="3" t="b">
        <f t="shared" si="2"/>
        <v>0</v>
      </c>
      <c r="G546" s="3" t="str">
        <f t="shared" si="3"/>
        <v>#N/A</v>
      </c>
      <c r="H546" s="3" t="b">
        <f t="shared" si="4"/>
        <v>0</v>
      </c>
      <c r="J546" s="3" t="str">
        <f t="shared" si="5"/>
        <v>#N/A</v>
      </c>
      <c r="K546" s="3" t="b">
        <f t="shared" si="6"/>
        <v>0</v>
      </c>
      <c r="M546" s="3" t="str">
        <f t="shared" si="7"/>
        <v>#N/A</v>
      </c>
      <c r="AU546" s="7"/>
      <c r="AV546" s="6"/>
      <c r="AW546" s="8"/>
      <c r="AX546" s="7"/>
      <c r="AY546" s="6"/>
      <c r="AZ546" s="8"/>
      <c r="BA546" s="7"/>
      <c r="BB546" s="6"/>
      <c r="BC546" s="8"/>
      <c r="BD546" s="7"/>
      <c r="BE546" s="6"/>
      <c r="BF546" s="8"/>
      <c r="BG546" s="7"/>
      <c r="BH546" s="6"/>
      <c r="BI546" s="8"/>
      <c r="BJ546" s="7"/>
      <c r="BK546" s="6"/>
      <c r="BL546" s="8"/>
      <c r="BM546" s="7"/>
      <c r="BN546" s="6"/>
      <c r="BO546" s="8"/>
      <c r="BP546" s="7"/>
      <c r="BQ546" s="6"/>
      <c r="BR546" s="8"/>
    </row>
    <row r="547">
      <c r="A547" s="6"/>
      <c r="B547" s="6" t="s">
        <v>547</v>
      </c>
      <c r="C547" s="3" t="str">
        <f t="shared" si="1"/>
        <v>_striped white</v>
      </c>
      <c r="D547" s="3" t="str">
        <f t="shared" si="8"/>
        <v>#N/A</v>
      </c>
      <c r="E547" s="3" t="b">
        <f t="shared" si="2"/>
        <v>0</v>
      </c>
      <c r="G547" s="3" t="str">
        <f t="shared" si="3"/>
        <v>#N/A</v>
      </c>
      <c r="H547" s="3" t="b">
        <f t="shared" si="4"/>
        <v>0</v>
      </c>
      <c r="J547" s="3" t="str">
        <f t="shared" si="5"/>
        <v>#N/A</v>
      </c>
      <c r="K547" s="3" t="b">
        <f t="shared" si="6"/>
        <v>0</v>
      </c>
      <c r="M547" s="3" t="str">
        <f t="shared" si="7"/>
        <v>#N/A</v>
      </c>
      <c r="AU547" s="7"/>
      <c r="AV547" s="6"/>
      <c r="AW547" s="8"/>
      <c r="AX547" s="7"/>
      <c r="AY547" s="6"/>
      <c r="AZ547" s="8"/>
      <c r="BA547" s="7"/>
      <c r="BB547" s="6"/>
      <c r="BC547" s="8"/>
      <c r="BD547" s="7"/>
      <c r="BE547" s="6"/>
      <c r="BF547" s="8"/>
      <c r="BG547" s="7"/>
      <c r="BH547" s="6"/>
      <c r="BI547" s="8"/>
      <c r="BJ547" s="7"/>
      <c r="BK547" s="6"/>
      <c r="BL547" s="8"/>
      <c r="BM547" s="7"/>
      <c r="BN547" s="6"/>
      <c r="BO547" s="8"/>
      <c r="BP547" s="7"/>
      <c r="BQ547" s="6"/>
      <c r="BR547" s="8"/>
    </row>
    <row r="548">
      <c r="A548" s="6"/>
      <c r="B548" s="6" t="s">
        <v>548</v>
      </c>
      <c r="C548" s="3" t="str">
        <f t="shared" si="1"/>
        <v>_dull violet</v>
      </c>
      <c r="D548" s="3" t="str">
        <f t="shared" si="8"/>
        <v>#N/A</v>
      </c>
      <c r="E548" s="3" t="b">
        <f t="shared" si="2"/>
        <v>0</v>
      </c>
      <c r="G548" s="3" t="str">
        <f t="shared" si="3"/>
        <v>#N/A</v>
      </c>
      <c r="H548" s="3" t="b">
        <f t="shared" si="4"/>
        <v>0</v>
      </c>
      <c r="J548" s="3" t="str">
        <f t="shared" si="5"/>
        <v>#N/A</v>
      </c>
      <c r="K548" s="3" t="b">
        <f t="shared" si="6"/>
        <v>0</v>
      </c>
      <c r="M548" s="3" t="str">
        <f t="shared" si="7"/>
        <v>#N/A</v>
      </c>
      <c r="AU548" s="7"/>
      <c r="AV548" s="6"/>
      <c r="AW548" s="8"/>
      <c r="AX548" s="7"/>
      <c r="AY548" s="6"/>
      <c r="AZ548" s="8"/>
      <c r="BA548" s="7"/>
      <c r="BB548" s="6"/>
      <c r="BC548" s="8"/>
      <c r="BD548" s="7"/>
      <c r="BE548" s="6"/>
      <c r="BF548" s="8"/>
      <c r="BG548" s="7"/>
      <c r="BH548" s="6"/>
      <c r="BI548" s="8"/>
      <c r="BJ548" s="7"/>
      <c r="BK548" s="6"/>
      <c r="BL548" s="8"/>
      <c r="BM548" s="7"/>
      <c r="BN548" s="6"/>
      <c r="BO548" s="8"/>
      <c r="BP548" s="7"/>
      <c r="BQ548" s="6"/>
      <c r="BR548" s="8"/>
    </row>
    <row r="549">
      <c r="A549" s="6"/>
      <c r="B549" s="6" t="s">
        <v>549</v>
      </c>
      <c r="C549" s="3" t="str">
        <f t="shared" si="1"/>
        <v>_drab salmon</v>
      </c>
      <c r="D549" s="3" t="str">
        <f t="shared" si="8"/>
        <v>#N/A</v>
      </c>
      <c r="E549" s="3" t="b">
        <f t="shared" si="2"/>
        <v>0</v>
      </c>
      <c r="G549" s="3" t="str">
        <f t="shared" si="3"/>
        <v>#N/A</v>
      </c>
      <c r="H549" s="3" t="b">
        <f t="shared" si="4"/>
        <v>0</v>
      </c>
      <c r="J549" s="3" t="str">
        <f t="shared" si="5"/>
        <v>#N/A</v>
      </c>
      <c r="K549" s="3" t="b">
        <f t="shared" si="6"/>
        <v>0</v>
      </c>
      <c r="M549" s="3" t="str">
        <f t="shared" si="7"/>
        <v>#N/A</v>
      </c>
      <c r="AU549" s="7"/>
      <c r="AV549" s="6"/>
      <c r="AW549" s="8"/>
      <c r="AX549" s="7"/>
      <c r="AY549" s="6"/>
      <c r="AZ549" s="8"/>
      <c r="BA549" s="7"/>
      <c r="BB549" s="6"/>
      <c r="BC549" s="8"/>
      <c r="BD549" s="7"/>
      <c r="BE549" s="6"/>
      <c r="BF549" s="8"/>
      <c r="BG549" s="7"/>
      <c r="BH549" s="6"/>
      <c r="BI549" s="8"/>
      <c r="BJ549" s="7"/>
      <c r="BK549" s="6"/>
      <c r="BL549" s="8"/>
      <c r="BM549" s="7"/>
      <c r="BN549" s="6"/>
      <c r="BO549" s="8"/>
      <c r="BP549" s="7"/>
      <c r="BQ549" s="6"/>
      <c r="BR549" s="8"/>
    </row>
    <row r="550">
      <c r="A550" s="6"/>
      <c r="B550" s="6" t="s">
        <v>550</v>
      </c>
      <c r="C550" s="3" t="str">
        <f t="shared" si="1"/>
        <v>_mirrored cyan</v>
      </c>
      <c r="D550" s="3" t="str">
        <f t="shared" si="8"/>
        <v>#N/A</v>
      </c>
      <c r="E550" s="3" t="b">
        <f t="shared" si="2"/>
        <v>0</v>
      </c>
      <c r="G550" s="3" t="str">
        <f t="shared" si="3"/>
        <v>#N/A</v>
      </c>
      <c r="H550" s="3" t="b">
        <f t="shared" si="4"/>
        <v>0</v>
      </c>
      <c r="J550" s="3" t="str">
        <f t="shared" si="5"/>
        <v>#N/A</v>
      </c>
      <c r="K550" s="3" t="b">
        <f t="shared" si="6"/>
        <v>0</v>
      </c>
      <c r="M550" s="3" t="str">
        <f t="shared" si="7"/>
        <v>#N/A</v>
      </c>
      <c r="AU550" s="7"/>
      <c r="AV550" s="6"/>
      <c r="AW550" s="8"/>
      <c r="AX550" s="7"/>
      <c r="AY550" s="6"/>
      <c r="AZ550" s="8"/>
      <c r="BA550" s="7"/>
      <c r="BB550" s="6"/>
      <c r="BC550" s="8"/>
      <c r="BD550" s="7"/>
      <c r="BE550" s="6"/>
      <c r="BF550" s="8"/>
      <c r="BG550" s="7"/>
      <c r="BH550" s="6"/>
      <c r="BI550" s="8"/>
      <c r="BJ550" s="7"/>
      <c r="BK550" s="6"/>
      <c r="BL550" s="8"/>
      <c r="BM550" s="7"/>
      <c r="BN550" s="6"/>
      <c r="BO550" s="8"/>
      <c r="BP550" s="7"/>
      <c r="BQ550" s="6"/>
      <c r="BR550" s="8"/>
    </row>
    <row r="551">
      <c r="A551" s="6"/>
      <c r="B551" s="6" t="s">
        <v>551</v>
      </c>
      <c r="C551" s="3" t="str">
        <f t="shared" si="1"/>
        <v>_wavy teal</v>
      </c>
      <c r="D551" s="3" t="str">
        <f t="shared" si="8"/>
        <v>#N/A</v>
      </c>
      <c r="E551" s="3" t="b">
        <f t="shared" si="2"/>
        <v>0</v>
      </c>
      <c r="G551" s="3" t="str">
        <f t="shared" si="3"/>
        <v>#N/A</v>
      </c>
      <c r="H551" s="3" t="b">
        <f t="shared" si="4"/>
        <v>0</v>
      </c>
      <c r="J551" s="3" t="str">
        <f t="shared" si="5"/>
        <v>#N/A</v>
      </c>
      <c r="K551" s="3" t="b">
        <f t="shared" si="6"/>
        <v>0</v>
      </c>
      <c r="M551" s="3" t="str">
        <f t="shared" si="7"/>
        <v>#N/A</v>
      </c>
      <c r="AU551" s="7"/>
      <c r="AV551" s="6"/>
      <c r="AW551" s="8"/>
      <c r="AX551" s="7"/>
      <c r="AY551" s="6"/>
      <c r="AZ551" s="8"/>
      <c r="BA551" s="7"/>
      <c r="BB551" s="6"/>
      <c r="BC551" s="8"/>
      <c r="BD551" s="7"/>
      <c r="BE551" s="6"/>
      <c r="BF551" s="8"/>
      <c r="BG551" s="7"/>
      <c r="BH551" s="6"/>
      <c r="BI551" s="8"/>
      <c r="BJ551" s="7"/>
      <c r="BK551" s="6"/>
      <c r="BL551" s="8"/>
      <c r="BM551" s="7"/>
      <c r="BN551" s="6"/>
      <c r="BO551" s="8"/>
      <c r="BP551" s="7"/>
      <c r="BQ551" s="6"/>
      <c r="BR551" s="8"/>
    </row>
    <row r="552">
      <c r="A552" s="6"/>
      <c r="B552" s="6" t="s">
        <v>552</v>
      </c>
      <c r="C552" s="3" t="str">
        <f t="shared" si="1"/>
        <v>_vibrant purple</v>
      </c>
      <c r="D552" s="3" t="str">
        <f t="shared" si="8"/>
        <v>#N/A</v>
      </c>
      <c r="E552" s="3" t="b">
        <f t="shared" si="2"/>
        <v>0</v>
      </c>
      <c r="G552" s="3" t="str">
        <f t="shared" si="3"/>
        <v>#N/A</v>
      </c>
      <c r="H552" s="3" t="b">
        <f t="shared" si="4"/>
        <v>0</v>
      </c>
      <c r="J552" s="3" t="str">
        <f t="shared" si="5"/>
        <v>#N/A</v>
      </c>
      <c r="K552" s="3" t="b">
        <f t="shared" si="6"/>
        <v>0</v>
      </c>
      <c r="M552" s="3" t="str">
        <f t="shared" si="7"/>
        <v>#N/A</v>
      </c>
      <c r="AU552" s="7"/>
      <c r="AV552" s="6"/>
      <c r="AW552" s="8"/>
      <c r="AX552" s="7"/>
      <c r="AY552" s="6"/>
      <c r="AZ552" s="8"/>
      <c r="BA552" s="7"/>
      <c r="BB552" s="6"/>
      <c r="BC552" s="8"/>
      <c r="BD552" s="7"/>
      <c r="BE552" s="6"/>
      <c r="BF552" s="8"/>
      <c r="BG552" s="7"/>
      <c r="BH552" s="6"/>
      <c r="BI552" s="8"/>
      <c r="BJ552" s="7"/>
      <c r="BK552" s="6"/>
      <c r="BL552" s="8"/>
      <c r="BM552" s="7"/>
      <c r="BN552" s="6"/>
      <c r="BO552" s="8"/>
      <c r="BP552" s="7"/>
      <c r="BQ552" s="6"/>
      <c r="BR552" s="8"/>
    </row>
    <row r="553">
      <c r="A553" s="6"/>
      <c r="B553" s="6" t="s">
        <v>553</v>
      </c>
      <c r="C553" s="3" t="str">
        <f t="shared" si="1"/>
        <v>_faded beige</v>
      </c>
      <c r="D553" s="3" t="str">
        <f t="shared" si="8"/>
        <v>#N/A</v>
      </c>
      <c r="E553" s="3" t="b">
        <f t="shared" si="2"/>
        <v>0</v>
      </c>
      <c r="G553" s="3" t="str">
        <f t="shared" si="3"/>
        <v>#N/A</v>
      </c>
      <c r="H553" s="3" t="b">
        <f t="shared" si="4"/>
        <v>0</v>
      </c>
      <c r="J553" s="3" t="str">
        <f t="shared" si="5"/>
        <v>#N/A</v>
      </c>
      <c r="K553" s="3" t="b">
        <f t="shared" si="6"/>
        <v>0</v>
      </c>
      <c r="M553" s="3" t="str">
        <f t="shared" si="7"/>
        <v>#N/A</v>
      </c>
      <c r="AU553" s="7"/>
      <c r="AV553" s="6"/>
      <c r="AW553" s="8"/>
      <c r="AX553" s="7"/>
      <c r="AY553" s="6"/>
      <c r="AZ553" s="8"/>
      <c r="BA553" s="7"/>
      <c r="BB553" s="6"/>
      <c r="BC553" s="8"/>
      <c r="BD553" s="7"/>
      <c r="BE553" s="6"/>
      <c r="BF553" s="8"/>
      <c r="BG553" s="7"/>
      <c r="BH553" s="6"/>
      <c r="BI553" s="8"/>
      <c r="BJ553" s="7"/>
      <c r="BK553" s="6"/>
      <c r="BL553" s="8"/>
      <c r="BM553" s="7"/>
      <c r="BN553" s="6"/>
      <c r="BO553" s="8"/>
      <c r="BP553" s="7"/>
      <c r="BQ553" s="6"/>
      <c r="BR553" s="8"/>
    </row>
    <row r="554">
      <c r="A554" s="6"/>
      <c r="B554" s="6" t="s">
        <v>554</v>
      </c>
      <c r="C554" s="3" t="str">
        <f t="shared" si="1"/>
        <v>_faded lime</v>
      </c>
      <c r="D554" s="3" t="str">
        <f t="shared" si="8"/>
        <v>#N/A</v>
      </c>
      <c r="E554" s="3" t="b">
        <f t="shared" si="2"/>
        <v>0</v>
      </c>
      <c r="G554" s="3" t="str">
        <f t="shared" si="3"/>
        <v>#N/A</v>
      </c>
      <c r="H554" s="3" t="b">
        <f t="shared" si="4"/>
        <v>0</v>
      </c>
      <c r="J554" s="3" t="str">
        <f t="shared" si="5"/>
        <v>#N/A</v>
      </c>
      <c r="K554" s="3" t="b">
        <f t="shared" si="6"/>
        <v>0</v>
      </c>
      <c r="M554" s="3" t="str">
        <f t="shared" si="7"/>
        <v>#N/A</v>
      </c>
      <c r="AU554" s="7"/>
      <c r="AV554" s="6"/>
      <c r="AW554" s="8"/>
      <c r="AX554" s="7"/>
      <c r="AY554" s="6"/>
      <c r="AZ554" s="8"/>
      <c r="BA554" s="7"/>
      <c r="BB554" s="6"/>
      <c r="BC554" s="8"/>
      <c r="BD554" s="7"/>
      <c r="BE554" s="6"/>
      <c r="BF554" s="8"/>
      <c r="BG554" s="7"/>
      <c r="BH554" s="6"/>
      <c r="BI554" s="8"/>
      <c r="BJ554" s="7"/>
      <c r="BK554" s="6"/>
      <c r="BL554" s="8"/>
      <c r="BM554" s="7"/>
      <c r="BN554" s="6"/>
      <c r="BO554" s="8"/>
      <c r="BP554" s="7"/>
      <c r="BQ554" s="6"/>
      <c r="BR554" s="8"/>
    </row>
    <row r="555">
      <c r="A555" s="6"/>
      <c r="B555" s="6" t="s">
        <v>555</v>
      </c>
      <c r="C555" s="3" t="str">
        <f t="shared" si="1"/>
        <v>_mirrored green</v>
      </c>
      <c r="D555" s="3" t="str">
        <f t="shared" si="8"/>
        <v>#N/A</v>
      </c>
      <c r="E555" s="3" t="b">
        <f t="shared" si="2"/>
        <v>0</v>
      </c>
      <c r="G555" s="3" t="str">
        <f t="shared" si="3"/>
        <v>#N/A</v>
      </c>
      <c r="H555" s="3" t="b">
        <f t="shared" si="4"/>
        <v>0</v>
      </c>
      <c r="J555" s="3" t="str">
        <f t="shared" si="5"/>
        <v>#N/A</v>
      </c>
      <c r="K555" s="3" t="b">
        <f t="shared" si="6"/>
        <v>0</v>
      </c>
      <c r="M555" s="3" t="str">
        <f t="shared" si="7"/>
        <v>#N/A</v>
      </c>
      <c r="AU555" s="7"/>
      <c r="AV555" s="6"/>
      <c r="AW555" s="8"/>
      <c r="AX555" s="7"/>
      <c r="AY555" s="6"/>
      <c r="AZ555" s="8"/>
      <c r="BA555" s="7"/>
      <c r="BB555" s="6"/>
      <c r="BC555" s="8"/>
      <c r="BD555" s="7"/>
      <c r="BE555" s="6"/>
      <c r="BF555" s="8"/>
      <c r="BG555" s="7"/>
      <c r="BH555" s="6"/>
      <c r="BI555" s="8"/>
      <c r="BJ555" s="7"/>
      <c r="BK555" s="6"/>
      <c r="BL555" s="8"/>
      <c r="BM555" s="7"/>
      <c r="BN555" s="6"/>
      <c r="BO555" s="8"/>
      <c r="BP555" s="7"/>
      <c r="BQ555" s="6"/>
      <c r="BR555" s="8"/>
    </row>
    <row r="556">
      <c r="A556" s="6"/>
      <c r="B556" s="6" t="s">
        <v>556</v>
      </c>
      <c r="C556" s="3" t="str">
        <f t="shared" si="1"/>
        <v>_light green</v>
      </c>
      <c r="D556" s="3" t="str">
        <f t="shared" si="8"/>
        <v>#N/A</v>
      </c>
      <c r="E556" s="3" t="b">
        <f t="shared" si="2"/>
        <v>0</v>
      </c>
      <c r="G556" s="3" t="str">
        <f t="shared" si="3"/>
        <v>#N/A</v>
      </c>
      <c r="H556" s="3" t="b">
        <f t="shared" si="4"/>
        <v>0</v>
      </c>
      <c r="J556" s="3" t="str">
        <f t="shared" si="5"/>
        <v>#N/A</v>
      </c>
      <c r="K556" s="3" t="b">
        <f t="shared" si="6"/>
        <v>0</v>
      </c>
      <c r="M556" s="3" t="str">
        <f t="shared" si="7"/>
        <v>#N/A</v>
      </c>
      <c r="AU556" s="7"/>
      <c r="AV556" s="6"/>
      <c r="AW556" s="8"/>
      <c r="AX556" s="7"/>
      <c r="AY556" s="6"/>
      <c r="AZ556" s="8"/>
      <c r="BA556" s="7"/>
      <c r="BB556" s="6"/>
      <c r="BC556" s="8"/>
      <c r="BD556" s="7"/>
      <c r="BE556" s="6"/>
      <c r="BF556" s="8"/>
      <c r="BG556" s="7"/>
      <c r="BH556" s="6"/>
      <c r="BI556" s="8"/>
      <c r="BJ556" s="7"/>
      <c r="BK556" s="6"/>
      <c r="BL556" s="8"/>
      <c r="BM556" s="7"/>
      <c r="BN556" s="6"/>
      <c r="BO556" s="8"/>
      <c r="BP556" s="7"/>
      <c r="BQ556" s="6"/>
      <c r="BR556" s="8"/>
    </row>
    <row r="557">
      <c r="A557" s="6"/>
      <c r="B557" s="6" t="s">
        <v>557</v>
      </c>
      <c r="C557" s="3" t="str">
        <f t="shared" si="1"/>
        <v>_pale crimson</v>
      </c>
      <c r="D557" s="3" t="str">
        <f t="shared" si="8"/>
        <v>#N/A</v>
      </c>
      <c r="E557" s="3" t="b">
        <f t="shared" si="2"/>
        <v>0</v>
      </c>
      <c r="G557" s="3" t="str">
        <f t="shared" si="3"/>
        <v>#N/A</v>
      </c>
      <c r="H557" s="3" t="b">
        <f t="shared" si="4"/>
        <v>0</v>
      </c>
      <c r="J557" s="3" t="str">
        <f t="shared" si="5"/>
        <v>#N/A</v>
      </c>
      <c r="K557" s="3" t="b">
        <f t="shared" si="6"/>
        <v>0</v>
      </c>
      <c r="M557" s="3" t="str">
        <f t="shared" si="7"/>
        <v>#N/A</v>
      </c>
      <c r="AU557" s="7"/>
      <c r="AV557" s="6"/>
      <c r="AW557" s="8"/>
      <c r="AX557" s="7"/>
      <c r="AY557" s="6"/>
      <c r="AZ557" s="8"/>
      <c r="BA557" s="7"/>
      <c r="BB557" s="6"/>
      <c r="BC557" s="8"/>
      <c r="BD557" s="7"/>
      <c r="BE557" s="6"/>
      <c r="BF557" s="8"/>
      <c r="BG557" s="7"/>
      <c r="BH557" s="6"/>
      <c r="BI557" s="8"/>
      <c r="BJ557" s="7"/>
      <c r="BK557" s="6"/>
      <c r="BL557" s="8"/>
      <c r="BM557" s="7"/>
      <c r="BN557" s="6"/>
      <c r="BO557" s="8"/>
      <c r="BP557" s="7"/>
      <c r="BQ557" s="6"/>
      <c r="BR557" s="8"/>
    </row>
    <row r="558">
      <c r="A558" s="6"/>
      <c r="B558" s="6" t="s">
        <v>558</v>
      </c>
      <c r="C558" s="3" t="str">
        <f t="shared" si="1"/>
        <v>_mirrored aqua</v>
      </c>
      <c r="D558" s="3" t="str">
        <f t="shared" si="8"/>
        <v>#N/A</v>
      </c>
      <c r="E558" s="3" t="b">
        <f t="shared" si="2"/>
        <v>0</v>
      </c>
      <c r="G558" s="3" t="str">
        <f t="shared" si="3"/>
        <v>#N/A</v>
      </c>
      <c r="H558" s="3" t="b">
        <f t="shared" si="4"/>
        <v>0</v>
      </c>
      <c r="J558" s="3" t="str">
        <f t="shared" si="5"/>
        <v>#N/A</v>
      </c>
      <c r="K558" s="3" t="b">
        <f t="shared" si="6"/>
        <v>0</v>
      </c>
      <c r="M558" s="3" t="str">
        <f t="shared" si="7"/>
        <v>#N/A</v>
      </c>
      <c r="AU558" s="7"/>
      <c r="AV558" s="6"/>
      <c r="AW558" s="8"/>
      <c r="AX558" s="7"/>
      <c r="AY558" s="6"/>
      <c r="AZ558" s="8"/>
      <c r="BA558" s="7"/>
      <c r="BB558" s="6"/>
      <c r="BC558" s="8"/>
      <c r="BD558" s="7"/>
      <c r="BE558" s="6"/>
      <c r="BF558" s="8"/>
      <c r="BG558" s="7"/>
      <c r="BH558" s="6"/>
      <c r="BI558" s="8"/>
      <c r="BJ558" s="7"/>
      <c r="BK558" s="6"/>
      <c r="BL558" s="8"/>
      <c r="BM558" s="7"/>
      <c r="BN558" s="6"/>
      <c r="BO558" s="8"/>
      <c r="BP558" s="7"/>
      <c r="BQ558" s="6"/>
      <c r="BR558" s="8"/>
    </row>
    <row r="559">
      <c r="A559" s="6"/>
      <c r="B559" s="6" t="s">
        <v>559</v>
      </c>
      <c r="C559" s="3" t="str">
        <f t="shared" si="1"/>
        <v>_dull crimson</v>
      </c>
      <c r="D559" s="3" t="str">
        <f t="shared" si="8"/>
        <v>#N/A</v>
      </c>
      <c r="E559" s="3" t="b">
        <f t="shared" si="2"/>
        <v>0</v>
      </c>
      <c r="G559" s="3" t="str">
        <f t="shared" si="3"/>
        <v>#N/A</v>
      </c>
      <c r="H559" s="3" t="b">
        <f t="shared" si="4"/>
        <v>0</v>
      </c>
      <c r="J559" s="3" t="str">
        <f t="shared" si="5"/>
        <v>#N/A</v>
      </c>
      <c r="K559" s="3" t="b">
        <f t="shared" si="6"/>
        <v>0</v>
      </c>
      <c r="M559" s="3" t="str">
        <f t="shared" si="7"/>
        <v>#N/A</v>
      </c>
      <c r="AU559" s="7"/>
      <c r="AV559" s="6"/>
      <c r="AW559" s="8"/>
      <c r="AX559" s="7"/>
      <c r="AY559" s="6"/>
      <c r="AZ559" s="8"/>
      <c r="BA559" s="7"/>
      <c r="BB559" s="6"/>
      <c r="BC559" s="8"/>
      <c r="BD559" s="7"/>
      <c r="BE559" s="6"/>
      <c r="BF559" s="8"/>
      <c r="BG559" s="7"/>
      <c r="BH559" s="6"/>
      <c r="BI559" s="8"/>
      <c r="BJ559" s="7"/>
      <c r="BK559" s="6"/>
      <c r="BL559" s="8"/>
      <c r="BM559" s="7"/>
      <c r="BN559" s="6"/>
      <c r="BO559" s="8"/>
      <c r="BP559" s="7"/>
      <c r="BQ559" s="6"/>
      <c r="BR559" s="8"/>
    </row>
    <row r="560">
      <c r="A560" s="6"/>
      <c r="B560" s="6" t="s">
        <v>560</v>
      </c>
      <c r="C560" s="3" t="str">
        <f t="shared" si="1"/>
        <v>_dull purple</v>
      </c>
      <c r="D560" s="3" t="str">
        <f t="shared" si="8"/>
        <v>#N/A</v>
      </c>
      <c r="E560" s="3" t="b">
        <f t="shared" si="2"/>
        <v>0</v>
      </c>
      <c r="G560" s="3" t="str">
        <f t="shared" si="3"/>
        <v>#N/A</v>
      </c>
      <c r="H560" s="3" t="b">
        <f t="shared" si="4"/>
        <v>0</v>
      </c>
      <c r="J560" s="3" t="str">
        <f t="shared" si="5"/>
        <v>#N/A</v>
      </c>
      <c r="K560" s="3" t="b">
        <f t="shared" si="6"/>
        <v>0</v>
      </c>
      <c r="M560" s="3" t="str">
        <f t="shared" si="7"/>
        <v>#N/A</v>
      </c>
      <c r="AU560" s="7"/>
      <c r="AV560" s="6"/>
      <c r="AW560" s="8"/>
      <c r="AX560" s="7"/>
      <c r="AY560" s="6"/>
      <c r="AZ560" s="8"/>
      <c r="BA560" s="7"/>
      <c r="BB560" s="6"/>
      <c r="BC560" s="8"/>
      <c r="BD560" s="7"/>
      <c r="BE560" s="6"/>
      <c r="BF560" s="8"/>
      <c r="BG560" s="7"/>
      <c r="BH560" s="6"/>
      <c r="BI560" s="8"/>
      <c r="BJ560" s="7"/>
      <c r="BK560" s="6"/>
      <c r="BL560" s="8"/>
      <c r="BM560" s="7"/>
      <c r="BN560" s="6"/>
      <c r="BO560" s="8"/>
      <c r="BP560" s="7"/>
      <c r="BQ560" s="6"/>
      <c r="BR560" s="8"/>
    </row>
    <row r="561">
      <c r="A561" s="6"/>
      <c r="B561" s="6" t="s">
        <v>561</v>
      </c>
      <c r="C561" s="3" t="str">
        <f t="shared" si="1"/>
        <v>_bright white</v>
      </c>
      <c r="D561" s="3" t="str">
        <f t="shared" si="8"/>
        <v>#N/A</v>
      </c>
      <c r="E561" s="3" t="b">
        <f t="shared" si="2"/>
        <v>0</v>
      </c>
      <c r="G561" s="3" t="str">
        <f t="shared" si="3"/>
        <v>#N/A</v>
      </c>
      <c r="H561" s="3" t="b">
        <f t="shared" si="4"/>
        <v>0</v>
      </c>
      <c r="J561" s="3" t="str">
        <f t="shared" si="5"/>
        <v>#N/A</v>
      </c>
      <c r="K561" s="3" t="b">
        <f t="shared" si="6"/>
        <v>0</v>
      </c>
      <c r="M561" s="3" t="str">
        <f t="shared" si="7"/>
        <v>#N/A</v>
      </c>
      <c r="AU561" s="7"/>
      <c r="AV561" s="6"/>
      <c r="AW561" s="8"/>
      <c r="AX561" s="7"/>
      <c r="AY561" s="6"/>
      <c r="AZ561" s="8"/>
      <c r="BA561" s="7"/>
      <c r="BB561" s="6"/>
      <c r="BC561" s="8"/>
      <c r="BD561" s="7"/>
      <c r="BE561" s="6"/>
      <c r="BF561" s="8"/>
      <c r="BG561" s="7"/>
      <c r="BH561" s="6"/>
      <c r="BI561" s="8"/>
      <c r="BJ561" s="7"/>
      <c r="BK561" s="6"/>
      <c r="BL561" s="8"/>
      <c r="BM561" s="7"/>
      <c r="BN561" s="6"/>
      <c r="BO561" s="8"/>
      <c r="BP561" s="7"/>
      <c r="BQ561" s="6"/>
      <c r="BR561" s="8"/>
    </row>
    <row r="562">
      <c r="A562" s="6"/>
      <c r="B562" s="6" t="s">
        <v>562</v>
      </c>
      <c r="C562" s="3" t="str">
        <f t="shared" si="1"/>
        <v>_drab indigo</v>
      </c>
      <c r="D562" s="3" t="str">
        <f t="shared" si="8"/>
        <v>#N/A</v>
      </c>
      <c r="E562" s="3" t="b">
        <f t="shared" si="2"/>
        <v>0</v>
      </c>
      <c r="G562" s="3" t="str">
        <f t="shared" si="3"/>
        <v>#N/A</v>
      </c>
      <c r="H562" s="3" t="b">
        <f t="shared" si="4"/>
        <v>0</v>
      </c>
      <c r="J562" s="3" t="str">
        <f t="shared" si="5"/>
        <v>#N/A</v>
      </c>
      <c r="K562" s="3" t="b">
        <f t="shared" si="6"/>
        <v>0</v>
      </c>
      <c r="M562" s="3" t="str">
        <f t="shared" si="7"/>
        <v>#N/A</v>
      </c>
      <c r="AU562" s="7"/>
      <c r="AV562" s="6"/>
      <c r="AW562" s="8"/>
      <c r="AX562" s="7"/>
      <c r="AY562" s="6"/>
      <c r="AZ562" s="8"/>
      <c r="BA562" s="7"/>
      <c r="BB562" s="6"/>
      <c r="BC562" s="8"/>
      <c r="BD562" s="7"/>
      <c r="BE562" s="6"/>
      <c r="BF562" s="8"/>
      <c r="BG562" s="7"/>
      <c r="BH562" s="6"/>
      <c r="BI562" s="8"/>
      <c r="BJ562" s="7"/>
      <c r="BK562" s="6"/>
      <c r="BL562" s="8"/>
      <c r="BM562" s="7"/>
      <c r="BN562" s="6"/>
      <c r="BO562" s="8"/>
      <c r="BP562" s="7"/>
      <c r="BQ562" s="6"/>
      <c r="BR562" s="8"/>
    </row>
    <row r="563">
      <c r="A563" s="6"/>
      <c r="B563" s="6" t="s">
        <v>563</v>
      </c>
      <c r="C563" s="3" t="str">
        <f t="shared" si="1"/>
        <v>_striped fuchsia</v>
      </c>
      <c r="D563" s="3" t="str">
        <f t="shared" si="8"/>
        <v>#N/A</v>
      </c>
      <c r="E563" s="3" t="b">
        <f t="shared" si="2"/>
        <v>0</v>
      </c>
      <c r="G563" s="3" t="str">
        <f t="shared" si="3"/>
        <v>#N/A</v>
      </c>
      <c r="H563" s="3" t="b">
        <f t="shared" si="4"/>
        <v>0</v>
      </c>
      <c r="J563" s="3" t="str">
        <f t="shared" si="5"/>
        <v>#N/A</v>
      </c>
      <c r="K563" s="3" t="b">
        <f t="shared" si="6"/>
        <v>0</v>
      </c>
      <c r="M563" s="3" t="str">
        <f t="shared" si="7"/>
        <v>#N/A</v>
      </c>
      <c r="AU563" s="7"/>
      <c r="AV563" s="6"/>
      <c r="AW563" s="8"/>
      <c r="AX563" s="7"/>
      <c r="AY563" s="6"/>
      <c r="AZ563" s="8"/>
      <c r="BA563" s="7"/>
      <c r="BB563" s="6"/>
      <c r="BC563" s="8"/>
      <c r="BD563" s="7"/>
      <c r="BE563" s="6"/>
      <c r="BF563" s="8"/>
      <c r="BG563" s="7"/>
      <c r="BH563" s="6"/>
      <c r="BI563" s="8"/>
      <c r="BJ563" s="7"/>
      <c r="BK563" s="6"/>
      <c r="BL563" s="8"/>
      <c r="BM563" s="7"/>
      <c r="BN563" s="6"/>
      <c r="BO563" s="8"/>
      <c r="BP563" s="7"/>
      <c r="BQ563" s="6"/>
      <c r="BR563" s="8"/>
    </row>
    <row r="564">
      <c r="A564" s="6"/>
      <c r="B564" s="6" t="s">
        <v>564</v>
      </c>
      <c r="C564" s="3" t="str">
        <f t="shared" si="1"/>
        <v>_dark tomato</v>
      </c>
      <c r="D564" s="3" t="str">
        <f t="shared" si="8"/>
        <v>#N/A</v>
      </c>
      <c r="E564" s="3" t="b">
        <f t="shared" si="2"/>
        <v>0</v>
      </c>
      <c r="G564" s="3" t="str">
        <f t="shared" si="3"/>
        <v>#N/A</v>
      </c>
      <c r="H564" s="3" t="b">
        <f t="shared" si="4"/>
        <v>0</v>
      </c>
      <c r="J564" s="3" t="str">
        <f t="shared" si="5"/>
        <v>#N/A</v>
      </c>
      <c r="K564" s="3" t="b">
        <f t="shared" si="6"/>
        <v>0</v>
      </c>
      <c r="M564" s="3" t="str">
        <f t="shared" si="7"/>
        <v>#N/A</v>
      </c>
      <c r="AU564" s="7"/>
      <c r="AV564" s="6"/>
      <c r="AW564" s="8"/>
      <c r="AX564" s="7"/>
      <c r="AY564" s="6"/>
      <c r="AZ564" s="8"/>
      <c r="BA564" s="7"/>
      <c r="BB564" s="6"/>
      <c r="BC564" s="8"/>
      <c r="BD564" s="7"/>
      <c r="BE564" s="6"/>
      <c r="BF564" s="8"/>
      <c r="BG564" s="7"/>
      <c r="BH564" s="6"/>
      <c r="BI564" s="8"/>
      <c r="BJ564" s="7"/>
      <c r="BK564" s="6"/>
      <c r="BL564" s="8"/>
      <c r="BM564" s="7"/>
      <c r="BN564" s="6"/>
      <c r="BO564" s="8"/>
      <c r="BP564" s="7"/>
      <c r="BQ564" s="6"/>
      <c r="BR564" s="8"/>
    </row>
    <row r="565">
      <c r="A565" s="6"/>
      <c r="B565" s="6" t="s">
        <v>565</v>
      </c>
      <c r="C565" s="3" t="str">
        <f t="shared" si="1"/>
        <v>_mirrored tomato</v>
      </c>
      <c r="D565" s="3" t="str">
        <f t="shared" si="8"/>
        <v>#N/A</v>
      </c>
      <c r="E565" s="3" t="b">
        <f t="shared" si="2"/>
        <v>0</v>
      </c>
      <c r="G565" s="3" t="str">
        <f t="shared" si="3"/>
        <v>#N/A</v>
      </c>
      <c r="H565" s="3" t="b">
        <f t="shared" si="4"/>
        <v>0</v>
      </c>
      <c r="J565" s="3" t="str">
        <f t="shared" si="5"/>
        <v>#N/A</v>
      </c>
      <c r="K565" s="3" t="b">
        <f t="shared" si="6"/>
        <v>0</v>
      </c>
      <c r="M565" s="3" t="str">
        <f t="shared" si="7"/>
        <v>#N/A</v>
      </c>
      <c r="AU565" s="7"/>
      <c r="AV565" s="6"/>
      <c r="AW565" s="8"/>
      <c r="AX565" s="7"/>
      <c r="AY565" s="6"/>
      <c r="AZ565" s="8"/>
      <c r="BA565" s="7"/>
      <c r="BB565" s="6"/>
      <c r="BC565" s="8"/>
      <c r="BD565" s="7"/>
      <c r="BE565" s="6"/>
      <c r="BF565" s="8"/>
      <c r="BG565" s="7"/>
      <c r="BH565" s="6"/>
      <c r="BI565" s="8"/>
      <c r="BJ565" s="7"/>
      <c r="BK565" s="6"/>
      <c r="BL565" s="8"/>
      <c r="BM565" s="7"/>
      <c r="BN565" s="6"/>
      <c r="BO565" s="8"/>
      <c r="BP565" s="7"/>
      <c r="BQ565" s="6"/>
      <c r="BR565" s="8"/>
    </row>
    <row r="566">
      <c r="A566" s="6"/>
      <c r="B566" s="6" t="s">
        <v>566</v>
      </c>
      <c r="C566" s="3" t="str">
        <f t="shared" si="1"/>
        <v>_dark plum</v>
      </c>
      <c r="D566" s="3" t="str">
        <f t="shared" si="8"/>
        <v>#N/A</v>
      </c>
      <c r="E566" s="3" t="b">
        <f t="shared" si="2"/>
        <v>0</v>
      </c>
      <c r="G566" s="3" t="str">
        <f t="shared" si="3"/>
        <v>#N/A</v>
      </c>
      <c r="H566" s="3" t="b">
        <f t="shared" si="4"/>
        <v>0</v>
      </c>
      <c r="J566" s="3" t="str">
        <f t="shared" si="5"/>
        <v>#N/A</v>
      </c>
      <c r="K566" s="3" t="b">
        <f t="shared" si="6"/>
        <v>0</v>
      </c>
      <c r="M566" s="3" t="str">
        <f t="shared" si="7"/>
        <v>#N/A</v>
      </c>
      <c r="AU566" s="7"/>
      <c r="AV566" s="6"/>
      <c r="AW566" s="8"/>
      <c r="AX566" s="7"/>
      <c r="AY566" s="6"/>
      <c r="AZ566" s="8"/>
      <c r="BA566" s="7"/>
      <c r="BB566" s="6"/>
      <c r="BC566" s="8"/>
      <c r="BD566" s="7"/>
      <c r="BE566" s="6"/>
      <c r="BF566" s="8"/>
      <c r="BG566" s="7"/>
      <c r="BH566" s="6"/>
      <c r="BI566" s="8"/>
      <c r="BJ566" s="7"/>
      <c r="BK566" s="6"/>
      <c r="BL566" s="8"/>
      <c r="BM566" s="7"/>
      <c r="BN566" s="6"/>
      <c r="BO566" s="8"/>
      <c r="BP566" s="7"/>
      <c r="BQ566" s="6"/>
      <c r="BR566" s="8"/>
    </row>
    <row r="567">
      <c r="A567" s="6"/>
      <c r="B567" s="6" t="s">
        <v>567</v>
      </c>
      <c r="C567" s="3" t="str">
        <f t="shared" si="1"/>
        <v>_dark salmon</v>
      </c>
      <c r="D567" s="3" t="str">
        <f t="shared" si="8"/>
        <v>#N/A</v>
      </c>
      <c r="E567" s="3" t="b">
        <f t="shared" si="2"/>
        <v>0</v>
      </c>
      <c r="G567" s="3" t="str">
        <f t="shared" si="3"/>
        <v>#N/A</v>
      </c>
      <c r="H567" s="3" t="b">
        <f t="shared" si="4"/>
        <v>0</v>
      </c>
      <c r="J567" s="3" t="str">
        <f t="shared" si="5"/>
        <v>#N/A</v>
      </c>
      <c r="K567" s="3" t="b">
        <f t="shared" si="6"/>
        <v>0</v>
      </c>
      <c r="M567" s="3" t="str">
        <f t="shared" si="7"/>
        <v>#N/A</v>
      </c>
      <c r="AU567" s="7"/>
      <c r="AV567" s="6"/>
      <c r="AW567" s="8"/>
      <c r="AX567" s="7"/>
      <c r="AY567" s="6"/>
      <c r="AZ567" s="8"/>
      <c r="BA567" s="7"/>
      <c r="BB567" s="6"/>
      <c r="BC567" s="8"/>
      <c r="BD567" s="7"/>
      <c r="BE567" s="6"/>
      <c r="BF567" s="8"/>
      <c r="BG567" s="7"/>
      <c r="BH567" s="6"/>
      <c r="BI567" s="8"/>
      <c r="BJ567" s="7"/>
      <c r="BK567" s="6"/>
      <c r="BL567" s="8"/>
      <c r="BM567" s="7"/>
      <c r="BN567" s="6"/>
      <c r="BO567" s="8"/>
      <c r="BP567" s="7"/>
      <c r="BQ567" s="6"/>
      <c r="BR567" s="8"/>
    </row>
    <row r="568">
      <c r="A568" s="6"/>
      <c r="B568" s="6" t="s">
        <v>568</v>
      </c>
      <c r="C568" s="3" t="str">
        <f t="shared" si="1"/>
        <v>_dotted lime</v>
      </c>
      <c r="D568" s="3" t="str">
        <f t="shared" si="8"/>
        <v>#N/A</v>
      </c>
      <c r="E568" s="3" t="b">
        <f t="shared" si="2"/>
        <v>0</v>
      </c>
      <c r="G568" s="3" t="str">
        <f t="shared" si="3"/>
        <v>#N/A</v>
      </c>
      <c r="H568" s="3" t="b">
        <f t="shared" si="4"/>
        <v>0</v>
      </c>
      <c r="J568" s="3" t="str">
        <f t="shared" si="5"/>
        <v>#N/A</v>
      </c>
      <c r="K568" s="3" t="b">
        <f t="shared" si="6"/>
        <v>0</v>
      </c>
      <c r="M568" s="3" t="str">
        <f t="shared" si="7"/>
        <v>#N/A</v>
      </c>
      <c r="AU568" s="7"/>
      <c r="AV568" s="6"/>
      <c r="AW568" s="8"/>
      <c r="AX568" s="7"/>
      <c r="AY568" s="6"/>
      <c r="AZ568" s="8"/>
      <c r="BA568" s="7"/>
      <c r="BB568" s="6"/>
      <c r="BC568" s="8"/>
      <c r="BD568" s="7"/>
      <c r="BE568" s="6"/>
      <c r="BF568" s="8"/>
      <c r="BG568" s="7"/>
      <c r="BH568" s="6"/>
      <c r="BI568" s="8"/>
      <c r="BJ568" s="7"/>
      <c r="BK568" s="6"/>
      <c r="BL568" s="8"/>
      <c r="BM568" s="7"/>
      <c r="BN568" s="6"/>
      <c r="BO568" s="8"/>
      <c r="BP568" s="7"/>
      <c r="BQ568" s="6"/>
      <c r="BR568" s="8"/>
    </row>
    <row r="569">
      <c r="A569" s="6"/>
      <c r="B569" s="6" t="s">
        <v>569</v>
      </c>
      <c r="C569" s="3" t="str">
        <f t="shared" si="1"/>
        <v>_dark red</v>
      </c>
      <c r="D569" s="3" t="str">
        <f t="shared" si="8"/>
        <v>#N/A</v>
      </c>
      <c r="E569" s="3" t="b">
        <f t="shared" si="2"/>
        <v>0</v>
      </c>
      <c r="G569" s="3" t="str">
        <f t="shared" si="3"/>
        <v>#N/A</v>
      </c>
      <c r="H569" s="3" t="b">
        <f t="shared" si="4"/>
        <v>0</v>
      </c>
      <c r="J569" s="3" t="str">
        <f t="shared" si="5"/>
        <v>#N/A</v>
      </c>
      <c r="K569" s="3" t="b">
        <f t="shared" si="6"/>
        <v>0</v>
      </c>
      <c r="M569" s="3" t="str">
        <f t="shared" si="7"/>
        <v>#N/A</v>
      </c>
      <c r="AU569" s="7"/>
      <c r="AV569" s="6"/>
      <c r="AW569" s="8"/>
      <c r="AX569" s="7"/>
      <c r="AY569" s="6"/>
      <c r="AZ569" s="8"/>
      <c r="BA569" s="7"/>
      <c r="BB569" s="6"/>
      <c r="BC569" s="8"/>
      <c r="BD569" s="7"/>
      <c r="BE569" s="6"/>
      <c r="BF569" s="8"/>
      <c r="BG569" s="7"/>
      <c r="BH569" s="6"/>
      <c r="BI569" s="8"/>
      <c r="BJ569" s="7"/>
      <c r="BK569" s="6"/>
      <c r="BL569" s="8"/>
      <c r="BM569" s="7"/>
      <c r="BN569" s="6"/>
      <c r="BO569" s="8"/>
      <c r="BP569" s="7"/>
      <c r="BQ569" s="6"/>
      <c r="BR569" s="8"/>
    </row>
    <row r="570">
      <c r="A570" s="6"/>
      <c r="B570" s="6" t="s">
        <v>570</v>
      </c>
      <c r="C570" s="3" t="str">
        <f t="shared" si="1"/>
        <v>_dim lavender</v>
      </c>
      <c r="D570" s="3" t="str">
        <f t="shared" si="8"/>
        <v>#N/A</v>
      </c>
      <c r="E570" s="3" t="b">
        <f t="shared" si="2"/>
        <v>0</v>
      </c>
      <c r="G570" s="3" t="str">
        <f t="shared" si="3"/>
        <v>#N/A</v>
      </c>
      <c r="H570" s="3" t="b">
        <f t="shared" si="4"/>
        <v>0</v>
      </c>
      <c r="J570" s="3" t="str">
        <f t="shared" si="5"/>
        <v>#N/A</v>
      </c>
      <c r="K570" s="3" t="b">
        <f t="shared" si="6"/>
        <v>0</v>
      </c>
      <c r="M570" s="3" t="str">
        <f t="shared" si="7"/>
        <v>#N/A</v>
      </c>
      <c r="AU570" s="7"/>
      <c r="AV570" s="6"/>
      <c r="AW570" s="8"/>
      <c r="AX570" s="7"/>
      <c r="AY570" s="6"/>
      <c r="AZ570" s="8"/>
      <c r="BA570" s="7"/>
      <c r="BB570" s="6"/>
      <c r="BC570" s="8"/>
      <c r="BD570" s="7"/>
      <c r="BE570" s="6"/>
      <c r="BF570" s="8"/>
      <c r="BG570" s="7"/>
      <c r="BH570" s="6"/>
      <c r="BI570" s="8"/>
      <c r="BJ570" s="7"/>
      <c r="BK570" s="6"/>
      <c r="BL570" s="8"/>
      <c r="BM570" s="7"/>
      <c r="BN570" s="6"/>
      <c r="BO570" s="8"/>
      <c r="BP570" s="7"/>
      <c r="BQ570" s="6"/>
      <c r="BR570" s="8"/>
    </row>
    <row r="571">
      <c r="A571" s="6"/>
      <c r="B571" s="6" t="s">
        <v>571</v>
      </c>
      <c r="C571" s="3" t="str">
        <f t="shared" si="1"/>
        <v>_striped cyan</v>
      </c>
      <c r="D571" s="3" t="str">
        <f t="shared" si="8"/>
        <v>#N/A</v>
      </c>
      <c r="E571" s="3" t="b">
        <f t="shared" si="2"/>
        <v>0</v>
      </c>
      <c r="G571" s="3" t="str">
        <f t="shared" si="3"/>
        <v>#N/A</v>
      </c>
      <c r="H571" s="3" t="b">
        <f t="shared" si="4"/>
        <v>0</v>
      </c>
      <c r="J571" s="3" t="str">
        <f t="shared" si="5"/>
        <v>#N/A</v>
      </c>
      <c r="K571" s="3" t="b">
        <f t="shared" si="6"/>
        <v>0</v>
      </c>
      <c r="M571" s="3" t="str">
        <f t="shared" si="7"/>
        <v>#N/A</v>
      </c>
      <c r="AU571" s="7"/>
      <c r="AV571" s="6"/>
      <c r="AW571" s="8"/>
      <c r="AX571" s="7"/>
      <c r="AY571" s="6"/>
      <c r="AZ571" s="8"/>
      <c r="BA571" s="7"/>
      <c r="BB571" s="6"/>
      <c r="BC571" s="8"/>
      <c r="BD571" s="7"/>
      <c r="BE571" s="6"/>
      <c r="BF571" s="8"/>
      <c r="BG571" s="7"/>
      <c r="BH571" s="6"/>
      <c r="BI571" s="8"/>
      <c r="BJ571" s="7"/>
      <c r="BK571" s="6"/>
      <c r="BL571" s="8"/>
      <c r="BM571" s="7"/>
      <c r="BN571" s="6"/>
      <c r="BO571" s="8"/>
      <c r="BP571" s="7"/>
      <c r="BQ571" s="6"/>
      <c r="BR571" s="8"/>
    </row>
    <row r="572">
      <c r="A572" s="6"/>
      <c r="B572" s="6" t="s">
        <v>572</v>
      </c>
      <c r="C572" s="3" t="str">
        <f t="shared" si="1"/>
        <v>_dull indigo</v>
      </c>
      <c r="D572" s="3" t="str">
        <f t="shared" si="8"/>
        <v>#N/A</v>
      </c>
      <c r="E572" s="3" t="b">
        <f t="shared" si="2"/>
        <v>0</v>
      </c>
      <c r="G572" s="3" t="str">
        <f t="shared" si="3"/>
        <v>#N/A</v>
      </c>
      <c r="H572" s="3" t="b">
        <f t="shared" si="4"/>
        <v>0</v>
      </c>
      <c r="J572" s="3" t="str">
        <f t="shared" si="5"/>
        <v>#N/A</v>
      </c>
      <c r="K572" s="3" t="b">
        <f t="shared" si="6"/>
        <v>0</v>
      </c>
      <c r="M572" s="3" t="str">
        <f t="shared" si="7"/>
        <v>#N/A</v>
      </c>
      <c r="AU572" s="7"/>
      <c r="AV572" s="6"/>
      <c r="AW572" s="8"/>
      <c r="AX572" s="7"/>
      <c r="AY572" s="6"/>
      <c r="AZ572" s="8"/>
      <c r="BA572" s="7"/>
      <c r="BB572" s="6"/>
      <c r="BC572" s="8"/>
      <c r="BD572" s="7"/>
      <c r="BE572" s="6"/>
      <c r="BF572" s="8"/>
      <c r="BG572" s="7"/>
      <c r="BH572" s="6"/>
      <c r="BI572" s="8"/>
      <c r="BJ572" s="7"/>
      <c r="BK572" s="6"/>
      <c r="BL572" s="8"/>
      <c r="BM572" s="7"/>
      <c r="BN572" s="6"/>
      <c r="BO572" s="8"/>
      <c r="BP572" s="7"/>
      <c r="BQ572" s="6"/>
      <c r="BR572" s="8"/>
    </row>
    <row r="573">
      <c r="A573" s="6"/>
      <c r="B573" s="6" t="s">
        <v>573</v>
      </c>
      <c r="C573" s="3" t="str">
        <f t="shared" si="1"/>
        <v>_faded green</v>
      </c>
      <c r="D573" s="3" t="str">
        <f t="shared" si="8"/>
        <v>#N/A</v>
      </c>
      <c r="E573" s="3" t="b">
        <f t="shared" si="2"/>
        <v>0</v>
      </c>
      <c r="G573" s="3" t="str">
        <f t="shared" si="3"/>
        <v>#N/A</v>
      </c>
      <c r="H573" s="3" t="b">
        <f t="shared" si="4"/>
        <v>0</v>
      </c>
      <c r="J573" s="3" t="str">
        <f t="shared" si="5"/>
        <v>#N/A</v>
      </c>
      <c r="K573" s="3" t="b">
        <f t="shared" si="6"/>
        <v>0</v>
      </c>
      <c r="M573" s="3" t="str">
        <f t="shared" si="7"/>
        <v>#N/A</v>
      </c>
      <c r="AU573" s="7"/>
      <c r="AV573" s="6"/>
      <c r="AW573" s="8"/>
      <c r="AX573" s="7"/>
      <c r="AY573" s="6"/>
      <c r="AZ573" s="8"/>
      <c r="BA573" s="7"/>
      <c r="BB573" s="6"/>
      <c r="BC573" s="8"/>
      <c r="BD573" s="7"/>
      <c r="BE573" s="6"/>
      <c r="BF573" s="8"/>
      <c r="BG573" s="7"/>
      <c r="BH573" s="6"/>
      <c r="BI573" s="8"/>
      <c r="BJ573" s="7"/>
      <c r="BK573" s="6"/>
      <c r="BL573" s="8"/>
      <c r="BM573" s="7"/>
      <c r="BN573" s="6"/>
      <c r="BO573" s="8"/>
      <c r="BP573" s="7"/>
      <c r="BQ573" s="6"/>
      <c r="BR573" s="8"/>
    </row>
    <row r="574">
      <c r="A574" s="6"/>
      <c r="B574" s="6" t="s">
        <v>574</v>
      </c>
      <c r="C574" s="3" t="str">
        <f t="shared" si="1"/>
        <v>_drab fuchsia</v>
      </c>
      <c r="D574" s="3" t="str">
        <f t="shared" si="8"/>
        <v>#N/A</v>
      </c>
      <c r="E574" s="3" t="b">
        <f t="shared" si="2"/>
        <v>0</v>
      </c>
      <c r="G574" s="3" t="str">
        <f t="shared" si="3"/>
        <v>#N/A</v>
      </c>
      <c r="H574" s="3" t="b">
        <f t="shared" si="4"/>
        <v>0</v>
      </c>
      <c r="J574" s="3" t="str">
        <f t="shared" si="5"/>
        <v>#N/A</v>
      </c>
      <c r="K574" s="3" t="b">
        <f t="shared" si="6"/>
        <v>0</v>
      </c>
      <c r="M574" s="3" t="str">
        <f t="shared" si="7"/>
        <v>#N/A</v>
      </c>
      <c r="AU574" s="7"/>
      <c r="AV574" s="6"/>
      <c r="AW574" s="8"/>
      <c r="AX574" s="7"/>
      <c r="AY574" s="6"/>
      <c r="AZ574" s="8"/>
      <c r="BA574" s="7"/>
      <c r="BB574" s="6"/>
      <c r="BC574" s="8"/>
      <c r="BD574" s="7"/>
      <c r="BE574" s="6"/>
      <c r="BF574" s="8"/>
      <c r="BG574" s="7"/>
      <c r="BH574" s="6"/>
      <c r="BI574" s="8"/>
      <c r="BJ574" s="7"/>
      <c r="BK574" s="6"/>
      <c r="BL574" s="8"/>
      <c r="BM574" s="7"/>
      <c r="BN574" s="6"/>
      <c r="BO574" s="8"/>
      <c r="BP574" s="7"/>
      <c r="BQ574" s="6"/>
      <c r="BR574" s="8"/>
    </row>
    <row r="575">
      <c r="A575" s="6"/>
      <c r="B575" s="6" t="s">
        <v>575</v>
      </c>
      <c r="C575" s="3" t="str">
        <f t="shared" si="1"/>
        <v>_drab gold</v>
      </c>
      <c r="D575" s="3" t="str">
        <f t="shared" si="8"/>
        <v>#N/A</v>
      </c>
      <c r="E575" s="3" t="b">
        <f t="shared" si="2"/>
        <v>0</v>
      </c>
      <c r="G575" s="3" t="str">
        <f t="shared" si="3"/>
        <v>#N/A</v>
      </c>
      <c r="H575" s="3" t="b">
        <f t="shared" si="4"/>
        <v>0</v>
      </c>
      <c r="J575" s="3" t="str">
        <f t="shared" si="5"/>
        <v>#N/A</v>
      </c>
      <c r="K575" s="3" t="b">
        <f t="shared" si="6"/>
        <v>0</v>
      </c>
      <c r="M575" s="3" t="str">
        <f t="shared" si="7"/>
        <v>#N/A</v>
      </c>
      <c r="AU575" s="7"/>
      <c r="AV575" s="6"/>
      <c r="AW575" s="8"/>
      <c r="AX575" s="7"/>
      <c r="AY575" s="6"/>
      <c r="AZ575" s="8"/>
      <c r="BA575" s="7"/>
      <c r="BB575" s="6"/>
      <c r="BC575" s="8"/>
      <c r="BD575" s="7"/>
      <c r="BE575" s="6"/>
      <c r="BF575" s="8"/>
      <c r="BG575" s="7"/>
      <c r="BH575" s="6"/>
      <c r="BI575" s="8"/>
      <c r="BJ575" s="7"/>
      <c r="BK575" s="6"/>
      <c r="BL575" s="8"/>
      <c r="BM575" s="7"/>
      <c r="BN575" s="6"/>
      <c r="BO575" s="8"/>
      <c r="BP575" s="7"/>
      <c r="BQ575" s="6"/>
      <c r="BR575" s="8"/>
    </row>
    <row r="576">
      <c r="A576" s="6"/>
      <c r="B576" s="6" t="s">
        <v>576</v>
      </c>
      <c r="C576" s="3" t="str">
        <f t="shared" si="1"/>
        <v>_dotted violet</v>
      </c>
      <c r="D576" s="3" t="str">
        <f t="shared" si="8"/>
        <v>#N/A</v>
      </c>
      <c r="E576" s="3" t="b">
        <f t="shared" si="2"/>
        <v>0</v>
      </c>
      <c r="G576" s="3" t="str">
        <f t="shared" si="3"/>
        <v>#N/A</v>
      </c>
      <c r="H576" s="3" t="b">
        <f t="shared" si="4"/>
        <v>0</v>
      </c>
      <c r="J576" s="3" t="str">
        <f t="shared" si="5"/>
        <v>#N/A</v>
      </c>
      <c r="K576" s="3" t="b">
        <f t="shared" si="6"/>
        <v>0</v>
      </c>
      <c r="M576" s="3" t="str">
        <f t="shared" si="7"/>
        <v>#N/A</v>
      </c>
      <c r="AU576" s="7"/>
      <c r="AV576" s="6"/>
      <c r="AW576" s="8"/>
      <c r="AX576" s="7"/>
      <c r="AY576" s="6"/>
      <c r="AZ576" s="8"/>
      <c r="BA576" s="7"/>
      <c r="BB576" s="6"/>
      <c r="BC576" s="8"/>
      <c r="BD576" s="7"/>
      <c r="BE576" s="6"/>
      <c r="BF576" s="8"/>
      <c r="BG576" s="7"/>
      <c r="BH576" s="6"/>
      <c r="BI576" s="8"/>
      <c r="BJ576" s="7"/>
      <c r="BK576" s="6"/>
      <c r="BL576" s="8"/>
      <c r="BM576" s="7"/>
      <c r="BN576" s="6"/>
      <c r="BO576" s="8"/>
      <c r="BP576" s="7"/>
      <c r="BQ576" s="6"/>
      <c r="BR576" s="8"/>
    </row>
    <row r="577">
      <c r="A577" s="6"/>
      <c r="B577" s="6" t="s">
        <v>577</v>
      </c>
      <c r="C577" s="3" t="str">
        <f t="shared" si="1"/>
        <v>_shiny turquoise</v>
      </c>
      <c r="D577" s="3" t="str">
        <f t="shared" si="8"/>
        <v>#N/A</v>
      </c>
      <c r="E577" s="3" t="b">
        <f t="shared" si="2"/>
        <v>0</v>
      </c>
      <c r="G577" s="3" t="str">
        <f t="shared" si="3"/>
        <v>#N/A</v>
      </c>
      <c r="H577" s="3" t="b">
        <f t="shared" si="4"/>
        <v>0</v>
      </c>
      <c r="J577" s="3" t="str">
        <f t="shared" si="5"/>
        <v>#N/A</v>
      </c>
      <c r="K577" s="3" t="b">
        <f t="shared" si="6"/>
        <v>0</v>
      </c>
      <c r="M577" s="3" t="str">
        <f t="shared" si="7"/>
        <v>#N/A</v>
      </c>
      <c r="AU577" s="7"/>
      <c r="AV577" s="6"/>
      <c r="AW577" s="8"/>
      <c r="AX577" s="7"/>
      <c r="AY577" s="6"/>
      <c r="AZ577" s="8"/>
      <c r="BA577" s="7"/>
      <c r="BB577" s="6"/>
      <c r="BC577" s="8"/>
      <c r="BD577" s="7"/>
      <c r="BE577" s="6"/>
      <c r="BF577" s="8"/>
      <c r="BG577" s="7"/>
      <c r="BH577" s="6"/>
      <c r="BI577" s="8"/>
      <c r="BJ577" s="7"/>
      <c r="BK577" s="6"/>
      <c r="BL577" s="8"/>
      <c r="BM577" s="7"/>
      <c r="BN577" s="6"/>
      <c r="BO577" s="8"/>
      <c r="BP577" s="7"/>
      <c r="BQ577" s="6"/>
      <c r="BR577" s="8"/>
    </row>
    <row r="578">
      <c r="A578" s="6"/>
      <c r="B578" s="6" t="s">
        <v>578</v>
      </c>
      <c r="C578" s="3" t="str">
        <f t="shared" si="1"/>
        <v>_muted green</v>
      </c>
      <c r="D578" s="3" t="str">
        <f t="shared" si="8"/>
        <v>#N/A</v>
      </c>
      <c r="E578" s="3" t="b">
        <f t="shared" si="2"/>
        <v>0</v>
      </c>
      <c r="G578" s="3" t="str">
        <f t="shared" si="3"/>
        <v>#N/A</v>
      </c>
      <c r="H578" s="3" t="b">
        <f t="shared" si="4"/>
        <v>0</v>
      </c>
      <c r="J578" s="3" t="str">
        <f t="shared" si="5"/>
        <v>#N/A</v>
      </c>
      <c r="K578" s="3" t="b">
        <f t="shared" si="6"/>
        <v>0</v>
      </c>
      <c r="M578" s="3" t="str">
        <f t="shared" si="7"/>
        <v>#N/A</v>
      </c>
      <c r="AU578" s="7"/>
      <c r="AV578" s="6"/>
      <c r="AW578" s="8"/>
      <c r="AX578" s="7"/>
      <c r="AY578" s="6"/>
      <c r="AZ578" s="8"/>
      <c r="BA578" s="7"/>
      <c r="BB578" s="6"/>
      <c r="BC578" s="8"/>
      <c r="BD578" s="7"/>
      <c r="BE578" s="6"/>
      <c r="BF578" s="8"/>
      <c r="BG578" s="7"/>
      <c r="BH578" s="6"/>
      <c r="BI578" s="8"/>
      <c r="BJ578" s="7"/>
      <c r="BK578" s="6"/>
      <c r="BL578" s="8"/>
      <c r="BM578" s="7"/>
      <c r="BN578" s="6"/>
      <c r="BO578" s="8"/>
      <c r="BP578" s="7"/>
      <c r="BQ578" s="6"/>
      <c r="BR578" s="8"/>
    </row>
    <row r="579">
      <c r="A579" s="6"/>
      <c r="B579" s="6" t="s">
        <v>579</v>
      </c>
      <c r="C579" s="3" t="str">
        <f t="shared" si="1"/>
        <v>_pale purple</v>
      </c>
      <c r="D579" s="3" t="str">
        <f t="shared" si="8"/>
        <v>#N/A</v>
      </c>
      <c r="E579" s="3" t="b">
        <f t="shared" si="2"/>
        <v>0</v>
      </c>
      <c r="G579" s="3" t="str">
        <f t="shared" si="3"/>
        <v>#N/A</v>
      </c>
      <c r="H579" s="3" t="b">
        <f t="shared" si="4"/>
        <v>0</v>
      </c>
      <c r="J579" s="3" t="str">
        <f t="shared" si="5"/>
        <v>#N/A</v>
      </c>
      <c r="K579" s="3" t="b">
        <f t="shared" si="6"/>
        <v>0</v>
      </c>
      <c r="M579" s="3" t="str">
        <f t="shared" si="7"/>
        <v>#N/A</v>
      </c>
      <c r="AU579" s="7"/>
      <c r="AV579" s="6"/>
      <c r="AW579" s="8"/>
      <c r="AX579" s="7"/>
      <c r="AY579" s="6"/>
      <c r="AZ579" s="8"/>
      <c r="BA579" s="7"/>
      <c r="BB579" s="6"/>
      <c r="BC579" s="8"/>
      <c r="BD579" s="7"/>
      <c r="BE579" s="6"/>
      <c r="BF579" s="8"/>
      <c r="BG579" s="7"/>
      <c r="BH579" s="6"/>
      <c r="BI579" s="8"/>
      <c r="BJ579" s="7"/>
      <c r="BK579" s="6"/>
      <c r="BL579" s="8"/>
      <c r="BM579" s="7"/>
      <c r="BN579" s="6"/>
      <c r="BO579" s="8"/>
      <c r="BP579" s="7"/>
      <c r="BQ579" s="6"/>
      <c r="BR579" s="8"/>
    </row>
    <row r="580">
      <c r="A580" s="6"/>
      <c r="B580" s="6" t="s">
        <v>580</v>
      </c>
      <c r="C580" s="3" t="str">
        <f t="shared" si="1"/>
        <v>_posh fuchsia</v>
      </c>
      <c r="D580" s="3" t="str">
        <f t="shared" si="8"/>
        <v>#N/A</v>
      </c>
      <c r="E580" s="3" t="b">
        <f t="shared" si="2"/>
        <v>0</v>
      </c>
      <c r="G580" s="3" t="str">
        <f t="shared" si="3"/>
        <v>#N/A</v>
      </c>
      <c r="H580" s="3" t="b">
        <f t="shared" si="4"/>
        <v>0</v>
      </c>
      <c r="J580" s="3" t="str">
        <f t="shared" si="5"/>
        <v>#N/A</v>
      </c>
      <c r="K580" s="3" t="b">
        <f t="shared" si="6"/>
        <v>0</v>
      </c>
      <c r="M580" s="3" t="str">
        <f t="shared" si="7"/>
        <v>#N/A</v>
      </c>
      <c r="AU580" s="7"/>
      <c r="AV580" s="6"/>
      <c r="AW580" s="8"/>
      <c r="AX580" s="7"/>
      <c r="AY580" s="6"/>
      <c r="AZ580" s="8"/>
      <c r="BA580" s="7"/>
      <c r="BB580" s="6"/>
      <c r="BC580" s="8"/>
      <c r="BD580" s="7"/>
      <c r="BE580" s="6"/>
      <c r="BF580" s="8"/>
      <c r="BG580" s="7"/>
      <c r="BH580" s="6"/>
      <c r="BI580" s="8"/>
      <c r="BJ580" s="7"/>
      <c r="BK580" s="6"/>
      <c r="BL580" s="8"/>
      <c r="BM580" s="7"/>
      <c r="BN580" s="6"/>
      <c r="BO580" s="8"/>
      <c r="BP580" s="7"/>
      <c r="BQ580" s="6"/>
      <c r="BR580" s="8"/>
    </row>
    <row r="581">
      <c r="A581" s="6"/>
      <c r="B581" s="6" t="s">
        <v>581</v>
      </c>
      <c r="C581" s="3" t="str">
        <f t="shared" si="1"/>
        <v>_drab teal</v>
      </c>
      <c r="D581" s="3" t="str">
        <f t="shared" si="8"/>
        <v>#N/A</v>
      </c>
      <c r="E581" s="3" t="b">
        <f t="shared" si="2"/>
        <v>0</v>
      </c>
      <c r="G581" s="3" t="str">
        <f t="shared" si="3"/>
        <v>#N/A</v>
      </c>
      <c r="H581" s="3" t="b">
        <f t="shared" si="4"/>
        <v>0</v>
      </c>
      <c r="J581" s="3" t="str">
        <f t="shared" si="5"/>
        <v>#N/A</v>
      </c>
      <c r="K581" s="3" t="b">
        <f t="shared" si="6"/>
        <v>0</v>
      </c>
      <c r="M581" s="3" t="str">
        <f t="shared" si="7"/>
        <v>#N/A</v>
      </c>
      <c r="AU581" s="7"/>
      <c r="AV581" s="6"/>
      <c r="AW581" s="8"/>
      <c r="AX581" s="7"/>
      <c r="AY581" s="6"/>
      <c r="AZ581" s="8"/>
      <c r="BA581" s="7"/>
      <c r="BB581" s="6"/>
      <c r="BC581" s="8"/>
      <c r="BD581" s="7"/>
      <c r="BE581" s="6"/>
      <c r="BF581" s="8"/>
      <c r="BG581" s="7"/>
      <c r="BH581" s="6"/>
      <c r="BI581" s="8"/>
      <c r="BJ581" s="7"/>
      <c r="BK581" s="6"/>
      <c r="BL581" s="8"/>
      <c r="BM581" s="7"/>
      <c r="BN581" s="6"/>
      <c r="BO581" s="8"/>
      <c r="BP581" s="7"/>
      <c r="BQ581" s="6"/>
      <c r="BR581" s="8"/>
    </row>
    <row r="582">
      <c r="A582" s="6"/>
      <c r="B582" s="6" t="s">
        <v>582</v>
      </c>
      <c r="C582" s="3" t="str">
        <f t="shared" si="1"/>
        <v>_mirrored teal</v>
      </c>
      <c r="D582" s="3" t="str">
        <f t="shared" si="8"/>
        <v>#N/A</v>
      </c>
      <c r="E582" s="3" t="b">
        <f t="shared" si="2"/>
        <v>0</v>
      </c>
      <c r="G582" s="3" t="str">
        <f t="shared" si="3"/>
        <v>#N/A</v>
      </c>
      <c r="H582" s="3" t="b">
        <f t="shared" si="4"/>
        <v>0</v>
      </c>
      <c r="J582" s="3" t="str">
        <f t="shared" si="5"/>
        <v>#N/A</v>
      </c>
      <c r="K582" s="3" t="b">
        <f t="shared" si="6"/>
        <v>0</v>
      </c>
      <c r="M582" s="3" t="str">
        <f t="shared" si="7"/>
        <v>#N/A</v>
      </c>
      <c r="AU582" s="7"/>
      <c r="AV582" s="6"/>
      <c r="AW582" s="8"/>
      <c r="AX582" s="7"/>
      <c r="AY582" s="6"/>
      <c r="AZ582" s="8"/>
      <c r="BA582" s="7"/>
      <c r="BB582" s="6"/>
      <c r="BC582" s="8"/>
      <c r="BD582" s="7"/>
      <c r="BE582" s="6"/>
      <c r="BF582" s="8"/>
      <c r="BG582" s="7"/>
      <c r="BH582" s="6"/>
      <c r="BI582" s="8"/>
      <c r="BJ582" s="7"/>
      <c r="BK582" s="6"/>
      <c r="BL582" s="8"/>
      <c r="BM582" s="7"/>
      <c r="BN582" s="6"/>
      <c r="BO582" s="8"/>
      <c r="BP582" s="7"/>
      <c r="BQ582" s="6"/>
      <c r="BR582" s="8"/>
    </row>
    <row r="583">
      <c r="A583" s="6"/>
      <c r="B583" s="6" t="s">
        <v>583</v>
      </c>
      <c r="C583" s="3" t="str">
        <f t="shared" si="1"/>
        <v>_muted violet</v>
      </c>
      <c r="D583" s="3" t="str">
        <f t="shared" si="8"/>
        <v>#N/A</v>
      </c>
      <c r="E583" s="3" t="b">
        <f t="shared" si="2"/>
        <v>0</v>
      </c>
      <c r="G583" s="3" t="str">
        <f t="shared" si="3"/>
        <v>#N/A</v>
      </c>
      <c r="H583" s="3" t="b">
        <f t="shared" si="4"/>
        <v>0</v>
      </c>
      <c r="J583" s="3" t="str">
        <f t="shared" si="5"/>
        <v>#N/A</v>
      </c>
      <c r="K583" s="3" t="b">
        <f t="shared" si="6"/>
        <v>0</v>
      </c>
      <c r="M583" s="3" t="str">
        <f t="shared" si="7"/>
        <v>#N/A</v>
      </c>
      <c r="AU583" s="7"/>
      <c r="AV583" s="6"/>
      <c r="AW583" s="8"/>
      <c r="AX583" s="7"/>
      <c r="AY583" s="6"/>
      <c r="AZ583" s="8"/>
      <c r="BA583" s="7"/>
      <c r="BB583" s="6"/>
      <c r="BC583" s="8"/>
      <c r="BD583" s="7"/>
      <c r="BE583" s="6"/>
      <c r="BF583" s="8"/>
      <c r="BG583" s="7"/>
      <c r="BH583" s="6"/>
      <c r="BI583" s="8"/>
      <c r="BJ583" s="7"/>
      <c r="BK583" s="6"/>
      <c r="BL583" s="8"/>
      <c r="BM583" s="7"/>
      <c r="BN583" s="6"/>
      <c r="BO583" s="8"/>
      <c r="BP583" s="7"/>
      <c r="BQ583" s="6"/>
      <c r="BR583" s="8"/>
    </row>
    <row r="584">
      <c r="A584" s="6"/>
      <c r="B584" s="6" t="s">
        <v>584</v>
      </c>
      <c r="C584" s="3" t="str">
        <f t="shared" si="1"/>
        <v>_mirrored salmon</v>
      </c>
      <c r="D584" s="3" t="str">
        <f t="shared" si="8"/>
        <v>#N/A</v>
      </c>
      <c r="E584" s="3" t="b">
        <f t="shared" si="2"/>
        <v>0</v>
      </c>
      <c r="G584" s="3" t="str">
        <f t="shared" si="3"/>
        <v>#N/A</v>
      </c>
      <c r="H584" s="3" t="b">
        <f t="shared" si="4"/>
        <v>0</v>
      </c>
      <c r="J584" s="3" t="str">
        <f t="shared" si="5"/>
        <v>#N/A</v>
      </c>
      <c r="K584" s="3" t="b">
        <f t="shared" si="6"/>
        <v>0</v>
      </c>
      <c r="M584" s="3" t="str">
        <f t="shared" si="7"/>
        <v>#N/A</v>
      </c>
      <c r="AU584" s="7"/>
      <c r="AV584" s="6"/>
      <c r="AW584" s="8"/>
      <c r="AX584" s="7"/>
      <c r="AY584" s="6"/>
      <c r="AZ584" s="8"/>
      <c r="BA584" s="7"/>
      <c r="BB584" s="6"/>
      <c r="BC584" s="8"/>
      <c r="BD584" s="7"/>
      <c r="BE584" s="6"/>
      <c r="BF584" s="8"/>
      <c r="BG584" s="7"/>
      <c r="BH584" s="6"/>
      <c r="BI584" s="8"/>
      <c r="BJ584" s="7"/>
      <c r="BK584" s="6"/>
      <c r="BL584" s="8"/>
      <c r="BM584" s="7"/>
      <c r="BN584" s="6"/>
      <c r="BO584" s="8"/>
      <c r="BP584" s="7"/>
      <c r="BQ584" s="6"/>
      <c r="BR584" s="8"/>
    </row>
    <row r="585">
      <c r="A585" s="6"/>
      <c r="B585" s="6" t="s">
        <v>585</v>
      </c>
      <c r="C585" s="3" t="str">
        <f t="shared" si="1"/>
        <v>_vibrant crimson</v>
      </c>
      <c r="D585" s="3" t="str">
        <f t="shared" si="8"/>
        <v>#N/A</v>
      </c>
      <c r="E585" s="3" t="b">
        <f t="shared" si="2"/>
        <v>0</v>
      </c>
      <c r="G585" s="3" t="str">
        <f t="shared" si="3"/>
        <v>#N/A</v>
      </c>
      <c r="H585" s="3" t="b">
        <f t="shared" si="4"/>
        <v>0</v>
      </c>
      <c r="J585" s="3" t="str">
        <f t="shared" si="5"/>
        <v>#N/A</v>
      </c>
      <c r="K585" s="3" t="b">
        <f t="shared" si="6"/>
        <v>0</v>
      </c>
      <c r="M585" s="3" t="str">
        <f t="shared" si="7"/>
        <v>#N/A</v>
      </c>
      <c r="AU585" s="7"/>
      <c r="AV585" s="6"/>
      <c r="AW585" s="8"/>
      <c r="AX585" s="7"/>
      <c r="AY585" s="6"/>
      <c r="AZ585" s="8"/>
      <c r="BA585" s="7"/>
      <c r="BB585" s="6"/>
      <c r="BC585" s="8"/>
      <c r="BD585" s="7"/>
      <c r="BE585" s="6"/>
      <c r="BF585" s="8"/>
      <c r="BG585" s="7"/>
      <c r="BH585" s="6"/>
      <c r="BI585" s="8"/>
      <c r="BJ585" s="7"/>
      <c r="BK585" s="6"/>
      <c r="BL585" s="8"/>
      <c r="BM585" s="7"/>
      <c r="BN585" s="6"/>
      <c r="BO585" s="8"/>
      <c r="BP585" s="7"/>
      <c r="BQ585" s="6"/>
      <c r="BR585" s="8"/>
    </row>
    <row r="586">
      <c r="A586" s="6"/>
      <c r="B586" s="6" t="s">
        <v>586</v>
      </c>
      <c r="C586" s="3" t="str">
        <f t="shared" si="1"/>
        <v>_dotted teal</v>
      </c>
      <c r="D586" s="3" t="str">
        <f t="shared" si="8"/>
        <v>#N/A</v>
      </c>
      <c r="E586" s="3" t="b">
        <f t="shared" si="2"/>
        <v>0</v>
      </c>
      <c r="G586" s="3" t="str">
        <f t="shared" si="3"/>
        <v>#N/A</v>
      </c>
      <c r="H586" s="3" t="b">
        <f t="shared" si="4"/>
        <v>0</v>
      </c>
      <c r="J586" s="3" t="str">
        <f t="shared" si="5"/>
        <v>#N/A</v>
      </c>
      <c r="K586" s="3" t="b">
        <f t="shared" si="6"/>
        <v>0</v>
      </c>
      <c r="M586" s="3" t="str">
        <f t="shared" si="7"/>
        <v>#N/A</v>
      </c>
      <c r="AU586" s="7"/>
      <c r="AV586" s="6"/>
      <c r="AW586" s="8"/>
      <c r="AX586" s="7"/>
      <c r="AY586" s="6"/>
      <c r="AZ586" s="8"/>
      <c r="BA586" s="7"/>
      <c r="BB586" s="6"/>
      <c r="BC586" s="8"/>
      <c r="BD586" s="7"/>
      <c r="BE586" s="6"/>
      <c r="BF586" s="8"/>
      <c r="BG586" s="7"/>
      <c r="BH586" s="6"/>
      <c r="BI586" s="8"/>
      <c r="BJ586" s="7"/>
      <c r="BK586" s="6"/>
      <c r="BL586" s="8"/>
      <c r="BM586" s="7"/>
      <c r="BN586" s="6"/>
      <c r="BO586" s="8"/>
      <c r="BP586" s="7"/>
      <c r="BQ586" s="6"/>
      <c r="BR586" s="8"/>
    </row>
    <row r="587">
      <c r="A587" s="6"/>
      <c r="B587" s="6" t="s">
        <v>587</v>
      </c>
      <c r="C587" s="3" t="str">
        <f t="shared" si="1"/>
        <v>_posh orange</v>
      </c>
      <c r="D587" s="3" t="str">
        <f t="shared" si="8"/>
        <v>#N/A</v>
      </c>
      <c r="E587" s="3" t="b">
        <f t="shared" si="2"/>
        <v>0</v>
      </c>
      <c r="G587" s="3" t="str">
        <f t="shared" si="3"/>
        <v>#N/A</v>
      </c>
      <c r="H587" s="3" t="b">
        <f t="shared" si="4"/>
        <v>0</v>
      </c>
      <c r="J587" s="3" t="str">
        <f t="shared" si="5"/>
        <v>#N/A</v>
      </c>
      <c r="K587" s="3" t="b">
        <f t="shared" si="6"/>
        <v>0</v>
      </c>
      <c r="M587" s="3" t="str">
        <f t="shared" si="7"/>
        <v>#N/A</v>
      </c>
      <c r="AU587" s="7"/>
      <c r="AV587" s="6"/>
      <c r="AW587" s="8"/>
      <c r="AX587" s="7"/>
      <c r="AY587" s="6"/>
      <c r="AZ587" s="8"/>
      <c r="BA587" s="7"/>
      <c r="BB587" s="6"/>
      <c r="BC587" s="8"/>
      <c r="BD587" s="7"/>
      <c r="BE587" s="6"/>
      <c r="BF587" s="8"/>
      <c r="BG587" s="7"/>
      <c r="BH587" s="6"/>
      <c r="BI587" s="8"/>
      <c r="BJ587" s="7"/>
      <c r="BK587" s="6"/>
      <c r="BL587" s="8"/>
      <c r="BM587" s="7"/>
      <c r="BN587" s="6"/>
      <c r="BO587" s="8"/>
      <c r="BP587" s="7"/>
      <c r="BQ587" s="6"/>
      <c r="BR587" s="8"/>
    </row>
    <row r="588">
      <c r="A588" s="6"/>
      <c r="B588" s="6" t="s">
        <v>588</v>
      </c>
      <c r="C588" s="3" t="str">
        <f t="shared" si="1"/>
        <v>_striped bronze</v>
      </c>
      <c r="D588" s="3" t="str">
        <f t="shared" si="8"/>
        <v>#N/A</v>
      </c>
      <c r="E588" s="3" t="b">
        <f t="shared" si="2"/>
        <v>0</v>
      </c>
      <c r="G588" s="3" t="str">
        <f t="shared" si="3"/>
        <v>#N/A</v>
      </c>
      <c r="H588" s="3" t="b">
        <f t="shared" si="4"/>
        <v>0</v>
      </c>
      <c r="J588" s="3" t="str">
        <f t="shared" si="5"/>
        <v>#N/A</v>
      </c>
      <c r="K588" s="3" t="b">
        <f t="shared" si="6"/>
        <v>0</v>
      </c>
      <c r="M588" s="3" t="str">
        <f t="shared" si="7"/>
        <v>#N/A</v>
      </c>
      <c r="AU588" s="7"/>
      <c r="AV588" s="6"/>
      <c r="AW588" s="8"/>
      <c r="AX588" s="7"/>
      <c r="AY588" s="6"/>
      <c r="AZ588" s="8"/>
      <c r="BA588" s="7"/>
      <c r="BB588" s="6"/>
      <c r="BC588" s="8"/>
      <c r="BD588" s="7"/>
      <c r="BE588" s="6"/>
      <c r="BF588" s="8"/>
      <c r="BG588" s="7"/>
      <c r="BH588" s="6"/>
      <c r="BI588" s="8"/>
      <c r="BJ588" s="7"/>
      <c r="BK588" s="6"/>
      <c r="BL588" s="8"/>
      <c r="BM588" s="7"/>
      <c r="BN588" s="6"/>
      <c r="BO588" s="8"/>
      <c r="BP588" s="7"/>
      <c r="BQ588" s="6"/>
      <c r="BR588" s="8"/>
    </row>
    <row r="589">
      <c r="A589" s="6"/>
      <c r="B589" s="6" t="s">
        <v>589</v>
      </c>
      <c r="C589" s="3" t="str">
        <f t="shared" si="1"/>
        <v>_clear lime</v>
      </c>
      <c r="D589" s="3" t="str">
        <f t="shared" si="8"/>
        <v>#N/A</v>
      </c>
      <c r="E589" s="3" t="b">
        <f t="shared" si="2"/>
        <v>0</v>
      </c>
      <c r="G589" s="3" t="str">
        <f t="shared" si="3"/>
        <v>#N/A</v>
      </c>
      <c r="H589" s="3" t="b">
        <f t="shared" si="4"/>
        <v>0</v>
      </c>
      <c r="J589" s="3" t="str">
        <f t="shared" si="5"/>
        <v>#N/A</v>
      </c>
      <c r="K589" s="3" t="b">
        <f t="shared" si="6"/>
        <v>0</v>
      </c>
      <c r="M589" s="3" t="str">
        <f t="shared" si="7"/>
        <v>#N/A</v>
      </c>
      <c r="AU589" s="7"/>
      <c r="AV589" s="6"/>
      <c r="AW589" s="8"/>
      <c r="AX589" s="7"/>
      <c r="AY589" s="6"/>
      <c r="AZ589" s="8"/>
      <c r="BA589" s="7"/>
      <c r="BB589" s="6"/>
      <c r="BC589" s="8"/>
      <c r="BD589" s="7"/>
      <c r="BE589" s="6"/>
      <c r="BF589" s="8"/>
      <c r="BG589" s="7"/>
      <c r="BH589" s="6"/>
      <c r="BI589" s="8"/>
      <c r="BJ589" s="7"/>
      <c r="BK589" s="6"/>
      <c r="BL589" s="8"/>
      <c r="BM589" s="7"/>
      <c r="BN589" s="6"/>
      <c r="BO589" s="8"/>
      <c r="BP589" s="7"/>
      <c r="BQ589" s="6"/>
      <c r="BR589" s="8"/>
    </row>
    <row r="590">
      <c r="A590" s="6"/>
      <c r="B590" s="6" t="s">
        <v>590</v>
      </c>
      <c r="C590" s="3" t="str">
        <f t="shared" si="1"/>
        <v>_muted magenta</v>
      </c>
      <c r="D590" s="3" t="str">
        <f t="shared" si="8"/>
        <v>#N/A</v>
      </c>
      <c r="E590" s="3" t="b">
        <f t="shared" si="2"/>
        <v>0</v>
      </c>
      <c r="G590" s="3" t="str">
        <f t="shared" si="3"/>
        <v>#N/A</v>
      </c>
      <c r="H590" s="3" t="b">
        <f t="shared" si="4"/>
        <v>0</v>
      </c>
      <c r="J590" s="3" t="str">
        <f t="shared" si="5"/>
        <v>#N/A</v>
      </c>
      <c r="K590" s="3" t="b">
        <f t="shared" si="6"/>
        <v>0</v>
      </c>
      <c r="M590" s="3" t="str">
        <f t="shared" si="7"/>
        <v>#N/A</v>
      </c>
      <c r="AU590" s="7"/>
      <c r="AV590" s="6"/>
      <c r="AW590" s="8"/>
      <c r="AX590" s="7"/>
      <c r="AY590" s="6"/>
      <c r="AZ590" s="8"/>
      <c r="BA590" s="7"/>
      <c r="BB590" s="6"/>
      <c r="BC590" s="8"/>
      <c r="BD590" s="7"/>
      <c r="BE590" s="6"/>
      <c r="BF590" s="8"/>
      <c r="BG590" s="7"/>
      <c r="BH590" s="6"/>
      <c r="BI590" s="8"/>
      <c r="BJ590" s="7"/>
      <c r="BK590" s="6"/>
      <c r="BL590" s="8"/>
      <c r="BM590" s="7"/>
      <c r="BN590" s="6"/>
      <c r="BO590" s="8"/>
      <c r="BP590" s="7"/>
      <c r="BQ590" s="6"/>
      <c r="BR590" s="8"/>
    </row>
    <row r="591">
      <c r="A591" s="6"/>
      <c r="B591" s="6" t="s">
        <v>591</v>
      </c>
      <c r="C591" s="3" t="str">
        <f t="shared" si="1"/>
        <v>_bright chartreuse</v>
      </c>
      <c r="D591" s="3" t="str">
        <f t="shared" si="8"/>
        <v>#N/A</v>
      </c>
      <c r="E591" s="3" t="b">
        <f t="shared" si="2"/>
        <v>0</v>
      </c>
      <c r="G591" s="3" t="str">
        <f t="shared" si="3"/>
        <v>#N/A</v>
      </c>
      <c r="H591" s="3" t="b">
        <f t="shared" si="4"/>
        <v>0</v>
      </c>
      <c r="J591" s="3" t="str">
        <f t="shared" si="5"/>
        <v>#N/A</v>
      </c>
      <c r="K591" s="3" t="b">
        <f t="shared" si="6"/>
        <v>0</v>
      </c>
      <c r="M591" s="3" t="str">
        <f t="shared" si="7"/>
        <v>#N/A</v>
      </c>
      <c r="AU591" s="7"/>
      <c r="AV591" s="6"/>
      <c r="AW591" s="8"/>
      <c r="AX591" s="7"/>
      <c r="AY591" s="6"/>
      <c r="AZ591" s="8"/>
      <c r="BA591" s="7"/>
      <c r="BB591" s="6"/>
      <c r="BC591" s="8"/>
      <c r="BD591" s="7"/>
      <c r="BE591" s="6"/>
      <c r="BF591" s="8"/>
      <c r="BG591" s="7"/>
      <c r="BH591" s="6"/>
      <c r="BI591" s="8"/>
      <c r="BJ591" s="7"/>
      <c r="BK591" s="6"/>
      <c r="BL591" s="8"/>
      <c r="BM591" s="7"/>
      <c r="BN591" s="6"/>
      <c r="BO591" s="8"/>
      <c r="BP591" s="7"/>
      <c r="BQ591" s="6"/>
      <c r="BR591" s="8"/>
    </row>
    <row r="592">
      <c r="A592" s="6"/>
      <c r="B592" s="6" t="s">
        <v>592</v>
      </c>
      <c r="C592" s="3" t="str">
        <f t="shared" si="1"/>
        <v>_dim magenta</v>
      </c>
      <c r="D592" s="3" t="str">
        <f t="shared" si="8"/>
        <v>#N/A</v>
      </c>
      <c r="E592" s="3" t="b">
        <f t="shared" si="2"/>
        <v>0</v>
      </c>
      <c r="G592" s="3" t="str">
        <f t="shared" si="3"/>
        <v>#N/A</v>
      </c>
      <c r="H592" s="3" t="b">
        <f t="shared" si="4"/>
        <v>0</v>
      </c>
      <c r="J592" s="3" t="str">
        <f t="shared" si="5"/>
        <v>#N/A</v>
      </c>
      <c r="K592" s="3" t="b">
        <f t="shared" si="6"/>
        <v>0</v>
      </c>
      <c r="M592" s="3" t="str">
        <f t="shared" si="7"/>
        <v>#N/A</v>
      </c>
      <c r="AU592" s="7"/>
      <c r="AV592" s="6"/>
      <c r="AW592" s="8"/>
      <c r="AX592" s="7"/>
      <c r="AY592" s="6"/>
      <c r="AZ592" s="8"/>
      <c r="BA592" s="7"/>
      <c r="BB592" s="6"/>
      <c r="BC592" s="8"/>
      <c r="BD592" s="7"/>
      <c r="BE592" s="6"/>
      <c r="BF592" s="8"/>
      <c r="BG592" s="7"/>
      <c r="BH592" s="6"/>
      <c r="BI592" s="8"/>
      <c r="BJ592" s="7"/>
      <c r="BK592" s="6"/>
      <c r="BL592" s="8"/>
      <c r="BM592" s="7"/>
      <c r="BN592" s="6"/>
      <c r="BO592" s="8"/>
      <c r="BP592" s="7"/>
      <c r="BQ592" s="6"/>
      <c r="BR592" s="8"/>
    </row>
    <row r="593">
      <c r="A593" s="6"/>
      <c r="B593" s="6" t="s">
        <v>593</v>
      </c>
      <c r="C593" s="3" t="str">
        <f t="shared" si="1"/>
        <v>_pale cyan</v>
      </c>
      <c r="D593" s="3" t="str">
        <f t="shared" si="8"/>
        <v>#N/A</v>
      </c>
      <c r="E593" s="3" t="b">
        <f t="shared" si="2"/>
        <v>0</v>
      </c>
      <c r="G593" s="3" t="str">
        <f t="shared" si="3"/>
        <v>#N/A</v>
      </c>
      <c r="H593" s="3" t="b">
        <f t="shared" si="4"/>
        <v>0</v>
      </c>
      <c r="J593" s="3" t="str">
        <f t="shared" si="5"/>
        <v>#N/A</v>
      </c>
      <c r="K593" s="3" t="b">
        <f t="shared" si="6"/>
        <v>0</v>
      </c>
      <c r="M593" s="3" t="str">
        <f t="shared" si="7"/>
        <v>#N/A</v>
      </c>
      <c r="AU593" s="7"/>
      <c r="AV593" s="6"/>
      <c r="AW593" s="8"/>
      <c r="AX593" s="7"/>
      <c r="AY593" s="6"/>
      <c r="AZ593" s="8"/>
      <c r="BA593" s="7"/>
      <c r="BB593" s="6"/>
      <c r="BC593" s="8"/>
      <c r="BD593" s="7"/>
      <c r="BE593" s="6"/>
      <c r="BF593" s="8"/>
      <c r="BG593" s="7"/>
      <c r="BH593" s="6"/>
      <c r="BI593" s="8"/>
      <c r="BJ593" s="7"/>
      <c r="BK593" s="6"/>
      <c r="BL593" s="8"/>
      <c r="BM593" s="7"/>
      <c r="BN593" s="6"/>
      <c r="BO593" s="8"/>
      <c r="BP593" s="7"/>
      <c r="BQ593" s="6"/>
      <c r="BR593" s="8"/>
    </row>
    <row r="594">
      <c r="A594" s="6"/>
      <c r="B594" s="6" t="s">
        <v>594</v>
      </c>
      <c r="C594" s="3" t="str">
        <f t="shared" si="1"/>
        <v>_shiny white</v>
      </c>
      <c r="D594" s="3" t="str">
        <f t="shared" si="8"/>
        <v>#N/A</v>
      </c>
      <c r="E594" s="3" t="b">
        <f t="shared" si="2"/>
        <v>0</v>
      </c>
      <c r="G594" s="3" t="str">
        <f t="shared" si="3"/>
        <v>#N/A</v>
      </c>
      <c r="H594" s="3" t="b">
        <f t="shared" si="4"/>
        <v>0</v>
      </c>
      <c r="J594" s="3" t="str">
        <f t="shared" si="5"/>
        <v>#N/A</v>
      </c>
      <c r="K594" s="3" t="b">
        <f t="shared" si="6"/>
        <v>0</v>
      </c>
      <c r="M594" s="3" t="str">
        <f t="shared" si="7"/>
        <v>#N/A</v>
      </c>
      <c r="AU594" s="7"/>
      <c r="AV594" s="6"/>
      <c r="AW594" s="8"/>
      <c r="AX594" s="7"/>
      <c r="AY594" s="6"/>
      <c r="AZ594" s="8"/>
      <c r="BA594" s="7"/>
      <c r="BB594" s="6"/>
      <c r="BC594" s="8"/>
      <c r="BD594" s="7"/>
      <c r="BE594" s="6"/>
      <c r="BF594" s="8"/>
      <c r="BG594" s="7"/>
      <c r="BH594" s="6"/>
      <c r="BI594" s="8"/>
      <c r="BJ594" s="7"/>
      <c r="BK594" s="6"/>
      <c r="BL594" s="8"/>
      <c r="BM594" s="7"/>
      <c r="BN594" s="6"/>
      <c r="BO594" s="8"/>
      <c r="BP594" s="7"/>
      <c r="BQ594" s="6"/>
      <c r="BR594" s="8"/>
    </row>
    <row r="595">
      <c r="A595" s="6"/>
      <c r="B595" s="6" t="s">
        <v>595</v>
      </c>
      <c r="C595" s="3" t="str">
        <f t="shared" si="1"/>
        <v>_faded tan</v>
      </c>
      <c r="D595" s="3" t="str">
        <f t="shared" si="8"/>
        <v>#N/A</v>
      </c>
      <c r="E595" s="3" t="b">
        <f t="shared" si="2"/>
        <v>0</v>
      </c>
      <c r="G595" s="3" t="str">
        <f t="shared" si="3"/>
        <v>#N/A</v>
      </c>
      <c r="H595" s="3" t="b">
        <f t="shared" si="4"/>
        <v>0</v>
      </c>
      <c r="J595" s="3" t="str">
        <f t="shared" si="5"/>
        <v>#N/A</v>
      </c>
      <c r="K595" s="3" t="b">
        <f t="shared" si="6"/>
        <v>0</v>
      </c>
      <c r="M595" s="3" t="str">
        <f t="shared" si="7"/>
        <v>#N/A</v>
      </c>
      <c r="AU595" s="7"/>
      <c r="AV595" s="6"/>
      <c r="AW595" s="8"/>
      <c r="AX595" s="7"/>
      <c r="AY595" s="6"/>
      <c r="AZ595" s="8"/>
      <c r="BA595" s="7"/>
      <c r="BB595" s="6"/>
      <c r="BC595" s="8"/>
      <c r="BD595" s="7"/>
      <c r="BE595" s="6"/>
      <c r="BF595" s="8"/>
      <c r="BG595" s="7"/>
      <c r="BH595" s="6"/>
      <c r="BI595" s="8"/>
      <c r="BJ595" s="7"/>
      <c r="BK595" s="6"/>
      <c r="BL595" s="8"/>
      <c r="BM595" s="7"/>
      <c r="BN595" s="6"/>
      <c r="BO595" s="8"/>
      <c r="BP595" s="7"/>
      <c r="BQ595" s="6"/>
      <c r="BR595" s="8"/>
    </row>
    <row r="596">
      <c r="A596" s="6"/>
      <c r="B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>
        <v>5.0</v>
      </c>
      <c r="C1" s="2" t="s">
        <v>0</v>
      </c>
      <c r="D1" s="2" t="s">
        <v>1</v>
      </c>
      <c r="E1" s="3" t="str">
        <f>MID(F1,2,300)</f>
        <v>shiny gold</v>
      </c>
      <c r="F1" s="3" t="str">
        <f>VLOOKUP("_*",D2:D596,1,false)</f>
        <v>_shiny gold</v>
      </c>
      <c r="G1" s="3">
        <f>COUNTA(F2:F596)</f>
        <v>6</v>
      </c>
      <c r="AU1" s="6"/>
      <c r="AV1" s="6"/>
      <c r="AW1" s="1"/>
      <c r="AX1" s="6"/>
      <c r="AY1" s="6"/>
      <c r="AZ1" s="1"/>
      <c r="BA1" s="6"/>
      <c r="BB1" s="6"/>
      <c r="BC1" s="1"/>
      <c r="BD1" s="6"/>
      <c r="BE1" s="6"/>
      <c r="BF1" s="1"/>
      <c r="BG1" s="6"/>
      <c r="BH1" s="6"/>
      <c r="BI1" s="1"/>
      <c r="BJ1" s="6"/>
      <c r="BK1" s="6"/>
      <c r="BL1" s="1"/>
      <c r="BM1" s="6"/>
      <c r="BN1" s="6"/>
      <c r="BO1" s="1"/>
      <c r="BP1" s="6"/>
      <c r="BQ1" s="6"/>
      <c r="BR1" s="1"/>
    </row>
    <row r="2">
      <c r="A2" s="6"/>
      <c r="B2" s="6" t="s">
        <v>2</v>
      </c>
      <c r="C2" s="3" t="str">
        <f t="shared" ref="C2:C595" si="1">"_"&amp;LEFT(B2,SEARCH(" ",B2,SEARCH(" ",B2) + 1)-1)</f>
        <v>_faded plum</v>
      </c>
      <c r="D2" s="3" t="str">
        <f>"_shiny gold"</f>
        <v>_shiny gold</v>
      </c>
      <c r="E2" s="3" t="b">
        <f t="shared" ref="E2:E595" si="2">ISNUMBER(SEARCH(E$1,$B2,$B$1))</f>
        <v>0</v>
      </c>
      <c r="F2" s="3" t="str">
        <f>IFERROR(__xludf.DUMMYFUNCTION("FILTER($C2:$C596,E2:E596)"),"_bright teal")</f>
        <v>_bright teal</v>
      </c>
      <c r="G2" s="3" t="str">
        <f t="shared" ref="G2:G595" si="3">IF(F2="", IF(AND(ISNA(HLOOKUP(INDEX(D:D,ROW()-G$1),$A$1:G$1,1,false)),ISNA(VLOOKUP(INDEX(D:D,ROW()-G$1),$A:$A,1,false))),INDEX(D:D,ROW()-G$1),"ZZZ"), IF(AND(ISNA(HLOOKUP(F2,$A$1:G$1,1,false)),ISNA(VLOOKUP(F2,$A:$A,1,false))),F2,"ZZZ"))
</f>
        <v>_bright teal</v>
      </c>
      <c r="I2" s="3" t="str">
        <f t="shared" ref="I2:I18" si="4">MID(F2,2,300)</f>
        <v>bright teal</v>
      </c>
      <c r="K2" s="3" t="b">
        <f t="array" ref="K2">AND(ISNA(VLOOKUP("?*"&amp;{I3,I4}&amp;"*",B2:C596,1,false)))</f>
        <v>0</v>
      </c>
      <c r="AU2" s="8"/>
      <c r="AV2" s="6"/>
      <c r="AW2" s="6"/>
      <c r="AX2" s="8"/>
      <c r="AY2" s="8"/>
      <c r="AZ2" s="8"/>
      <c r="BA2" s="8"/>
      <c r="BB2" s="6"/>
      <c r="BC2" s="6"/>
      <c r="BD2" s="8"/>
      <c r="BE2" s="6"/>
      <c r="BF2" s="6"/>
      <c r="BG2" s="8"/>
      <c r="BH2" s="8"/>
      <c r="BI2" s="8"/>
      <c r="BJ2" s="8"/>
      <c r="BK2" s="6"/>
      <c r="BL2" s="6"/>
      <c r="BM2" s="8"/>
      <c r="BN2" s="6"/>
      <c r="BO2" s="6"/>
      <c r="BP2" s="8"/>
      <c r="BQ2" s="8"/>
      <c r="BR2" s="8"/>
    </row>
    <row r="3">
      <c r="A3" s="9"/>
      <c r="B3" s="6" t="s">
        <v>3</v>
      </c>
      <c r="C3" s="3" t="str">
        <f t="shared" si="1"/>
        <v>_dull aqua</v>
      </c>
      <c r="D3" s="3" t="str">
        <f t="shared" ref="D3:D595" si="5">NA()</f>
        <v>#N/A</v>
      </c>
      <c r="E3" s="3" t="b">
        <f t="shared" si="2"/>
        <v>0</v>
      </c>
      <c r="F3" s="3" t="str">
        <f>IFERROR(__xludf.DUMMYFUNCTION("""COMPUTED_VALUE"""),"_striped lime")</f>
        <v>_striped lime</v>
      </c>
      <c r="G3" s="3" t="str">
        <f t="shared" si="3"/>
        <v>_striped lime</v>
      </c>
      <c r="I3" s="3" t="str">
        <f t="shared" si="4"/>
        <v>striped lime</v>
      </c>
      <c r="AU3" s="8"/>
      <c r="AV3" s="6"/>
      <c r="AW3" s="6"/>
      <c r="AX3" s="8"/>
      <c r="AY3" s="6"/>
      <c r="AZ3" s="6"/>
      <c r="BA3" s="8"/>
      <c r="BB3" s="6"/>
      <c r="BC3" s="6"/>
      <c r="BD3" s="8"/>
      <c r="BE3" s="6"/>
      <c r="BF3" s="6"/>
      <c r="BG3" s="8"/>
      <c r="BH3" s="6"/>
      <c r="BI3" s="6"/>
      <c r="BJ3" s="8"/>
      <c r="BK3" s="6"/>
      <c r="BL3" s="6"/>
      <c r="BM3" s="8"/>
      <c r="BN3" s="6"/>
      <c r="BO3" s="6"/>
      <c r="BP3" s="8"/>
      <c r="BQ3" s="6"/>
      <c r="BR3" s="6"/>
    </row>
    <row r="4">
      <c r="A4" s="6"/>
      <c r="B4" s="6" t="s">
        <v>4</v>
      </c>
      <c r="C4" s="3" t="str">
        <f t="shared" si="1"/>
        <v>_dotted olive</v>
      </c>
      <c r="D4" s="3" t="str">
        <f t="shared" si="5"/>
        <v>#N/A</v>
      </c>
      <c r="E4" s="3" t="b">
        <f t="shared" si="2"/>
        <v>0</v>
      </c>
      <c r="F4" s="3" t="str">
        <f>IFERROR(__xludf.DUMMYFUNCTION("""COMPUTED_VALUE"""),"_dark blue")</f>
        <v>_dark blue</v>
      </c>
      <c r="G4" s="3" t="str">
        <f t="shared" si="3"/>
        <v>_dark blue</v>
      </c>
      <c r="I4" s="3" t="str">
        <f t="shared" si="4"/>
        <v>dark blue</v>
      </c>
      <c r="AU4" s="8"/>
      <c r="AV4" s="6"/>
      <c r="AW4" s="6"/>
      <c r="AX4" s="8"/>
      <c r="AY4" s="6"/>
      <c r="AZ4" s="6"/>
      <c r="BA4" s="8"/>
      <c r="BB4" s="6"/>
      <c r="BC4" s="6"/>
      <c r="BD4" s="8"/>
      <c r="BE4" s="6"/>
      <c r="BF4" s="6"/>
      <c r="BG4" s="8"/>
      <c r="BH4" s="6"/>
      <c r="BI4" s="6"/>
      <c r="BJ4" s="8"/>
      <c r="BK4" s="6"/>
      <c r="BL4" s="6"/>
      <c r="BM4" s="8"/>
      <c r="BN4" s="6"/>
      <c r="BO4" s="6"/>
      <c r="BP4" s="8"/>
      <c r="BQ4" s="6"/>
      <c r="BR4" s="6"/>
    </row>
    <row r="5">
      <c r="A5" s="6"/>
      <c r="B5" s="6" t="s">
        <v>5</v>
      </c>
      <c r="C5" s="3" t="str">
        <f t="shared" si="1"/>
        <v>_vibrant brown</v>
      </c>
      <c r="D5" s="3" t="str">
        <f t="shared" si="5"/>
        <v>#N/A</v>
      </c>
      <c r="E5" s="3" t="b">
        <f t="shared" si="2"/>
        <v>0</v>
      </c>
      <c r="F5" s="3" t="str">
        <f>IFERROR(__xludf.DUMMYFUNCTION("""COMPUTED_VALUE"""),"_drab blue")</f>
        <v>_drab blue</v>
      </c>
      <c r="G5" s="3" t="str">
        <f t="shared" si="3"/>
        <v>_drab blue</v>
      </c>
      <c r="I5" s="3" t="str">
        <f t="shared" si="4"/>
        <v>drab blue</v>
      </c>
      <c r="AU5" s="8"/>
      <c r="AV5" s="6"/>
      <c r="AW5" s="6"/>
      <c r="AX5" s="8"/>
      <c r="AY5" s="6"/>
      <c r="AZ5" s="6"/>
      <c r="BA5" s="8"/>
      <c r="BB5" s="6"/>
      <c r="BC5" s="6"/>
      <c r="BD5" s="8"/>
      <c r="BE5" s="6"/>
      <c r="BF5" s="6"/>
      <c r="BG5" s="8"/>
      <c r="BH5" s="6"/>
      <c r="BI5" s="6"/>
      <c r="BJ5" s="8"/>
      <c r="BK5" s="6"/>
      <c r="BL5" s="6"/>
      <c r="BM5" s="8"/>
      <c r="BN5" s="6"/>
      <c r="BO5" s="6"/>
      <c r="BP5" s="8"/>
      <c r="BQ5" s="6"/>
      <c r="BR5" s="6"/>
    </row>
    <row r="6">
      <c r="A6" s="6"/>
      <c r="B6" s="6" t="s">
        <v>6</v>
      </c>
      <c r="C6" s="3" t="str">
        <f t="shared" si="1"/>
        <v>_shiny black</v>
      </c>
      <c r="D6" s="3" t="str">
        <f t="shared" si="5"/>
        <v>#N/A</v>
      </c>
      <c r="E6" s="3" t="b">
        <f t="shared" si="2"/>
        <v>0</v>
      </c>
      <c r="F6" s="3" t="str">
        <f>IFERROR(__xludf.DUMMYFUNCTION("""COMPUTED_VALUE"""),"_dark purple")</f>
        <v>_dark purple</v>
      </c>
      <c r="G6" s="3" t="str">
        <f t="shared" si="3"/>
        <v>_dark purple</v>
      </c>
      <c r="I6" s="3" t="str">
        <f t="shared" si="4"/>
        <v>dark purple</v>
      </c>
      <c r="AU6" s="8"/>
      <c r="AV6" s="6"/>
      <c r="AW6" s="6"/>
      <c r="AX6" s="8"/>
      <c r="AY6" s="6"/>
      <c r="AZ6" s="6"/>
      <c r="BA6" s="8"/>
      <c r="BB6" s="6"/>
      <c r="BC6" s="6"/>
      <c r="BD6" s="8"/>
      <c r="BE6" s="6"/>
      <c r="BF6" s="6"/>
      <c r="BG6" s="8"/>
      <c r="BH6" s="6"/>
      <c r="BI6" s="6"/>
      <c r="BJ6" s="8"/>
      <c r="BK6" s="6"/>
      <c r="BL6" s="8"/>
      <c r="BM6" s="8"/>
      <c r="BN6" s="6"/>
      <c r="BO6" s="6"/>
      <c r="BP6" s="8"/>
      <c r="BQ6" s="6"/>
      <c r="BR6" s="6"/>
    </row>
    <row r="7">
      <c r="A7" s="6"/>
      <c r="B7" s="6" t="s">
        <v>7</v>
      </c>
      <c r="C7" s="3" t="str">
        <f t="shared" si="1"/>
        <v>_dull bronze</v>
      </c>
      <c r="D7" s="3" t="str">
        <f t="shared" si="5"/>
        <v>#N/A</v>
      </c>
      <c r="E7" s="3" t="b">
        <f t="shared" si="2"/>
        <v>0</v>
      </c>
      <c r="F7" s="3" t="str">
        <f>IFERROR(__xludf.DUMMYFUNCTION("""COMPUTED_VALUE"""),"_pale blue")</f>
        <v>_pale blue</v>
      </c>
      <c r="G7" s="3" t="str">
        <f t="shared" si="3"/>
        <v>_pale blue</v>
      </c>
      <c r="I7" s="3" t="str">
        <f t="shared" si="4"/>
        <v>pale blue</v>
      </c>
      <c r="AU7" s="8"/>
      <c r="AV7" s="6"/>
      <c r="AW7" s="6"/>
      <c r="AX7" s="8"/>
      <c r="AY7" s="6"/>
      <c r="AZ7" s="6"/>
      <c r="BA7" s="8"/>
      <c r="BB7" s="6"/>
      <c r="BC7" s="6"/>
      <c r="BD7" s="8"/>
      <c r="BE7" s="6"/>
      <c r="BF7" s="6"/>
      <c r="BG7" s="8"/>
      <c r="BH7" s="6"/>
      <c r="BI7" s="6"/>
      <c r="BJ7" s="8"/>
      <c r="BK7" s="6"/>
      <c r="BL7" s="6"/>
      <c r="BM7" s="8"/>
      <c r="BN7" s="6"/>
      <c r="BO7" s="8"/>
      <c r="BP7" s="8"/>
      <c r="BQ7" s="6"/>
      <c r="BR7" s="6"/>
    </row>
    <row r="8">
      <c r="A8" s="6"/>
      <c r="B8" s="6" t="s">
        <v>8</v>
      </c>
      <c r="C8" s="3" t="str">
        <f t="shared" si="1"/>
        <v>_wavy plum</v>
      </c>
      <c r="D8" s="3" t="str">
        <f t="shared" si="5"/>
        <v>#N/A</v>
      </c>
      <c r="E8" s="3" t="b">
        <f t="shared" si="2"/>
        <v>0</v>
      </c>
      <c r="G8" s="3" t="str">
        <f t="shared" si="3"/>
        <v>ZZZ</v>
      </c>
      <c r="I8" s="3" t="str">
        <f t="shared" si="4"/>
        <v/>
      </c>
      <c r="AU8" s="8"/>
      <c r="AV8" s="6"/>
      <c r="AW8" s="6"/>
      <c r="AX8" s="8"/>
      <c r="AY8" s="6"/>
      <c r="AZ8" s="6"/>
      <c r="BA8" s="8"/>
      <c r="BB8" s="6"/>
      <c r="BC8" s="6"/>
      <c r="BD8" s="8"/>
      <c r="BE8" s="6"/>
      <c r="BF8" s="6"/>
      <c r="BG8" s="8"/>
      <c r="BH8" s="6"/>
      <c r="BI8" s="6"/>
      <c r="BJ8" s="8"/>
      <c r="BK8" s="6"/>
      <c r="BL8" s="6"/>
      <c r="BM8" s="8"/>
      <c r="BN8" s="6"/>
      <c r="BO8" s="6"/>
      <c r="BP8" s="8"/>
      <c r="BQ8" s="6"/>
      <c r="BR8" s="8"/>
    </row>
    <row r="9">
      <c r="A9" s="6"/>
      <c r="B9" s="6" t="s">
        <v>9</v>
      </c>
      <c r="C9" s="3" t="str">
        <f t="shared" si="1"/>
        <v>_drab brown</v>
      </c>
      <c r="D9" s="3" t="str">
        <f t="shared" si="5"/>
        <v>#N/A</v>
      </c>
      <c r="E9" s="3" t="b">
        <f t="shared" si="2"/>
        <v>0</v>
      </c>
      <c r="G9" s="3" t="str">
        <f t="shared" si="3"/>
        <v>#N/A</v>
      </c>
      <c r="I9" s="3" t="str">
        <f t="shared" si="4"/>
        <v/>
      </c>
      <c r="AU9" s="8"/>
      <c r="AV9" s="6"/>
      <c r="AW9" s="8"/>
      <c r="AX9" s="8"/>
      <c r="AY9" s="6"/>
      <c r="AZ9" s="6"/>
      <c r="BA9" s="8"/>
      <c r="BB9" s="6"/>
      <c r="BC9" s="8"/>
      <c r="BD9" s="8"/>
      <c r="BE9" s="6"/>
      <c r="BF9" s="6"/>
      <c r="BG9" s="8"/>
      <c r="BH9" s="6"/>
      <c r="BI9" s="6"/>
      <c r="BJ9" s="8"/>
      <c r="BK9" s="6"/>
      <c r="BL9" s="6"/>
      <c r="BM9" s="8"/>
      <c r="BN9" s="6"/>
      <c r="BO9" s="6"/>
      <c r="BP9" s="8"/>
      <c r="BQ9" s="6"/>
      <c r="BR9" s="6"/>
    </row>
    <row r="10">
      <c r="A10" s="6"/>
      <c r="B10" s="6" t="s">
        <v>10</v>
      </c>
      <c r="C10" s="3" t="str">
        <f t="shared" si="1"/>
        <v>_vibrant maroon</v>
      </c>
      <c r="D10" s="3" t="str">
        <f t="shared" si="5"/>
        <v>#N/A</v>
      </c>
      <c r="E10" s="3" t="b">
        <f t="shared" si="2"/>
        <v>0</v>
      </c>
      <c r="G10" s="3" t="str">
        <f t="shared" si="3"/>
        <v>#N/A</v>
      </c>
      <c r="I10" s="3" t="str">
        <f t="shared" si="4"/>
        <v/>
      </c>
      <c r="AU10" s="8"/>
      <c r="AV10" s="6"/>
      <c r="AW10" s="8"/>
      <c r="AX10" s="8"/>
      <c r="AY10" s="6"/>
      <c r="AZ10" s="8"/>
      <c r="BA10" s="8"/>
      <c r="BB10" s="6"/>
      <c r="BC10" s="6"/>
      <c r="BD10" s="8"/>
      <c r="BE10" s="6"/>
      <c r="BF10" s="6"/>
      <c r="BG10" s="8"/>
      <c r="BH10" s="6"/>
      <c r="BI10" s="6"/>
      <c r="BJ10" s="8"/>
      <c r="BK10" s="6"/>
      <c r="BL10" s="6"/>
      <c r="BM10" s="8"/>
      <c r="BN10" s="6"/>
      <c r="BO10" s="6"/>
      <c r="BP10" s="8"/>
      <c r="BQ10" s="6"/>
      <c r="BR10" s="6"/>
    </row>
    <row r="11">
      <c r="A11" s="6"/>
      <c r="B11" s="6" t="s">
        <v>11</v>
      </c>
      <c r="C11" s="3" t="str">
        <f t="shared" si="1"/>
        <v>_posh magenta</v>
      </c>
      <c r="D11" s="3" t="str">
        <f t="shared" si="5"/>
        <v>#N/A</v>
      </c>
      <c r="E11" s="3" t="b">
        <f t="shared" si="2"/>
        <v>0</v>
      </c>
      <c r="G11" s="3" t="str">
        <f t="shared" si="3"/>
        <v>#N/A</v>
      </c>
      <c r="I11" s="3" t="str">
        <f t="shared" si="4"/>
        <v/>
      </c>
      <c r="AU11" s="8"/>
      <c r="AV11" s="6"/>
      <c r="AW11" s="8"/>
      <c r="AX11" s="8"/>
      <c r="AY11" s="6"/>
      <c r="AZ11" s="8"/>
      <c r="BA11" s="8"/>
      <c r="BB11" s="6"/>
      <c r="BC11" s="6"/>
      <c r="BD11" s="8"/>
      <c r="BE11" s="6"/>
      <c r="BF11" s="6"/>
      <c r="BG11" s="8"/>
      <c r="BH11" s="6"/>
      <c r="BI11" s="6"/>
      <c r="BJ11" s="8"/>
      <c r="BK11" s="6"/>
      <c r="BL11" s="6"/>
      <c r="BM11" s="8"/>
      <c r="BN11" s="6"/>
      <c r="BO11" s="6"/>
      <c r="BP11" s="8"/>
      <c r="BQ11" s="6"/>
      <c r="BR11" s="6"/>
    </row>
    <row r="12">
      <c r="A12" s="6"/>
      <c r="B12" s="6" t="s">
        <v>12</v>
      </c>
      <c r="C12" s="3" t="str">
        <f t="shared" si="1"/>
        <v>_dull brown</v>
      </c>
      <c r="D12" s="3" t="str">
        <f t="shared" si="5"/>
        <v>#N/A</v>
      </c>
      <c r="E12" s="3" t="b">
        <f t="shared" si="2"/>
        <v>0</v>
      </c>
      <c r="G12" s="3" t="str">
        <f t="shared" si="3"/>
        <v>#N/A</v>
      </c>
      <c r="I12" s="3" t="str">
        <f t="shared" si="4"/>
        <v/>
      </c>
      <c r="AU12" s="8"/>
      <c r="AV12" s="6"/>
      <c r="AW12" s="8"/>
      <c r="AX12" s="8"/>
      <c r="AY12" s="6"/>
      <c r="AZ12" s="8"/>
      <c r="BA12" s="8"/>
      <c r="BB12" s="6"/>
      <c r="BC12" s="6"/>
      <c r="BD12" s="8"/>
      <c r="BE12" s="6"/>
      <c r="BF12" s="6"/>
      <c r="BG12" s="8"/>
      <c r="BH12" s="6"/>
      <c r="BI12" s="6"/>
      <c r="BJ12" s="8"/>
      <c r="BK12" s="6"/>
      <c r="BL12" s="6"/>
      <c r="BM12" s="8"/>
      <c r="BN12" s="6"/>
      <c r="BO12" s="6"/>
      <c r="BP12" s="8"/>
      <c r="BQ12" s="6"/>
      <c r="BR12" s="6"/>
    </row>
    <row r="13">
      <c r="A13" s="6"/>
      <c r="B13" s="6" t="s">
        <v>13</v>
      </c>
      <c r="C13" s="3" t="str">
        <f t="shared" si="1"/>
        <v>_pale gray</v>
      </c>
      <c r="D13" s="3" t="str">
        <f t="shared" si="5"/>
        <v>#N/A</v>
      </c>
      <c r="E13" s="3" t="b">
        <f t="shared" si="2"/>
        <v>0</v>
      </c>
      <c r="G13" s="3" t="str">
        <f t="shared" si="3"/>
        <v>#N/A</v>
      </c>
      <c r="I13" s="3" t="str">
        <f t="shared" si="4"/>
        <v/>
      </c>
      <c r="AU13" s="8"/>
      <c r="AV13" s="6"/>
      <c r="AW13" s="8"/>
      <c r="AX13" s="8"/>
      <c r="AY13" s="6"/>
      <c r="AZ13" s="8"/>
      <c r="BA13" s="8"/>
      <c r="BB13" s="6"/>
      <c r="BC13" s="6"/>
      <c r="BD13" s="8"/>
      <c r="BE13" s="6"/>
      <c r="BF13" s="6"/>
      <c r="BG13" s="8"/>
      <c r="BH13" s="6"/>
      <c r="BI13" s="6"/>
      <c r="BJ13" s="8"/>
      <c r="BK13" s="6"/>
      <c r="BL13" s="6"/>
      <c r="BM13" s="8"/>
      <c r="BN13" s="6"/>
      <c r="BO13" s="6"/>
      <c r="BP13" s="8"/>
      <c r="BQ13" s="6"/>
      <c r="BR13" s="6"/>
    </row>
    <row r="14">
      <c r="A14" s="6"/>
      <c r="B14" s="6" t="s">
        <v>14</v>
      </c>
      <c r="C14" s="3" t="str">
        <f t="shared" si="1"/>
        <v>_plaid turquoise</v>
      </c>
      <c r="D14" s="3" t="str">
        <f t="shared" si="5"/>
        <v>#N/A</v>
      </c>
      <c r="E14" s="3" t="b">
        <f t="shared" si="2"/>
        <v>0</v>
      </c>
      <c r="G14" s="3" t="str">
        <f t="shared" si="3"/>
        <v>#N/A</v>
      </c>
      <c r="I14" s="3" t="str">
        <f t="shared" si="4"/>
        <v/>
      </c>
      <c r="AU14" s="8"/>
      <c r="AV14" s="6"/>
      <c r="AW14" s="8"/>
      <c r="AX14" s="8"/>
      <c r="AY14" s="6"/>
      <c r="AZ14" s="8"/>
      <c r="BA14" s="8"/>
      <c r="BB14" s="6"/>
      <c r="BC14" s="6"/>
      <c r="BD14" s="8"/>
      <c r="BE14" s="6"/>
      <c r="BF14" s="6"/>
      <c r="BG14" s="8"/>
      <c r="BH14" s="6"/>
      <c r="BI14" s="6"/>
      <c r="BJ14" s="8"/>
      <c r="BK14" s="6"/>
      <c r="BL14" s="6"/>
      <c r="BM14" s="8"/>
      <c r="BN14" s="6"/>
      <c r="BO14" s="6"/>
      <c r="BP14" s="8"/>
      <c r="BQ14" s="6"/>
      <c r="BR14" s="6"/>
    </row>
    <row r="15">
      <c r="A15" s="6"/>
      <c r="B15" s="6" t="s">
        <v>15</v>
      </c>
      <c r="C15" s="3" t="str">
        <f t="shared" si="1"/>
        <v>_dotted silver</v>
      </c>
      <c r="D15" s="3" t="str">
        <f t="shared" si="5"/>
        <v>#N/A</v>
      </c>
      <c r="E15" s="3" t="b">
        <f t="shared" si="2"/>
        <v>0</v>
      </c>
      <c r="G15" s="3" t="str">
        <f t="shared" si="3"/>
        <v>#N/A</v>
      </c>
      <c r="I15" s="3" t="str">
        <f t="shared" si="4"/>
        <v/>
      </c>
      <c r="AU15" s="8"/>
      <c r="AV15" s="6"/>
      <c r="AW15" s="8"/>
      <c r="AX15" s="8"/>
      <c r="AY15" s="6"/>
      <c r="AZ15" s="8"/>
      <c r="BA15" s="8"/>
      <c r="BB15" s="6"/>
      <c r="BC15" s="6"/>
      <c r="BD15" s="8"/>
      <c r="BE15" s="6"/>
      <c r="BF15" s="6"/>
      <c r="BG15" s="8"/>
      <c r="BH15" s="6"/>
      <c r="BI15" s="6"/>
      <c r="BJ15" s="8"/>
      <c r="BK15" s="6"/>
      <c r="BL15" s="6"/>
      <c r="BM15" s="8"/>
      <c r="BN15" s="6"/>
      <c r="BO15" s="6"/>
      <c r="BP15" s="8"/>
      <c r="BQ15" s="6"/>
      <c r="BR15" s="6"/>
    </row>
    <row r="16">
      <c r="A16" s="6"/>
      <c r="B16" s="6" t="s">
        <v>16</v>
      </c>
      <c r="C16" s="3" t="str">
        <f t="shared" si="1"/>
        <v>_light red</v>
      </c>
      <c r="D16" s="3" t="str">
        <f t="shared" si="5"/>
        <v>#N/A</v>
      </c>
      <c r="E16" s="3" t="b">
        <f t="shared" si="2"/>
        <v>0</v>
      </c>
      <c r="G16" s="3" t="str">
        <f t="shared" si="3"/>
        <v>#N/A</v>
      </c>
      <c r="I16" s="3" t="str">
        <f t="shared" si="4"/>
        <v/>
      </c>
      <c r="AU16" s="8"/>
      <c r="AV16" s="6"/>
      <c r="AW16" s="8"/>
      <c r="AX16" s="8"/>
      <c r="AY16" s="6"/>
      <c r="AZ16" s="8"/>
      <c r="BA16" s="8"/>
      <c r="BB16" s="6"/>
      <c r="BC16" s="6"/>
      <c r="BD16" s="8"/>
      <c r="BE16" s="6"/>
      <c r="BF16" s="8"/>
      <c r="BG16" s="8"/>
      <c r="BH16" s="6"/>
      <c r="BI16" s="6"/>
      <c r="BJ16" s="8"/>
      <c r="BK16" s="6"/>
      <c r="BL16" s="6"/>
      <c r="BM16" s="8"/>
      <c r="BN16" s="6"/>
      <c r="BO16" s="6"/>
      <c r="BP16" s="8"/>
      <c r="BQ16" s="6"/>
      <c r="BR16" s="6"/>
    </row>
    <row r="17">
      <c r="A17" s="6"/>
      <c r="B17" s="6" t="s">
        <v>17</v>
      </c>
      <c r="C17" s="3" t="str">
        <f t="shared" si="1"/>
        <v>_shiny brown</v>
      </c>
      <c r="D17" s="3" t="str">
        <f t="shared" si="5"/>
        <v>#N/A</v>
      </c>
      <c r="E17" s="3" t="b">
        <f t="shared" si="2"/>
        <v>0</v>
      </c>
      <c r="G17" s="3" t="str">
        <f t="shared" si="3"/>
        <v>#N/A</v>
      </c>
      <c r="I17" s="3" t="str">
        <f t="shared" si="4"/>
        <v/>
      </c>
      <c r="AU17" s="8"/>
      <c r="AV17" s="6"/>
      <c r="AW17" s="8"/>
      <c r="AX17" s="8"/>
      <c r="AY17" s="6"/>
      <c r="AZ17" s="8"/>
      <c r="BA17" s="8"/>
      <c r="BB17" s="6"/>
      <c r="BC17" s="8"/>
      <c r="BD17" s="8"/>
      <c r="BE17" s="6"/>
      <c r="BF17" s="6"/>
      <c r="BG17" s="8"/>
      <c r="BH17" s="6"/>
      <c r="BI17" s="8"/>
      <c r="BJ17" s="8"/>
      <c r="BK17" s="6"/>
      <c r="BL17" s="6"/>
      <c r="BM17" s="8"/>
      <c r="BN17" s="6"/>
      <c r="BO17" s="6"/>
      <c r="BP17" s="8"/>
      <c r="BQ17" s="6"/>
      <c r="BR17" s="6"/>
    </row>
    <row r="18">
      <c r="A18" s="6"/>
      <c r="B18" s="6" t="s">
        <v>18</v>
      </c>
      <c r="C18" s="3" t="str">
        <f t="shared" si="1"/>
        <v>_plaid plum</v>
      </c>
      <c r="D18" s="3" t="str">
        <f t="shared" si="5"/>
        <v>#N/A</v>
      </c>
      <c r="E18" s="3" t="b">
        <f t="shared" si="2"/>
        <v>0</v>
      </c>
      <c r="G18" s="3" t="str">
        <f t="shared" si="3"/>
        <v>#N/A</v>
      </c>
      <c r="I18" s="3" t="str">
        <f t="shared" si="4"/>
        <v/>
      </c>
      <c r="AU18" s="8"/>
      <c r="AV18" s="6"/>
      <c r="AW18" s="8"/>
      <c r="AX18" s="8"/>
      <c r="AY18" s="6"/>
      <c r="AZ18" s="8"/>
      <c r="BA18" s="8"/>
      <c r="BB18" s="6"/>
      <c r="BC18" s="8"/>
      <c r="BD18" s="8"/>
      <c r="BE18" s="6"/>
      <c r="BF18" s="6"/>
      <c r="BG18" s="8"/>
      <c r="BH18" s="6"/>
      <c r="BI18" s="6"/>
      <c r="BJ18" s="8"/>
      <c r="BK18" s="6"/>
      <c r="BL18" s="6"/>
      <c r="BM18" s="8"/>
      <c r="BN18" s="6"/>
      <c r="BO18" s="6"/>
      <c r="BP18" s="8"/>
      <c r="BQ18" s="6"/>
      <c r="BR18" s="6"/>
    </row>
    <row r="19">
      <c r="A19" s="6"/>
      <c r="B19" s="6" t="s">
        <v>19</v>
      </c>
      <c r="C19" s="3" t="str">
        <f t="shared" si="1"/>
        <v>_vibrant lavender</v>
      </c>
      <c r="D19" s="3" t="str">
        <f t="shared" si="5"/>
        <v>#N/A</v>
      </c>
      <c r="E19" s="3" t="b">
        <f t="shared" si="2"/>
        <v>0</v>
      </c>
      <c r="G19" s="3" t="str">
        <f t="shared" si="3"/>
        <v>#N/A</v>
      </c>
      <c r="AU19" s="8"/>
      <c r="AV19" s="6"/>
      <c r="AW19" s="8"/>
      <c r="AX19" s="8"/>
      <c r="AY19" s="6"/>
      <c r="AZ19" s="8"/>
      <c r="BA19" s="8"/>
      <c r="BB19" s="6"/>
      <c r="BC19" s="8"/>
      <c r="BD19" s="8"/>
      <c r="BE19" s="6"/>
      <c r="BF19" s="6"/>
      <c r="BG19" s="8"/>
      <c r="BH19" s="6"/>
      <c r="BI19" s="6"/>
      <c r="BJ19" s="8"/>
      <c r="BK19" s="6"/>
      <c r="BL19" s="6"/>
      <c r="BM19" s="8"/>
      <c r="BN19" s="6"/>
      <c r="BO19" s="6"/>
      <c r="BP19" s="8"/>
      <c r="BQ19" s="6"/>
      <c r="BR19" s="6"/>
    </row>
    <row r="20">
      <c r="A20" s="6"/>
      <c r="B20" s="6" t="s">
        <v>20</v>
      </c>
      <c r="C20" s="3" t="str">
        <f t="shared" si="1"/>
        <v>_muted yellow</v>
      </c>
      <c r="D20" s="3" t="str">
        <f t="shared" si="5"/>
        <v>#N/A</v>
      </c>
      <c r="E20" s="3" t="b">
        <f t="shared" si="2"/>
        <v>0</v>
      </c>
      <c r="G20" s="3" t="str">
        <f t="shared" si="3"/>
        <v>#N/A</v>
      </c>
      <c r="AU20" s="8"/>
      <c r="AV20" s="6"/>
      <c r="AW20" s="8"/>
      <c r="AX20" s="8"/>
      <c r="AY20" s="6"/>
      <c r="AZ20" s="8"/>
      <c r="BA20" s="8"/>
      <c r="BB20" s="6"/>
      <c r="BC20" s="8"/>
      <c r="BD20" s="8"/>
      <c r="BE20" s="6"/>
      <c r="BF20" s="6"/>
      <c r="BG20" s="8"/>
      <c r="BH20" s="6"/>
      <c r="BI20" s="6"/>
      <c r="BJ20" s="8"/>
      <c r="BK20" s="6"/>
      <c r="BL20" s="6"/>
      <c r="BM20" s="8"/>
      <c r="BN20" s="6"/>
      <c r="BO20" s="6"/>
      <c r="BP20" s="8"/>
      <c r="BQ20" s="6"/>
      <c r="BR20" s="6"/>
    </row>
    <row r="21">
      <c r="A21" s="6"/>
      <c r="B21" s="6" t="s">
        <v>21</v>
      </c>
      <c r="C21" s="3" t="str">
        <f t="shared" si="1"/>
        <v>_light beige</v>
      </c>
      <c r="D21" s="3" t="str">
        <f t="shared" si="5"/>
        <v>#N/A</v>
      </c>
      <c r="E21" s="3" t="b">
        <f t="shared" si="2"/>
        <v>0</v>
      </c>
      <c r="G21" s="3" t="str">
        <f t="shared" si="3"/>
        <v>#N/A</v>
      </c>
      <c r="AU21" s="8"/>
      <c r="AV21" s="6"/>
      <c r="AW21" s="8"/>
      <c r="AX21" s="8"/>
      <c r="AY21" s="6"/>
      <c r="AZ21" s="8"/>
      <c r="BA21" s="8"/>
      <c r="BB21" s="6"/>
      <c r="BC21" s="8"/>
      <c r="BD21" s="8"/>
      <c r="BE21" s="6"/>
      <c r="BF21" s="6"/>
      <c r="BG21" s="8"/>
      <c r="BH21" s="6"/>
      <c r="BI21" s="6"/>
      <c r="BJ21" s="8"/>
      <c r="BK21" s="6"/>
      <c r="BL21" s="8"/>
      <c r="BM21" s="8"/>
      <c r="BN21" s="6"/>
      <c r="BO21" s="6"/>
      <c r="BP21" s="8"/>
      <c r="BQ21" s="6"/>
      <c r="BR21" s="6"/>
    </row>
    <row r="22">
      <c r="A22" s="6"/>
      <c r="B22" s="6" t="s">
        <v>22</v>
      </c>
      <c r="C22" s="3" t="str">
        <f t="shared" si="1"/>
        <v>_muted indigo</v>
      </c>
      <c r="D22" s="3" t="str">
        <f t="shared" si="5"/>
        <v>#N/A</v>
      </c>
      <c r="E22" s="3" t="b">
        <f t="shared" si="2"/>
        <v>0</v>
      </c>
      <c r="G22" s="3" t="str">
        <f t="shared" si="3"/>
        <v>#N/A</v>
      </c>
      <c r="AU22" s="8"/>
      <c r="AV22" s="6"/>
      <c r="AW22" s="8"/>
      <c r="AX22" s="8"/>
      <c r="AY22" s="6"/>
      <c r="AZ22" s="8"/>
      <c r="BA22" s="8"/>
      <c r="BB22" s="6"/>
      <c r="BC22" s="8"/>
      <c r="BD22" s="8"/>
      <c r="BE22" s="6"/>
      <c r="BF22" s="6"/>
      <c r="BG22" s="8"/>
      <c r="BH22" s="6"/>
      <c r="BI22" s="6"/>
      <c r="BJ22" s="8"/>
      <c r="BK22" s="6"/>
      <c r="BL22" s="6"/>
      <c r="BM22" s="8"/>
      <c r="BN22" s="6"/>
      <c r="BO22" s="8"/>
      <c r="BP22" s="8"/>
      <c r="BQ22" s="6"/>
      <c r="BR22" s="6"/>
    </row>
    <row r="23">
      <c r="A23" s="6"/>
      <c r="B23" s="6" t="s">
        <v>23</v>
      </c>
      <c r="C23" s="3" t="str">
        <f t="shared" si="1"/>
        <v>_dim bronze</v>
      </c>
      <c r="D23" s="3" t="str">
        <f t="shared" si="5"/>
        <v>#N/A</v>
      </c>
      <c r="E23" s="3" t="b">
        <f t="shared" si="2"/>
        <v>0</v>
      </c>
      <c r="G23" s="3" t="str">
        <f t="shared" si="3"/>
        <v>#N/A</v>
      </c>
      <c r="AU23" s="8"/>
      <c r="AV23" s="6"/>
      <c r="AW23" s="8"/>
      <c r="AX23" s="8"/>
      <c r="AY23" s="6"/>
      <c r="AZ23" s="8"/>
      <c r="BA23" s="8"/>
      <c r="BB23" s="6"/>
      <c r="BC23" s="8"/>
      <c r="BD23" s="8"/>
      <c r="BE23" s="6"/>
      <c r="BF23" s="6"/>
      <c r="BG23" s="8"/>
      <c r="BH23" s="6"/>
      <c r="BI23" s="6"/>
      <c r="BJ23" s="8"/>
      <c r="BK23" s="6"/>
      <c r="BL23" s="6"/>
      <c r="BM23" s="8"/>
      <c r="BN23" s="6"/>
      <c r="BO23" s="6"/>
      <c r="BP23" s="8"/>
      <c r="BQ23" s="6"/>
      <c r="BR23" s="8"/>
    </row>
    <row r="24">
      <c r="A24" s="6"/>
      <c r="B24" s="6" t="s">
        <v>24</v>
      </c>
      <c r="C24" s="3" t="str">
        <f t="shared" si="1"/>
        <v>_shiny teal</v>
      </c>
      <c r="D24" s="3" t="str">
        <f t="shared" si="5"/>
        <v>#N/A</v>
      </c>
      <c r="E24" s="3" t="b">
        <f t="shared" si="2"/>
        <v>0</v>
      </c>
      <c r="G24" s="3" t="str">
        <f t="shared" si="3"/>
        <v>#N/A</v>
      </c>
      <c r="AU24" s="8"/>
      <c r="AV24" s="6"/>
      <c r="AW24" s="8"/>
      <c r="AX24" s="8"/>
      <c r="AY24" s="6"/>
      <c r="AZ24" s="8"/>
      <c r="BA24" s="8"/>
      <c r="BB24" s="6"/>
      <c r="BC24" s="8"/>
      <c r="BD24" s="8"/>
      <c r="BE24" s="6"/>
      <c r="BF24" s="8"/>
      <c r="BG24" s="8"/>
      <c r="BH24" s="6"/>
      <c r="BI24" s="6"/>
      <c r="BJ24" s="8"/>
      <c r="BK24" s="6"/>
      <c r="BL24" s="6"/>
      <c r="BM24" s="8"/>
      <c r="BN24" s="6"/>
      <c r="BO24" s="6"/>
      <c r="BP24" s="8"/>
      <c r="BQ24" s="6"/>
      <c r="BR24" s="6"/>
    </row>
    <row r="25">
      <c r="A25" s="6"/>
      <c r="B25" s="6" t="s">
        <v>25</v>
      </c>
      <c r="C25" s="3" t="str">
        <f t="shared" si="1"/>
        <v>_pale aqua</v>
      </c>
      <c r="D25" s="3" t="str">
        <f t="shared" si="5"/>
        <v>#N/A</v>
      </c>
      <c r="E25" s="3" t="b">
        <f t="shared" si="2"/>
        <v>0</v>
      </c>
      <c r="G25" s="3" t="str">
        <f t="shared" si="3"/>
        <v>#N/A</v>
      </c>
      <c r="AU25" s="8"/>
      <c r="AV25" s="6"/>
      <c r="AW25" s="8"/>
      <c r="AX25" s="8"/>
      <c r="AY25" s="6"/>
      <c r="AZ25" s="8"/>
      <c r="BA25" s="8"/>
      <c r="BB25" s="6"/>
      <c r="BC25" s="8"/>
      <c r="BD25" s="8"/>
      <c r="BE25" s="6"/>
      <c r="BF25" s="8"/>
      <c r="BG25" s="8"/>
      <c r="BH25" s="6"/>
      <c r="BI25" s="8"/>
      <c r="BJ25" s="8"/>
      <c r="BK25" s="6"/>
      <c r="BL25" s="6"/>
      <c r="BM25" s="8"/>
      <c r="BN25" s="6"/>
      <c r="BO25" s="6"/>
      <c r="BP25" s="8"/>
      <c r="BQ25" s="6"/>
      <c r="BR25" s="6"/>
    </row>
    <row r="26">
      <c r="A26" s="6"/>
      <c r="B26" s="6" t="s">
        <v>26</v>
      </c>
      <c r="C26" s="3" t="str">
        <f t="shared" si="1"/>
        <v>_plaid violet</v>
      </c>
      <c r="D26" s="3" t="str">
        <f t="shared" si="5"/>
        <v>#N/A</v>
      </c>
      <c r="E26" s="3" t="b">
        <f t="shared" si="2"/>
        <v>0</v>
      </c>
      <c r="G26" s="3" t="str">
        <f t="shared" si="3"/>
        <v>#N/A</v>
      </c>
      <c r="AU26" s="8"/>
      <c r="AV26" s="6"/>
      <c r="AW26" s="8"/>
      <c r="AX26" s="8"/>
      <c r="AY26" s="6"/>
      <c r="AZ26" s="8"/>
      <c r="BA26" s="8"/>
      <c r="BB26" s="6"/>
      <c r="BC26" s="8"/>
      <c r="BD26" s="8"/>
      <c r="BE26" s="6"/>
      <c r="BF26" s="8"/>
      <c r="BG26" s="8"/>
      <c r="BH26" s="6"/>
      <c r="BI26" s="8"/>
      <c r="BJ26" s="8"/>
      <c r="BK26" s="6"/>
      <c r="BL26" s="6"/>
      <c r="BM26" s="8"/>
      <c r="BN26" s="6"/>
      <c r="BO26" s="6"/>
      <c r="BP26" s="8"/>
      <c r="BQ26" s="6"/>
      <c r="BR26" s="6"/>
    </row>
    <row r="27">
      <c r="A27" s="6"/>
      <c r="B27" s="6" t="s">
        <v>27</v>
      </c>
      <c r="C27" s="3" t="str">
        <f t="shared" si="1"/>
        <v>_dotted maroon</v>
      </c>
      <c r="D27" s="3" t="str">
        <f t="shared" si="5"/>
        <v>#N/A</v>
      </c>
      <c r="E27" s="3" t="b">
        <f t="shared" si="2"/>
        <v>0</v>
      </c>
      <c r="G27" s="3" t="str">
        <f t="shared" si="3"/>
        <v>#N/A</v>
      </c>
      <c r="AU27" s="8"/>
      <c r="AV27" s="6"/>
      <c r="AW27" s="8"/>
      <c r="AX27" s="8"/>
      <c r="AY27" s="6"/>
      <c r="AZ27" s="8"/>
      <c r="BA27" s="8"/>
      <c r="BB27" s="6"/>
      <c r="BC27" s="8"/>
      <c r="BD27" s="8"/>
      <c r="BE27" s="6"/>
      <c r="BF27" s="8"/>
      <c r="BG27" s="8"/>
      <c r="BH27" s="6"/>
      <c r="BI27" s="8"/>
      <c r="BJ27" s="8"/>
      <c r="BK27" s="6"/>
      <c r="BL27" s="6"/>
      <c r="BM27" s="8"/>
      <c r="BN27" s="6"/>
      <c r="BO27" s="6"/>
      <c r="BP27" s="8"/>
      <c r="BQ27" s="6"/>
      <c r="BR27" s="6"/>
    </row>
    <row r="28">
      <c r="A28" s="6"/>
      <c r="B28" s="6" t="s">
        <v>28</v>
      </c>
      <c r="C28" s="3" t="str">
        <f t="shared" si="1"/>
        <v>_dim chartreuse</v>
      </c>
      <c r="D28" s="3" t="str">
        <f t="shared" si="5"/>
        <v>#N/A</v>
      </c>
      <c r="E28" s="3" t="b">
        <f t="shared" si="2"/>
        <v>0</v>
      </c>
      <c r="G28" s="3" t="str">
        <f t="shared" si="3"/>
        <v>#N/A</v>
      </c>
      <c r="AU28" s="8"/>
      <c r="AV28" s="6"/>
      <c r="AW28" s="8"/>
      <c r="AX28" s="8"/>
      <c r="AY28" s="6"/>
      <c r="AZ28" s="8"/>
      <c r="BA28" s="8"/>
      <c r="BB28" s="6"/>
      <c r="BC28" s="8"/>
      <c r="BD28" s="8"/>
      <c r="BE28" s="6"/>
      <c r="BF28" s="8"/>
      <c r="BG28" s="8"/>
      <c r="BH28" s="6"/>
      <c r="BI28" s="8"/>
      <c r="BJ28" s="8"/>
      <c r="BK28" s="6"/>
      <c r="BL28" s="6"/>
      <c r="BM28" s="8"/>
      <c r="BN28" s="6"/>
      <c r="BO28" s="6"/>
      <c r="BP28" s="8"/>
      <c r="BQ28" s="6"/>
      <c r="BR28" s="6"/>
    </row>
    <row r="29">
      <c r="A29" s="6"/>
      <c r="B29" s="6" t="s">
        <v>29</v>
      </c>
      <c r="C29" s="3" t="str">
        <f t="shared" si="1"/>
        <v>_plaid gold</v>
      </c>
      <c r="D29" s="3" t="str">
        <f t="shared" si="5"/>
        <v>#N/A</v>
      </c>
      <c r="E29" s="3" t="b">
        <f t="shared" si="2"/>
        <v>0</v>
      </c>
      <c r="G29" s="3" t="str">
        <f t="shared" si="3"/>
        <v>#N/A</v>
      </c>
      <c r="AU29" s="8"/>
      <c r="AV29" s="6"/>
      <c r="AW29" s="8"/>
      <c r="AX29" s="8"/>
      <c r="AY29" s="6"/>
      <c r="AZ29" s="8"/>
      <c r="BA29" s="8"/>
      <c r="BB29" s="6"/>
      <c r="BC29" s="8"/>
      <c r="BD29" s="8"/>
      <c r="BE29" s="6"/>
      <c r="BF29" s="8"/>
      <c r="BG29" s="8"/>
      <c r="BH29" s="6"/>
      <c r="BI29" s="8"/>
      <c r="BJ29" s="8"/>
      <c r="BK29" s="6"/>
      <c r="BL29" s="8"/>
      <c r="BM29" s="8"/>
      <c r="BN29" s="6"/>
      <c r="BO29" s="6"/>
      <c r="BP29" s="8"/>
      <c r="BQ29" s="6"/>
      <c r="BR29" s="6"/>
    </row>
    <row r="30">
      <c r="A30" s="6"/>
      <c r="B30" s="6" t="s">
        <v>30</v>
      </c>
      <c r="C30" s="3" t="str">
        <f t="shared" si="1"/>
        <v>_faded tomato</v>
      </c>
      <c r="D30" s="3" t="str">
        <f t="shared" si="5"/>
        <v>#N/A</v>
      </c>
      <c r="E30" s="3" t="b">
        <f t="shared" si="2"/>
        <v>0</v>
      </c>
      <c r="G30" s="3" t="str">
        <f t="shared" si="3"/>
        <v>#N/A</v>
      </c>
      <c r="AU30" s="8"/>
      <c r="AV30" s="6"/>
      <c r="AW30" s="8"/>
      <c r="AX30" s="8"/>
      <c r="AY30" s="6"/>
      <c r="AZ30" s="8"/>
      <c r="BA30" s="8"/>
      <c r="BB30" s="6"/>
      <c r="BC30" s="8"/>
      <c r="BD30" s="8"/>
      <c r="BE30" s="6"/>
      <c r="BF30" s="8"/>
      <c r="BG30" s="8"/>
      <c r="BH30" s="6"/>
      <c r="BI30" s="8"/>
      <c r="BJ30" s="8"/>
      <c r="BK30" s="6"/>
      <c r="BL30" s="8"/>
      <c r="BM30" s="8"/>
      <c r="BN30" s="6"/>
      <c r="BO30" s="8"/>
      <c r="BP30" s="8"/>
      <c r="BQ30" s="6"/>
      <c r="BR30" s="6"/>
    </row>
    <row r="31">
      <c r="A31" s="6"/>
      <c r="B31" s="6" t="s">
        <v>31</v>
      </c>
      <c r="C31" s="3" t="str">
        <f t="shared" si="1"/>
        <v>_posh plum</v>
      </c>
      <c r="D31" s="3" t="str">
        <f t="shared" si="5"/>
        <v>#N/A</v>
      </c>
      <c r="E31" s="3" t="b">
        <f t="shared" si="2"/>
        <v>0</v>
      </c>
      <c r="G31" s="3" t="str">
        <f t="shared" si="3"/>
        <v>#N/A</v>
      </c>
      <c r="AU31" s="8"/>
      <c r="AV31" s="6"/>
      <c r="AW31" s="8"/>
      <c r="AX31" s="8"/>
      <c r="AY31" s="6"/>
      <c r="AZ31" s="8"/>
      <c r="BA31" s="8"/>
      <c r="BB31" s="6"/>
      <c r="BC31" s="8"/>
      <c r="BD31" s="8"/>
      <c r="BE31" s="6"/>
      <c r="BF31" s="8"/>
      <c r="BG31" s="8"/>
      <c r="BH31" s="6"/>
      <c r="BI31" s="8"/>
      <c r="BJ31" s="8"/>
      <c r="BK31" s="6"/>
      <c r="BL31" s="8"/>
      <c r="BM31" s="8"/>
      <c r="BN31" s="6"/>
      <c r="BO31" s="8"/>
      <c r="BP31" s="8"/>
      <c r="BQ31" s="6"/>
      <c r="BR31" s="8"/>
    </row>
    <row r="32">
      <c r="A32" s="6"/>
      <c r="B32" s="6" t="s">
        <v>32</v>
      </c>
      <c r="C32" s="3" t="str">
        <f t="shared" si="1"/>
        <v>_drab bronze</v>
      </c>
      <c r="D32" s="3" t="str">
        <f t="shared" si="5"/>
        <v>#N/A</v>
      </c>
      <c r="E32" s="3" t="b">
        <f t="shared" si="2"/>
        <v>0</v>
      </c>
      <c r="G32" s="3" t="str">
        <f t="shared" si="3"/>
        <v>#N/A</v>
      </c>
      <c r="AU32" s="8"/>
      <c r="AV32" s="6"/>
      <c r="AW32" s="8"/>
      <c r="AX32" s="8"/>
      <c r="AY32" s="6"/>
      <c r="AZ32" s="8"/>
      <c r="BA32" s="8"/>
      <c r="BB32" s="6"/>
      <c r="BC32" s="8"/>
      <c r="BD32" s="8"/>
      <c r="BE32" s="6"/>
      <c r="BF32" s="8"/>
      <c r="BG32" s="8"/>
      <c r="BH32" s="6"/>
      <c r="BI32" s="8"/>
      <c r="BJ32" s="8"/>
      <c r="BK32" s="6"/>
      <c r="BL32" s="8"/>
      <c r="BM32" s="8"/>
      <c r="BN32" s="6"/>
      <c r="BO32" s="8"/>
      <c r="BP32" s="8"/>
      <c r="BQ32" s="6"/>
      <c r="BR32" s="8"/>
    </row>
    <row r="33">
      <c r="A33" s="6"/>
      <c r="B33" s="6" t="s">
        <v>33</v>
      </c>
      <c r="C33" s="3" t="str">
        <f t="shared" si="1"/>
        <v>_muted blue</v>
      </c>
      <c r="D33" s="3" t="str">
        <f t="shared" si="5"/>
        <v>#N/A</v>
      </c>
      <c r="E33" s="3" t="b">
        <f t="shared" si="2"/>
        <v>0</v>
      </c>
      <c r="G33" s="3" t="str">
        <f t="shared" si="3"/>
        <v>#N/A</v>
      </c>
      <c r="AU33" s="8"/>
      <c r="AV33" s="6"/>
      <c r="AW33" s="8"/>
      <c r="AX33" s="8"/>
      <c r="AY33" s="6"/>
      <c r="AZ33" s="8"/>
      <c r="BA33" s="8"/>
      <c r="BB33" s="6"/>
      <c r="BC33" s="8"/>
      <c r="BD33" s="8"/>
      <c r="BE33" s="6"/>
      <c r="BF33" s="8"/>
      <c r="BG33" s="8"/>
      <c r="BH33" s="6"/>
      <c r="BI33" s="8"/>
      <c r="BJ33" s="8"/>
      <c r="BK33" s="6"/>
      <c r="BL33" s="8"/>
      <c r="BM33" s="8"/>
      <c r="BN33" s="6"/>
      <c r="BO33" s="8"/>
      <c r="BP33" s="8"/>
      <c r="BQ33" s="6"/>
      <c r="BR33" s="8"/>
    </row>
    <row r="34">
      <c r="A34" s="6"/>
      <c r="B34" s="6" t="s">
        <v>34</v>
      </c>
      <c r="C34" s="3" t="str">
        <f t="shared" si="1"/>
        <v>_striped indigo</v>
      </c>
      <c r="D34" s="3" t="str">
        <f t="shared" si="5"/>
        <v>#N/A</v>
      </c>
      <c r="E34" s="3" t="b">
        <f t="shared" si="2"/>
        <v>0</v>
      </c>
      <c r="G34" s="3" t="str">
        <f t="shared" si="3"/>
        <v>#N/A</v>
      </c>
      <c r="AU34" s="8"/>
      <c r="AV34" s="6"/>
      <c r="AW34" s="8"/>
      <c r="AX34" s="8"/>
      <c r="AY34" s="6"/>
      <c r="AZ34" s="8"/>
      <c r="BA34" s="8"/>
      <c r="BB34" s="6"/>
      <c r="BC34" s="8"/>
      <c r="BD34" s="8"/>
      <c r="BE34" s="6"/>
      <c r="BF34" s="8"/>
      <c r="BG34" s="8"/>
      <c r="BH34" s="6"/>
      <c r="BI34" s="8"/>
      <c r="BJ34" s="8"/>
      <c r="BK34" s="6"/>
      <c r="BL34" s="8"/>
      <c r="BM34" s="8"/>
      <c r="BN34" s="6"/>
      <c r="BO34" s="8"/>
      <c r="BP34" s="8"/>
      <c r="BQ34" s="6"/>
      <c r="BR34" s="8"/>
    </row>
    <row r="35">
      <c r="A35" s="6"/>
      <c r="B35" s="6" t="s">
        <v>35</v>
      </c>
      <c r="C35" s="3" t="str">
        <f t="shared" si="1"/>
        <v>_shiny tan</v>
      </c>
      <c r="D35" s="3" t="str">
        <f t="shared" si="5"/>
        <v>#N/A</v>
      </c>
      <c r="E35" s="3" t="b">
        <f t="shared" si="2"/>
        <v>0</v>
      </c>
      <c r="G35" s="3" t="str">
        <f t="shared" si="3"/>
        <v>#N/A</v>
      </c>
      <c r="AU35" s="8"/>
      <c r="AV35" s="6"/>
      <c r="AW35" s="8"/>
      <c r="AX35" s="8"/>
      <c r="AY35" s="6"/>
      <c r="AZ35" s="8"/>
      <c r="BA35" s="8"/>
      <c r="BB35" s="6"/>
      <c r="BC35" s="8"/>
      <c r="BD35" s="8"/>
      <c r="BE35" s="6"/>
      <c r="BF35" s="8"/>
      <c r="BG35" s="8"/>
      <c r="BH35" s="6"/>
      <c r="BI35" s="8"/>
      <c r="BJ35" s="8"/>
      <c r="BK35" s="6"/>
      <c r="BL35" s="8"/>
      <c r="BM35" s="8"/>
      <c r="BN35" s="6"/>
      <c r="BO35" s="8"/>
      <c r="BP35" s="8"/>
      <c r="BQ35" s="6"/>
      <c r="BR35" s="8"/>
    </row>
    <row r="36">
      <c r="A36" s="6"/>
      <c r="B36" s="6" t="s">
        <v>36</v>
      </c>
      <c r="C36" s="3" t="str">
        <f t="shared" si="1"/>
        <v>_dim red</v>
      </c>
      <c r="D36" s="3" t="str">
        <f t="shared" si="5"/>
        <v>#N/A</v>
      </c>
      <c r="E36" s="3" t="b">
        <f t="shared" si="2"/>
        <v>0</v>
      </c>
      <c r="G36" s="3" t="str">
        <f t="shared" si="3"/>
        <v>#N/A</v>
      </c>
      <c r="AU36" s="8"/>
      <c r="AV36" s="6"/>
      <c r="AW36" s="8"/>
      <c r="AX36" s="8"/>
      <c r="AY36" s="6"/>
      <c r="AZ36" s="8"/>
      <c r="BA36" s="8"/>
      <c r="BB36" s="6"/>
      <c r="BC36" s="8"/>
      <c r="BD36" s="8"/>
      <c r="BE36" s="6"/>
      <c r="BF36" s="8"/>
      <c r="BG36" s="8"/>
      <c r="BH36" s="6"/>
      <c r="BI36" s="8"/>
      <c r="BJ36" s="8"/>
      <c r="BK36" s="6"/>
      <c r="BL36" s="8"/>
      <c r="BM36" s="8"/>
      <c r="BN36" s="6"/>
      <c r="BO36" s="8"/>
      <c r="BP36" s="8"/>
      <c r="BQ36" s="6"/>
      <c r="BR36" s="8"/>
    </row>
    <row r="37">
      <c r="A37" s="6"/>
      <c r="B37" s="6" t="s">
        <v>37</v>
      </c>
      <c r="C37" s="3" t="str">
        <f t="shared" si="1"/>
        <v>_plaid gray</v>
      </c>
      <c r="D37" s="3" t="str">
        <f t="shared" si="5"/>
        <v>#N/A</v>
      </c>
      <c r="E37" s="3" t="b">
        <f t="shared" si="2"/>
        <v>0</v>
      </c>
      <c r="G37" s="3" t="str">
        <f t="shared" si="3"/>
        <v>#N/A</v>
      </c>
      <c r="AU37" s="8"/>
      <c r="AV37" s="6"/>
      <c r="AW37" s="8"/>
      <c r="AX37" s="8"/>
      <c r="AY37" s="6"/>
      <c r="AZ37" s="8"/>
      <c r="BA37" s="8"/>
      <c r="BB37" s="6"/>
      <c r="BC37" s="8"/>
      <c r="BD37" s="8"/>
      <c r="BE37" s="6"/>
      <c r="BF37" s="8"/>
      <c r="BG37" s="8"/>
      <c r="BH37" s="6"/>
      <c r="BI37" s="8"/>
      <c r="BJ37" s="8"/>
      <c r="BK37" s="6"/>
      <c r="BL37" s="8"/>
      <c r="BM37" s="8"/>
      <c r="BN37" s="6"/>
      <c r="BO37" s="8"/>
      <c r="BP37" s="8"/>
      <c r="BQ37" s="6"/>
      <c r="BR37" s="8"/>
    </row>
    <row r="38">
      <c r="A38" s="6"/>
      <c r="B38" s="6" t="s">
        <v>38</v>
      </c>
      <c r="C38" s="3" t="str">
        <f t="shared" si="1"/>
        <v>_dotted white</v>
      </c>
      <c r="D38" s="3" t="str">
        <f t="shared" si="5"/>
        <v>#N/A</v>
      </c>
      <c r="E38" s="3" t="b">
        <f t="shared" si="2"/>
        <v>0</v>
      </c>
      <c r="G38" s="3" t="str">
        <f t="shared" si="3"/>
        <v>#N/A</v>
      </c>
      <c r="AU38" s="8"/>
      <c r="AV38" s="6"/>
      <c r="AW38" s="8"/>
      <c r="AX38" s="8"/>
      <c r="AY38" s="6"/>
      <c r="AZ38" s="8"/>
      <c r="BA38" s="8"/>
      <c r="BB38" s="6"/>
      <c r="BC38" s="8"/>
      <c r="BD38" s="8"/>
      <c r="BE38" s="6"/>
      <c r="BF38" s="8"/>
      <c r="BG38" s="8"/>
      <c r="BH38" s="6"/>
      <c r="BI38" s="8"/>
      <c r="BJ38" s="8"/>
      <c r="BK38" s="6"/>
      <c r="BL38" s="8"/>
      <c r="BM38" s="8"/>
      <c r="BN38" s="6"/>
      <c r="BO38" s="8"/>
      <c r="BP38" s="8"/>
      <c r="BQ38" s="6"/>
      <c r="BR38" s="8"/>
    </row>
    <row r="39">
      <c r="A39" s="6"/>
      <c r="B39" s="6" t="s">
        <v>39</v>
      </c>
      <c r="C39" s="3" t="str">
        <f t="shared" si="1"/>
        <v>_plaid tan</v>
      </c>
      <c r="D39" s="3" t="str">
        <f t="shared" si="5"/>
        <v>#N/A</v>
      </c>
      <c r="E39" s="3" t="b">
        <f t="shared" si="2"/>
        <v>0</v>
      </c>
      <c r="G39" s="3" t="str">
        <f t="shared" si="3"/>
        <v>#N/A</v>
      </c>
      <c r="AU39" s="8"/>
      <c r="AV39" s="6"/>
      <c r="AW39" s="8"/>
      <c r="AX39" s="8"/>
      <c r="AY39" s="6"/>
      <c r="AZ39" s="8"/>
      <c r="BA39" s="8"/>
      <c r="BB39" s="6"/>
      <c r="BC39" s="8"/>
      <c r="BD39" s="8"/>
      <c r="BE39" s="6"/>
      <c r="BF39" s="8"/>
      <c r="BG39" s="8"/>
      <c r="BH39" s="6"/>
      <c r="BI39" s="8"/>
      <c r="BJ39" s="8"/>
      <c r="BK39" s="6"/>
      <c r="BL39" s="8"/>
      <c r="BM39" s="8"/>
      <c r="BN39" s="6"/>
      <c r="BO39" s="8"/>
      <c r="BP39" s="8"/>
      <c r="BQ39" s="6"/>
      <c r="BR39" s="8"/>
    </row>
    <row r="40">
      <c r="A40" s="6"/>
      <c r="B40" s="6" t="s">
        <v>40</v>
      </c>
      <c r="C40" s="3" t="str">
        <f t="shared" si="1"/>
        <v>_vibrant black</v>
      </c>
      <c r="D40" s="3" t="str">
        <f t="shared" si="5"/>
        <v>#N/A</v>
      </c>
      <c r="E40" s="3" t="b">
        <f t="shared" si="2"/>
        <v>0</v>
      </c>
      <c r="G40" s="3" t="str">
        <f t="shared" si="3"/>
        <v>#N/A</v>
      </c>
      <c r="AU40" s="8"/>
      <c r="AV40" s="6"/>
      <c r="AW40" s="8"/>
      <c r="AX40" s="8"/>
      <c r="AY40" s="6"/>
      <c r="AZ40" s="8"/>
      <c r="BA40" s="8"/>
      <c r="BB40" s="6"/>
      <c r="BC40" s="8"/>
      <c r="BD40" s="8"/>
      <c r="BE40" s="6"/>
      <c r="BF40" s="8"/>
      <c r="BG40" s="8"/>
      <c r="BH40" s="6"/>
      <c r="BI40" s="8"/>
      <c r="BJ40" s="8"/>
      <c r="BK40" s="6"/>
      <c r="BL40" s="8"/>
      <c r="BM40" s="8"/>
      <c r="BN40" s="6"/>
      <c r="BO40" s="8"/>
      <c r="BP40" s="8"/>
      <c r="BQ40" s="6"/>
      <c r="BR40" s="8"/>
    </row>
    <row r="41">
      <c r="A41" s="6"/>
      <c r="B41" s="6" t="s">
        <v>41</v>
      </c>
      <c r="C41" s="3" t="str">
        <f t="shared" si="1"/>
        <v>_drab purple</v>
      </c>
      <c r="D41" s="3" t="str">
        <f t="shared" si="5"/>
        <v>#N/A</v>
      </c>
      <c r="E41" s="3" t="b">
        <f t="shared" si="2"/>
        <v>0</v>
      </c>
      <c r="G41" s="3" t="str">
        <f t="shared" si="3"/>
        <v>#N/A</v>
      </c>
      <c r="AU41" s="8"/>
      <c r="AV41" s="6"/>
      <c r="AW41" s="8"/>
      <c r="AX41" s="8"/>
      <c r="AY41" s="6"/>
      <c r="AZ41" s="8"/>
      <c r="BA41" s="8"/>
      <c r="BB41" s="6"/>
      <c r="BC41" s="8"/>
      <c r="BD41" s="8"/>
      <c r="BE41" s="6"/>
      <c r="BF41" s="8"/>
      <c r="BG41" s="8"/>
      <c r="BH41" s="6"/>
      <c r="BI41" s="8"/>
      <c r="BJ41" s="8"/>
      <c r="BK41" s="6"/>
      <c r="BL41" s="8"/>
      <c r="BM41" s="8"/>
      <c r="BN41" s="6"/>
      <c r="BO41" s="8"/>
      <c r="BP41" s="8"/>
      <c r="BQ41" s="6"/>
      <c r="BR41" s="8"/>
    </row>
    <row r="42">
      <c r="A42" s="6"/>
      <c r="B42" s="6" t="s">
        <v>42</v>
      </c>
      <c r="C42" s="3" t="str">
        <f t="shared" si="1"/>
        <v>_mirrored beige</v>
      </c>
      <c r="D42" s="3" t="str">
        <f t="shared" si="5"/>
        <v>#N/A</v>
      </c>
      <c r="E42" s="3" t="b">
        <f t="shared" si="2"/>
        <v>0</v>
      </c>
      <c r="G42" s="3" t="str">
        <f t="shared" si="3"/>
        <v>#N/A</v>
      </c>
      <c r="AU42" s="8"/>
      <c r="AV42" s="6"/>
      <c r="AW42" s="8"/>
      <c r="AX42" s="8"/>
      <c r="AY42" s="6"/>
      <c r="AZ42" s="8"/>
      <c r="BA42" s="8"/>
      <c r="BB42" s="6"/>
      <c r="BC42" s="8"/>
      <c r="BD42" s="8"/>
      <c r="BE42" s="6"/>
      <c r="BF42" s="8"/>
      <c r="BG42" s="8"/>
      <c r="BH42" s="6"/>
      <c r="BI42" s="8"/>
      <c r="BJ42" s="8"/>
      <c r="BK42" s="6"/>
      <c r="BL42" s="8"/>
      <c r="BM42" s="8"/>
      <c r="BN42" s="6"/>
      <c r="BO42" s="8"/>
      <c r="BP42" s="8"/>
      <c r="BQ42" s="6"/>
      <c r="BR42" s="8"/>
    </row>
    <row r="43">
      <c r="A43" s="6"/>
      <c r="B43" s="6" t="s">
        <v>43</v>
      </c>
      <c r="C43" s="3" t="str">
        <f t="shared" si="1"/>
        <v>_vibrant olive</v>
      </c>
      <c r="D43" s="3" t="str">
        <f t="shared" si="5"/>
        <v>#N/A</v>
      </c>
      <c r="E43" s="3" t="b">
        <f t="shared" si="2"/>
        <v>0</v>
      </c>
      <c r="G43" s="3" t="str">
        <f t="shared" si="3"/>
        <v>#N/A</v>
      </c>
      <c r="AU43" s="8"/>
      <c r="AV43" s="6"/>
      <c r="AW43" s="8"/>
      <c r="AX43" s="8"/>
      <c r="AY43" s="6"/>
      <c r="AZ43" s="8"/>
      <c r="BA43" s="8"/>
      <c r="BB43" s="6"/>
      <c r="BC43" s="8"/>
      <c r="BD43" s="8"/>
      <c r="BE43" s="6"/>
      <c r="BF43" s="8"/>
      <c r="BG43" s="8"/>
      <c r="BH43" s="6"/>
      <c r="BI43" s="8"/>
      <c r="BJ43" s="8"/>
      <c r="BK43" s="6"/>
      <c r="BL43" s="8"/>
      <c r="BM43" s="8"/>
      <c r="BN43" s="6"/>
      <c r="BO43" s="8"/>
      <c r="BP43" s="8"/>
      <c r="BQ43" s="6"/>
      <c r="BR43" s="8"/>
    </row>
    <row r="44">
      <c r="A44" s="6"/>
      <c r="B44" s="6" t="s">
        <v>44</v>
      </c>
      <c r="C44" s="3" t="str">
        <f t="shared" si="1"/>
        <v>_drab green</v>
      </c>
      <c r="D44" s="3" t="str">
        <f t="shared" si="5"/>
        <v>#N/A</v>
      </c>
      <c r="E44" s="3" t="b">
        <f t="shared" si="2"/>
        <v>0</v>
      </c>
      <c r="G44" s="3" t="str">
        <f t="shared" si="3"/>
        <v>#N/A</v>
      </c>
      <c r="AU44" s="8"/>
      <c r="AV44" s="6"/>
      <c r="AW44" s="8"/>
      <c r="AX44" s="8"/>
      <c r="AY44" s="6"/>
      <c r="AZ44" s="8"/>
      <c r="BA44" s="8"/>
      <c r="BB44" s="6"/>
      <c r="BC44" s="8"/>
      <c r="BD44" s="8"/>
      <c r="BE44" s="6"/>
      <c r="BF44" s="8"/>
      <c r="BG44" s="8"/>
      <c r="BH44" s="6"/>
      <c r="BI44" s="8"/>
      <c r="BJ44" s="8"/>
      <c r="BK44" s="6"/>
      <c r="BL44" s="8"/>
      <c r="BM44" s="8"/>
      <c r="BN44" s="6"/>
      <c r="BO44" s="8"/>
      <c r="BP44" s="8"/>
      <c r="BQ44" s="6"/>
      <c r="BR44" s="8"/>
    </row>
    <row r="45">
      <c r="A45" s="6"/>
      <c r="B45" s="6" t="s">
        <v>45</v>
      </c>
      <c r="C45" s="3" t="str">
        <f t="shared" si="1"/>
        <v>_faded turquoise</v>
      </c>
      <c r="D45" s="3" t="str">
        <f t="shared" si="5"/>
        <v>#N/A</v>
      </c>
      <c r="E45" s="3" t="b">
        <f t="shared" si="2"/>
        <v>0</v>
      </c>
      <c r="G45" s="3" t="str">
        <f t="shared" si="3"/>
        <v>#N/A</v>
      </c>
      <c r="AU45" s="8"/>
      <c r="AV45" s="6"/>
      <c r="AW45" s="8"/>
      <c r="AX45" s="8"/>
      <c r="AY45" s="6"/>
      <c r="AZ45" s="8"/>
      <c r="BA45" s="8"/>
      <c r="BB45" s="6"/>
      <c r="BC45" s="8"/>
      <c r="BD45" s="8"/>
      <c r="BE45" s="6"/>
      <c r="BF45" s="8"/>
      <c r="BG45" s="8"/>
      <c r="BH45" s="6"/>
      <c r="BI45" s="8"/>
      <c r="BJ45" s="8"/>
      <c r="BK45" s="6"/>
      <c r="BL45" s="8"/>
      <c r="BM45" s="8"/>
      <c r="BN45" s="6"/>
      <c r="BO45" s="8"/>
      <c r="BP45" s="8"/>
      <c r="BQ45" s="6"/>
      <c r="BR45" s="8"/>
    </row>
    <row r="46">
      <c r="A46" s="6"/>
      <c r="B46" s="6" t="s">
        <v>46</v>
      </c>
      <c r="C46" s="3" t="str">
        <f t="shared" si="1"/>
        <v>_shiny maroon</v>
      </c>
      <c r="D46" s="3" t="str">
        <f t="shared" si="5"/>
        <v>#N/A</v>
      </c>
      <c r="E46" s="3" t="b">
        <f t="shared" si="2"/>
        <v>0</v>
      </c>
      <c r="G46" s="3" t="str">
        <f t="shared" si="3"/>
        <v>#N/A</v>
      </c>
      <c r="AU46" s="8"/>
      <c r="AV46" s="6"/>
      <c r="AW46" s="8"/>
      <c r="AX46" s="8"/>
      <c r="AY46" s="6"/>
      <c r="AZ46" s="8"/>
      <c r="BA46" s="8"/>
      <c r="BB46" s="6"/>
      <c r="BC46" s="8"/>
      <c r="BD46" s="8"/>
      <c r="BE46" s="6"/>
      <c r="BF46" s="8"/>
      <c r="BG46" s="8"/>
      <c r="BH46" s="6"/>
      <c r="BI46" s="8"/>
      <c r="BJ46" s="8"/>
      <c r="BK46" s="6"/>
      <c r="BL46" s="8"/>
      <c r="BM46" s="8"/>
      <c r="BN46" s="6"/>
      <c r="BO46" s="8"/>
      <c r="BP46" s="8"/>
      <c r="BQ46" s="6"/>
      <c r="BR46" s="8"/>
    </row>
    <row r="47">
      <c r="A47" s="6"/>
      <c r="B47" s="6" t="s">
        <v>47</v>
      </c>
      <c r="C47" s="3" t="str">
        <f t="shared" si="1"/>
        <v>_dull white</v>
      </c>
      <c r="D47" s="3" t="str">
        <f t="shared" si="5"/>
        <v>#N/A</v>
      </c>
      <c r="E47" s="3" t="b">
        <f t="shared" si="2"/>
        <v>0</v>
      </c>
      <c r="G47" s="3" t="str">
        <f t="shared" si="3"/>
        <v>#N/A</v>
      </c>
      <c r="AU47" s="8"/>
      <c r="AV47" s="6"/>
      <c r="AW47" s="8"/>
      <c r="AX47" s="8"/>
      <c r="AY47" s="6"/>
      <c r="AZ47" s="8"/>
      <c r="BA47" s="8"/>
      <c r="BB47" s="6"/>
      <c r="BC47" s="8"/>
      <c r="BD47" s="8"/>
      <c r="BE47" s="6"/>
      <c r="BF47" s="8"/>
      <c r="BG47" s="8"/>
      <c r="BH47" s="6"/>
      <c r="BI47" s="8"/>
      <c r="BJ47" s="8"/>
      <c r="BK47" s="6"/>
      <c r="BL47" s="8"/>
      <c r="BM47" s="8"/>
      <c r="BN47" s="6"/>
      <c r="BO47" s="8"/>
      <c r="BP47" s="8"/>
      <c r="BQ47" s="6"/>
      <c r="BR47" s="8"/>
    </row>
    <row r="48">
      <c r="A48" s="6"/>
      <c r="B48" s="6" t="s">
        <v>48</v>
      </c>
      <c r="C48" s="3" t="str">
        <f t="shared" si="1"/>
        <v>_dim white</v>
      </c>
      <c r="D48" s="3" t="str">
        <f t="shared" si="5"/>
        <v>#N/A</v>
      </c>
      <c r="E48" s="3" t="b">
        <f t="shared" si="2"/>
        <v>0</v>
      </c>
      <c r="G48" s="3" t="str">
        <f t="shared" si="3"/>
        <v>#N/A</v>
      </c>
      <c r="AU48" s="8"/>
      <c r="AV48" s="6"/>
      <c r="AW48" s="8"/>
      <c r="AX48" s="8"/>
      <c r="AY48" s="6"/>
      <c r="AZ48" s="8"/>
      <c r="BA48" s="8"/>
      <c r="BB48" s="6"/>
      <c r="BC48" s="8"/>
      <c r="BD48" s="8"/>
      <c r="BE48" s="6"/>
      <c r="BF48" s="8"/>
      <c r="BG48" s="8"/>
      <c r="BH48" s="6"/>
      <c r="BI48" s="8"/>
      <c r="BJ48" s="8"/>
      <c r="BK48" s="6"/>
      <c r="BL48" s="8"/>
      <c r="BM48" s="8"/>
      <c r="BN48" s="6"/>
      <c r="BO48" s="8"/>
      <c r="BP48" s="8"/>
      <c r="BQ48" s="6"/>
      <c r="BR48" s="8"/>
    </row>
    <row r="49">
      <c r="A49" s="6"/>
      <c r="B49" s="6" t="s">
        <v>49</v>
      </c>
      <c r="C49" s="3" t="str">
        <f t="shared" si="1"/>
        <v>_clear beige</v>
      </c>
      <c r="D49" s="3" t="str">
        <f t="shared" si="5"/>
        <v>#N/A</v>
      </c>
      <c r="E49" s="3" t="b">
        <f t="shared" si="2"/>
        <v>0</v>
      </c>
      <c r="G49" s="3" t="str">
        <f t="shared" si="3"/>
        <v>#N/A</v>
      </c>
      <c r="AU49" s="8"/>
      <c r="AV49" s="6"/>
      <c r="AW49" s="8"/>
      <c r="AX49" s="8"/>
      <c r="AY49" s="6"/>
      <c r="AZ49" s="8"/>
      <c r="BA49" s="8"/>
      <c r="BB49" s="6"/>
      <c r="BC49" s="8"/>
      <c r="BD49" s="8"/>
      <c r="BE49" s="6"/>
      <c r="BF49" s="8"/>
      <c r="BG49" s="8"/>
      <c r="BH49" s="6"/>
      <c r="BI49" s="8"/>
      <c r="BJ49" s="8"/>
      <c r="BK49" s="6"/>
      <c r="BL49" s="8"/>
      <c r="BM49" s="8"/>
      <c r="BN49" s="6"/>
      <c r="BO49" s="8"/>
      <c r="BP49" s="8"/>
      <c r="BQ49" s="6"/>
      <c r="BR49" s="8"/>
    </row>
    <row r="50">
      <c r="A50" s="6"/>
      <c r="B50" s="6" t="s">
        <v>50</v>
      </c>
      <c r="C50" s="3" t="str">
        <f t="shared" si="1"/>
        <v>_plaid tomato</v>
      </c>
      <c r="D50" s="3" t="str">
        <f t="shared" si="5"/>
        <v>#N/A</v>
      </c>
      <c r="E50" s="3" t="b">
        <f t="shared" si="2"/>
        <v>0</v>
      </c>
      <c r="G50" s="3" t="str">
        <f t="shared" si="3"/>
        <v>#N/A</v>
      </c>
      <c r="AU50" s="8"/>
      <c r="AV50" s="6"/>
      <c r="AW50" s="8"/>
      <c r="AX50" s="8"/>
      <c r="AY50" s="6"/>
      <c r="AZ50" s="8"/>
      <c r="BA50" s="8"/>
      <c r="BB50" s="6"/>
      <c r="BC50" s="8"/>
      <c r="BD50" s="8"/>
      <c r="BE50" s="6"/>
      <c r="BF50" s="8"/>
      <c r="BG50" s="8"/>
      <c r="BH50" s="6"/>
      <c r="BI50" s="8"/>
      <c r="BJ50" s="8"/>
      <c r="BK50" s="6"/>
      <c r="BL50" s="8"/>
      <c r="BM50" s="8"/>
      <c r="BN50" s="6"/>
      <c r="BO50" s="8"/>
      <c r="BP50" s="8"/>
      <c r="BQ50" s="6"/>
      <c r="BR50" s="8"/>
    </row>
    <row r="51">
      <c r="A51" s="6"/>
      <c r="B51" s="6" t="s">
        <v>51</v>
      </c>
      <c r="C51" s="3" t="str">
        <f t="shared" si="1"/>
        <v>_bright teal</v>
      </c>
      <c r="D51" s="3" t="str">
        <f t="shared" si="5"/>
        <v>#N/A</v>
      </c>
      <c r="E51" s="3" t="b">
        <f t="shared" si="2"/>
        <v>1</v>
      </c>
      <c r="G51" s="3" t="str">
        <f t="shared" si="3"/>
        <v>#N/A</v>
      </c>
      <c r="AU51" s="8"/>
      <c r="AV51" s="6"/>
      <c r="AW51" s="8"/>
      <c r="AX51" s="8"/>
      <c r="AY51" s="6"/>
      <c r="AZ51" s="8"/>
      <c r="BA51" s="8"/>
      <c r="BB51" s="6"/>
      <c r="BC51" s="8"/>
      <c r="BD51" s="8"/>
      <c r="BE51" s="6"/>
      <c r="BF51" s="8"/>
      <c r="BG51" s="8"/>
      <c r="BH51" s="6"/>
      <c r="BI51" s="8"/>
      <c r="BJ51" s="8"/>
      <c r="BK51" s="6"/>
      <c r="BL51" s="8"/>
      <c r="BM51" s="8"/>
      <c r="BN51" s="6"/>
      <c r="BO51" s="8"/>
      <c r="BP51" s="8"/>
      <c r="BQ51" s="6"/>
      <c r="BR51" s="8"/>
    </row>
    <row r="52">
      <c r="A52" s="6"/>
      <c r="B52" s="6" t="s">
        <v>52</v>
      </c>
      <c r="C52" s="3" t="str">
        <f t="shared" si="1"/>
        <v>_dotted salmon</v>
      </c>
      <c r="D52" s="3" t="str">
        <f t="shared" si="5"/>
        <v>#N/A</v>
      </c>
      <c r="E52" s="3" t="b">
        <f t="shared" si="2"/>
        <v>0</v>
      </c>
      <c r="G52" s="3" t="str">
        <f t="shared" si="3"/>
        <v>#N/A</v>
      </c>
      <c r="AU52" s="8"/>
      <c r="AV52" s="6"/>
      <c r="AW52" s="8"/>
      <c r="AX52" s="8"/>
      <c r="AY52" s="6"/>
      <c r="AZ52" s="8"/>
      <c r="BA52" s="8"/>
      <c r="BB52" s="6"/>
      <c r="BC52" s="8"/>
      <c r="BD52" s="8"/>
      <c r="BE52" s="6"/>
      <c r="BF52" s="8"/>
      <c r="BG52" s="8"/>
      <c r="BH52" s="6"/>
      <c r="BI52" s="8"/>
      <c r="BJ52" s="8"/>
      <c r="BK52" s="6"/>
      <c r="BL52" s="8"/>
      <c r="BM52" s="8"/>
      <c r="BN52" s="6"/>
      <c r="BO52" s="8"/>
      <c r="BP52" s="8"/>
      <c r="BQ52" s="6"/>
      <c r="BR52" s="8"/>
    </row>
    <row r="53">
      <c r="A53" s="6"/>
      <c r="B53" s="6" t="s">
        <v>53</v>
      </c>
      <c r="C53" s="3" t="str">
        <f t="shared" si="1"/>
        <v>_light gold</v>
      </c>
      <c r="D53" s="3" t="str">
        <f t="shared" si="5"/>
        <v>#N/A</v>
      </c>
      <c r="E53" s="3" t="b">
        <f t="shared" si="2"/>
        <v>0</v>
      </c>
      <c r="G53" s="3" t="str">
        <f t="shared" si="3"/>
        <v>#N/A</v>
      </c>
      <c r="AU53" s="8"/>
      <c r="AV53" s="6"/>
      <c r="AW53" s="8"/>
      <c r="AX53" s="8"/>
      <c r="AY53" s="6"/>
      <c r="AZ53" s="8"/>
      <c r="BA53" s="8"/>
      <c r="BB53" s="6"/>
      <c r="BC53" s="8"/>
      <c r="BD53" s="8"/>
      <c r="BE53" s="6"/>
      <c r="BF53" s="8"/>
      <c r="BG53" s="8"/>
      <c r="BH53" s="6"/>
      <c r="BI53" s="8"/>
      <c r="BJ53" s="8"/>
      <c r="BK53" s="6"/>
      <c r="BL53" s="8"/>
      <c r="BM53" s="8"/>
      <c r="BN53" s="6"/>
      <c r="BO53" s="8"/>
      <c r="BP53" s="8"/>
      <c r="BQ53" s="6"/>
      <c r="BR53" s="8"/>
    </row>
    <row r="54">
      <c r="A54" s="6"/>
      <c r="B54" s="6" t="s">
        <v>54</v>
      </c>
      <c r="C54" s="3" t="str">
        <f t="shared" si="1"/>
        <v>_faded cyan</v>
      </c>
      <c r="D54" s="3" t="str">
        <f t="shared" si="5"/>
        <v>#N/A</v>
      </c>
      <c r="E54" s="3" t="b">
        <f t="shared" si="2"/>
        <v>0</v>
      </c>
      <c r="G54" s="3" t="str">
        <f t="shared" si="3"/>
        <v>#N/A</v>
      </c>
      <c r="AU54" s="8"/>
      <c r="AV54" s="6"/>
      <c r="AW54" s="8"/>
      <c r="AX54" s="8"/>
      <c r="AY54" s="6"/>
      <c r="AZ54" s="8"/>
      <c r="BA54" s="8"/>
      <c r="BB54" s="6"/>
      <c r="BC54" s="8"/>
      <c r="BD54" s="8"/>
      <c r="BE54" s="6"/>
      <c r="BF54" s="8"/>
      <c r="BG54" s="8"/>
      <c r="BH54" s="6"/>
      <c r="BI54" s="8"/>
      <c r="BJ54" s="8"/>
      <c r="BK54" s="6"/>
      <c r="BL54" s="8"/>
      <c r="BM54" s="8"/>
      <c r="BN54" s="6"/>
      <c r="BO54" s="8"/>
      <c r="BP54" s="8"/>
      <c r="BQ54" s="6"/>
      <c r="BR54" s="8"/>
    </row>
    <row r="55">
      <c r="A55" s="6"/>
      <c r="B55" s="6" t="s">
        <v>55</v>
      </c>
      <c r="C55" s="3" t="str">
        <f t="shared" si="1"/>
        <v>_drab cyan</v>
      </c>
      <c r="D55" s="3" t="str">
        <f t="shared" si="5"/>
        <v>#N/A</v>
      </c>
      <c r="E55" s="3" t="b">
        <f t="shared" si="2"/>
        <v>0</v>
      </c>
      <c r="G55" s="3" t="str">
        <f t="shared" si="3"/>
        <v>#N/A</v>
      </c>
      <c r="AU55" s="8"/>
      <c r="AV55" s="6"/>
      <c r="AW55" s="8"/>
      <c r="AX55" s="8"/>
      <c r="AY55" s="6"/>
      <c r="AZ55" s="8"/>
      <c r="BA55" s="8"/>
      <c r="BB55" s="6"/>
      <c r="BC55" s="8"/>
      <c r="BD55" s="8"/>
      <c r="BE55" s="6"/>
      <c r="BF55" s="8"/>
      <c r="BG55" s="8"/>
      <c r="BH55" s="6"/>
      <c r="BI55" s="8"/>
      <c r="BJ55" s="8"/>
      <c r="BK55" s="6"/>
      <c r="BL55" s="8"/>
      <c r="BM55" s="8"/>
      <c r="BN55" s="6"/>
      <c r="BO55" s="8"/>
      <c r="BP55" s="8"/>
      <c r="BQ55" s="6"/>
      <c r="BR55" s="8"/>
    </row>
    <row r="56">
      <c r="A56" s="6"/>
      <c r="B56" s="6" t="s">
        <v>56</v>
      </c>
      <c r="C56" s="3" t="str">
        <f t="shared" si="1"/>
        <v>_dotted black</v>
      </c>
      <c r="D56" s="3" t="str">
        <f t="shared" si="5"/>
        <v>#N/A</v>
      </c>
      <c r="E56" s="3" t="b">
        <f t="shared" si="2"/>
        <v>0</v>
      </c>
      <c r="G56" s="3" t="str">
        <f t="shared" si="3"/>
        <v>#N/A</v>
      </c>
      <c r="AU56" s="8"/>
      <c r="AV56" s="6"/>
      <c r="AW56" s="8"/>
      <c r="AX56" s="8"/>
      <c r="AY56" s="6"/>
      <c r="AZ56" s="8"/>
      <c r="BA56" s="8"/>
      <c r="BB56" s="6"/>
      <c r="BC56" s="8"/>
      <c r="BD56" s="8"/>
      <c r="BE56" s="6"/>
      <c r="BF56" s="8"/>
      <c r="BG56" s="8"/>
      <c r="BH56" s="6"/>
      <c r="BI56" s="8"/>
      <c r="BJ56" s="8"/>
      <c r="BK56" s="6"/>
      <c r="BL56" s="8"/>
      <c r="BM56" s="8"/>
      <c r="BN56" s="6"/>
      <c r="BO56" s="8"/>
      <c r="BP56" s="8"/>
      <c r="BQ56" s="6"/>
      <c r="BR56" s="8"/>
    </row>
    <row r="57">
      <c r="A57" s="6"/>
      <c r="B57" s="6" t="s">
        <v>57</v>
      </c>
      <c r="C57" s="3" t="str">
        <f t="shared" si="1"/>
        <v>_faded purple</v>
      </c>
      <c r="D57" s="3" t="str">
        <f t="shared" si="5"/>
        <v>#N/A</v>
      </c>
      <c r="E57" s="3" t="b">
        <f t="shared" si="2"/>
        <v>0</v>
      </c>
      <c r="G57" s="3" t="str">
        <f t="shared" si="3"/>
        <v>#N/A</v>
      </c>
      <c r="AU57" s="8"/>
      <c r="AV57" s="6"/>
      <c r="AW57" s="8"/>
      <c r="AX57" s="8"/>
      <c r="AY57" s="6"/>
      <c r="AZ57" s="8"/>
      <c r="BA57" s="8"/>
      <c r="BB57" s="6"/>
      <c r="BC57" s="8"/>
      <c r="BD57" s="8"/>
      <c r="BE57" s="6"/>
      <c r="BF57" s="8"/>
      <c r="BG57" s="8"/>
      <c r="BH57" s="6"/>
      <c r="BI57" s="8"/>
      <c r="BJ57" s="8"/>
      <c r="BK57" s="6"/>
      <c r="BL57" s="8"/>
      <c r="BM57" s="8"/>
      <c r="BN57" s="6"/>
      <c r="BO57" s="8"/>
      <c r="BP57" s="8"/>
      <c r="BQ57" s="6"/>
      <c r="BR57" s="8"/>
    </row>
    <row r="58">
      <c r="A58" s="6"/>
      <c r="B58" s="6" t="s">
        <v>58</v>
      </c>
      <c r="C58" s="3" t="str">
        <f t="shared" si="1"/>
        <v>_dim violet</v>
      </c>
      <c r="D58" s="3" t="str">
        <f t="shared" si="5"/>
        <v>#N/A</v>
      </c>
      <c r="E58" s="3" t="b">
        <f t="shared" si="2"/>
        <v>0</v>
      </c>
      <c r="G58" s="3" t="str">
        <f t="shared" si="3"/>
        <v>#N/A</v>
      </c>
      <c r="AU58" s="8"/>
      <c r="AV58" s="6"/>
      <c r="AW58" s="8"/>
      <c r="AX58" s="8"/>
      <c r="AY58" s="6"/>
      <c r="AZ58" s="8"/>
      <c r="BA58" s="8"/>
      <c r="BB58" s="6"/>
      <c r="BC58" s="8"/>
      <c r="BD58" s="8"/>
      <c r="BE58" s="6"/>
      <c r="BF58" s="8"/>
      <c r="BG58" s="8"/>
      <c r="BH58" s="6"/>
      <c r="BI58" s="8"/>
      <c r="BJ58" s="8"/>
      <c r="BK58" s="6"/>
      <c r="BL58" s="8"/>
      <c r="BM58" s="8"/>
      <c r="BN58" s="6"/>
      <c r="BO58" s="8"/>
      <c r="BP58" s="8"/>
      <c r="BQ58" s="6"/>
      <c r="BR58" s="8"/>
    </row>
    <row r="59">
      <c r="A59" s="6"/>
      <c r="B59" s="6" t="s">
        <v>59</v>
      </c>
      <c r="C59" s="3" t="str">
        <f t="shared" si="1"/>
        <v>_wavy gray</v>
      </c>
      <c r="D59" s="3" t="str">
        <f t="shared" si="5"/>
        <v>#N/A</v>
      </c>
      <c r="E59" s="3" t="b">
        <f t="shared" si="2"/>
        <v>0</v>
      </c>
      <c r="G59" s="3" t="str">
        <f t="shared" si="3"/>
        <v>#N/A</v>
      </c>
      <c r="AU59" s="8"/>
      <c r="AV59" s="6"/>
      <c r="AW59" s="8"/>
      <c r="AX59" s="8"/>
      <c r="AY59" s="6"/>
      <c r="AZ59" s="8"/>
      <c r="BA59" s="8"/>
      <c r="BB59" s="6"/>
      <c r="BC59" s="8"/>
      <c r="BD59" s="8"/>
      <c r="BE59" s="6"/>
      <c r="BF59" s="8"/>
      <c r="BG59" s="8"/>
      <c r="BH59" s="6"/>
      <c r="BI59" s="8"/>
      <c r="BJ59" s="8"/>
      <c r="BK59" s="6"/>
      <c r="BL59" s="8"/>
      <c r="BM59" s="8"/>
      <c r="BN59" s="6"/>
      <c r="BO59" s="8"/>
      <c r="BP59" s="8"/>
      <c r="BQ59" s="6"/>
      <c r="BR59" s="8"/>
    </row>
    <row r="60">
      <c r="A60" s="6"/>
      <c r="B60" s="6" t="s">
        <v>60</v>
      </c>
      <c r="C60" s="3" t="str">
        <f t="shared" si="1"/>
        <v>_posh tan</v>
      </c>
      <c r="D60" s="3" t="str">
        <f t="shared" si="5"/>
        <v>#N/A</v>
      </c>
      <c r="E60" s="3" t="b">
        <f t="shared" si="2"/>
        <v>0</v>
      </c>
      <c r="G60" s="3" t="str">
        <f t="shared" si="3"/>
        <v>#N/A</v>
      </c>
      <c r="AU60" s="8"/>
      <c r="AV60" s="6"/>
      <c r="AW60" s="8"/>
      <c r="AX60" s="8"/>
      <c r="AY60" s="6"/>
      <c r="AZ60" s="8"/>
      <c r="BA60" s="8"/>
      <c r="BB60" s="6"/>
      <c r="BC60" s="8"/>
      <c r="BD60" s="8"/>
      <c r="BE60" s="6"/>
      <c r="BF60" s="8"/>
      <c r="BG60" s="8"/>
      <c r="BH60" s="6"/>
      <c r="BI60" s="8"/>
      <c r="BJ60" s="8"/>
      <c r="BK60" s="6"/>
      <c r="BL60" s="8"/>
      <c r="BM60" s="8"/>
      <c r="BN60" s="6"/>
      <c r="BO60" s="8"/>
      <c r="BP60" s="8"/>
      <c r="BQ60" s="6"/>
      <c r="BR60" s="8"/>
    </row>
    <row r="61">
      <c r="A61" s="6"/>
      <c r="B61" s="6" t="s">
        <v>61</v>
      </c>
      <c r="C61" s="3" t="str">
        <f t="shared" si="1"/>
        <v>_mirrored magenta</v>
      </c>
      <c r="D61" s="3" t="str">
        <f t="shared" si="5"/>
        <v>#N/A</v>
      </c>
      <c r="E61" s="3" t="b">
        <f t="shared" si="2"/>
        <v>0</v>
      </c>
      <c r="G61" s="3" t="str">
        <f t="shared" si="3"/>
        <v>#N/A</v>
      </c>
      <c r="AU61" s="8"/>
      <c r="AV61" s="6"/>
      <c r="AW61" s="8"/>
      <c r="AX61" s="8"/>
      <c r="AY61" s="6"/>
      <c r="AZ61" s="8"/>
      <c r="BA61" s="8"/>
      <c r="BB61" s="6"/>
      <c r="BC61" s="8"/>
      <c r="BD61" s="8"/>
      <c r="BE61" s="6"/>
      <c r="BF61" s="8"/>
      <c r="BG61" s="8"/>
      <c r="BH61" s="6"/>
      <c r="BI61" s="8"/>
      <c r="BJ61" s="8"/>
      <c r="BK61" s="6"/>
      <c r="BL61" s="8"/>
      <c r="BM61" s="8"/>
      <c r="BN61" s="6"/>
      <c r="BO61" s="8"/>
      <c r="BP61" s="8"/>
      <c r="BQ61" s="6"/>
      <c r="BR61" s="8"/>
    </row>
    <row r="62">
      <c r="A62" s="6"/>
      <c r="B62" s="6" t="s">
        <v>62</v>
      </c>
      <c r="C62" s="3" t="str">
        <f t="shared" si="1"/>
        <v>_plaid brown</v>
      </c>
      <c r="D62" s="3" t="str">
        <f t="shared" si="5"/>
        <v>#N/A</v>
      </c>
      <c r="E62" s="3" t="b">
        <f t="shared" si="2"/>
        <v>0</v>
      </c>
      <c r="G62" s="3" t="str">
        <f t="shared" si="3"/>
        <v>#N/A</v>
      </c>
      <c r="AU62" s="8"/>
      <c r="AV62" s="6"/>
      <c r="AW62" s="8"/>
      <c r="AX62" s="8"/>
      <c r="AY62" s="6"/>
      <c r="AZ62" s="8"/>
      <c r="BA62" s="8"/>
      <c r="BB62" s="6"/>
      <c r="BC62" s="8"/>
      <c r="BD62" s="8"/>
      <c r="BE62" s="6"/>
      <c r="BF62" s="8"/>
      <c r="BG62" s="8"/>
      <c r="BH62" s="6"/>
      <c r="BI62" s="8"/>
      <c r="BJ62" s="8"/>
      <c r="BK62" s="6"/>
      <c r="BL62" s="8"/>
      <c r="BM62" s="8"/>
      <c r="BN62" s="6"/>
      <c r="BO62" s="8"/>
      <c r="BP62" s="8"/>
      <c r="BQ62" s="6"/>
      <c r="BR62" s="8"/>
    </row>
    <row r="63">
      <c r="A63" s="6"/>
      <c r="B63" s="6" t="s">
        <v>63</v>
      </c>
      <c r="C63" s="3" t="str">
        <f t="shared" si="1"/>
        <v>_drab orange</v>
      </c>
      <c r="D63" s="3" t="str">
        <f t="shared" si="5"/>
        <v>#N/A</v>
      </c>
      <c r="E63" s="3" t="b">
        <f t="shared" si="2"/>
        <v>0</v>
      </c>
      <c r="G63" s="3" t="str">
        <f t="shared" si="3"/>
        <v>#N/A</v>
      </c>
      <c r="AU63" s="8"/>
      <c r="AV63" s="6"/>
      <c r="AW63" s="8"/>
      <c r="AX63" s="8"/>
      <c r="AY63" s="6"/>
      <c r="AZ63" s="8"/>
      <c r="BA63" s="8"/>
      <c r="BB63" s="6"/>
      <c r="BC63" s="8"/>
      <c r="BD63" s="8"/>
      <c r="BE63" s="6"/>
      <c r="BF63" s="8"/>
      <c r="BG63" s="8"/>
      <c r="BH63" s="6"/>
      <c r="BI63" s="8"/>
      <c r="BJ63" s="8"/>
      <c r="BK63" s="6"/>
      <c r="BL63" s="8"/>
      <c r="BM63" s="8"/>
      <c r="BN63" s="6"/>
      <c r="BO63" s="8"/>
      <c r="BP63" s="8"/>
      <c r="BQ63" s="6"/>
      <c r="BR63" s="8"/>
    </row>
    <row r="64">
      <c r="A64" s="6"/>
      <c r="B64" s="6" t="s">
        <v>64</v>
      </c>
      <c r="C64" s="3" t="str">
        <f t="shared" si="1"/>
        <v>_dim green</v>
      </c>
      <c r="D64" s="3" t="str">
        <f t="shared" si="5"/>
        <v>#N/A</v>
      </c>
      <c r="E64" s="3" t="b">
        <f t="shared" si="2"/>
        <v>0</v>
      </c>
      <c r="G64" s="3" t="str">
        <f t="shared" si="3"/>
        <v>#N/A</v>
      </c>
      <c r="AU64" s="8"/>
      <c r="AV64" s="6"/>
      <c r="AW64" s="8"/>
      <c r="AX64" s="8"/>
      <c r="AY64" s="6"/>
      <c r="AZ64" s="8"/>
      <c r="BA64" s="8"/>
      <c r="BB64" s="6"/>
      <c r="BC64" s="8"/>
      <c r="BD64" s="8"/>
      <c r="BE64" s="6"/>
      <c r="BF64" s="8"/>
      <c r="BG64" s="8"/>
      <c r="BH64" s="6"/>
      <c r="BI64" s="8"/>
      <c r="BJ64" s="8"/>
      <c r="BK64" s="6"/>
      <c r="BL64" s="8"/>
      <c r="BM64" s="8"/>
      <c r="BN64" s="6"/>
      <c r="BO64" s="8"/>
      <c r="BP64" s="8"/>
      <c r="BQ64" s="6"/>
      <c r="BR64" s="8"/>
    </row>
    <row r="65">
      <c r="A65" s="6"/>
      <c r="B65" s="6" t="s">
        <v>65</v>
      </c>
      <c r="C65" s="3" t="str">
        <f t="shared" si="1"/>
        <v>_faded teal</v>
      </c>
      <c r="D65" s="3" t="str">
        <f t="shared" si="5"/>
        <v>#N/A</v>
      </c>
      <c r="E65" s="3" t="b">
        <f t="shared" si="2"/>
        <v>0</v>
      </c>
      <c r="G65" s="3" t="str">
        <f t="shared" si="3"/>
        <v>#N/A</v>
      </c>
      <c r="AU65" s="8"/>
      <c r="AV65" s="6"/>
      <c r="AW65" s="8"/>
      <c r="AX65" s="8"/>
      <c r="AY65" s="6"/>
      <c r="AZ65" s="8"/>
      <c r="BA65" s="8"/>
      <c r="BB65" s="6"/>
      <c r="BC65" s="8"/>
      <c r="BD65" s="8"/>
      <c r="BE65" s="6"/>
      <c r="BF65" s="8"/>
      <c r="BG65" s="8"/>
      <c r="BH65" s="6"/>
      <c r="BI65" s="8"/>
      <c r="BJ65" s="8"/>
      <c r="BK65" s="6"/>
      <c r="BL65" s="8"/>
      <c r="BM65" s="8"/>
      <c r="BN65" s="6"/>
      <c r="BO65" s="8"/>
      <c r="BP65" s="8"/>
      <c r="BQ65" s="6"/>
      <c r="BR65" s="8"/>
    </row>
    <row r="66">
      <c r="A66" s="6"/>
      <c r="B66" s="6" t="s">
        <v>66</v>
      </c>
      <c r="C66" s="3" t="str">
        <f t="shared" si="1"/>
        <v>_dim gray</v>
      </c>
      <c r="D66" s="3" t="str">
        <f t="shared" si="5"/>
        <v>#N/A</v>
      </c>
      <c r="E66" s="3" t="b">
        <f t="shared" si="2"/>
        <v>0</v>
      </c>
      <c r="G66" s="3" t="str">
        <f t="shared" si="3"/>
        <v>#N/A</v>
      </c>
      <c r="AU66" s="8"/>
      <c r="AV66" s="6"/>
      <c r="AW66" s="8"/>
      <c r="AX66" s="8"/>
      <c r="AY66" s="6"/>
      <c r="AZ66" s="8"/>
      <c r="BA66" s="8"/>
      <c r="BB66" s="6"/>
      <c r="BC66" s="8"/>
      <c r="BD66" s="8"/>
      <c r="BE66" s="6"/>
      <c r="BF66" s="8"/>
      <c r="BG66" s="8"/>
      <c r="BH66" s="6"/>
      <c r="BI66" s="8"/>
      <c r="BJ66" s="8"/>
      <c r="BK66" s="6"/>
      <c r="BL66" s="8"/>
      <c r="BM66" s="8"/>
      <c r="BN66" s="6"/>
      <c r="BO66" s="8"/>
      <c r="BP66" s="8"/>
      <c r="BQ66" s="6"/>
      <c r="BR66" s="8"/>
    </row>
    <row r="67">
      <c r="A67" s="6"/>
      <c r="B67" s="6" t="s">
        <v>67</v>
      </c>
      <c r="C67" s="3" t="str">
        <f t="shared" si="1"/>
        <v>_light crimson</v>
      </c>
      <c r="D67" s="3" t="str">
        <f t="shared" si="5"/>
        <v>#N/A</v>
      </c>
      <c r="E67" s="3" t="b">
        <f t="shared" si="2"/>
        <v>0</v>
      </c>
      <c r="G67" s="3" t="str">
        <f t="shared" si="3"/>
        <v>#N/A</v>
      </c>
      <c r="AU67" s="8"/>
      <c r="AV67" s="6"/>
      <c r="AW67" s="8"/>
      <c r="AX67" s="8"/>
      <c r="AY67" s="6"/>
      <c r="AZ67" s="8"/>
      <c r="BA67" s="8"/>
      <c r="BB67" s="6"/>
      <c r="BC67" s="8"/>
      <c r="BD67" s="8"/>
      <c r="BE67" s="6"/>
      <c r="BF67" s="8"/>
      <c r="BG67" s="8"/>
      <c r="BH67" s="6"/>
      <c r="BI67" s="8"/>
      <c r="BJ67" s="8"/>
      <c r="BK67" s="6"/>
      <c r="BL67" s="8"/>
      <c r="BM67" s="8"/>
      <c r="BN67" s="6"/>
      <c r="BO67" s="8"/>
      <c r="BP67" s="8"/>
      <c r="BQ67" s="6"/>
      <c r="BR67" s="8"/>
    </row>
    <row r="68">
      <c r="A68" s="6"/>
      <c r="B68" s="6" t="s">
        <v>68</v>
      </c>
      <c r="C68" s="3" t="str">
        <f t="shared" si="1"/>
        <v>_clear white</v>
      </c>
      <c r="D68" s="3" t="str">
        <f t="shared" si="5"/>
        <v>#N/A</v>
      </c>
      <c r="E68" s="3" t="b">
        <f t="shared" si="2"/>
        <v>0</v>
      </c>
      <c r="G68" s="3" t="str">
        <f t="shared" si="3"/>
        <v>#N/A</v>
      </c>
      <c r="AU68" s="8"/>
      <c r="AV68" s="6"/>
      <c r="AW68" s="8"/>
      <c r="AX68" s="8"/>
      <c r="AY68" s="6"/>
      <c r="AZ68" s="8"/>
      <c r="BA68" s="8"/>
      <c r="BB68" s="6"/>
      <c r="BC68" s="8"/>
      <c r="BD68" s="8"/>
      <c r="BE68" s="6"/>
      <c r="BF68" s="8"/>
      <c r="BG68" s="8"/>
      <c r="BH68" s="6"/>
      <c r="BI68" s="8"/>
      <c r="BJ68" s="8"/>
      <c r="BK68" s="6"/>
      <c r="BL68" s="8"/>
      <c r="BM68" s="8"/>
      <c r="BN68" s="6"/>
      <c r="BO68" s="8"/>
      <c r="BP68" s="8"/>
      <c r="BQ68" s="6"/>
      <c r="BR68" s="8"/>
    </row>
    <row r="69">
      <c r="A69" s="6"/>
      <c r="B69" s="6" t="s">
        <v>69</v>
      </c>
      <c r="C69" s="3" t="str">
        <f t="shared" si="1"/>
        <v>_drab magenta</v>
      </c>
      <c r="D69" s="3" t="str">
        <f t="shared" si="5"/>
        <v>#N/A</v>
      </c>
      <c r="E69" s="3" t="b">
        <f t="shared" si="2"/>
        <v>0</v>
      </c>
      <c r="G69" s="3" t="str">
        <f t="shared" si="3"/>
        <v>#N/A</v>
      </c>
      <c r="AU69" s="8"/>
      <c r="AV69" s="6"/>
      <c r="AW69" s="8"/>
      <c r="AX69" s="8"/>
      <c r="AY69" s="6"/>
      <c r="AZ69" s="8"/>
      <c r="BA69" s="8"/>
      <c r="BB69" s="6"/>
      <c r="BC69" s="8"/>
      <c r="BD69" s="8"/>
      <c r="BE69" s="6"/>
      <c r="BF69" s="8"/>
      <c r="BG69" s="8"/>
      <c r="BH69" s="6"/>
      <c r="BI69" s="8"/>
      <c r="BJ69" s="8"/>
      <c r="BK69" s="6"/>
      <c r="BL69" s="8"/>
      <c r="BM69" s="8"/>
      <c r="BN69" s="6"/>
      <c r="BO69" s="8"/>
      <c r="BP69" s="8"/>
      <c r="BQ69" s="6"/>
      <c r="BR69" s="8"/>
    </row>
    <row r="70">
      <c r="A70" s="6"/>
      <c r="B70" s="6" t="s">
        <v>70</v>
      </c>
      <c r="C70" s="3" t="str">
        <f t="shared" si="1"/>
        <v>_plaid silver</v>
      </c>
      <c r="D70" s="3" t="str">
        <f t="shared" si="5"/>
        <v>#N/A</v>
      </c>
      <c r="E70" s="3" t="b">
        <f t="shared" si="2"/>
        <v>0</v>
      </c>
      <c r="G70" s="3" t="str">
        <f t="shared" si="3"/>
        <v>#N/A</v>
      </c>
      <c r="AU70" s="8"/>
      <c r="AV70" s="6"/>
      <c r="AW70" s="8"/>
      <c r="AX70" s="8"/>
      <c r="AY70" s="6"/>
      <c r="AZ70" s="8"/>
      <c r="BA70" s="8"/>
      <c r="BB70" s="6"/>
      <c r="BC70" s="8"/>
      <c r="BD70" s="8"/>
      <c r="BE70" s="6"/>
      <c r="BF70" s="8"/>
      <c r="BG70" s="8"/>
      <c r="BH70" s="6"/>
      <c r="BI70" s="8"/>
      <c r="BJ70" s="8"/>
      <c r="BK70" s="6"/>
      <c r="BL70" s="8"/>
      <c r="BM70" s="8"/>
      <c r="BN70" s="6"/>
      <c r="BO70" s="8"/>
      <c r="BP70" s="8"/>
      <c r="BQ70" s="6"/>
      <c r="BR70" s="8"/>
    </row>
    <row r="71">
      <c r="A71" s="6"/>
      <c r="B71" s="6" t="s">
        <v>71</v>
      </c>
      <c r="C71" s="3" t="str">
        <f t="shared" si="1"/>
        <v>_bright bronze</v>
      </c>
      <c r="D71" s="3" t="str">
        <f t="shared" si="5"/>
        <v>#N/A</v>
      </c>
      <c r="E71" s="3" t="b">
        <f t="shared" si="2"/>
        <v>0</v>
      </c>
      <c r="G71" s="3" t="str">
        <f t="shared" si="3"/>
        <v>#N/A</v>
      </c>
      <c r="AU71" s="8"/>
      <c r="AV71" s="6"/>
      <c r="AW71" s="8"/>
      <c r="AX71" s="8"/>
      <c r="AY71" s="6"/>
      <c r="AZ71" s="8"/>
      <c r="BA71" s="8"/>
      <c r="BB71" s="6"/>
      <c r="BC71" s="8"/>
      <c r="BD71" s="8"/>
      <c r="BE71" s="6"/>
      <c r="BF71" s="8"/>
      <c r="BG71" s="8"/>
      <c r="BH71" s="6"/>
      <c r="BI71" s="8"/>
      <c r="BJ71" s="8"/>
      <c r="BK71" s="6"/>
      <c r="BL71" s="8"/>
      <c r="BM71" s="8"/>
      <c r="BN71" s="6"/>
      <c r="BO71" s="8"/>
      <c r="BP71" s="8"/>
      <c r="BQ71" s="6"/>
      <c r="BR71" s="8"/>
    </row>
    <row r="72">
      <c r="A72" s="6"/>
      <c r="B72" s="6" t="s">
        <v>72</v>
      </c>
      <c r="C72" s="3" t="str">
        <f t="shared" si="1"/>
        <v>_drab maroon</v>
      </c>
      <c r="D72" s="3" t="str">
        <f t="shared" si="5"/>
        <v>#N/A</v>
      </c>
      <c r="E72" s="3" t="b">
        <f t="shared" si="2"/>
        <v>0</v>
      </c>
      <c r="G72" s="3" t="str">
        <f t="shared" si="3"/>
        <v>#N/A</v>
      </c>
      <c r="AU72" s="8"/>
      <c r="AV72" s="6"/>
      <c r="AW72" s="8"/>
      <c r="AX72" s="8"/>
      <c r="AY72" s="6"/>
      <c r="AZ72" s="8"/>
      <c r="BA72" s="8"/>
      <c r="BB72" s="6"/>
      <c r="BC72" s="8"/>
      <c r="BD72" s="8"/>
      <c r="BE72" s="6"/>
      <c r="BF72" s="8"/>
      <c r="BG72" s="8"/>
      <c r="BH72" s="6"/>
      <c r="BI72" s="8"/>
      <c r="BJ72" s="8"/>
      <c r="BK72" s="6"/>
      <c r="BL72" s="8"/>
      <c r="BM72" s="8"/>
      <c r="BN72" s="6"/>
      <c r="BO72" s="8"/>
      <c r="BP72" s="8"/>
      <c r="BQ72" s="6"/>
      <c r="BR72" s="8"/>
    </row>
    <row r="73">
      <c r="A73" s="6"/>
      <c r="B73" s="6" t="s">
        <v>73</v>
      </c>
      <c r="C73" s="3" t="str">
        <f t="shared" si="1"/>
        <v>_dark fuchsia</v>
      </c>
      <c r="D73" s="3" t="str">
        <f t="shared" si="5"/>
        <v>#N/A</v>
      </c>
      <c r="E73" s="3" t="b">
        <f t="shared" si="2"/>
        <v>0</v>
      </c>
      <c r="G73" s="3" t="str">
        <f t="shared" si="3"/>
        <v>#N/A</v>
      </c>
      <c r="AU73" s="8"/>
      <c r="AV73" s="6"/>
      <c r="AW73" s="8"/>
      <c r="AX73" s="8"/>
      <c r="AY73" s="6"/>
      <c r="AZ73" s="8"/>
      <c r="BA73" s="8"/>
      <c r="BB73" s="6"/>
      <c r="BC73" s="8"/>
      <c r="BD73" s="8"/>
      <c r="BE73" s="6"/>
      <c r="BF73" s="8"/>
      <c r="BG73" s="8"/>
      <c r="BH73" s="6"/>
      <c r="BI73" s="8"/>
      <c r="BJ73" s="8"/>
      <c r="BK73" s="6"/>
      <c r="BL73" s="8"/>
      <c r="BM73" s="8"/>
      <c r="BN73" s="6"/>
      <c r="BO73" s="8"/>
      <c r="BP73" s="8"/>
      <c r="BQ73" s="6"/>
      <c r="BR73" s="8"/>
    </row>
    <row r="74">
      <c r="A74" s="6"/>
      <c r="B74" s="6" t="s">
        <v>74</v>
      </c>
      <c r="C74" s="3" t="str">
        <f t="shared" si="1"/>
        <v>_vibrant salmon</v>
      </c>
      <c r="D74" s="3" t="str">
        <f t="shared" si="5"/>
        <v>#N/A</v>
      </c>
      <c r="E74" s="3" t="b">
        <f t="shared" si="2"/>
        <v>0</v>
      </c>
      <c r="G74" s="3" t="str">
        <f t="shared" si="3"/>
        <v>#N/A</v>
      </c>
      <c r="AU74" s="8"/>
      <c r="AV74" s="6"/>
      <c r="AW74" s="8"/>
      <c r="AX74" s="8"/>
      <c r="AY74" s="6"/>
      <c r="AZ74" s="8"/>
      <c r="BA74" s="8"/>
      <c r="BB74" s="6"/>
      <c r="BC74" s="8"/>
      <c r="BD74" s="8"/>
      <c r="BE74" s="6"/>
      <c r="BF74" s="8"/>
      <c r="BG74" s="8"/>
      <c r="BH74" s="6"/>
      <c r="BI74" s="8"/>
      <c r="BJ74" s="8"/>
      <c r="BK74" s="6"/>
      <c r="BL74" s="8"/>
      <c r="BM74" s="8"/>
      <c r="BN74" s="6"/>
      <c r="BO74" s="8"/>
      <c r="BP74" s="8"/>
      <c r="BQ74" s="6"/>
      <c r="BR74" s="8"/>
    </row>
    <row r="75">
      <c r="A75" s="6"/>
      <c r="B75" s="6" t="s">
        <v>75</v>
      </c>
      <c r="C75" s="3" t="str">
        <f t="shared" si="1"/>
        <v>_shiny crimson</v>
      </c>
      <c r="D75" s="3" t="str">
        <f t="shared" si="5"/>
        <v>#N/A</v>
      </c>
      <c r="E75" s="3" t="b">
        <f t="shared" si="2"/>
        <v>0</v>
      </c>
      <c r="G75" s="3" t="str">
        <f t="shared" si="3"/>
        <v>#N/A</v>
      </c>
      <c r="AU75" s="8"/>
      <c r="AV75" s="6"/>
      <c r="AW75" s="8"/>
      <c r="AX75" s="8"/>
      <c r="AY75" s="6"/>
      <c r="AZ75" s="8"/>
      <c r="BA75" s="8"/>
      <c r="BB75" s="6"/>
      <c r="BC75" s="8"/>
      <c r="BD75" s="8"/>
      <c r="BE75" s="6"/>
      <c r="BF75" s="8"/>
      <c r="BG75" s="8"/>
      <c r="BH75" s="6"/>
      <c r="BI75" s="8"/>
      <c r="BJ75" s="8"/>
      <c r="BK75" s="6"/>
      <c r="BL75" s="8"/>
      <c r="BM75" s="8"/>
      <c r="BN75" s="6"/>
      <c r="BO75" s="8"/>
      <c r="BP75" s="8"/>
      <c r="BQ75" s="6"/>
      <c r="BR75" s="8"/>
    </row>
    <row r="76">
      <c r="A76" s="6"/>
      <c r="B76" s="6" t="s">
        <v>76</v>
      </c>
      <c r="C76" s="3" t="str">
        <f t="shared" si="1"/>
        <v>_plaid crimson</v>
      </c>
      <c r="D76" s="3" t="str">
        <f t="shared" si="5"/>
        <v>#N/A</v>
      </c>
      <c r="E76" s="3" t="b">
        <f t="shared" si="2"/>
        <v>0</v>
      </c>
      <c r="G76" s="3" t="str">
        <f t="shared" si="3"/>
        <v>#N/A</v>
      </c>
      <c r="AU76" s="8"/>
      <c r="AV76" s="6"/>
      <c r="AW76" s="8"/>
      <c r="AX76" s="8"/>
      <c r="AY76" s="6"/>
      <c r="AZ76" s="8"/>
      <c r="BA76" s="8"/>
      <c r="BB76" s="6"/>
      <c r="BC76" s="8"/>
      <c r="BD76" s="8"/>
      <c r="BE76" s="6"/>
      <c r="BF76" s="8"/>
      <c r="BG76" s="8"/>
      <c r="BH76" s="6"/>
      <c r="BI76" s="8"/>
      <c r="BJ76" s="8"/>
      <c r="BK76" s="6"/>
      <c r="BL76" s="8"/>
      <c r="BM76" s="8"/>
      <c r="BN76" s="6"/>
      <c r="BO76" s="8"/>
      <c r="BP76" s="8"/>
      <c r="BQ76" s="6"/>
      <c r="BR76" s="8"/>
    </row>
    <row r="77">
      <c r="A77" s="6"/>
      <c r="B77" s="6" t="s">
        <v>77</v>
      </c>
      <c r="C77" s="3" t="str">
        <f t="shared" si="1"/>
        <v>_dim turquoise</v>
      </c>
      <c r="D77" s="3" t="str">
        <f t="shared" si="5"/>
        <v>#N/A</v>
      </c>
      <c r="E77" s="3" t="b">
        <f t="shared" si="2"/>
        <v>0</v>
      </c>
      <c r="G77" s="3" t="str">
        <f t="shared" si="3"/>
        <v>#N/A</v>
      </c>
      <c r="AU77" s="8"/>
      <c r="AV77" s="6"/>
      <c r="AW77" s="8"/>
      <c r="AX77" s="8"/>
      <c r="AY77" s="6"/>
      <c r="AZ77" s="8"/>
      <c r="BA77" s="8"/>
      <c r="BB77" s="6"/>
      <c r="BC77" s="8"/>
      <c r="BD77" s="8"/>
      <c r="BE77" s="6"/>
      <c r="BF77" s="8"/>
      <c r="BG77" s="8"/>
      <c r="BH77" s="6"/>
      <c r="BI77" s="8"/>
      <c r="BJ77" s="8"/>
      <c r="BK77" s="6"/>
      <c r="BL77" s="8"/>
      <c r="BM77" s="8"/>
      <c r="BN77" s="6"/>
      <c r="BO77" s="8"/>
      <c r="BP77" s="8"/>
      <c r="BQ77" s="6"/>
      <c r="BR77" s="8"/>
    </row>
    <row r="78">
      <c r="A78" s="6"/>
      <c r="B78" s="6" t="s">
        <v>78</v>
      </c>
      <c r="C78" s="3" t="str">
        <f t="shared" si="1"/>
        <v>_clear crimson</v>
      </c>
      <c r="D78" s="3" t="str">
        <f t="shared" si="5"/>
        <v>#N/A</v>
      </c>
      <c r="E78" s="3" t="b">
        <f t="shared" si="2"/>
        <v>0</v>
      </c>
      <c r="G78" s="3" t="str">
        <f t="shared" si="3"/>
        <v>#N/A</v>
      </c>
      <c r="AU78" s="8"/>
      <c r="AV78" s="6"/>
      <c r="AW78" s="8"/>
      <c r="AX78" s="8"/>
      <c r="AY78" s="6"/>
      <c r="AZ78" s="8"/>
      <c r="BA78" s="8"/>
      <c r="BB78" s="6"/>
      <c r="BC78" s="8"/>
      <c r="BD78" s="8"/>
      <c r="BE78" s="6"/>
      <c r="BF78" s="8"/>
      <c r="BG78" s="8"/>
      <c r="BH78" s="6"/>
      <c r="BI78" s="8"/>
      <c r="BJ78" s="8"/>
      <c r="BK78" s="6"/>
      <c r="BL78" s="8"/>
      <c r="BM78" s="8"/>
      <c r="BN78" s="6"/>
      <c r="BO78" s="8"/>
      <c r="BP78" s="8"/>
      <c r="BQ78" s="6"/>
      <c r="BR78" s="8"/>
    </row>
    <row r="79">
      <c r="A79" s="6"/>
      <c r="B79" s="6" t="s">
        <v>79</v>
      </c>
      <c r="C79" s="3" t="str">
        <f t="shared" si="1"/>
        <v>_pale tomato</v>
      </c>
      <c r="D79" s="3" t="str">
        <f t="shared" si="5"/>
        <v>#N/A</v>
      </c>
      <c r="E79" s="3" t="b">
        <f t="shared" si="2"/>
        <v>0</v>
      </c>
      <c r="G79" s="3" t="str">
        <f t="shared" si="3"/>
        <v>#N/A</v>
      </c>
      <c r="AU79" s="8"/>
      <c r="AV79" s="6"/>
      <c r="AW79" s="8"/>
      <c r="AX79" s="8"/>
      <c r="AY79" s="6"/>
      <c r="AZ79" s="8"/>
      <c r="BA79" s="8"/>
      <c r="BB79" s="6"/>
      <c r="BC79" s="8"/>
      <c r="BD79" s="8"/>
      <c r="BE79" s="6"/>
      <c r="BF79" s="8"/>
      <c r="BG79" s="8"/>
      <c r="BH79" s="6"/>
      <c r="BI79" s="8"/>
      <c r="BJ79" s="8"/>
      <c r="BK79" s="6"/>
      <c r="BL79" s="8"/>
      <c r="BM79" s="8"/>
      <c r="BN79" s="6"/>
      <c r="BO79" s="8"/>
      <c r="BP79" s="8"/>
      <c r="BQ79" s="6"/>
      <c r="BR79" s="8"/>
    </row>
    <row r="80">
      <c r="A80" s="6"/>
      <c r="B80" s="6" t="s">
        <v>80</v>
      </c>
      <c r="C80" s="3" t="str">
        <f t="shared" si="1"/>
        <v>_dim orange</v>
      </c>
      <c r="D80" s="3" t="str">
        <f t="shared" si="5"/>
        <v>#N/A</v>
      </c>
      <c r="E80" s="3" t="b">
        <f t="shared" si="2"/>
        <v>0</v>
      </c>
      <c r="G80" s="3" t="str">
        <f t="shared" si="3"/>
        <v>#N/A</v>
      </c>
      <c r="AU80" s="8"/>
      <c r="AV80" s="6"/>
      <c r="AW80" s="8"/>
      <c r="AX80" s="8"/>
      <c r="AY80" s="6"/>
      <c r="AZ80" s="8"/>
      <c r="BA80" s="8"/>
      <c r="BB80" s="6"/>
      <c r="BC80" s="8"/>
      <c r="BD80" s="8"/>
      <c r="BE80" s="6"/>
      <c r="BF80" s="8"/>
      <c r="BG80" s="8"/>
      <c r="BH80" s="6"/>
      <c r="BI80" s="8"/>
      <c r="BJ80" s="8"/>
      <c r="BK80" s="6"/>
      <c r="BL80" s="8"/>
      <c r="BM80" s="8"/>
      <c r="BN80" s="6"/>
      <c r="BO80" s="8"/>
      <c r="BP80" s="8"/>
      <c r="BQ80" s="6"/>
      <c r="BR80" s="8"/>
    </row>
    <row r="81">
      <c r="A81" s="6"/>
      <c r="B81" s="6" t="s">
        <v>81</v>
      </c>
      <c r="C81" s="3" t="str">
        <f t="shared" si="1"/>
        <v>_mirrored orange</v>
      </c>
      <c r="D81" s="3" t="str">
        <f t="shared" si="5"/>
        <v>#N/A</v>
      </c>
      <c r="E81" s="3" t="b">
        <f t="shared" si="2"/>
        <v>0</v>
      </c>
      <c r="G81" s="3" t="str">
        <f t="shared" si="3"/>
        <v>#N/A</v>
      </c>
      <c r="AU81" s="8"/>
      <c r="AV81" s="6"/>
      <c r="AW81" s="8"/>
      <c r="AX81" s="8"/>
      <c r="AY81" s="6"/>
      <c r="AZ81" s="8"/>
      <c r="BA81" s="8"/>
      <c r="BB81" s="6"/>
      <c r="BC81" s="8"/>
      <c r="BD81" s="8"/>
      <c r="BE81" s="6"/>
      <c r="BF81" s="8"/>
      <c r="BG81" s="8"/>
      <c r="BH81" s="6"/>
      <c r="BI81" s="8"/>
      <c r="BJ81" s="8"/>
      <c r="BK81" s="6"/>
      <c r="BL81" s="8"/>
      <c r="BM81" s="8"/>
      <c r="BN81" s="6"/>
      <c r="BO81" s="8"/>
      <c r="BP81" s="8"/>
      <c r="BQ81" s="6"/>
      <c r="BR81" s="8"/>
    </row>
    <row r="82">
      <c r="A82" s="6"/>
      <c r="B82" s="6" t="s">
        <v>82</v>
      </c>
      <c r="C82" s="3" t="str">
        <f t="shared" si="1"/>
        <v>_striped turquoise</v>
      </c>
      <c r="D82" s="3" t="str">
        <f t="shared" si="5"/>
        <v>#N/A</v>
      </c>
      <c r="E82" s="3" t="b">
        <f t="shared" si="2"/>
        <v>0</v>
      </c>
      <c r="G82" s="3" t="str">
        <f t="shared" si="3"/>
        <v>#N/A</v>
      </c>
      <c r="AU82" s="8"/>
      <c r="AV82" s="6"/>
      <c r="AW82" s="8"/>
      <c r="AX82" s="8"/>
      <c r="AY82" s="6"/>
      <c r="AZ82" s="8"/>
      <c r="BA82" s="8"/>
      <c r="BB82" s="6"/>
      <c r="BC82" s="8"/>
      <c r="BD82" s="8"/>
      <c r="BE82" s="6"/>
      <c r="BF82" s="8"/>
      <c r="BG82" s="8"/>
      <c r="BH82" s="6"/>
      <c r="BI82" s="8"/>
      <c r="BJ82" s="8"/>
      <c r="BK82" s="6"/>
      <c r="BL82" s="8"/>
      <c r="BM82" s="8"/>
      <c r="BN82" s="6"/>
      <c r="BO82" s="8"/>
      <c r="BP82" s="8"/>
      <c r="BQ82" s="6"/>
      <c r="BR82" s="8"/>
    </row>
    <row r="83">
      <c r="A83" s="6"/>
      <c r="B83" s="6" t="s">
        <v>83</v>
      </c>
      <c r="C83" s="3" t="str">
        <f t="shared" si="1"/>
        <v>_dotted coral</v>
      </c>
      <c r="D83" s="3" t="str">
        <f t="shared" si="5"/>
        <v>#N/A</v>
      </c>
      <c r="E83" s="3" t="b">
        <f t="shared" si="2"/>
        <v>0</v>
      </c>
      <c r="G83" s="3" t="str">
        <f t="shared" si="3"/>
        <v>#N/A</v>
      </c>
      <c r="AU83" s="8"/>
      <c r="AV83" s="6"/>
      <c r="AW83" s="8"/>
      <c r="AX83" s="8"/>
      <c r="AY83" s="6"/>
      <c r="AZ83" s="8"/>
      <c r="BA83" s="8"/>
      <c r="BB83" s="6"/>
      <c r="BC83" s="8"/>
      <c r="BD83" s="8"/>
      <c r="BE83" s="6"/>
      <c r="BF83" s="8"/>
      <c r="BG83" s="8"/>
      <c r="BH83" s="6"/>
      <c r="BI83" s="8"/>
      <c r="BJ83" s="8"/>
      <c r="BK83" s="6"/>
      <c r="BL83" s="8"/>
      <c r="BM83" s="8"/>
      <c r="BN83" s="6"/>
      <c r="BO83" s="8"/>
      <c r="BP83" s="8"/>
      <c r="BQ83" s="6"/>
      <c r="BR83" s="8"/>
    </row>
    <row r="84">
      <c r="A84" s="6"/>
      <c r="B84" s="6" t="s">
        <v>84</v>
      </c>
      <c r="C84" s="3" t="str">
        <f t="shared" si="1"/>
        <v>_wavy maroon</v>
      </c>
      <c r="D84" s="3" t="str">
        <f t="shared" si="5"/>
        <v>#N/A</v>
      </c>
      <c r="E84" s="3" t="b">
        <f t="shared" si="2"/>
        <v>0</v>
      </c>
      <c r="G84" s="3" t="str">
        <f t="shared" si="3"/>
        <v>#N/A</v>
      </c>
      <c r="AU84" s="8"/>
      <c r="AV84" s="6"/>
      <c r="AW84" s="8"/>
      <c r="AX84" s="8"/>
      <c r="AY84" s="6"/>
      <c r="AZ84" s="8"/>
      <c r="BA84" s="8"/>
      <c r="BB84" s="6"/>
      <c r="BC84" s="8"/>
      <c r="BD84" s="8"/>
      <c r="BE84" s="6"/>
      <c r="BF84" s="8"/>
      <c r="BG84" s="8"/>
      <c r="BH84" s="6"/>
      <c r="BI84" s="8"/>
      <c r="BJ84" s="8"/>
      <c r="BK84" s="6"/>
      <c r="BL84" s="8"/>
      <c r="BM84" s="8"/>
      <c r="BN84" s="6"/>
      <c r="BO84" s="8"/>
      <c r="BP84" s="8"/>
      <c r="BQ84" s="6"/>
      <c r="BR84" s="8"/>
    </row>
    <row r="85">
      <c r="A85" s="6"/>
      <c r="B85" s="6" t="s">
        <v>85</v>
      </c>
      <c r="C85" s="3" t="str">
        <f t="shared" si="1"/>
        <v>_mirrored indigo</v>
      </c>
      <c r="D85" s="3" t="str">
        <f t="shared" si="5"/>
        <v>#N/A</v>
      </c>
      <c r="E85" s="3" t="b">
        <f t="shared" si="2"/>
        <v>0</v>
      </c>
      <c r="G85" s="3" t="str">
        <f t="shared" si="3"/>
        <v>#N/A</v>
      </c>
      <c r="AU85" s="8"/>
      <c r="AV85" s="6"/>
      <c r="AW85" s="8"/>
      <c r="AX85" s="8"/>
      <c r="AY85" s="6"/>
      <c r="AZ85" s="8"/>
      <c r="BA85" s="8"/>
      <c r="BB85" s="6"/>
      <c r="BC85" s="8"/>
      <c r="BD85" s="8"/>
      <c r="BE85" s="6"/>
      <c r="BF85" s="8"/>
      <c r="BG85" s="8"/>
      <c r="BH85" s="6"/>
      <c r="BI85" s="8"/>
      <c r="BJ85" s="8"/>
      <c r="BK85" s="6"/>
      <c r="BL85" s="8"/>
      <c r="BM85" s="8"/>
      <c r="BN85" s="6"/>
      <c r="BO85" s="8"/>
      <c r="BP85" s="8"/>
      <c r="BQ85" s="6"/>
      <c r="BR85" s="8"/>
    </row>
    <row r="86">
      <c r="A86" s="6"/>
      <c r="B86" s="6" t="s">
        <v>86</v>
      </c>
      <c r="C86" s="3" t="str">
        <f t="shared" si="1"/>
        <v>_wavy indigo</v>
      </c>
      <c r="D86" s="3" t="str">
        <f t="shared" si="5"/>
        <v>#N/A</v>
      </c>
      <c r="E86" s="3" t="b">
        <f t="shared" si="2"/>
        <v>0</v>
      </c>
      <c r="G86" s="3" t="str">
        <f t="shared" si="3"/>
        <v>#N/A</v>
      </c>
      <c r="AU86" s="8"/>
      <c r="AV86" s="6"/>
      <c r="AW86" s="8"/>
      <c r="AX86" s="8"/>
      <c r="AY86" s="6"/>
      <c r="AZ86" s="8"/>
      <c r="BA86" s="8"/>
      <c r="BB86" s="6"/>
      <c r="BC86" s="8"/>
      <c r="BD86" s="8"/>
      <c r="BE86" s="6"/>
      <c r="BF86" s="8"/>
      <c r="BG86" s="8"/>
      <c r="BH86" s="6"/>
      <c r="BI86" s="8"/>
      <c r="BJ86" s="8"/>
      <c r="BK86" s="6"/>
      <c r="BL86" s="8"/>
      <c r="BM86" s="8"/>
      <c r="BN86" s="6"/>
      <c r="BO86" s="8"/>
      <c r="BP86" s="8"/>
      <c r="BQ86" s="6"/>
      <c r="BR86" s="8"/>
    </row>
    <row r="87">
      <c r="A87" s="6"/>
      <c r="B87" s="6" t="s">
        <v>87</v>
      </c>
      <c r="C87" s="3" t="str">
        <f t="shared" si="1"/>
        <v>_striped tomato</v>
      </c>
      <c r="D87" s="3" t="str">
        <f t="shared" si="5"/>
        <v>#N/A</v>
      </c>
      <c r="E87" s="3" t="b">
        <f t="shared" si="2"/>
        <v>0</v>
      </c>
      <c r="G87" s="3" t="str">
        <f t="shared" si="3"/>
        <v>#N/A</v>
      </c>
      <c r="AU87" s="8"/>
      <c r="AV87" s="6"/>
      <c r="AW87" s="8"/>
      <c r="AX87" s="8"/>
      <c r="AY87" s="6"/>
      <c r="AZ87" s="8"/>
      <c r="BA87" s="8"/>
      <c r="BB87" s="6"/>
      <c r="BC87" s="8"/>
      <c r="BD87" s="8"/>
      <c r="BE87" s="6"/>
      <c r="BF87" s="8"/>
      <c r="BG87" s="8"/>
      <c r="BH87" s="6"/>
      <c r="BI87" s="8"/>
      <c r="BJ87" s="8"/>
      <c r="BK87" s="6"/>
      <c r="BL87" s="8"/>
      <c r="BM87" s="8"/>
      <c r="BN87" s="6"/>
      <c r="BO87" s="8"/>
      <c r="BP87" s="8"/>
      <c r="BQ87" s="6"/>
      <c r="BR87" s="8"/>
    </row>
    <row r="88">
      <c r="A88" s="6"/>
      <c r="B88" s="6" t="s">
        <v>88</v>
      </c>
      <c r="C88" s="3" t="str">
        <f t="shared" si="1"/>
        <v>_pale lime</v>
      </c>
      <c r="D88" s="3" t="str">
        <f t="shared" si="5"/>
        <v>#N/A</v>
      </c>
      <c r="E88" s="3" t="b">
        <f t="shared" si="2"/>
        <v>0</v>
      </c>
      <c r="G88" s="3" t="str">
        <f t="shared" si="3"/>
        <v>#N/A</v>
      </c>
      <c r="AU88" s="8"/>
      <c r="AV88" s="6"/>
      <c r="AW88" s="8"/>
      <c r="AX88" s="8"/>
      <c r="AY88" s="6"/>
      <c r="AZ88" s="8"/>
      <c r="BA88" s="8"/>
      <c r="BB88" s="6"/>
      <c r="BC88" s="8"/>
      <c r="BD88" s="8"/>
      <c r="BE88" s="6"/>
      <c r="BF88" s="8"/>
      <c r="BG88" s="8"/>
      <c r="BH88" s="6"/>
      <c r="BI88" s="8"/>
      <c r="BJ88" s="8"/>
      <c r="BK88" s="6"/>
      <c r="BL88" s="8"/>
      <c r="BM88" s="8"/>
      <c r="BN88" s="6"/>
      <c r="BO88" s="8"/>
      <c r="BP88" s="8"/>
      <c r="BQ88" s="6"/>
      <c r="BR88" s="8"/>
    </row>
    <row r="89">
      <c r="A89" s="6"/>
      <c r="B89" s="6" t="s">
        <v>89</v>
      </c>
      <c r="C89" s="3" t="str">
        <f t="shared" si="1"/>
        <v>_muted maroon</v>
      </c>
      <c r="D89" s="3" t="str">
        <f t="shared" si="5"/>
        <v>#N/A</v>
      </c>
      <c r="E89" s="3" t="b">
        <f t="shared" si="2"/>
        <v>0</v>
      </c>
      <c r="G89" s="3" t="str">
        <f t="shared" si="3"/>
        <v>#N/A</v>
      </c>
      <c r="AU89" s="8"/>
      <c r="AV89" s="6"/>
      <c r="AW89" s="8"/>
      <c r="AX89" s="8"/>
      <c r="AY89" s="6"/>
      <c r="AZ89" s="8"/>
      <c r="BA89" s="8"/>
      <c r="BB89" s="6"/>
      <c r="BC89" s="8"/>
      <c r="BD89" s="8"/>
      <c r="BE89" s="6"/>
      <c r="BF89" s="8"/>
      <c r="BG89" s="8"/>
      <c r="BH89" s="6"/>
      <c r="BI89" s="8"/>
      <c r="BJ89" s="8"/>
      <c r="BK89" s="6"/>
      <c r="BL89" s="8"/>
      <c r="BM89" s="8"/>
      <c r="BN89" s="6"/>
      <c r="BO89" s="8"/>
      <c r="BP89" s="8"/>
      <c r="BQ89" s="6"/>
      <c r="BR89" s="8"/>
    </row>
    <row r="90">
      <c r="A90" s="6"/>
      <c r="B90" s="6" t="s">
        <v>90</v>
      </c>
      <c r="C90" s="3" t="str">
        <f t="shared" si="1"/>
        <v>_drab lavender</v>
      </c>
      <c r="D90" s="3" t="str">
        <f t="shared" si="5"/>
        <v>#N/A</v>
      </c>
      <c r="E90" s="3" t="b">
        <f t="shared" si="2"/>
        <v>0</v>
      </c>
      <c r="G90" s="3" t="str">
        <f t="shared" si="3"/>
        <v>#N/A</v>
      </c>
      <c r="AU90" s="8"/>
      <c r="AV90" s="6"/>
      <c r="AW90" s="8"/>
      <c r="AX90" s="8"/>
      <c r="AY90" s="6"/>
      <c r="AZ90" s="8"/>
      <c r="BA90" s="8"/>
      <c r="BB90" s="6"/>
      <c r="BC90" s="8"/>
      <c r="BD90" s="8"/>
      <c r="BE90" s="6"/>
      <c r="BF90" s="8"/>
      <c r="BG90" s="8"/>
      <c r="BH90" s="6"/>
      <c r="BI90" s="8"/>
      <c r="BJ90" s="8"/>
      <c r="BK90" s="6"/>
      <c r="BL90" s="8"/>
      <c r="BM90" s="8"/>
      <c r="BN90" s="6"/>
      <c r="BO90" s="8"/>
      <c r="BP90" s="8"/>
      <c r="BQ90" s="6"/>
      <c r="BR90" s="8"/>
    </row>
    <row r="91">
      <c r="A91" s="6"/>
      <c r="B91" s="6" t="s">
        <v>91</v>
      </c>
      <c r="C91" s="3" t="str">
        <f t="shared" si="1"/>
        <v>_bright fuchsia</v>
      </c>
      <c r="D91" s="3" t="str">
        <f t="shared" si="5"/>
        <v>#N/A</v>
      </c>
      <c r="E91" s="3" t="b">
        <f t="shared" si="2"/>
        <v>0</v>
      </c>
      <c r="G91" s="3" t="str">
        <f t="shared" si="3"/>
        <v>#N/A</v>
      </c>
      <c r="AU91" s="8"/>
      <c r="AV91" s="6"/>
      <c r="AW91" s="8"/>
      <c r="AX91" s="8"/>
      <c r="AY91" s="6"/>
      <c r="AZ91" s="8"/>
      <c r="BA91" s="8"/>
      <c r="BB91" s="6"/>
      <c r="BC91" s="8"/>
      <c r="BD91" s="8"/>
      <c r="BE91" s="6"/>
      <c r="BF91" s="8"/>
      <c r="BG91" s="8"/>
      <c r="BH91" s="6"/>
      <c r="BI91" s="8"/>
      <c r="BJ91" s="8"/>
      <c r="BK91" s="6"/>
      <c r="BL91" s="8"/>
      <c r="BM91" s="8"/>
      <c r="BN91" s="6"/>
      <c r="BO91" s="8"/>
      <c r="BP91" s="8"/>
      <c r="BQ91" s="6"/>
      <c r="BR91" s="8"/>
    </row>
    <row r="92">
      <c r="A92" s="6"/>
      <c r="B92" s="6" t="s">
        <v>92</v>
      </c>
      <c r="C92" s="3" t="str">
        <f t="shared" si="1"/>
        <v>_wavy beige</v>
      </c>
      <c r="D92" s="3" t="str">
        <f t="shared" si="5"/>
        <v>#N/A</v>
      </c>
      <c r="E92" s="3" t="b">
        <f t="shared" si="2"/>
        <v>0</v>
      </c>
      <c r="G92" s="3" t="str">
        <f t="shared" si="3"/>
        <v>#N/A</v>
      </c>
      <c r="AU92" s="8"/>
      <c r="AV92" s="6"/>
      <c r="AW92" s="8"/>
      <c r="AX92" s="8"/>
      <c r="AY92" s="6"/>
      <c r="AZ92" s="8"/>
      <c r="BA92" s="8"/>
      <c r="BB92" s="6"/>
      <c r="BC92" s="8"/>
      <c r="BD92" s="8"/>
      <c r="BE92" s="6"/>
      <c r="BF92" s="8"/>
      <c r="BG92" s="8"/>
      <c r="BH92" s="6"/>
      <c r="BI92" s="8"/>
      <c r="BJ92" s="8"/>
      <c r="BK92" s="6"/>
      <c r="BL92" s="8"/>
      <c r="BM92" s="8"/>
      <c r="BN92" s="6"/>
      <c r="BO92" s="8"/>
      <c r="BP92" s="8"/>
      <c r="BQ92" s="6"/>
      <c r="BR92" s="8"/>
    </row>
    <row r="93">
      <c r="A93" s="6"/>
      <c r="B93" s="6" t="s">
        <v>93</v>
      </c>
      <c r="C93" s="3" t="str">
        <f t="shared" si="1"/>
        <v>_shiny olive</v>
      </c>
      <c r="D93" s="3" t="str">
        <f t="shared" si="5"/>
        <v>#N/A</v>
      </c>
      <c r="E93" s="3" t="b">
        <f t="shared" si="2"/>
        <v>0</v>
      </c>
      <c r="G93" s="3" t="str">
        <f t="shared" si="3"/>
        <v>#N/A</v>
      </c>
      <c r="AU93" s="8"/>
      <c r="AV93" s="6"/>
      <c r="AW93" s="8"/>
      <c r="AX93" s="8"/>
      <c r="AY93" s="6"/>
      <c r="AZ93" s="8"/>
      <c r="BA93" s="8"/>
      <c r="BB93" s="6"/>
      <c r="BC93" s="8"/>
      <c r="BD93" s="8"/>
      <c r="BE93" s="6"/>
      <c r="BF93" s="8"/>
      <c r="BG93" s="8"/>
      <c r="BH93" s="6"/>
      <c r="BI93" s="8"/>
      <c r="BJ93" s="8"/>
      <c r="BK93" s="6"/>
      <c r="BL93" s="8"/>
      <c r="BM93" s="8"/>
      <c r="BN93" s="6"/>
      <c r="BO93" s="8"/>
      <c r="BP93" s="8"/>
      <c r="BQ93" s="6"/>
      <c r="BR93" s="8"/>
    </row>
    <row r="94">
      <c r="A94" s="6"/>
      <c r="B94" s="6" t="s">
        <v>94</v>
      </c>
      <c r="C94" s="3" t="str">
        <f t="shared" si="1"/>
        <v>_posh coral</v>
      </c>
      <c r="D94" s="3" t="str">
        <f t="shared" si="5"/>
        <v>#N/A</v>
      </c>
      <c r="E94" s="3" t="b">
        <f t="shared" si="2"/>
        <v>0</v>
      </c>
      <c r="G94" s="3" t="str">
        <f t="shared" si="3"/>
        <v>#N/A</v>
      </c>
      <c r="AU94" s="8"/>
      <c r="AV94" s="6"/>
      <c r="AW94" s="8"/>
      <c r="AX94" s="8"/>
      <c r="AY94" s="6"/>
      <c r="AZ94" s="8"/>
      <c r="BA94" s="8"/>
      <c r="BB94" s="6"/>
      <c r="BC94" s="8"/>
      <c r="BD94" s="8"/>
      <c r="BE94" s="6"/>
      <c r="BF94" s="8"/>
      <c r="BG94" s="8"/>
      <c r="BH94" s="6"/>
      <c r="BI94" s="8"/>
      <c r="BJ94" s="8"/>
      <c r="BK94" s="6"/>
      <c r="BL94" s="8"/>
      <c r="BM94" s="8"/>
      <c r="BN94" s="6"/>
      <c r="BO94" s="8"/>
      <c r="BP94" s="8"/>
      <c r="BQ94" s="6"/>
      <c r="BR94" s="8"/>
    </row>
    <row r="95">
      <c r="A95" s="6"/>
      <c r="B95" s="6" t="s">
        <v>95</v>
      </c>
      <c r="C95" s="3" t="str">
        <f t="shared" si="1"/>
        <v>_dark green</v>
      </c>
      <c r="D95" s="3" t="str">
        <f t="shared" si="5"/>
        <v>#N/A</v>
      </c>
      <c r="E95" s="3" t="b">
        <f t="shared" si="2"/>
        <v>0</v>
      </c>
      <c r="G95" s="3" t="str">
        <f t="shared" si="3"/>
        <v>#N/A</v>
      </c>
      <c r="AU95" s="8"/>
      <c r="AV95" s="6"/>
      <c r="AW95" s="8"/>
      <c r="AX95" s="8"/>
      <c r="AY95" s="6"/>
      <c r="AZ95" s="8"/>
      <c r="BA95" s="8"/>
      <c r="BB95" s="6"/>
      <c r="BC95" s="8"/>
      <c r="BD95" s="8"/>
      <c r="BE95" s="6"/>
      <c r="BF95" s="8"/>
      <c r="BG95" s="8"/>
      <c r="BH95" s="6"/>
      <c r="BI95" s="8"/>
      <c r="BJ95" s="8"/>
      <c r="BK95" s="6"/>
      <c r="BL95" s="8"/>
      <c r="BM95" s="8"/>
      <c r="BN95" s="6"/>
      <c r="BO95" s="8"/>
      <c r="BP95" s="8"/>
      <c r="BQ95" s="6"/>
      <c r="BR95" s="8"/>
    </row>
    <row r="96">
      <c r="A96" s="6"/>
      <c r="B96" s="6" t="s">
        <v>96</v>
      </c>
      <c r="C96" s="3" t="str">
        <f t="shared" si="1"/>
        <v>_shiny green</v>
      </c>
      <c r="D96" s="3" t="str">
        <f t="shared" si="5"/>
        <v>#N/A</v>
      </c>
      <c r="E96" s="3" t="b">
        <f t="shared" si="2"/>
        <v>0</v>
      </c>
      <c r="G96" s="3" t="str">
        <f t="shared" si="3"/>
        <v>#N/A</v>
      </c>
      <c r="AU96" s="8"/>
      <c r="AV96" s="6"/>
      <c r="AW96" s="8"/>
      <c r="AX96" s="8"/>
      <c r="AY96" s="6"/>
      <c r="AZ96" s="8"/>
      <c r="BA96" s="8"/>
      <c r="BB96" s="6"/>
      <c r="BC96" s="8"/>
      <c r="BD96" s="8"/>
      <c r="BE96" s="6"/>
      <c r="BF96" s="8"/>
      <c r="BG96" s="8"/>
      <c r="BH96" s="6"/>
      <c r="BI96" s="8"/>
      <c r="BJ96" s="8"/>
      <c r="BK96" s="6"/>
      <c r="BL96" s="8"/>
      <c r="BM96" s="8"/>
      <c r="BN96" s="6"/>
      <c r="BO96" s="8"/>
      <c r="BP96" s="8"/>
      <c r="BQ96" s="6"/>
      <c r="BR96" s="8"/>
    </row>
    <row r="97">
      <c r="A97" s="6"/>
      <c r="B97" s="6" t="s">
        <v>97</v>
      </c>
      <c r="C97" s="3" t="str">
        <f t="shared" si="1"/>
        <v>_clear coral</v>
      </c>
      <c r="D97" s="3" t="str">
        <f t="shared" si="5"/>
        <v>#N/A</v>
      </c>
      <c r="E97" s="3" t="b">
        <f t="shared" si="2"/>
        <v>0</v>
      </c>
      <c r="G97" s="3" t="str">
        <f t="shared" si="3"/>
        <v>#N/A</v>
      </c>
      <c r="AU97" s="8"/>
      <c r="AV97" s="6"/>
      <c r="AW97" s="8"/>
      <c r="AX97" s="8"/>
      <c r="AY97" s="6"/>
      <c r="AZ97" s="8"/>
      <c r="BA97" s="8"/>
      <c r="BB97" s="6"/>
      <c r="BC97" s="8"/>
      <c r="BD97" s="8"/>
      <c r="BE97" s="6"/>
      <c r="BF97" s="8"/>
      <c r="BG97" s="8"/>
      <c r="BH97" s="6"/>
      <c r="BI97" s="8"/>
      <c r="BJ97" s="8"/>
      <c r="BK97" s="6"/>
      <c r="BL97" s="8"/>
      <c r="BM97" s="8"/>
      <c r="BN97" s="6"/>
      <c r="BO97" s="8"/>
      <c r="BP97" s="8"/>
      <c r="BQ97" s="6"/>
      <c r="BR97" s="8"/>
    </row>
    <row r="98">
      <c r="A98" s="6"/>
      <c r="B98" s="6" t="s">
        <v>98</v>
      </c>
      <c r="C98" s="3" t="str">
        <f t="shared" si="1"/>
        <v>_dull salmon</v>
      </c>
      <c r="D98" s="3" t="str">
        <f t="shared" si="5"/>
        <v>#N/A</v>
      </c>
      <c r="E98" s="3" t="b">
        <f t="shared" si="2"/>
        <v>0</v>
      </c>
      <c r="G98" s="3" t="str">
        <f t="shared" si="3"/>
        <v>#N/A</v>
      </c>
      <c r="AU98" s="8"/>
      <c r="AV98" s="6"/>
      <c r="AW98" s="8"/>
      <c r="AX98" s="8"/>
      <c r="AY98" s="6"/>
      <c r="AZ98" s="8"/>
      <c r="BA98" s="8"/>
      <c r="BB98" s="6"/>
      <c r="BC98" s="8"/>
      <c r="BD98" s="8"/>
      <c r="BE98" s="6"/>
      <c r="BF98" s="8"/>
      <c r="BG98" s="8"/>
      <c r="BH98" s="6"/>
      <c r="BI98" s="8"/>
      <c r="BJ98" s="8"/>
      <c r="BK98" s="6"/>
      <c r="BL98" s="8"/>
      <c r="BM98" s="8"/>
      <c r="BN98" s="6"/>
      <c r="BO98" s="8"/>
      <c r="BP98" s="8"/>
      <c r="BQ98" s="6"/>
      <c r="BR98" s="8"/>
    </row>
    <row r="99">
      <c r="A99" s="6"/>
      <c r="B99" s="6" t="s">
        <v>99</v>
      </c>
      <c r="C99" s="3" t="str">
        <f t="shared" si="1"/>
        <v>_dark lavender</v>
      </c>
      <c r="D99" s="3" t="str">
        <f t="shared" si="5"/>
        <v>#N/A</v>
      </c>
      <c r="E99" s="3" t="b">
        <f t="shared" si="2"/>
        <v>0</v>
      </c>
      <c r="G99" s="3" t="str">
        <f t="shared" si="3"/>
        <v>#N/A</v>
      </c>
      <c r="AU99" s="8"/>
      <c r="AV99" s="6"/>
      <c r="AW99" s="8"/>
      <c r="AX99" s="8"/>
      <c r="AY99" s="6"/>
      <c r="AZ99" s="8"/>
      <c r="BA99" s="8"/>
      <c r="BB99" s="6"/>
      <c r="BC99" s="8"/>
      <c r="BD99" s="8"/>
      <c r="BE99" s="6"/>
      <c r="BF99" s="8"/>
      <c r="BG99" s="8"/>
      <c r="BH99" s="6"/>
      <c r="BI99" s="8"/>
      <c r="BJ99" s="8"/>
      <c r="BK99" s="6"/>
      <c r="BL99" s="8"/>
      <c r="BM99" s="8"/>
      <c r="BN99" s="6"/>
      <c r="BO99" s="8"/>
      <c r="BP99" s="8"/>
      <c r="BQ99" s="6"/>
      <c r="BR99" s="8"/>
    </row>
    <row r="100">
      <c r="A100" s="6"/>
      <c r="B100" s="6" t="s">
        <v>100</v>
      </c>
      <c r="C100" s="3" t="str">
        <f t="shared" si="1"/>
        <v>_bright silver</v>
      </c>
      <c r="D100" s="3" t="str">
        <f t="shared" si="5"/>
        <v>#N/A</v>
      </c>
      <c r="E100" s="3" t="b">
        <f t="shared" si="2"/>
        <v>0</v>
      </c>
      <c r="G100" s="3" t="str">
        <f t="shared" si="3"/>
        <v>#N/A</v>
      </c>
      <c r="AU100" s="8"/>
      <c r="AV100" s="6"/>
      <c r="AW100" s="8"/>
      <c r="AX100" s="8"/>
      <c r="AY100" s="6"/>
      <c r="AZ100" s="8"/>
      <c r="BA100" s="8"/>
      <c r="BB100" s="6"/>
      <c r="BC100" s="8"/>
      <c r="BD100" s="8"/>
      <c r="BE100" s="6"/>
      <c r="BF100" s="8"/>
      <c r="BG100" s="8"/>
      <c r="BH100" s="6"/>
      <c r="BI100" s="8"/>
      <c r="BJ100" s="8"/>
      <c r="BK100" s="6"/>
      <c r="BL100" s="8"/>
      <c r="BM100" s="8"/>
      <c r="BN100" s="6"/>
      <c r="BO100" s="8"/>
      <c r="BP100" s="8"/>
      <c r="BQ100" s="6"/>
      <c r="BR100" s="8"/>
    </row>
    <row r="101">
      <c r="A101" s="6"/>
      <c r="B101" s="6" t="s">
        <v>101</v>
      </c>
      <c r="C101" s="3" t="str">
        <f t="shared" si="1"/>
        <v>_posh green</v>
      </c>
      <c r="D101" s="3" t="str">
        <f t="shared" si="5"/>
        <v>#N/A</v>
      </c>
      <c r="E101" s="3" t="b">
        <f t="shared" si="2"/>
        <v>0</v>
      </c>
      <c r="G101" s="3" t="str">
        <f t="shared" si="3"/>
        <v>#N/A</v>
      </c>
      <c r="AU101" s="8"/>
      <c r="AV101" s="6"/>
      <c r="AW101" s="8"/>
      <c r="AX101" s="8"/>
      <c r="AY101" s="6"/>
      <c r="AZ101" s="8"/>
      <c r="BA101" s="8"/>
      <c r="BB101" s="6"/>
      <c r="BC101" s="8"/>
      <c r="BD101" s="8"/>
      <c r="BE101" s="6"/>
      <c r="BF101" s="8"/>
      <c r="BG101" s="8"/>
      <c r="BH101" s="6"/>
      <c r="BI101" s="8"/>
      <c r="BJ101" s="8"/>
      <c r="BK101" s="6"/>
      <c r="BL101" s="8"/>
      <c r="BM101" s="8"/>
      <c r="BN101" s="6"/>
      <c r="BO101" s="8"/>
      <c r="BP101" s="8"/>
      <c r="BQ101" s="6"/>
      <c r="BR101" s="8"/>
    </row>
    <row r="102">
      <c r="A102" s="6"/>
      <c r="B102" s="6" t="s">
        <v>102</v>
      </c>
      <c r="C102" s="3" t="str">
        <f t="shared" si="1"/>
        <v>_dotted fuchsia</v>
      </c>
      <c r="D102" s="3" t="str">
        <f t="shared" si="5"/>
        <v>#N/A</v>
      </c>
      <c r="E102" s="3" t="b">
        <f t="shared" si="2"/>
        <v>0</v>
      </c>
      <c r="G102" s="3" t="str">
        <f t="shared" si="3"/>
        <v>#N/A</v>
      </c>
      <c r="AU102" s="8"/>
      <c r="AV102" s="6"/>
      <c r="AW102" s="8"/>
      <c r="AX102" s="8"/>
      <c r="AY102" s="6"/>
      <c r="AZ102" s="8"/>
      <c r="BA102" s="8"/>
      <c r="BB102" s="6"/>
      <c r="BC102" s="8"/>
      <c r="BD102" s="8"/>
      <c r="BE102" s="6"/>
      <c r="BF102" s="8"/>
      <c r="BG102" s="8"/>
      <c r="BH102" s="6"/>
      <c r="BI102" s="8"/>
      <c r="BJ102" s="8"/>
      <c r="BK102" s="6"/>
      <c r="BL102" s="8"/>
      <c r="BM102" s="8"/>
      <c r="BN102" s="6"/>
      <c r="BO102" s="8"/>
      <c r="BP102" s="8"/>
      <c r="BQ102" s="6"/>
      <c r="BR102" s="8"/>
    </row>
    <row r="103">
      <c r="A103" s="6"/>
      <c r="B103" s="6" t="s">
        <v>103</v>
      </c>
      <c r="C103" s="3" t="str">
        <f t="shared" si="1"/>
        <v>_dim fuchsia</v>
      </c>
      <c r="D103" s="3" t="str">
        <f t="shared" si="5"/>
        <v>#N/A</v>
      </c>
      <c r="E103" s="3" t="b">
        <f t="shared" si="2"/>
        <v>0</v>
      </c>
      <c r="G103" s="3" t="str">
        <f t="shared" si="3"/>
        <v>#N/A</v>
      </c>
      <c r="AU103" s="8"/>
      <c r="AV103" s="6"/>
      <c r="AW103" s="8"/>
      <c r="AX103" s="8"/>
      <c r="AY103" s="6"/>
      <c r="AZ103" s="8"/>
      <c r="BA103" s="8"/>
      <c r="BB103" s="6"/>
      <c r="BC103" s="8"/>
      <c r="BD103" s="8"/>
      <c r="BE103" s="6"/>
      <c r="BF103" s="8"/>
      <c r="BG103" s="8"/>
      <c r="BH103" s="6"/>
      <c r="BI103" s="8"/>
      <c r="BJ103" s="8"/>
      <c r="BK103" s="6"/>
      <c r="BL103" s="8"/>
      <c r="BM103" s="8"/>
      <c r="BN103" s="6"/>
      <c r="BO103" s="8"/>
      <c r="BP103" s="8"/>
      <c r="BQ103" s="6"/>
      <c r="BR103" s="8"/>
    </row>
    <row r="104">
      <c r="A104" s="6"/>
      <c r="B104" s="6" t="s">
        <v>104</v>
      </c>
      <c r="C104" s="3" t="str">
        <f t="shared" si="1"/>
        <v>_dotted cyan</v>
      </c>
      <c r="D104" s="3" t="str">
        <f t="shared" si="5"/>
        <v>#N/A</v>
      </c>
      <c r="E104" s="3" t="b">
        <f t="shared" si="2"/>
        <v>0</v>
      </c>
      <c r="G104" s="3" t="str">
        <f t="shared" si="3"/>
        <v>#N/A</v>
      </c>
      <c r="AU104" s="8"/>
      <c r="AV104" s="6"/>
      <c r="AW104" s="8"/>
      <c r="AX104" s="8"/>
      <c r="AY104" s="6"/>
      <c r="AZ104" s="8"/>
      <c r="BA104" s="8"/>
      <c r="BB104" s="6"/>
      <c r="BC104" s="8"/>
      <c r="BD104" s="8"/>
      <c r="BE104" s="6"/>
      <c r="BF104" s="8"/>
      <c r="BG104" s="8"/>
      <c r="BH104" s="6"/>
      <c r="BI104" s="8"/>
      <c r="BJ104" s="8"/>
      <c r="BK104" s="6"/>
      <c r="BL104" s="8"/>
      <c r="BM104" s="8"/>
      <c r="BN104" s="6"/>
      <c r="BO104" s="8"/>
      <c r="BP104" s="8"/>
      <c r="BQ104" s="6"/>
      <c r="BR104" s="8"/>
    </row>
    <row r="105">
      <c r="A105" s="6"/>
      <c r="B105" s="6" t="s">
        <v>105</v>
      </c>
      <c r="C105" s="3" t="str">
        <f t="shared" si="1"/>
        <v>_dark beige</v>
      </c>
      <c r="D105" s="3" t="str">
        <f t="shared" si="5"/>
        <v>#N/A</v>
      </c>
      <c r="E105" s="3" t="b">
        <f t="shared" si="2"/>
        <v>0</v>
      </c>
      <c r="G105" s="3" t="str">
        <f t="shared" si="3"/>
        <v>#N/A</v>
      </c>
      <c r="AU105" s="8"/>
      <c r="AV105" s="6"/>
      <c r="AW105" s="8"/>
      <c r="AX105" s="8"/>
      <c r="AY105" s="6"/>
      <c r="AZ105" s="8"/>
      <c r="BA105" s="8"/>
      <c r="BB105" s="6"/>
      <c r="BC105" s="8"/>
      <c r="BD105" s="8"/>
      <c r="BE105" s="6"/>
      <c r="BF105" s="8"/>
      <c r="BG105" s="8"/>
      <c r="BH105" s="6"/>
      <c r="BI105" s="8"/>
      <c r="BJ105" s="8"/>
      <c r="BK105" s="6"/>
      <c r="BL105" s="8"/>
      <c r="BM105" s="8"/>
      <c r="BN105" s="6"/>
      <c r="BO105" s="8"/>
      <c r="BP105" s="8"/>
      <c r="BQ105" s="6"/>
      <c r="BR105" s="8"/>
    </row>
    <row r="106">
      <c r="A106" s="6"/>
      <c r="B106" s="6" t="s">
        <v>106</v>
      </c>
      <c r="C106" s="3" t="str">
        <f t="shared" si="1"/>
        <v>_striped magenta</v>
      </c>
      <c r="D106" s="3" t="str">
        <f t="shared" si="5"/>
        <v>#N/A</v>
      </c>
      <c r="E106" s="3" t="b">
        <f t="shared" si="2"/>
        <v>0</v>
      </c>
      <c r="G106" s="3" t="str">
        <f t="shared" si="3"/>
        <v>#N/A</v>
      </c>
      <c r="AU106" s="8"/>
      <c r="AV106" s="6"/>
      <c r="AW106" s="8"/>
      <c r="AX106" s="8"/>
      <c r="AY106" s="6"/>
      <c r="AZ106" s="8"/>
      <c r="BA106" s="8"/>
      <c r="BB106" s="6"/>
      <c r="BC106" s="8"/>
      <c r="BD106" s="8"/>
      <c r="BE106" s="6"/>
      <c r="BF106" s="8"/>
      <c r="BG106" s="8"/>
      <c r="BH106" s="6"/>
      <c r="BI106" s="8"/>
      <c r="BJ106" s="8"/>
      <c r="BK106" s="6"/>
      <c r="BL106" s="8"/>
      <c r="BM106" s="8"/>
      <c r="BN106" s="6"/>
      <c r="BO106" s="8"/>
      <c r="BP106" s="8"/>
      <c r="BQ106" s="6"/>
      <c r="BR106" s="8"/>
    </row>
    <row r="107">
      <c r="A107" s="6"/>
      <c r="B107" s="6" t="s">
        <v>107</v>
      </c>
      <c r="C107" s="3" t="str">
        <f t="shared" si="1"/>
        <v>_striped blue</v>
      </c>
      <c r="D107" s="3" t="str">
        <f t="shared" si="5"/>
        <v>#N/A</v>
      </c>
      <c r="E107" s="3" t="b">
        <f t="shared" si="2"/>
        <v>0</v>
      </c>
      <c r="G107" s="3" t="str">
        <f t="shared" si="3"/>
        <v>#N/A</v>
      </c>
      <c r="AU107" s="8"/>
      <c r="AV107" s="6"/>
      <c r="AW107" s="8"/>
      <c r="AX107" s="8"/>
      <c r="AY107" s="6"/>
      <c r="AZ107" s="8"/>
      <c r="BA107" s="8"/>
      <c r="BB107" s="6"/>
      <c r="BC107" s="8"/>
      <c r="BD107" s="8"/>
      <c r="BE107" s="6"/>
      <c r="BF107" s="8"/>
      <c r="BG107" s="8"/>
      <c r="BH107" s="6"/>
      <c r="BI107" s="8"/>
      <c r="BJ107" s="8"/>
      <c r="BK107" s="6"/>
      <c r="BL107" s="8"/>
      <c r="BM107" s="8"/>
      <c r="BN107" s="6"/>
      <c r="BO107" s="8"/>
      <c r="BP107" s="8"/>
      <c r="BQ107" s="6"/>
      <c r="BR107" s="8"/>
    </row>
    <row r="108">
      <c r="A108" s="6"/>
      <c r="B108" s="6" t="s">
        <v>108</v>
      </c>
      <c r="C108" s="3" t="str">
        <f t="shared" si="1"/>
        <v>_light silver</v>
      </c>
      <c r="D108" s="3" t="str">
        <f t="shared" si="5"/>
        <v>#N/A</v>
      </c>
      <c r="E108" s="3" t="b">
        <f t="shared" si="2"/>
        <v>0</v>
      </c>
      <c r="G108" s="3" t="str">
        <f t="shared" si="3"/>
        <v>#N/A</v>
      </c>
      <c r="AU108" s="8"/>
      <c r="AV108" s="6"/>
      <c r="AW108" s="8"/>
      <c r="AX108" s="8"/>
      <c r="AY108" s="6"/>
      <c r="AZ108" s="8"/>
      <c r="BA108" s="8"/>
      <c r="BB108" s="6"/>
      <c r="BC108" s="8"/>
      <c r="BD108" s="8"/>
      <c r="BE108" s="6"/>
      <c r="BF108" s="8"/>
      <c r="BG108" s="8"/>
      <c r="BH108" s="6"/>
      <c r="BI108" s="8"/>
      <c r="BJ108" s="8"/>
      <c r="BK108" s="6"/>
      <c r="BL108" s="8"/>
      <c r="BM108" s="8"/>
      <c r="BN108" s="6"/>
      <c r="BO108" s="8"/>
      <c r="BP108" s="8"/>
      <c r="BQ108" s="6"/>
      <c r="BR108" s="8"/>
    </row>
    <row r="109">
      <c r="A109" s="6"/>
      <c r="B109" s="6" t="s">
        <v>109</v>
      </c>
      <c r="C109" s="3" t="str">
        <f t="shared" si="1"/>
        <v>_pale indigo</v>
      </c>
      <c r="D109" s="3" t="str">
        <f t="shared" si="5"/>
        <v>#N/A</v>
      </c>
      <c r="E109" s="3" t="b">
        <f t="shared" si="2"/>
        <v>0</v>
      </c>
      <c r="G109" s="3" t="str">
        <f t="shared" si="3"/>
        <v>#N/A</v>
      </c>
      <c r="AU109" s="8"/>
      <c r="AV109" s="6"/>
      <c r="AW109" s="8"/>
      <c r="AX109" s="8"/>
      <c r="AY109" s="6"/>
      <c r="AZ109" s="8"/>
      <c r="BA109" s="8"/>
      <c r="BB109" s="6"/>
      <c r="BC109" s="8"/>
      <c r="BD109" s="8"/>
      <c r="BE109" s="6"/>
      <c r="BF109" s="8"/>
      <c r="BG109" s="8"/>
      <c r="BH109" s="6"/>
      <c r="BI109" s="8"/>
      <c r="BJ109" s="8"/>
      <c r="BK109" s="6"/>
      <c r="BL109" s="8"/>
      <c r="BM109" s="8"/>
      <c r="BN109" s="6"/>
      <c r="BO109" s="8"/>
      <c r="BP109" s="8"/>
      <c r="BQ109" s="6"/>
      <c r="BR109" s="8"/>
    </row>
    <row r="110">
      <c r="A110" s="6"/>
      <c r="B110" s="6" t="s">
        <v>110</v>
      </c>
      <c r="C110" s="3" t="str">
        <f t="shared" si="1"/>
        <v>_mirrored turquoise</v>
      </c>
      <c r="D110" s="3" t="str">
        <f t="shared" si="5"/>
        <v>#N/A</v>
      </c>
      <c r="E110" s="3" t="b">
        <f t="shared" si="2"/>
        <v>0</v>
      </c>
      <c r="G110" s="3" t="str">
        <f t="shared" si="3"/>
        <v>#N/A</v>
      </c>
      <c r="AU110" s="8"/>
      <c r="AV110" s="6"/>
      <c r="AW110" s="8"/>
      <c r="AX110" s="8"/>
      <c r="AY110" s="6"/>
      <c r="AZ110" s="8"/>
      <c r="BA110" s="8"/>
      <c r="BB110" s="6"/>
      <c r="BC110" s="8"/>
      <c r="BD110" s="8"/>
      <c r="BE110" s="6"/>
      <c r="BF110" s="8"/>
      <c r="BG110" s="8"/>
      <c r="BH110" s="6"/>
      <c r="BI110" s="8"/>
      <c r="BJ110" s="8"/>
      <c r="BK110" s="6"/>
      <c r="BL110" s="8"/>
      <c r="BM110" s="8"/>
      <c r="BN110" s="6"/>
      <c r="BO110" s="8"/>
      <c r="BP110" s="8"/>
      <c r="BQ110" s="6"/>
      <c r="BR110" s="8"/>
    </row>
    <row r="111">
      <c r="A111" s="6"/>
      <c r="B111" s="6" t="s">
        <v>111</v>
      </c>
      <c r="C111" s="3" t="str">
        <f t="shared" si="1"/>
        <v>_striped beige</v>
      </c>
      <c r="D111" s="3" t="str">
        <f t="shared" si="5"/>
        <v>#N/A</v>
      </c>
      <c r="E111" s="3" t="b">
        <f t="shared" si="2"/>
        <v>0</v>
      </c>
      <c r="G111" s="3" t="str">
        <f t="shared" si="3"/>
        <v>#N/A</v>
      </c>
      <c r="AU111" s="8"/>
      <c r="AV111" s="6"/>
      <c r="AW111" s="8"/>
      <c r="AX111" s="8"/>
      <c r="AY111" s="6"/>
      <c r="AZ111" s="8"/>
      <c r="BA111" s="8"/>
      <c r="BB111" s="6"/>
      <c r="BC111" s="8"/>
      <c r="BD111" s="8"/>
      <c r="BE111" s="6"/>
      <c r="BF111" s="8"/>
      <c r="BG111" s="8"/>
      <c r="BH111" s="6"/>
      <c r="BI111" s="8"/>
      <c r="BJ111" s="8"/>
      <c r="BK111" s="6"/>
      <c r="BL111" s="8"/>
      <c r="BM111" s="8"/>
      <c r="BN111" s="6"/>
      <c r="BO111" s="8"/>
      <c r="BP111" s="8"/>
      <c r="BQ111" s="6"/>
      <c r="BR111" s="8"/>
    </row>
    <row r="112">
      <c r="A112" s="6"/>
      <c r="B112" s="6" t="s">
        <v>112</v>
      </c>
      <c r="C112" s="3" t="str">
        <f t="shared" si="1"/>
        <v>_pale silver</v>
      </c>
      <c r="D112" s="3" t="str">
        <f t="shared" si="5"/>
        <v>#N/A</v>
      </c>
      <c r="E112" s="3" t="b">
        <f t="shared" si="2"/>
        <v>0</v>
      </c>
      <c r="G112" s="3" t="str">
        <f t="shared" si="3"/>
        <v>#N/A</v>
      </c>
      <c r="AU112" s="8"/>
      <c r="AV112" s="6"/>
      <c r="AW112" s="8"/>
      <c r="AX112" s="8"/>
      <c r="AY112" s="6"/>
      <c r="AZ112" s="8"/>
      <c r="BA112" s="8"/>
      <c r="BB112" s="6"/>
      <c r="BC112" s="8"/>
      <c r="BD112" s="8"/>
      <c r="BE112" s="6"/>
      <c r="BF112" s="8"/>
      <c r="BG112" s="8"/>
      <c r="BH112" s="6"/>
      <c r="BI112" s="8"/>
      <c r="BJ112" s="8"/>
      <c r="BK112" s="6"/>
      <c r="BL112" s="8"/>
      <c r="BM112" s="8"/>
      <c r="BN112" s="6"/>
      <c r="BO112" s="8"/>
      <c r="BP112" s="8"/>
      <c r="BQ112" s="6"/>
      <c r="BR112" s="8"/>
    </row>
    <row r="113">
      <c r="A113" s="6"/>
      <c r="B113" s="6" t="s">
        <v>113</v>
      </c>
      <c r="C113" s="3" t="str">
        <f t="shared" si="1"/>
        <v>_dark lime</v>
      </c>
      <c r="D113" s="3" t="str">
        <f t="shared" si="5"/>
        <v>#N/A</v>
      </c>
      <c r="E113" s="3" t="b">
        <f t="shared" si="2"/>
        <v>0</v>
      </c>
      <c r="G113" s="3" t="str">
        <f t="shared" si="3"/>
        <v>#N/A</v>
      </c>
      <c r="AU113" s="8"/>
      <c r="AV113" s="6"/>
      <c r="AW113" s="8"/>
      <c r="AX113" s="8"/>
      <c r="AY113" s="6"/>
      <c r="AZ113" s="8"/>
      <c r="BA113" s="8"/>
      <c r="BB113" s="6"/>
      <c r="BC113" s="8"/>
      <c r="BD113" s="8"/>
      <c r="BE113" s="6"/>
      <c r="BF113" s="8"/>
      <c r="BG113" s="8"/>
      <c r="BH113" s="6"/>
      <c r="BI113" s="8"/>
      <c r="BJ113" s="8"/>
      <c r="BK113" s="6"/>
      <c r="BL113" s="8"/>
      <c r="BM113" s="8"/>
      <c r="BN113" s="6"/>
      <c r="BO113" s="8"/>
      <c r="BP113" s="8"/>
      <c r="BQ113" s="6"/>
      <c r="BR113" s="8"/>
    </row>
    <row r="114">
      <c r="A114" s="6"/>
      <c r="B114" s="6" t="s">
        <v>114</v>
      </c>
      <c r="C114" s="3" t="str">
        <f t="shared" si="1"/>
        <v>_faded coral</v>
      </c>
      <c r="D114" s="3" t="str">
        <f t="shared" si="5"/>
        <v>#N/A</v>
      </c>
      <c r="E114" s="3" t="b">
        <f t="shared" si="2"/>
        <v>0</v>
      </c>
      <c r="G114" s="3" t="str">
        <f t="shared" si="3"/>
        <v>#N/A</v>
      </c>
      <c r="AU114" s="8"/>
      <c r="AV114" s="6"/>
      <c r="AW114" s="8"/>
      <c r="AX114" s="8"/>
      <c r="AY114" s="6"/>
      <c r="AZ114" s="8"/>
      <c r="BA114" s="8"/>
      <c r="BB114" s="6"/>
      <c r="BC114" s="8"/>
      <c r="BD114" s="8"/>
      <c r="BE114" s="6"/>
      <c r="BF114" s="8"/>
      <c r="BG114" s="8"/>
      <c r="BH114" s="6"/>
      <c r="BI114" s="8"/>
      <c r="BJ114" s="8"/>
      <c r="BK114" s="6"/>
      <c r="BL114" s="8"/>
      <c r="BM114" s="8"/>
      <c r="BN114" s="6"/>
      <c r="BO114" s="8"/>
      <c r="BP114" s="8"/>
      <c r="BQ114" s="6"/>
      <c r="BR114" s="8"/>
    </row>
    <row r="115">
      <c r="A115" s="6"/>
      <c r="B115" s="6" t="s">
        <v>115</v>
      </c>
      <c r="C115" s="3" t="str">
        <f t="shared" si="1"/>
        <v>_mirrored lavender</v>
      </c>
      <c r="D115" s="3" t="str">
        <f t="shared" si="5"/>
        <v>#N/A</v>
      </c>
      <c r="E115" s="3" t="b">
        <f t="shared" si="2"/>
        <v>0</v>
      </c>
      <c r="G115" s="3" t="str">
        <f t="shared" si="3"/>
        <v>#N/A</v>
      </c>
      <c r="AU115" s="8"/>
      <c r="AV115" s="6"/>
      <c r="AW115" s="8"/>
      <c r="AX115" s="8"/>
      <c r="AY115" s="6"/>
      <c r="AZ115" s="8"/>
      <c r="BA115" s="8"/>
      <c r="BB115" s="6"/>
      <c r="BC115" s="8"/>
      <c r="BD115" s="8"/>
      <c r="BE115" s="6"/>
      <c r="BF115" s="8"/>
      <c r="BG115" s="8"/>
      <c r="BH115" s="6"/>
      <c r="BI115" s="8"/>
      <c r="BJ115" s="8"/>
      <c r="BK115" s="6"/>
      <c r="BL115" s="8"/>
      <c r="BM115" s="8"/>
      <c r="BN115" s="6"/>
      <c r="BO115" s="8"/>
      <c r="BP115" s="8"/>
      <c r="BQ115" s="6"/>
      <c r="BR115" s="8"/>
    </row>
    <row r="116">
      <c r="A116" s="6"/>
      <c r="B116" s="6" t="s">
        <v>116</v>
      </c>
      <c r="C116" s="3" t="str">
        <f t="shared" si="1"/>
        <v>_bright crimson</v>
      </c>
      <c r="D116" s="3" t="str">
        <f t="shared" si="5"/>
        <v>#N/A</v>
      </c>
      <c r="E116" s="3" t="b">
        <f t="shared" si="2"/>
        <v>0</v>
      </c>
      <c r="G116" s="3" t="str">
        <f t="shared" si="3"/>
        <v>#N/A</v>
      </c>
      <c r="AU116" s="8"/>
      <c r="AV116" s="6"/>
      <c r="AW116" s="8"/>
      <c r="AX116" s="8"/>
      <c r="AY116" s="6"/>
      <c r="AZ116" s="8"/>
      <c r="BA116" s="8"/>
      <c r="BB116" s="6"/>
      <c r="BC116" s="8"/>
      <c r="BD116" s="8"/>
      <c r="BE116" s="6"/>
      <c r="BF116" s="8"/>
      <c r="BG116" s="8"/>
      <c r="BH116" s="6"/>
      <c r="BI116" s="8"/>
      <c r="BJ116" s="8"/>
      <c r="BK116" s="6"/>
      <c r="BL116" s="8"/>
      <c r="BM116" s="8"/>
      <c r="BN116" s="6"/>
      <c r="BO116" s="8"/>
      <c r="BP116" s="8"/>
      <c r="BQ116" s="6"/>
      <c r="BR116" s="8"/>
    </row>
    <row r="117">
      <c r="A117" s="6"/>
      <c r="B117" s="6" t="s">
        <v>117</v>
      </c>
      <c r="C117" s="3" t="str">
        <f t="shared" si="1"/>
        <v>_striped gray</v>
      </c>
      <c r="D117" s="3" t="str">
        <f t="shared" si="5"/>
        <v>#N/A</v>
      </c>
      <c r="E117" s="3" t="b">
        <f t="shared" si="2"/>
        <v>0</v>
      </c>
      <c r="G117" s="3" t="str">
        <f t="shared" si="3"/>
        <v>#N/A</v>
      </c>
      <c r="AU117" s="8"/>
      <c r="AV117" s="6"/>
      <c r="AW117" s="8"/>
      <c r="AX117" s="8"/>
      <c r="AY117" s="6"/>
      <c r="AZ117" s="8"/>
      <c r="BA117" s="8"/>
      <c r="BB117" s="6"/>
      <c r="BC117" s="8"/>
      <c r="BD117" s="8"/>
      <c r="BE117" s="6"/>
      <c r="BF117" s="8"/>
      <c r="BG117" s="8"/>
      <c r="BH117" s="6"/>
      <c r="BI117" s="8"/>
      <c r="BJ117" s="8"/>
      <c r="BK117" s="6"/>
      <c r="BL117" s="8"/>
      <c r="BM117" s="8"/>
      <c r="BN117" s="6"/>
      <c r="BO117" s="8"/>
      <c r="BP117" s="8"/>
      <c r="BQ117" s="6"/>
      <c r="BR117" s="8"/>
    </row>
    <row r="118">
      <c r="A118" s="6"/>
      <c r="B118" s="6" t="s">
        <v>118</v>
      </c>
      <c r="C118" s="3" t="str">
        <f t="shared" si="1"/>
        <v>_dotted magenta</v>
      </c>
      <c r="D118" s="3" t="str">
        <f t="shared" si="5"/>
        <v>#N/A</v>
      </c>
      <c r="E118" s="3" t="b">
        <f t="shared" si="2"/>
        <v>0</v>
      </c>
      <c r="G118" s="3" t="str">
        <f t="shared" si="3"/>
        <v>#N/A</v>
      </c>
      <c r="AU118" s="8"/>
      <c r="AV118" s="6"/>
      <c r="AW118" s="8"/>
      <c r="AX118" s="8"/>
      <c r="AY118" s="6"/>
      <c r="AZ118" s="8"/>
      <c r="BA118" s="8"/>
      <c r="BB118" s="6"/>
      <c r="BC118" s="8"/>
      <c r="BD118" s="8"/>
      <c r="BE118" s="6"/>
      <c r="BF118" s="8"/>
      <c r="BG118" s="8"/>
      <c r="BH118" s="6"/>
      <c r="BI118" s="8"/>
      <c r="BJ118" s="8"/>
      <c r="BK118" s="6"/>
      <c r="BL118" s="8"/>
      <c r="BM118" s="8"/>
      <c r="BN118" s="6"/>
      <c r="BO118" s="8"/>
      <c r="BP118" s="8"/>
      <c r="BQ118" s="6"/>
      <c r="BR118" s="8"/>
    </row>
    <row r="119">
      <c r="A119" s="6"/>
      <c r="B119" s="6" t="s">
        <v>119</v>
      </c>
      <c r="C119" s="3" t="str">
        <f t="shared" si="1"/>
        <v>_posh white</v>
      </c>
      <c r="D119" s="3" t="str">
        <f t="shared" si="5"/>
        <v>#N/A</v>
      </c>
      <c r="E119" s="3" t="b">
        <f t="shared" si="2"/>
        <v>0</v>
      </c>
      <c r="G119" s="3" t="str">
        <f t="shared" si="3"/>
        <v>#N/A</v>
      </c>
      <c r="AU119" s="8"/>
      <c r="AV119" s="6"/>
      <c r="AW119" s="8"/>
      <c r="AX119" s="8"/>
      <c r="AY119" s="6"/>
      <c r="AZ119" s="8"/>
      <c r="BA119" s="8"/>
      <c r="BB119" s="6"/>
      <c r="BC119" s="8"/>
      <c r="BD119" s="8"/>
      <c r="BE119" s="6"/>
      <c r="BF119" s="8"/>
      <c r="BG119" s="8"/>
      <c r="BH119" s="6"/>
      <c r="BI119" s="8"/>
      <c r="BJ119" s="8"/>
      <c r="BK119" s="6"/>
      <c r="BL119" s="8"/>
      <c r="BM119" s="8"/>
      <c r="BN119" s="6"/>
      <c r="BO119" s="8"/>
      <c r="BP119" s="8"/>
      <c r="BQ119" s="6"/>
      <c r="BR119" s="8"/>
    </row>
    <row r="120">
      <c r="A120" s="6"/>
      <c r="B120" s="6" t="s">
        <v>120</v>
      </c>
      <c r="C120" s="3" t="str">
        <f t="shared" si="1"/>
        <v>_striped red</v>
      </c>
      <c r="D120" s="3" t="str">
        <f t="shared" si="5"/>
        <v>#N/A</v>
      </c>
      <c r="E120" s="3" t="b">
        <f t="shared" si="2"/>
        <v>0</v>
      </c>
      <c r="G120" s="3" t="str">
        <f t="shared" si="3"/>
        <v>#N/A</v>
      </c>
      <c r="AU120" s="8"/>
      <c r="AV120" s="6"/>
      <c r="AW120" s="8"/>
      <c r="AX120" s="8"/>
      <c r="AY120" s="6"/>
      <c r="AZ120" s="8"/>
      <c r="BA120" s="8"/>
      <c r="BB120" s="6"/>
      <c r="BC120" s="8"/>
      <c r="BD120" s="8"/>
      <c r="BE120" s="6"/>
      <c r="BF120" s="8"/>
      <c r="BG120" s="8"/>
      <c r="BH120" s="6"/>
      <c r="BI120" s="8"/>
      <c r="BJ120" s="8"/>
      <c r="BK120" s="6"/>
      <c r="BL120" s="8"/>
      <c r="BM120" s="8"/>
      <c r="BN120" s="6"/>
      <c r="BO120" s="8"/>
      <c r="BP120" s="8"/>
      <c r="BQ120" s="6"/>
      <c r="BR120" s="8"/>
    </row>
    <row r="121">
      <c r="A121" s="6"/>
      <c r="B121" s="6" t="s">
        <v>121</v>
      </c>
      <c r="C121" s="3" t="str">
        <f t="shared" si="1"/>
        <v>_pale white</v>
      </c>
      <c r="D121" s="3" t="str">
        <f t="shared" si="5"/>
        <v>#N/A</v>
      </c>
      <c r="E121" s="3" t="b">
        <f t="shared" si="2"/>
        <v>0</v>
      </c>
      <c r="G121" s="3" t="str">
        <f t="shared" si="3"/>
        <v>#N/A</v>
      </c>
      <c r="AU121" s="8"/>
      <c r="AV121" s="6"/>
      <c r="AW121" s="8"/>
      <c r="AX121" s="8"/>
      <c r="AY121" s="6"/>
      <c r="AZ121" s="8"/>
      <c r="BA121" s="8"/>
      <c r="BB121" s="6"/>
      <c r="BC121" s="8"/>
      <c r="BD121" s="8"/>
      <c r="BE121" s="6"/>
      <c r="BF121" s="8"/>
      <c r="BG121" s="8"/>
      <c r="BH121" s="6"/>
      <c r="BI121" s="8"/>
      <c r="BJ121" s="8"/>
      <c r="BK121" s="6"/>
      <c r="BL121" s="8"/>
      <c r="BM121" s="8"/>
      <c r="BN121" s="6"/>
      <c r="BO121" s="8"/>
      <c r="BP121" s="8"/>
      <c r="BQ121" s="6"/>
      <c r="BR121" s="8"/>
    </row>
    <row r="122">
      <c r="A122" s="6"/>
      <c r="B122" s="6" t="s">
        <v>122</v>
      </c>
      <c r="C122" s="3" t="str">
        <f t="shared" si="1"/>
        <v>_shiny coral</v>
      </c>
      <c r="D122" s="3" t="str">
        <f t="shared" si="5"/>
        <v>#N/A</v>
      </c>
      <c r="E122" s="3" t="b">
        <f t="shared" si="2"/>
        <v>0</v>
      </c>
      <c r="G122" s="3" t="str">
        <f t="shared" si="3"/>
        <v>#N/A</v>
      </c>
      <c r="AU122" s="8"/>
      <c r="AV122" s="6"/>
      <c r="AW122" s="8"/>
      <c r="AX122" s="8"/>
      <c r="AY122" s="6"/>
      <c r="AZ122" s="8"/>
      <c r="BA122" s="8"/>
      <c r="BB122" s="6"/>
      <c r="BC122" s="8"/>
      <c r="BD122" s="8"/>
      <c r="BE122" s="6"/>
      <c r="BF122" s="8"/>
      <c r="BG122" s="8"/>
      <c r="BH122" s="6"/>
      <c r="BI122" s="8"/>
      <c r="BJ122" s="8"/>
      <c r="BK122" s="6"/>
      <c r="BL122" s="8"/>
      <c r="BM122" s="8"/>
      <c r="BN122" s="6"/>
      <c r="BO122" s="8"/>
      <c r="BP122" s="8"/>
      <c r="BQ122" s="6"/>
      <c r="BR122" s="8"/>
    </row>
    <row r="123">
      <c r="A123" s="6"/>
      <c r="B123" s="6" t="s">
        <v>123</v>
      </c>
      <c r="C123" s="3" t="str">
        <f t="shared" si="1"/>
        <v>_dark magenta</v>
      </c>
      <c r="D123" s="3" t="str">
        <f t="shared" si="5"/>
        <v>#N/A</v>
      </c>
      <c r="E123" s="3" t="b">
        <f t="shared" si="2"/>
        <v>0</v>
      </c>
      <c r="G123" s="3" t="str">
        <f t="shared" si="3"/>
        <v>#N/A</v>
      </c>
      <c r="AU123" s="8"/>
      <c r="AV123" s="6"/>
      <c r="AW123" s="8"/>
      <c r="AX123" s="8"/>
      <c r="AY123" s="6"/>
      <c r="AZ123" s="8"/>
      <c r="BA123" s="8"/>
      <c r="BB123" s="6"/>
      <c r="BC123" s="8"/>
      <c r="BD123" s="8"/>
      <c r="BE123" s="6"/>
      <c r="BF123" s="8"/>
      <c r="BG123" s="8"/>
      <c r="BH123" s="6"/>
      <c r="BI123" s="8"/>
      <c r="BJ123" s="8"/>
      <c r="BK123" s="6"/>
      <c r="BL123" s="8"/>
      <c r="BM123" s="8"/>
      <c r="BN123" s="6"/>
      <c r="BO123" s="8"/>
      <c r="BP123" s="8"/>
      <c r="BQ123" s="6"/>
      <c r="BR123" s="8"/>
    </row>
    <row r="124">
      <c r="A124" s="6"/>
      <c r="B124" s="6" t="s">
        <v>124</v>
      </c>
      <c r="C124" s="3" t="str">
        <f t="shared" si="1"/>
        <v>_light gray</v>
      </c>
      <c r="D124" s="3" t="str">
        <f t="shared" si="5"/>
        <v>#N/A</v>
      </c>
      <c r="E124" s="3" t="b">
        <f t="shared" si="2"/>
        <v>0</v>
      </c>
      <c r="G124" s="3" t="str">
        <f t="shared" si="3"/>
        <v>#N/A</v>
      </c>
      <c r="AU124" s="8"/>
      <c r="AV124" s="6"/>
      <c r="AW124" s="8"/>
      <c r="AX124" s="8"/>
      <c r="AY124" s="6"/>
      <c r="AZ124" s="8"/>
      <c r="BA124" s="8"/>
      <c r="BB124" s="6"/>
      <c r="BC124" s="8"/>
      <c r="BD124" s="8"/>
      <c r="BE124" s="6"/>
      <c r="BF124" s="8"/>
      <c r="BG124" s="8"/>
      <c r="BH124" s="6"/>
      <c r="BI124" s="8"/>
      <c r="BJ124" s="8"/>
      <c r="BK124" s="6"/>
      <c r="BL124" s="8"/>
      <c r="BM124" s="8"/>
      <c r="BN124" s="6"/>
      <c r="BO124" s="8"/>
      <c r="BP124" s="8"/>
      <c r="BQ124" s="6"/>
      <c r="BR124" s="8"/>
    </row>
    <row r="125">
      <c r="A125" s="6"/>
      <c r="B125" s="6" t="s">
        <v>125</v>
      </c>
      <c r="C125" s="3" t="str">
        <f t="shared" si="1"/>
        <v>_dim gold</v>
      </c>
      <c r="D125" s="3" t="str">
        <f t="shared" si="5"/>
        <v>#N/A</v>
      </c>
      <c r="E125" s="3" t="b">
        <f t="shared" si="2"/>
        <v>0</v>
      </c>
      <c r="G125" s="3" t="str">
        <f t="shared" si="3"/>
        <v>#N/A</v>
      </c>
      <c r="AU125" s="8"/>
      <c r="AV125" s="6"/>
      <c r="AW125" s="8"/>
      <c r="AX125" s="8"/>
      <c r="AY125" s="6"/>
      <c r="AZ125" s="8"/>
      <c r="BA125" s="8"/>
      <c r="BB125" s="6"/>
      <c r="BC125" s="8"/>
      <c r="BD125" s="8"/>
      <c r="BE125" s="6"/>
      <c r="BF125" s="8"/>
      <c r="BG125" s="8"/>
      <c r="BH125" s="6"/>
      <c r="BI125" s="8"/>
      <c r="BJ125" s="8"/>
      <c r="BK125" s="6"/>
      <c r="BL125" s="8"/>
      <c r="BM125" s="8"/>
      <c r="BN125" s="6"/>
      <c r="BO125" s="8"/>
      <c r="BP125" s="8"/>
      <c r="BQ125" s="6"/>
      <c r="BR125" s="8"/>
    </row>
    <row r="126">
      <c r="A126" s="6"/>
      <c r="B126" s="6" t="s">
        <v>126</v>
      </c>
      <c r="C126" s="3" t="str">
        <f t="shared" si="1"/>
        <v>_dim crimson</v>
      </c>
      <c r="D126" s="3" t="str">
        <f t="shared" si="5"/>
        <v>#N/A</v>
      </c>
      <c r="E126" s="3" t="b">
        <f t="shared" si="2"/>
        <v>0</v>
      </c>
      <c r="G126" s="3" t="str">
        <f t="shared" si="3"/>
        <v>#N/A</v>
      </c>
      <c r="AU126" s="8"/>
      <c r="AV126" s="6"/>
      <c r="AW126" s="8"/>
      <c r="AX126" s="8"/>
      <c r="AY126" s="6"/>
      <c r="AZ126" s="8"/>
      <c r="BA126" s="8"/>
      <c r="BB126" s="6"/>
      <c r="BC126" s="8"/>
      <c r="BD126" s="8"/>
      <c r="BE126" s="6"/>
      <c r="BF126" s="8"/>
      <c r="BG126" s="8"/>
      <c r="BH126" s="6"/>
      <c r="BI126" s="8"/>
      <c r="BJ126" s="8"/>
      <c r="BK126" s="6"/>
      <c r="BL126" s="8"/>
      <c r="BM126" s="8"/>
      <c r="BN126" s="6"/>
      <c r="BO126" s="8"/>
      <c r="BP126" s="8"/>
      <c r="BQ126" s="6"/>
      <c r="BR126" s="8"/>
    </row>
    <row r="127">
      <c r="A127" s="6"/>
      <c r="B127" s="6" t="s">
        <v>127</v>
      </c>
      <c r="C127" s="3" t="str">
        <f t="shared" si="1"/>
        <v>_wavy tan</v>
      </c>
      <c r="D127" s="3" t="str">
        <f t="shared" si="5"/>
        <v>#N/A</v>
      </c>
      <c r="E127" s="3" t="b">
        <f t="shared" si="2"/>
        <v>0</v>
      </c>
      <c r="G127" s="3" t="str">
        <f t="shared" si="3"/>
        <v>#N/A</v>
      </c>
      <c r="AU127" s="8"/>
      <c r="AV127" s="6"/>
      <c r="AW127" s="8"/>
      <c r="AX127" s="8"/>
      <c r="AY127" s="6"/>
      <c r="AZ127" s="8"/>
      <c r="BA127" s="8"/>
      <c r="BB127" s="6"/>
      <c r="BC127" s="8"/>
      <c r="BD127" s="8"/>
      <c r="BE127" s="6"/>
      <c r="BF127" s="8"/>
      <c r="BG127" s="8"/>
      <c r="BH127" s="6"/>
      <c r="BI127" s="8"/>
      <c r="BJ127" s="8"/>
      <c r="BK127" s="6"/>
      <c r="BL127" s="8"/>
      <c r="BM127" s="8"/>
      <c r="BN127" s="6"/>
      <c r="BO127" s="8"/>
      <c r="BP127" s="8"/>
      <c r="BQ127" s="6"/>
      <c r="BR127" s="8"/>
    </row>
    <row r="128">
      <c r="A128" s="6"/>
      <c r="B128" s="6" t="s">
        <v>128</v>
      </c>
      <c r="C128" s="3" t="str">
        <f t="shared" si="1"/>
        <v>_posh brown</v>
      </c>
      <c r="D128" s="3" t="str">
        <f t="shared" si="5"/>
        <v>#N/A</v>
      </c>
      <c r="E128" s="3" t="b">
        <f t="shared" si="2"/>
        <v>0</v>
      </c>
      <c r="G128" s="3" t="str">
        <f t="shared" si="3"/>
        <v>#N/A</v>
      </c>
      <c r="AU128" s="8"/>
      <c r="AV128" s="6"/>
      <c r="AW128" s="8"/>
      <c r="AX128" s="8"/>
      <c r="AY128" s="6"/>
      <c r="AZ128" s="8"/>
      <c r="BA128" s="8"/>
      <c r="BB128" s="6"/>
      <c r="BC128" s="8"/>
      <c r="BD128" s="8"/>
      <c r="BE128" s="6"/>
      <c r="BF128" s="8"/>
      <c r="BG128" s="8"/>
      <c r="BH128" s="6"/>
      <c r="BI128" s="8"/>
      <c r="BJ128" s="8"/>
      <c r="BK128" s="6"/>
      <c r="BL128" s="8"/>
      <c r="BM128" s="8"/>
      <c r="BN128" s="6"/>
      <c r="BO128" s="8"/>
      <c r="BP128" s="8"/>
      <c r="BQ128" s="6"/>
      <c r="BR128" s="8"/>
    </row>
    <row r="129">
      <c r="A129" s="6"/>
      <c r="B129" s="6" t="s">
        <v>129</v>
      </c>
      <c r="C129" s="3" t="str">
        <f t="shared" si="1"/>
        <v>_bright plum</v>
      </c>
      <c r="D129" s="3" t="str">
        <f t="shared" si="5"/>
        <v>#N/A</v>
      </c>
      <c r="E129" s="3" t="b">
        <f t="shared" si="2"/>
        <v>0</v>
      </c>
      <c r="G129" s="3" t="str">
        <f t="shared" si="3"/>
        <v>#N/A</v>
      </c>
      <c r="AU129" s="8"/>
      <c r="AV129" s="6"/>
      <c r="AW129" s="8"/>
      <c r="AX129" s="8"/>
      <c r="AY129" s="6"/>
      <c r="AZ129" s="8"/>
      <c r="BA129" s="8"/>
      <c r="BB129" s="6"/>
      <c r="BC129" s="8"/>
      <c r="BD129" s="8"/>
      <c r="BE129" s="6"/>
      <c r="BF129" s="8"/>
      <c r="BG129" s="8"/>
      <c r="BH129" s="6"/>
      <c r="BI129" s="8"/>
      <c r="BJ129" s="8"/>
      <c r="BK129" s="6"/>
      <c r="BL129" s="8"/>
      <c r="BM129" s="8"/>
      <c r="BN129" s="6"/>
      <c r="BO129" s="8"/>
      <c r="BP129" s="8"/>
      <c r="BQ129" s="6"/>
      <c r="BR129" s="8"/>
    </row>
    <row r="130">
      <c r="A130" s="6"/>
      <c r="B130" s="6" t="s">
        <v>130</v>
      </c>
      <c r="C130" s="3" t="str">
        <f t="shared" si="1"/>
        <v>_faded black</v>
      </c>
      <c r="D130" s="3" t="str">
        <f t="shared" si="5"/>
        <v>#N/A</v>
      </c>
      <c r="E130" s="3" t="b">
        <f t="shared" si="2"/>
        <v>0</v>
      </c>
      <c r="G130" s="3" t="str">
        <f t="shared" si="3"/>
        <v>#N/A</v>
      </c>
      <c r="AU130" s="8"/>
      <c r="AV130" s="6"/>
      <c r="AW130" s="8"/>
      <c r="AX130" s="8"/>
      <c r="AY130" s="6"/>
      <c r="AZ130" s="8"/>
      <c r="BA130" s="8"/>
      <c r="BB130" s="6"/>
      <c r="BC130" s="8"/>
      <c r="BD130" s="8"/>
      <c r="BE130" s="6"/>
      <c r="BF130" s="8"/>
      <c r="BG130" s="8"/>
      <c r="BH130" s="6"/>
      <c r="BI130" s="8"/>
      <c r="BJ130" s="8"/>
      <c r="BK130" s="6"/>
      <c r="BL130" s="8"/>
      <c r="BM130" s="8"/>
      <c r="BN130" s="6"/>
      <c r="BO130" s="8"/>
      <c r="BP130" s="8"/>
      <c r="BQ130" s="6"/>
      <c r="BR130" s="8"/>
    </row>
    <row r="131">
      <c r="A131" s="6"/>
      <c r="B131" s="6" t="s">
        <v>131</v>
      </c>
      <c r="C131" s="3" t="str">
        <f t="shared" si="1"/>
        <v>_mirrored yellow</v>
      </c>
      <c r="D131" s="3" t="str">
        <f t="shared" si="5"/>
        <v>#N/A</v>
      </c>
      <c r="E131" s="3" t="b">
        <f t="shared" si="2"/>
        <v>0</v>
      </c>
      <c r="G131" s="3" t="str">
        <f t="shared" si="3"/>
        <v>#N/A</v>
      </c>
      <c r="AU131" s="8"/>
      <c r="AV131" s="6"/>
      <c r="AW131" s="8"/>
      <c r="AX131" s="8"/>
      <c r="AY131" s="6"/>
      <c r="AZ131" s="8"/>
      <c r="BA131" s="8"/>
      <c r="BB131" s="6"/>
      <c r="BC131" s="8"/>
      <c r="BD131" s="8"/>
      <c r="BE131" s="6"/>
      <c r="BF131" s="8"/>
      <c r="BG131" s="8"/>
      <c r="BH131" s="6"/>
      <c r="BI131" s="8"/>
      <c r="BJ131" s="8"/>
      <c r="BK131" s="6"/>
      <c r="BL131" s="8"/>
      <c r="BM131" s="8"/>
      <c r="BN131" s="6"/>
      <c r="BO131" s="8"/>
      <c r="BP131" s="8"/>
      <c r="BQ131" s="6"/>
      <c r="BR131" s="8"/>
    </row>
    <row r="132">
      <c r="A132" s="6"/>
      <c r="B132" s="6" t="s">
        <v>132</v>
      </c>
      <c r="C132" s="3" t="str">
        <f t="shared" si="1"/>
        <v>_muted tan</v>
      </c>
      <c r="D132" s="3" t="str">
        <f t="shared" si="5"/>
        <v>#N/A</v>
      </c>
      <c r="E132" s="3" t="b">
        <f t="shared" si="2"/>
        <v>0</v>
      </c>
      <c r="G132" s="3" t="str">
        <f t="shared" si="3"/>
        <v>#N/A</v>
      </c>
      <c r="AU132" s="8"/>
      <c r="AV132" s="6"/>
      <c r="AW132" s="8"/>
      <c r="AX132" s="8"/>
      <c r="AY132" s="6"/>
      <c r="AZ132" s="8"/>
      <c r="BA132" s="8"/>
      <c r="BB132" s="6"/>
      <c r="BC132" s="8"/>
      <c r="BD132" s="8"/>
      <c r="BE132" s="6"/>
      <c r="BF132" s="8"/>
      <c r="BG132" s="8"/>
      <c r="BH132" s="6"/>
      <c r="BI132" s="8"/>
      <c r="BJ132" s="8"/>
      <c r="BK132" s="6"/>
      <c r="BL132" s="8"/>
      <c r="BM132" s="8"/>
      <c r="BN132" s="6"/>
      <c r="BO132" s="8"/>
      <c r="BP132" s="8"/>
      <c r="BQ132" s="6"/>
      <c r="BR132" s="8"/>
    </row>
    <row r="133">
      <c r="A133" s="6"/>
      <c r="B133" s="6" t="s">
        <v>133</v>
      </c>
      <c r="C133" s="3" t="str">
        <f t="shared" si="1"/>
        <v>_drab white</v>
      </c>
      <c r="D133" s="3" t="str">
        <f t="shared" si="5"/>
        <v>#N/A</v>
      </c>
      <c r="E133" s="3" t="b">
        <f t="shared" si="2"/>
        <v>0</v>
      </c>
      <c r="G133" s="3" t="str">
        <f t="shared" si="3"/>
        <v>#N/A</v>
      </c>
      <c r="AU133" s="8"/>
      <c r="AV133" s="6"/>
      <c r="AW133" s="8"/>
      <c r="AX133" s="8"/>
      <c r="AY133" s="6"/>
      <c r="AZ133" s="8"/>
      <c r="BA133" s="8"/>
      <c r="BB133" s="6"/>
      <c r="BC133" s="8"/>
      <c r="BD133" s="8"/>
      <c r="BE133" s="6"/>
      <c r="BF133" s="8"/>
      <c r="BG133" s="8"/>
      <c r="BH133" s="6"/>
      <c r="BI133" s="8"/>
      <c r="BJ133" s="8"/>
      <c r="BK133" s="6"/>
      <c r="BL133" s="8"/>
      <c r="BM133" s="8"/>
      <c r="BN133" s="6"/>
      <c r="BO133" s="8"/>
      <c r="BP133" s="8"/>
      <c r="BQ133" s="6"/>
      <c r="BR133" s="8"/>
    </row>
    <row r="134">
      <c r="A134" s="6"/>
      <c r="B134" s="6" t="s">
        <v>134</v>
      </c>
      <c r="C134" s="3" t="str">
        <f t="shared" si="1"/>
        <v>_dull black</v>
      </c>
      <c r="D134" s="3" t="str">
        <f t="shared" si="5"/>
        <v>#N/A</v>
      </c>
      <c r="E134" s="3" t="b">
        <f t="shared" si="2"/>
        <v>0</v>
      </c>
      <c r="G134" s="3" t="str">
        <f t="shared" si="3"/>
        <v>#N/A</v>
      </c>
      <c r="AU134" s="8"/>
      <c r="AV134" s="6"/>
      <c r="AW134" s="8"/>
      <c r="AX134" s="8"/>
      <c r="AY134" s="6"/>
      <c r="AZ134" s="8"/>
      <c r="BA134" s="8"/>
      <c r="BB134" s="6"/>
      <c r="BC134" s="8"/>
      <c r="BD134" s="8"/>
      <c r="BE134" s="6"/>
      <c r="BF134" s="8"/>
      <c r="BG134" s="8"/>
      <c r="BH134" s="6"/>
      <c r="BI134" s="8"/>
      <c r="BJ134" s="8"/>
      <c r="BK134" s="6"/>
      <c r="BL134" s="8"/>
      <c r="BM134" s="8"/>
      <c r="BN134" s="6"/>
      <c r="BO134" s="8"/>
      <c r="BP134" s="8"/>
      <c r="BQ134" s="6"/>
      <c r="BR134" s="8"/>
    </row>
    <row r="135">
      <c r="A135" s="6"/>
      <c r="B135" s="6" t="s">
        <v>135</v>
      </c>
      <c r="C135" s="3" t="str">
        <f t="shared" si="1"/>
        <v>_posh maroon</v>
      </c>
      <c r="D135" s="3" t="str">
        <f t="shared" si="5"/>
        <v>#N/A</v>
      </c>
      <c r="E135" s="3" t="b">
        <f t="shared" si="2"/>
        <v>0</v>
      </c>
      <c r="G135" s="3" t="str">
        <f t="shared" si="3"/>
        <v>#N/A</v>
      </c>
      <c r="AU135" s="8"/>
      <c r="AV135" s="6"/>
      <c r="AW135" s="8"/>
      <c r="AX135" s="8"/>
      <c r="AY135" s="6"/>
      <c r="AZ135" s="8"/>
      <c r="BA135" s="8"/>
      <c r="BB135" s="6"/>
      <c r="BC135" s="8"/>
      <c r="BD135" s="8"/>
      <c r="BE135" s="6"/>
      <c r="BF135" s="8"/>
      <c r="BG135" s="8"/>
      <c r="BH135" s="6"/>
      <c r="BI135" s="8"/>
      <c r="BJ135" s="8"/>
      <c r="BK135" s="6"/>
      <c r="BL135" s="8"/>
      <c r="BM135" s="8"/>
      <c r="BN135" s="6"/>
      <c r="BO135" s="8"/>
      <c r="BP135" s="8"/>
      <c r="BQ135" s="6"/>
      <c r="BR135" s="8"/>
    </row>
    <row r="136">
      <c r="A136" s="6"/>
      <c r="B136" s="6" t="s">
        <v>136</v>
      </c>
      <c r="C136" s="3" t="str">
        <f t="shared" si="1"/>
        <v>_drab coral</v>
      </c>
      <c r="D136" s="3" t="str">
        <f t="shared" si="5"/>
        <v>#N/A</v>
      </c>
      <c r="E136" s="3" t="b">
        <f t="shared" si="2"/>
        <v>0</v>
      </c>
      <c r="G136" s="3" t="str">
        <f t="shared" si="3"/>
        <v>#N/A</v>
      </c>
      <c r="AU136" s="8"/>
      <c r="AV136" s="6"/>
      <c r="AW136" s="8"/>
      <c r="AX136" s="8"/>
      <c r="AY136" s="6"/>
      <c r="AZ136" s="8"/>
      <c r="BA136" s="8"/>
      <c r="BB136" s="6"/>
      <c r="BC136" s="8"/>
      <c r="BD136" s="8"/>
      <c r="BE136" s="6"/>
      <c r="BF136" s="8"/>
      <c r="BG136" s="8"/>
      <c r="BH136" s="6"/>
      <c r="BI136" s="8"/>
      <c r="BJ136" s="8"/>
      <c r="BK136" s="6"/>
      <c r="BL136" s="8"/>
      <c r="BM136" s="8"/>
      <c r="BN136" s="6"/>
      <c r="BO136" s="8"/>
      <c r="BP136" s="8"/>
      <c r="BQ136" s="6"/>
      <c r="BR136" s="8"/>
    </row>
    <row r="137">
      <c r="A137" s="6"/>
      <c r="B137" s="6" t="s">
        <v>137</v>
      </c>
      <c r="C137" s="3" t="str">
        <f t="shared" si="1"/>
        <v>_posh indigo</v>
      </c>
      <c r="D137" s="3" t="str">
        <f t="shared" si="5"/>
        <v>#N/A</v>
      </c>
      <c r="E137" s="3" t="b">
        <f t="shared" si="2"/>
        <v>0</v>
      </c>
      <c r="G137" s="3" t="str">
        <f t="shared" si="3"/>
        <v>#N/A</v>
      </c>
      <c r="AU137" s="8"/>
      <c r="AV137" s="6"/>
      <c r="AW137" s="8"/>
      <c r="AX137" s="8"/>
      <c r="AY137" s="6"/>
      <c r="AZ137" s="8"/>
      <c r="BA137" s="8"/>
      <c r="BB137" s="6"/>
      <c r="BC137" s="8"/>
      <c r="BD137" s="8"/>
      <c r="BE137" s="6"/>
      <c r="BF137" s="8"/>
      <c r="BG137" s="8"/>
      <c r="BH137" s="6"/>
      <c r="BI137" s="8"/>
      <c r="BJ137" s="8"/>
      <c r="BK137" s="6"/>
      <c r="BL137" s="8"/>
      <c r="BM137" s="8"/>
      <c r="BN137" s="6"/>
      <c r="BO137" s="8"/>
      <c r="BP137" s="8"/>
      <c r="BQ137" s="6"/>
      <c r="BR137" s="8"/>
    </row>
    <row r="138">
      <c r="A138" s="6"/>
      <c r="B138" s="6" t="s">
        <v>138</v>
      </c>
      <c r="C138" s="3" t="str">
        <f t="shared" si="1"/>
        <v>_drab aqua</v>
      </c>
      <c r="D138" s="3" t="str">
        <f t="shared" si="5"/>
        <v>#N/A</v>
      </c>
      <c r="E138" s="3" t="b">
        <f t="shared" si="2"/>
        <v>0</v>
      </c>
      <c r="G138" s="3" t="str">
        <f t="shared" si="3"/>
        <v>#N/A</v>
      </c>
      <c r="AU138" s="8"/>
      <c r="AV138" s="6"/>
      <c r="AW138" s="8"/>
      <c r="AX138" s="8"/>
      <c r="AY138" s="6"/>
      <c r="AZ138" s="8"/>
      <c r="BA138" s="8"/>
      <c r="BB138" s="6"/>
      <c r="BC138" s="8"/>
      <c r="BD138" s="8"/>
      <c r="BE138" s="6"/>
      <c r="BF138" s="8"/>
      <c r="BG138" s="8"/>
      <c r="BH138" s="6"/>
      <c r="BI138" s="8"/>
      <c r="BJ138" s="8"/>
      <c r="BK138" s="6"/>
      <c r="BL138" s="8"/>
      <c r="BM138" s="8"/>
      <c r="BN138" s="6"/>
      <c r="BO138" s="8"/>
      <c r="BP138" s="8"/>
      <c r="BQ138" s="6"/>
      <c r="BR138" s="8"/>
    </row>
    <row r="139">
      <c r="A139" s="6"/>
      <c r="B139" s="6" t="s">
        <v>139</v>
      </c>
      <c r="C139" s="3" t="str">
        <f t="shared" si="1"/>
        <v>_drab crimson</v>
      </c>
      <c r="D139" s="3" t="str">
        <f t="shared" si="5"/>
        <v>#N/A</v>
      </c>
      <c r="E139" s="3" t="b">
        <f t="shared" si="2"/>
        <v>0</v>
      </c>
      <c r="G139" s="3" t="str">
        <f t="shared" si="3"/>
        <v>#N/A</v>
      </c>
      <c r="AU139" s="8"/>
      <c r="AV139" s="6"/>
      <c r="AW139" s="8"/>
      <c r="AX139" s="8"/>
      <c r="AY139" s="6"/>
      <c r="AZ139" s="8"/>
      <c r="BA139" s="8"/>
      <c r="BB139" s="6"/>
      <c r="BC139" s="8"/>
      <c r="BD139" s="8"/>
      <c r="BE139" s="6"/>
      <c r="BF139" s="8"/>
      <c r="BG139" s="8"/>
      <c r="BH139" s="6"/>
      <c r="BI139" s="8"/>
      <c r="BJ139" s="8"/>
      <c r="BK139" s="6"/>
      <c r="BL139" s="8"/>
      <c r="BM139" s="8"/>
      <c r="BN139" s="6"/>
      <c r="BO139" s="8"/>
      <c r="BP139" s="8"/>
      <c r="BQ139" s="6"/>
      <c r="BR139" s="8"/>
    </row>
    <row r="140">
      <c r="A140" s="6"/>
      <c r="B140" s="6" t="s">
        <v>140</v>
      </c>
      <c r="C140" s="3" t="str">
        <f t="shared" si="1"/>
        <v>_drab silver</v>
      </c>
      <c r="D140" s="3" t="str">
        <f t="shared" si="5"/>
        <v>#N/A</v>
      </c>
      <c r="E140" s="3" t="b">
        <f t="shared" si="2"/>
        <v>0</v>
      </c>
      <c r="G140" s="3" t="str">
        <f t="shared" si="3"/>
        <v>#N/A</v>
      </c>
      <c r="AU140" s="8"/>
      <c r="AV140" s="6"/>
      <c r="AW140" s="8"/>
      <c r="AX140" s="8"/>
      <c r="AY140" s="6"/>
      <c r="AZ140" s="8"/>
      <c r="BA140" s="8"/>
      <c r="BB140" s="6"/>
      <c r="BC140" s="8"/>
      <c r="BD140" s="8"/>
      <c r="BE140" s="6"/>
      <c r="BF140" s="8"/>
      <c r="BG140" s="8"/>
      <c r="BH140" s="6"/>
      <c r="BI140" s="8"/>
      <c r="BJ140" s="8"/>
      <c r="BK140" s="6"/>
      <c r="BL140" s="8"/>
      <c r="BM140" s="8"/>
      <c r="BN140" s="6"/>
      <c r="BO140" s="8"/>
      <c r="BP140" s="8"/>
      <c r="BQ140" s="6"/>
      <c r="BR140" s="8"/>
    </row>
    <row r="141">
      <c r="A141" s="6"/>
      <c r="B141" s="6" t="s">
        <v>141</v>
      </c>
      <c r="C141" s="3" t="str">
        <f t="shared" si="1"/>
        <v>_clear salmon</v>
      </c>
      <c r="D141" s="3" t="str">
        <f t="shared" si="5"/>
        <v>#N/A</v>
      </c>
      <c r="E141" s="3" t="b">
        <f t="shared" si="2"/>
        <v>0</v>
      </c>
      <c r="G141" s="3" t="str">
        <f t="shared" si="3"/>
        <v>#N/A</v>
      </c>
      <c r="AU141" s="8"/>
      <c r="AV141" s="6"/>
      <c r="AW141" s="8"/>
      <c r="AX141" s="8"/>
      <c r="AY141" s="6"/>
      <c r="AZ141" s="8"/>
      <c r="BA141" s="8"/>
      <c r="BB141" s="6"/>
      <c r="BC141" s="8"/>
      <c r="BD141" s="8"/>
      <c r="BE141" s="6"/>
      <c r="BF141" s="8"/>
      <c r="BG141" s="8"/>
      <c r="BH141" s="6"/>
      <c r="BI141" s="8"/>
      <c r="BJ141" s="8"/>
      <c r="BK141" s="6"/>
      <c r="BL141" s="8"/>
      <c r="BM141" s="8"/>
      <c r="BN141" s="6"/>
      <c r="BO141" s="8"/>
      <c r="BP141" s="8"/>
      <c r="BQ141" s="6"/>
      <c r="BR141" s="8"/>
    </row>
    <row r="142">
      <c r="A142" s="6"/>
      <c r="B142" s="6" t="s">
        <v>142</v>
      </c>
      <c r="C142" s="3" t="str">
        <f t="shared" si="1"/>
        <v>_wavy chartreuse</v>
      </c>
      <c r="D142" s="3" t="str">
        <f t="shared" si="5"/>
        <v>#N/A</v>
      </c>
      <c r="E142" s="3" t="b">
        <f t="shared" si="2"/>
        <v>0</v>
      </c>
      <c r="G142" s="3" t="str">
        <f t="shared" si="3"/>
        <v>#N/A</v>
      </c>
      <c r="AU142" s="8"/>
      <c r="AV142" s="6"/>
      <c r="AW142" s="8"/>
      <c r="AX142" s="8"/>
      <c r="AY142" s="6"/>
      <c r="AZ142" s="8"/>
      <c r="BA142" s="8"/>
      <c r="BB142" s="6"/>
      <c r="BC142" s="8"/>
      <c r="BD142" s="8"/>
      <c r="BE142" s="6"/>
      <c r="BF142" s="8"/>
      <c r="BG142" s="8"/>
      <c r="BH142" s="6"/>
      <c r="BI142" s="8"/>
      <c r="BJ142" s="8"/>
      <c r="BK142" s="6"/>
      <c r="BL142" s="8"/>
      <c r="BM142" s="8"/>
      <c r="BN142" s="6"/>
      <c r="BO142" s="8"/>
      <c r="BP142" s="8"/>
      <c r="BQ142" s="6"/>
      <c r="BR142" s="8"/>
    </row>
    <row r="143">
      <c r="A143" s="6"/>
      <c r="B143" s="6" t="s">
        <v>143</v>
      </c>
      <c r="C143" s="3" t="str">
        <f t="shared" si="1"/>
        <v>_dull plum</v>
      </c>
      <c r="D143" s="3" t="str">
        <f t="shared" si="5"/>
        <v>#N/A</v>
      </c>
      <c r="E143" s="3" t="b">
        <f t="shared" si="2"/>
        <v>0</v>
      </c>
      <c r="G143" s="3" t="str">
        <f t="shared" si="3"/>
        <v>#N/A</v>
      </c>
      <c r="AU143" s="8"/>
      <c r="AV143" s="6"/>
      <c r="AW143" s="8"/>
      <c r="AX143" s="8"/>
      <c r="AY143" s="6"/>
      <c r="AZ143" s="8"/>
      <c r="BA143" s="8"/>
      <c r="BB143" s="6"/>
      <c r="BC143" s="8"/>
      <c r="BD143" s="8"/>
      <c r="BE143" s="6"/>
      <c r="BF143" s="8"/>
      <c r="BG143" s="8"/>
      <c r="BH143" s="6"/>
      <c r="BI143" s="8"/>
      <c r="BJ143" s="8"/>
      <c r="BK143" s="6"/>
      <c r="BL143" s="8"/>
      <c r="BM143" s="8"/>
      <c r="BN143" s="6"/>
      <c r="BO143" s="8"/>
      <c r="BP143" s="8"/>
      <c r="BQ143" s="6"/>
      <c r="BR143" s="8"/>
    </row>
    <row r="144">
      <c r="A144" s="6"/>
      <c r="B144" s="6" t="s">
        <v>144</v>
      </c>
      <c r="C144" s="3" t="str">
        <f t="shared" si="1"/>
        <v>_faded gray</v>
      </c>
      <c r="D144" s="3" t="str">
        <f t="shared" si="5"/>
        <v>#N/A</v>
      </c>
      <c r="E144" s="3" t="b">
        <f t="shared" si="2"/>
        <v>0</v>
      </c>
      <c r="G144" s="3" t="str">
        <f t="shared" si="3"/>
        <v>#N/A</v>
      </c>
      <c r="AU144" s="8"/>
      <c r="AV144" s="6"/>
      <c r="AW144" s="8"/>
      <c r="AX144" s="8"/>
      <c r="AY144" s="6"/>
      <c r="AZ144" s="8"/>
      <c r="BA144" s="8"/>
      <c r="BB144" s="6"/>
      <c r="BC144" s="8"/>
      <c r="BD144" s="8"/>
      <c r="BE144" s="6"/>
      <c r="BF144" s="8"/>
      <c r="BG144" s="8"/>
      <c r="BH144" s="6"/>
      <c r="BI144" s="8"/>
      <c r="BJ144" s="8"/>
      <c r="BK144" s="6"/>
      <c r="BL144" s="8"/>
      <c r="BM144" s="8"/>
      <c r="BN144" s="6"/>
      <c r="BO144" s="8"/>
      <c r="BP144" s="8"/>
      <c r="BQ144" s="6"/>
      <c r="BR144" s="8"/>
    </row>
    <row r="145">
      <c r="A145" s="6"/>
      <c r="B145" s="6" t="s">
        <v>145</v>
      </c>
      <c r="C145" s="3" t="str">
        <f t="shared" si="1"/>
        <v>_striped teal</v>
      </c>
      <c r="D145" s="3" t="str">
        <f t="shared" si="5"/>
        <v>#N/A</v>
      </c>
      <c r="E145" s="3" t="b">
        <f t="shared" si="2"/>
        <v>0</v>
      </c>
      <c r="G145" s="3" t="str">
        <f t="shared" si="3"/>
        <v>#N/A</v>
      </c>
      <c r="AU145" s="8"/>
      <c r="AV145" s="6"/>
      <c r="AW145" s="8"/>
      <c r="AX145" s="8"/>
      <c r="AY145" s="6"/>
      <c r="AZ145" s="8"/>
      <c r="BA145" s="8"/>
      <c r="BB145" s="6"/>
      <c r="BC145" s="8"/>
      <c r="BD145" s="8"/>
      <c r="BE145" s="6"/>
      <c r="BF145" s="8"/>
      <c r="BG145" s="8"/>
      <c r="BH145" s="6"/>
      <c r="BI145" s="8"/>
      <c r="BJ145" s="8"/>
      <c r="BK145" s="6"/>
      <c r="BL145" s="8"/>
      <c r="BM145" s="8"/>
      <c r="BN145" s="6"/>
      <c r="BO145" s="8"/>
      <c r="BP145" s="8"/>
      <c r="BQ145" s="6"/>
      <c r="BR145" s="8"/>
    </row>
    <row r="146">
      <c r="A146" s="6"/>
      <c r="B146" s="6" t="s">
        <v>146</v>
      </c>
      <c r="C146" s="3" t="str">
        <f t="shared" si="1"/>
        <v>_clear lavender</v>
      </c>
      <c r="D146" s="3" t="str">
        <f t="shared" si="5"/>
        <v>#N/A</v>
      </c>
      <c r="E146" s="3" t="b">
        <f t="shared" si="2"/>
        <v>0</v>
      </c>
      <c r="G146" s="3" t="str">
        <f t="shared" si="3"/>
        <v>#N/A</v>
      </c>
      <c r="AU146" s="8"/>
      <c r="AV146" s="6"/>
      <c r="AW146" s="8"/>
      <c r="AX146" s="8"/>
      <c r="AY146" s="6"/>
      <c r="AZ146" s="8"/>
      <c r="BA146" s="8"/>
      <c r="BB146" s="6"/>
      <c r="BC146" s="8"/>
      <c r="BD146" s="8"/>
      <c r="BE146" s="6"/>
      <c r="BF146" s="8"/>
      <c r="BG146" s="8"/>
      <c r="BH146" s="6"/>
      <c r="BI146" s="8"/>
      <c r="BJ146" s="8"/>
      <c r="BK146" s="6"/>
      <c r="BL146" s="8"/>
      <c r="BM146" s="8"/>
      <c r="BN146" s="6"/>
      <c r="BO146" s="8"/>
      <c r="BP146" s="8"/>
      <c r="BQ146" s="6"/>
      <c r="BR146" s="8"/>
    </row>
    <row r="147">
      <c r="A147" s="6"/>
      <c r="B147" s="6" t="s">
        <v>147</v>
      </c>
      <c r="C147" s="3" t="str">
        <f t="shared" si="1"/>
        <v>_mirrored maroon</v>
      </c>
      <c r="D147" s="3" t="str">
        <f t="shared" si="5"/>
        <v>#N/A</v>
      </c>
      <c r="E147" s="3" t="b">
        <f t="shared" si="2"/>
        <v>0</v>
      </c>
      <c r="G147" s="3" t="str">
        <f t="shared" si="3"/>
        <v>#N/A</v>
      </c>
      <c r="AU147" s="8"/>
      <c r="AV147" s="6"/>
      <c r="AW147" s="8"/>
      <c r="AX147" s="8"/>
      <c r="AY147" s="6"/>
      <c r="AZ147" s="8"/>
      <c r="BA147" s="8"/>
      <c r="BB147" s="6"/>
      <c r="BC147" s="8"/>
      <c r="BD147" s="8"/>
      <c r="BE147" s="6"/>
      <c r="BF147" s="8"/>
      <c r="BG147" s="8"/>
      <c r="BH147" s="6"/>
      <c r="BI147" s="8"/>
      <c r="BJ147" s="8"/>
      <c r="BK147" s="6"/>
      <c r="BL147" s="8"/>
      <c r="BM147" s="8"/>
      <c r="BN147" s="6"/>
      <c r="BO147" s="8"/>
      <c r="BP147" s="8"/>
      <c r="BQ147" s="6"/>
      <c r="BR147" s="8"/>
    </row>
    <row r="148">
      <c r="A148" s="6"/>
      <c r="B148" s="6" t="s">
        <v>148</v>
      </c>
      <c r="C148" s="3" t="str">
        <f t="shared" si="1"/>
        <v>_muted turquoise</v>
      </c>
      <c r="D148" s="3" t="str">
        <f t="shared" si="5"/>
        <v>#N/A</v>
      </c>
      <c r="E148" s="3" t="b">
        <f t="shared" si="2"/>
        <v>0</v>
      </c>
      <c r="G148" s="3" t="str">
        <f t="shared" si="3"/>
        <v>#N/A</v>
      </c>
      <c r="AU148" s="8"/>
      <c r="AV148" s="6"/>
      <c r="AW148" s="8"/>
      <c r="AX148" s="8"/>
      <c r="AY148" s="6"/>
      <c r="AZ148" s="8"/>
      <c r="BA148" s="8"/>
      <c r="BB148" s="6"/>
      <c r="BC148" s="8"/>
      <c r="BD148" s="8"/>
      <c r="BE148" s="6"/>
      <c r="BF148" s="8"/>
      <c r="BG148" s="8"/>
      <c r="BH148" s="6"/>
      <c r="BI148" s="8"/>
      <c r="BJ148" s="8"/>
      <c r="BK148" s="6"/>
      <c r="BL148" s="8"/>
      <c r="BM148" s="8"/>
      <c r="BN148" s="6"/>
      <c r="BO148" s="8"/>
      <c r="BP148" s="8"/>
      <c r="BQ148" s="6"/>
      <c r="BR148" s="8"/>
    </row>
    <row r="149">
      <c r="A149" s="6"/>
      <c r="B149" s="6" t="s">
        <v>149</v>
      </c>
      <c r="C149" s="3" t="str">
        <f t="shared" si="1"/>
        <v>_dark white</v>
      </c>
      <c r="D149" s="3" t="str">
        <f t="shared" si="5"/>
        <v>#N/A</v>
      </c>
      <c r="E149" s="3" t="b">
        <f t="shared" si="2"/>
        <v>0</v>
      </c>
      <c r="G149" s="3" t="str">
        <f t="shared" si="3"/>
        <v>#N/A</v>
      </c>
      <c r="AU149" s="8"/>
      <c r="AV149" s="6"/>
      <c r="AW149" s="8"/>
      <c r="AX149" s="8"/>
      <c r="AY149" s="6"/>
      <c r="AZ149" s="8"/>
      <c r="BA149" s="8"/>
      <c r="BB149" s="6"/>
      <c r="BC149" s="8"/>
      <c r="BD149" s="8"/>
      <c r="BE149" s="6"/>
      <c r="BF149" s="8"/>
      <c r="BG149" s="8"/>
      <c r="BH149" s="6"/>
      <c r="BI149" s="8"/>
      <c r="BJ149" s="8"/>
      <c r="BK149" s="6"/>
      <c r="BL149" s="8"/>
      <c r="BM149" s="8"/>
      <c r="BN149" s="6"/>
      <c r="BO149" s="8"/>
      <c r="BP149" s="8"/>
      <c r="BQ149" s="6"/>
      <c r="BR149" s="8"/>
    </row>
    <row r="150">
      <c r="A150" s="6"/>
      <c r="B150" s="6" t="s">
        <v>150</v>
      </c>
      <c r="C150" s="3" t="str">
        <f t="shared" si="1"/>
        <v>_drab red</v>
      </c>
      <c r="D150" s="3" t="str">
        <f t="shared" si="5"/>
        <v>#N/A</v>
      </c>
      <c r="E150" s="3" t="b">
        <f t="shared" si="2"/>
        <v>0</v>
      </c>
      <c r="G150" s="3" t="str">
        <f t="shared" si="3"/>
        <v>#N/A</v>
      </c>
      <c r="AU150" s="8"/>
      <c r="AV150" s="6"/>
      <c r="AW150" s="8"/>
      <c r="AX150" s="8"/>
      <c r="AY150" s="6"/>
      <c r="AZ150" s="8"/>
      <c r="BA150" s="8"/>
      <c r="BB150" s="6"/>
      <c r="BC150" s="8"/>
      <c r="BD150" s="8"/>
      <c r="BE150" s="6"/>
      <c r="BF150" s="8"/>
      <c r="BG150" s="8"/>
      <c r="BH150" s="6"/>
      <c r="BI150" s="8"/>
      <c r="BJ150" s="8"/>
      <c r="BK150" s="6"/>
      <c r="BL150" s="8"/>
      <c r="BM150" s="8"/>
      <c r="BN150" s="6"/>
      <c r="BO150" s="8"/>
      <c r="BP150" s="8"/>
      <c r="BQ150" s="6"/>
      <c r="BR150" s="8"/>
    </row>
    <row r="151">
      <c r="A151" s="6"/>
      <c r="B151" s="6" t="s">
        <v>151</v>
      </c>
      <c r="C151" s="3" t="str">
        <f t="shared" si="1"/>
        <v>_muted teal</v>
      </c>
      <c r="D151" s="3" t="str">
        <f t="shared" si="5"/>
        <v>#N/A</v>
      </c>
      <c r="E151" s="3" t="b">
        <f t="shared" si="2"/>
        <v>0</v>
      </c>
      <c r="G151" s="3" t="str">
        <f t="shared" si="3"/>
        <v>#N/A</v>
      </c>
      <c r="AU151" s="8"/>
      <c r="AV151" s="6"/>
      <c r="AW151" s="8"/>
      <c r="AX151" s="8"/>
      <c r="AY151" s="6"/>
      <c r="AZ151" s="8"/>
      <c r="BA151" s="8"/>
      <c r="BB151" s="6"/>
      <c r="BC151" s="8"/>
      <c r="BD151" s="8"/>
      <c r="BE151" s="6"/>
      <c r="BF151" s="8"/>
      <c r="BG151" s="8"/>
      <c r="BH151" s="6"/>
      <c r="BI151" s="8"/>
      <c r="BJ151" s="8"/>
      <c r="BK151" s="6"/>
      <c r="BL151" s="8"/>
      <c r="BM151" s="8"/>
      <c r="BN151" s="6"/>
      <c r="BO151" s="8"/>
      <c r="BP151" s="8"/>
      <c r="BQ151" s="6"/>
      <c r="BR151" s="8"/>
    </row>
    <row r="152">
      <c r="A152" s="6"/>
      <c r="B152" s="6" t="s">
        <v>152</v>
      </c>
      <c r="C152" s="3" t="str">
        <f t="shared" si="1"/>
        <v>_wavy red</v>
      </c>
      <c r="D152" s="3" t="str">
        <f t="shared" si="5"/>
        <v>#N/A</v>
      </c>
      <c r="E152" s="3" t="b">
        <f t="shared" si="2"/>
        <v>0</v>
      </c>
      <c r="G152" s="3" t="str">
        <f t="shared" si="3"/>
        <v>#N/A</v>
      </c>
      <c r="AU152" s="8"/>
      <c r="AV152" s="6"/>
      <c r="AW152" s="8"/>
      <c r="AX152" s="8"/>
      <c r="AY152" s="6"/>
      <c r="AZ152" s="8"/>
      <c r="BA152" s="8"/>
      <c r="BB152" s="6"/>
      <c r="BC152" s="8"/>
      <c r="BD152" s="8"/>
      <c r="BE152" s="6"/>
      <c r="BF152" s="8"/>
      <c r="BG152" s="8"/>
      <c r="BH152" s="6"/>
      <c r="BI152" s="8"/>
      <c r="BJ152" s="8"/>
      <c r="BK152" s="6"/>
      <c r="BL152" s="8"/>
      <c r="BM152" s="8"/>
      <c r="BN152" s="6"/>
      <c r="BO152" s="8"/>
      <c r="BP152" s="8"/>
      <c r="BQ152" s="6"/>
      <c r="BR152" s="8"/>
    </row>
    <row r="153">
      <c r="A153" s="6"/>
      <c r="B153" s="6" t="s">
        <v>153</v>
      </c>
      <c r="C153" s="3" t="str">
        <f t="shared" si="1"/>
        <v>_striped olive</v>
      </c>
      <c r="D153" s="3" t="str">
        <f t="shared" si="5"/>
        <v>#N/A</v>
      </c>
      <c r="E153" s="3" t="b">
        <f t="shared" si="2"/>
        <v>0</v>
      </c>
      <c r="G153" s="3" t="str">
        <f t="shared" si="3"/>
        <v>#N/A</v>
      </c>
      <c r="AU153" s="8"/>
      <c r="AV153" s="6"/>
      <c r="AW153" s="8"/>
      <c r="AX153" s="8"/>
      <c r="AY153" s="6"/>
      <c r="AZ153" s="8"/>
      <c r="BA153" s="8"/>
      <c r="BB153" s="6"/>
      <c r="BC153" s="8"/>
      <c r="BD153" s="8"/>
      <c r="BE153" s="6"/>
      <c r="BF153" s="8"/>
      <c r="BG153" s="8"/>
      <c r="BH153" s="6"/>
      <c r="BI153" s="8"/>
      <c r="BJ153" s="8"/>
      <c r="BK153" s="6"/>
      <c r="BL153" s="8"/>
      <c r="BM153" s="8"/>
      <c r="BN153" s="6"/>
      <c r="BO153" s="8"/>
      <c r="BP153" s="8"/>
      <c r="BQ153" s="6"/>
      <c r="BR153" s="8"/>
    </row>
    <row r="154">
      <c r="A154" s="6"/>
      <c r="B154" s="6" t="s">
        <v>154</v>
      </c>
      <c r="C154" s="3" t="str">
        <f t="shared" si="1"/>
        <v>_dull teal</v>
      </c>
      <c r="D154" s="3" t="str">
        <f t="shared" si="5"/>
        <v>#N/A</v>
      </c>
      <c r="E154" s="3" t="b">
        <f t="shared" si="2"/>
        <v>0</v>
      </c>
      <c r="G154" s="3" t="str">
        <f t="shared" si="3"/>
        <v>#N/A</v>
      </c>
      <c r="AU154" s="8"/>
      <c r="AV154" s="6"/>
      <c r="AW154" s="8"/>
      <c r="AX154" s="8"/>
      <c r="AY154" s="6"/>
      <c r="AZ154" s="8"/>
      <c r="BA154" s="8"/>
      <c r="BB154" s="6"/>
      <c r="BC154" s="8"/>
      <c r="BD154" s="8"/>
      <c r="BE154" s="6"/>
      <c r="BF154" s="8"/>
      <c r="BG154" s="8"/>
      <c r="BH154" s="6"/>
      <c r="BI154" s="8"/>
      <c r="BJ154" s="8"/>
      <c r="BK154" s="6"/>
      <c r="BL154" s="8"/>
      <c r="BM154" s="8"/>
      <c r="BN154" s="6"/>
      <c r="BO154" s="8"/>
      <c r="BP154" s="8"/>
      <c r="BQ154" s="6"/>
      <c r="BR154" s="8"/>
    </row>
    <row r="155">
      <c r="A155" s="6"/>
      <c r="B155" s="6" t="s">
        <v>155</v>
      </c>
      <c r="C155" s="3" t="str">
        <f t="shared" si="1"/>
        <v>_light black</v>
      </c>
      <c r="D155" s="3" t="str">
        <f t="shared" si="5"/>
        <v>#N/A</v>
      </c>
      <c r="E155" s="3" t="b">
        <f t="shared" si="2"/>
        <v>0</v>
      </c>
      <c r="G155" s="3" t="str">
        <f t="shared" si="3"/>
        <v>#N/A</v>
      </c>
      <c r="AU155" s="8"/>
      <c r="AV155" s="6"/>
      <c r="AW155" s="8"/>
      <c r="AX155" s="8"/>
      <c r="AY155" s="6"/>
      <c r="AZ155" s="8"/>
      <c r="BA155" s="8"/>
      <c r="BB155" s="6"/>
      <c r="BC155" s="8"/>
      <c r="BD155" s="8"/>
      <c r="BE155" s="6"/>
      <c r="BF155" s="8"/>
      <c r="BG155" s="8"/>
      <c r="BH155" s="6"/>
      <c r="BI155" s="8"/>
      <c r="BJ155" s="8"/>
      <c r="BK155" s="6"/>
      <c r="BL155" s="8"/>
      <c r="BM155" s="8"/>
      <c r="BN155" s="6"/>
      <c r="BO155" s="8"/>
      <c r="BP155" s="8"/>
      <c r="BQ155" s="6"/>
      <c r="BR155" s="8"/>
    </row>
    <row r="156">
      <c r="A156" s="6"/>
      <c r="B156" s="6" t="s">
        <v>156</v>
      </c>
      <c r="C156" s="3" t="str">
        <f t="shared" si="1"/>
        <v>_clear orange</v>
      </c>
      <c r="D156" s="3" t="str">
        <f t="shared" si="5"/>
        <v>#N/A</v>
      </c>
      <c r="E156" s="3" t="b">
        <f t="shared" si="2"/>
        <v>0</v>
      </c>
      <c r="G156" s="3" t="str">
        <f t="shared" si="3"/>
        <v>#N/A</v>
      </c>
      <c r="AU156" s="8"/>
      <c r="AV156" s="6"/>
      <c r="AW156" s="8"/>
      <c r="AX156" s="8"/>
      <c r="AY156" s="6"/>
      <c r="AZ156" s="8"/>
      <c r="BA156" s="8"/>
      <c r="BB156" s="6"/>
      <c r="BC156" s="8"/>
      <c r="BD156" s="8"/>
      <c r="BE156" s="6"/>
      <c r="BF156" s="8"/>
      <c r="BG156" s="8"/>
      <c r="BH156" s="6"/>
      <c r="BI156" s="8"/>
      <c r="BJ156" s="8"/>
      <c r="BK156" s="6"/>
      <c r="BL156" s="8"/>
      <c r="BM156" s="8"/>
      <c r="BN156" s="6"/>
      <c r="BO156" s="8"/>
      <c r="BP156" s="8"/>
      <c r="BQ156" s="6"/>
      <c r="BR156" s="8"/>
    </row>
    <row r="157">
      <c r="A157" s="6"/>
      <c r="B157" s="6" t="s">
        <v>157</v>
      </c>
      <c r="C157" s="3" t="str">
        <f t="shared" si="1"/>
        <v>_pale yellow</v>
      </c>
      <c r="D157" s="3" t="str">
        <f t="shared" si="5"/>
        <v>#N/A</v>
      </c>
      <c r="E157" s="3" t="b">
        <f t="shared" si="2"/>
        <v>0</v>
      </c>
      <c r="G157" s="3" t="str">
        <f t="shared" si="3"/>
        <v>#N/A</v>
      </c>
      <c r="AU157" s="8"/>
      <c r="AV157" s="6"/>
      <c r="AW157" s="8"/>
      <c r="AX157" s="8"/>
      <c r="AY157" s="6"/>
      <c r="AZ157" s="8"/>
      <c r="BA157" s="8"/>
      <c r="BB157" s="6"/>
      <c r="BC157" s="8"/>
      <c r="BD157" s="8"/>
      <c r="BE157" s="6"/>
      <c r="BF157" s="8"/>
      <c r="BG157" s="8"/>
      <c r="BH157" s="6"/>
      <c r="BI157" s="8"/>
      <c r="BJ157" s="8"/>
      <c r="BK157" s="6"/>
      <c r="BL157" s="8"/>
      <c r="BM157" s="8"/>
      <c r="BN157" s="6"/>
      <c r="BO157" s="8"/>
      <c r="BP157" s="8"/>
      <c r="BQ157" s="6"/>
      <c r="BR157" s="8"/>
    </row>
    <row r="158">
      <c r="A158" s="6"/>
      <c r="B158" s="6" t="s">
        <v>158</v>
      </c>
      <c r="C158" s="3" t="str">
        <f t="shared" si="1"/>
        <v>_posh cyan</v>
      </c>
      <c r="D158" s="3" t="str">
        <f t="shared" si="5"/>
        <v>#N/A</v>
      </c>
      <c r="E158" s="3" t="b">
        <f t="shared" si="2"/>
        <v>0</v>
      </c>
      <c r="G158" s="3" t="str">
        <f t="shared" si="3"/>
        <v>#N/A</v>
      </c>
      <c r="AU158" s="8"/>
      <c r="AV158" s="6"/>
      <c r="AW158" s="8"/>
      <c r="AX158" s="8"/>
      <c r="AY158" s="6"/>
      <c r="AZ158" s="8"/>
      <c r="BA158" s="8"/>
      <c r="BB158" s="6"/>
      <c r="BC158" s="8"/>
      <c r="BD158" s="8"/>
      <c r="BE158" s="6"/>
      <c r="BF158" s="8"/>
      <c r="BG158" s="8"/>
      <c r="BH158" s="6"/>
      <c r="BI158" s="8"/>
      <c r="BJ158" s="8"/>
      <c r="BK158" s="6"/>
      <c r="BL158" s="8"/>
      <c r="BM158" s="8"/>
      <c r="BN158" s="6"/>
      <c r="BO158" s="8"/>
      <c r="BP158" s="8"/>
      <c r="BQ158" s="6"/>
      <c r="BR158" s="8"/>
    </row>
    <row r="159">
      <c r="A159" s="6"/>
      <c r="B159" s="6" t="s">
        <v>159</v>
      </c>
      <c r="C159" s="3" t="str">
        <f t="shared" si="1"/>
        <v>_drab tomato</v>
      </c>
      <c r="D159" s="3" t="str">
        <f t="shared" si="5"/>
        <v>#N/A</v>
      </c>
      <c r="E159" s="3" t="b">
        <f t="shared" si="2"/>
        <v>0</v>
      </c>
      <c r="G159" s="3" t="str">
        <f t="shared" si="3"/>
        <v>#N/A</v>
      </c>
      <c r="AU159" s="8"/>
      <c r="AV159" s="6"/>
      <c r="AW159" s="8"/>
      <c r="AX159" s="8"/>
      <c r="AY159" s="6"/>
      <c r="AZ159" s="8"/>
      <c r="BA159" s="8"/>
      <c r="BB159" s="6"/>
      <c r="BC159" s="8"/>
      <c r="BD159" s="8"/>
      <c r="BE159" s="6"/>
      <c r="BF159" s="8"/>
      <c r="BG159" s="8"/>
      <c r="BH159" s="6"/>
      <c r="BI159" s="8"/>
      <c r="BJ159" s="8"/>
      <c r="BK159" s="6"/>
      <c r="BL159" s="8"/>
      <c r="BM159" s="8"/>
      <c r="BN159" s="6"/>
      <c r="BO159" s="8"/>
      <c r="BP159" s="8"/>
      <c r="BQ159" s="6"/>
      <c r="BR159" s="8"/>
    </row>
    <row r="160">
      <c r="A160" s="6"/>
      <c r="B160" s="6" t="s">
        <v>160</v>
      </c>
      <c r="C160" s="3" t="str">
        <f t="shared" si="1"/>
        <v>_pale orange</v>
      </c>
      <c r="D160" s="3" t="str">
        <f t="shared" si="5"/>
        <v>#N/A</v>
      </c>
      <c r="E160" s="3" t="b">
        <f t="shared" si="2"/>
        <v>0</v>
      </c>
      <c r="G160" s="3" t="str">
        <f t="shared" si="3"/>
        <v>#N/A</v>
      </c>
      <c r="AU160" s="8"/>
      <c r="AV160" s="6"/>
      <c r="AW160" s="8"/>
      <c r="AX160" s="8"/>
      <c r="AY160" s="6"/>
      <c r="AZ160" s="8"/>
      <c r="BA160" s="8"/>
      <c r="BB160" s="6"/>
      <c r="BC160" s="8"/>
      <c r="BD160" s="8"/>
      <c r="BE160" s="6"/>
      <c r="BF160" s="8"/>
      <c r="BG160" s="8"/>
      <c r="BH160" s="6"/>
      <c r="BI160" s="8"/>
      <c r="BJ160" s="8"/>
      <c r="BK160" s="6"/>
      <c r="BL160" s="8"/>
      <c r="BM160" s="8"/>
      <c r="BN160" s="6"/>
      <c r="BO160" s="8"/>
      <c r="BP160" s="8"/>
      <c r="BQ160" s="6"/>
      <c r="BR160" s="8"/>
    </row>
    <row r="161">
      <c r="A161" s="6"/>
      <c r="B161" s="6" t="s">
        <v>161</v>
      </c>
      <c r="C161" s="3" t="str">
        <f t="shared" si="1"/>
        <v>_dull tomato</v>
      </c>
      <c r="D161" s="3" t="str">
        <f t="shared" si="5"/>
        <v>#N/A</v>
      </c>
      <c r="E161" s="3" t="b">
        <f t="shared" si="2"/>
        <v>0</v>
      </c>
      <c r="G161" s="3" t="str">
        <f t="shared" si="3"/>
        <v>#N/A</v>
      </c>
      <c r="AU161" s="8"/>
      <c r="AV161" s="6"/>
      <c r="AW161" s="8"/>
      <c r="AX161" s="8"/>
      <c r="AY161" s="6"/>
      <c r="AZ161" s="8"/>
      <c r="BA161" s="8"/>
      <c r="BB161" s="6"/>
      <c r="BC161" s="8"/>
      <c r="BD161" s="8"/>
      <c r="BE161" s="6"/>
      <c r="BF161" s="8"/>
      <c r="BG161" s="8"/>
      <c r="BH161" s="6"/>
      <c r="BI161" s="8"/>
      <c r="BJ161" s="8"/>
      <c r="BK161" s="6"/>
      <c r="BL161" s="8"/>
      <c r="BM161" s="8"/>
      <c r="BN161" s="6"/>
      <c r="BO161" s="8"/>
      <c r="BP161" s="8"/>
      <c r="BQ161" s="6"/>
      <c r="BR161" s="8"/>
    </row>
    <row r="162">
      <c r="A162" s="6"/>
      <c r="B162" s="6" t="s">
        <v>162</v>
      </c>
      <c r="C162" s="3" t="str">
        <f t="shared" si="1"/>
        <v>_pale turquoise</v>
      </c>
      <c r="D162" s="3" t="str">
        <f t="shared" si="5"/>
        <v>#N/A</v>
      </c>
      <c r="E162" s="3" t="b">
        <f t="shared" si="2"/>
        <v>0</v>
      </c>
      <c r="G162" s="3" t="str">
        <f t="shared" si="3"/>
        <v>#N/A</v>
      </c>
      <c r="AU162" s="8"/>
      <c r="AV162" s="6"/>
      <c r="AW162" s="8"/>
      <c r="AX162" s="8"/>
      <c r="AY162" s="6"/>
      <c r="AZ162" s="8"/>
      <c r="BA162" s="8"/>
      <c r="BB162" s="6"/>
      <c r="BC162" s="8"/>
      <c r="BD162" s="8"/>
      <c r="BE162" s="6"/>
      <c r="BF162" s="8"/>
      <c r="BG162" s="8"/>
      <c r="BH162" s="6"/>
      <c r="BI162" s="8"/>
      <c r="BJ162" s="8"/>
      <c r="BK162" s="6"/>
      <c r="BL162" s="8"/>
      <c r="BM162" s="8"/>
      <c r="BN162" s="6"/>
      <c r="BO162" s="8"/>
      <c r="BP162" s="8"/>
      <c r="BQ162" s="6"/>
      <c r="BR162" s="8"/>
    </row>
    <row r="163">
      <c r="A163" s="6"/>
      <c r="B163" s="6" t="s">
        <v>163</v>
      </c>
      <c r="C163" s="3" t="str">
        <f t="shared" si="1"/>
        <v>_plaid maroon</v>
      </c>
      <c r="D163" s="3" t="str">
        <f t="shared" si="5"/>
        <v>#N/A</v>
      </c>
      <c r="E163" s="3" t="b">
        <f t="shared" si="2"/>
        <v>0</v>
      </c>
      <c r="G163" s="3" t="str">
        <f t="shared" si="3"/>
        <v>#N/A</v>
      </c>
      <c r="AU163" s="8"/>
      <c r="AV163" s="6"/>
      <c r="AW163" s="8"/>
      <c r="AX163" s="8"/>
      <c r="AY163" s="6"/>
      <c r="AZ163" s="8"/>
      <c r="BA163" s="8"/>
      <c r="BB163" s="6"/>
      <c r="BC163" s="8"/>
      <c r="BD163" s="8"/>
      <c r="BE163" s="6"/>
      <c r="BF163" s="8"/>
      <c r="BG163" s="8"/>
      <c r="BH163" s="6"/>
      <c r="BI163" s="8"/>
      <c r="BJ163" s="8"/>
      <c r="BK163" s="6"/>
      <c r="BL163" s="8"/>
      <c r="BM163" s="8"/>
      <c r="BN163" s="6"/>
      <c r="BO163" s="8"/>
      <c r="BP163" s="8"/>
      <c r="BQ163" s="6"/>
      <c r="BR163" s="8"/>
    </row>
    <row r="164">
      <c r="A164" s="6"/>
      <c r="B164" s="6" t="s">
        <v>164</v>
      </c>
      <c r="C164" s="3" t="str">
        <f t="shared" si="1"/>
        <v>_vibrant beige</v>
      </c>
      <c r="D164" s="3" t="str">
        <f t="shared" si="5"/>
        <v>#N/A</v>
      </c>
      <c r="E164" s="3" t="b">
        <f t="shared" si="2"/>
        <v>0</v>
      </c>
      <c r="G164" s="3" t="str">
        <f t="shared" si="3"/>
        <v>#N/A</v>
      </c>
      <c r="AU164" s="8"/>
      <c r="AV164" s="6"/>
      <c r="AW164" s="8"/>
      <c r="AX164" s="8"/>
      <c r="AY164" s="6"/>
      <c r="AZ164" s="8"/>
      <c r="BA164" s="8"/>
      <c r="BB164" s="6"/>
      <c r="BC164" s="8"/>
      <c r="BD164" s="8"/>
      <c r="BE164" s="6"/>
      <c r="BF164" s="8"/>
      <c r="BG164" s="8"/>
      <c r="BH164" s="6"/>
      <c r="BI164" s="8"/>
      <c r="BJ164" s="8"/>
      <c r="BK164" s="6"/>
      <c r="BL164" s="8"/>
      <c r="BM164" s="8"/>
      <c r="BN164" s="6"/>
      <c r="BO164" s="8"/>
      <c r="BP164" s="8"/>
      <c r="BQ164" s="6"/>
      <c r="BR164" s="8"/>
    </row>
    <row r="165">
      <c r="A165" s="6"/>
      <c r="B165" s="6" t="s">
        <v>165</v>
      </c>
      <c r="C165" s="3" t="str">
        <f t="shared" si="1"/>
        <v>_bright purple</v>
      </c>
      <c r="D165" s="3" t="str">
        <f t="shared" si="5"/>
        <v>#N/A</v>
      </c>
      <c r="E165" s="3" t="b">
        <f t="shared" si="2"/>
        <v>0</v>
      </c>
      <c r="G165" s="3" t="str">
        <f t="shared" si="3"/>
        <v>#N/A</v>
      </c>
      <c r="AU165" s="8"/>
      <c r="AV165" s="6"/>
      <c r="AW165" s="8"/>
      <c r="AX165" s="8"/>
      <c r="AY165" s="6"/>
      <c r="AZ165" s="8"/>
      <c r="BA165" s="8"/>
      <c r="BB165" s="6"/>
      <c r="BC165" s="8"/>
      <c r="BD165" s="8"/>
      <c r="BE165" s="6"/>
      <c r="BF165" s="8"/>
      <c r="BG165" s="8"/>
      <c r="BH165" s="6"/>
      <c r="BI165" s="8"/>
      <c r="BJ165" s="8"/>
      <c r="BK165" s="6"/>
      <c r="BL165" s="8"/>
      <c r="BM165" s="8"/>
      <c r="BN165" s="6"/>
      <c r="BO165" s="8"/>
      <c r="BP165" s="8"/>
      <c r="BQ165" s="6"/>
      <c r="BR165" s="8"/>
    </row>
    <row r="166">
      <c r="A166" s="6"/>
      <c r="B166" s="6" t="s">
        <v>166</v>
      </c>
      <c r="C166" s="3" t="str">
        <f t="shared" si="1"/>
        <v>_dull coral</v>
      </c>
      <c r="D166" s="3" t="str">
        <f t="shared" si="5"/>
        <v>#N/A</v>
      </c>
      <c r="E166" s="3" t="b">
        <f t="shared" si="2"/>
        <v>0</v>
      </c>
      <c r="G166" s="3" t="str">
        <f t="shared" si="3"/>
        <v>#N/A</v>
      </c>
      <c r="AU166" s="8"/>
      <c r="AV166" s="6"/>
      <c r="AW166" s="8"/>
      <c r="AX166" s="8"/>
      <c r="AY166" s="6"/>
      <c r="AZ166" s="8"/>
      <c r="BA166" s="8"/>
      <c r="BB166" s="6"/>
      <c r="BC166" s="8"/>
      <c r="BD166" s="8"/>
      <c r="BE166" s="6"/>
      <c r="BF166" s="8"/>
      <c r="BG166" s="8"/>
      <c r="BH166" s="6"/>
      <c r="BI166" s="8"/>
      <c r="BJ166" s="8"/>
      <c r="BK166" s="6"/>
      <c r="BL166" s="8"/>
      <c r="BM166" s="8"/>
      <c r="BN166" s="6"/>
      <c r="BO166" s="8"/>
      <c r="BP166" s="8"/>
      <c r="BQ166" s="6"/>
      <c r="BR166" s="8"/>
    </row>
    <row r="167">
      <c r="A167" s="6"/>
      <c r="B167" s="6" t="s">
        <v>167</v>
      </c>
      <c r="C167" s="3" t="str">
        <f t="shared" si="1"/>
        <v>_drab gray</v>
      </c>
      <c r="D167" s="3" t="str">
        <f t="shared" si="5"/>
        <v>#N/A</v>
      </c>
      <c r="E167" s="3" t="b">
        <f t="shared" si="2"/>
        <v>0</v>
      </c>
      <c r="G167" s="3" t="str">
        <f t="shared" si="3"/>
        <v>#N/A</v>
      </c>
      <c r="AU167" s="8"/>
      <c r="AV167" s="6"/>
      <c r="AW167" s="8"/>
      <c r="AX167" s="8"/>
      <c r="AY167" s="6"/>
      <c r="AZ167" s="8"/>
      <c r="BA167" s="8"/>
      <c r="BB167" s="6"/>
      <c r="BC167" s="8"/>
      <c r="BD167" s="8"/>
      <c r="BE167" s="6"/>
      <c r="BF167" s="8"/>
      <c r="BG167" s="8"/>
      <c r="BH167" s="6"/>
      <c r="BI167" s="8"/>
      <c r="BJ167" s="8"/>
      <c r="BK167" s="6"/>
      <c r="BL167" s="8"/>
      <c r="BM167" s="8"/>
      <c r="BN167" s="6"/>
      <c r="BO167" s="8"/>
      <c r="BP167" s="8"/>
      <c r="BQ167" s="6"/>
      <c r="BR167" s="8"/>
    </row>
    <row r="168">
      <c r="A168" s="6"/>
      <c r="B168" s="6" t="s">
        <v>168</v>
      </c>
      <c r="C168" s="3" t="str">
        <f t="shared" si="1"/>
        <v>_dull lavender</v>
      </c>
      <c r="D168" s="3" t="str">
        <f t="shared" si="5"/>
        <v>#N/A</v>
      </c>
      <c r="E168" s="3" t="b">
        <f t="shared" si="2"/>
        <v>0</v>
      </c>
      <c r="G168" s="3" t="str">
        <f t="shared" si="3"/>
        <v>#N/A</v>
      </c>
      <c r="AU168" s="8"/>
      <c r="AV168" s="6"/>
      <c r="AW168" s="8"/>
      <c r="AX168" s="8"/>
      <c r="AY168" s="6"/>
      <c r="AZ168" s="8"/>
      <c r="BA168" s="8"/>
      <c r="BB168" s="6"/>
      <c r="BC168" s="8"/>
      <c r="BD168" s="8"/>
      <c r="BE168" s="6"/>
      <c r="BF168" s="8"/>
      <c r="BG168" s="8"/>
      <c r="BH168" s="6"/>
      <c r="BI168" s="8"/>
      <c r="BJ168" s="8"/>
      <c r="BK168" s="6"/>
      <c r="BL168" s="8"/>
      <c r="BM168" s="8"/>
      <c r="BN168" s="6"/>
      <c r="BO168" s="8"/>
      <c r="BP168" s="8"/>
      <c r="BQ168" s="6"/>
      <c r="BR168" s="8"/>
    </row>
    <row r="169">
      <c r="A169" s="6"/>
      <c r="B169" s="6" t="s">
        <v>169</v>
      </c>
      <c r="C169" s="3" t="str">
        <f t="shared" si="1"/>
        <v>_striped maroon</v>
      </c>
      <c r="D169" s="3" t="str">
        <f t="shared" si="5"/>
        <v>#N/A</v>
      </c>
      <c r="E169" s="3" t="b">
        <f t="shared" si="2"/>
        <v>0</v>
      </c>
      <c r="G169" s="3" t="str">
        <f t="shared" si="3"/>
        <v>#N/A</v>
      </c>
      <c r="AU169" s="8"/>
      <c r="AV169" s="6"/>
      <c r="AW169" s="8"/>
      <c r="AX169" s="8"/>
      <c r="AY169" s="6"/>
      <c r="AZ169" s="8"/>
      <c r="BA169" s="8"/>
      <c r="BB169" s="6"/>
      <c r="BC169" s="8"/>
      <c r="BD169" s="8"/>
      <c r="BE169" s="6"/>
      <c r="BF169" s="8"/>
      <c r="BG169" s="8"/>
      <c r="BH169" s="6"/>
      <c r="BI169" s="8"/>
      <c r="BJ169" s="8"/>
      <c r="BK169" s="6"/>
      <c r="BL169" s="8"/>
      <c r="BM169" s="8"/>
      <c r="BN169" s="6"/>
      <c r="BO169" s="8"/>
      <c r="BP169" s="8"/>
      <c r="BQ169" s="6"/>
      <c r="BR169" s="8"/>
    </row>
    <row r="170">
      <c r="A170" s="6"/>
      <c r="B170" s="6" t="s">
        <v>170</v>
      </c>
      <c r="C170" s="3" t="str">
        <f t="shared" si="1"/>
        <v>_mirrored silver</v>
      </c>
      <c r="D170" s="3" t="str">
        <f t="shared" si="5"/>
        <v>#N/A</v>
      </c>
      <c r="E170" s="3" t="b">
        <f t="shared" si="2"/>
        <v>0</v>
      </c>
      <c r="G170" s="3" t="str">
        <f t="shared" si="3"/>
        <v>#N/A</v>
      </c>
      <c r="AU170" s="8"/>
      <c r="AV170" s="6"/>
      <c r="AW170" s="8"/>
      <c r="AX170" s="8"/>
      <c r="AY170" s="6"/>
      <c r="AZ170" s="8"/>
      <c r="BA170" s="8"/>
      <c r="BB170" s="6"/>
      <c r="BC170" s="8"/>
      <c r="BD170" s="8"/>
      <c r="BE170" s="6"/>
      <c r="BF170" s="8"/>
      <c r="BG170" s="8"/>
      <c r="BH170" s="6"/>
      <c r="BI170" s="8"/>
      <c r="BJ170" s="8"/>
      <c r="BK170" s="6"/>
      <c r="BL170" s="8"/>
      <c r="BM170" s="8"/>
      <c r="BN170" s="6"/>
      <c r="BO170" s="8"/>
      <c r="BP170" s="8"/>
      <c r="BQ170" s="6"/>
      <c r="BR170" s="8"/>
    </row>
    <row r="171">
      <c r="A171" s="6"/>
      <c r="B171" s="6" t="s">
        <v>171</v>
      </c>
      <c r="C171" s="3" t="str">
        <f t="shared" si="1"/>
        <v>_faded yellow</v>
      </c>
      <c r="D171" s="3" t="str">
        <f t="shared" si="5"/>
        <v>#N/A</v>
      </c>
      <c r="E171" s="3" t="b">
        <f t="shared" si="2"/>
        <v>0</v>
      </c>
      <c r="G171" s="3" t="str">
        <f t="shared" si="3"/>
        <v>#N/A</v>
      </c>
      <c r="AU171" s="8"/>
      <c r="AV171" s="6"/>
      <c r="AW171" s="8"/>
      <c r="AX171" s="8"/>
      <c r="AY171" s="6"/>
      <c r="AZ171" s="8"/>
      <c r="BA171" s="8"/>
      <c r="BB171" s="6"/>
      <c r="BC171" s="8"/>
      <c r="BD171" s="8"/>
      <c r="BE171" s="6"/>
      <c r="BF171" s="8"/>
      <c r="BG171" s="8"/>
      <c r="BH171" s="6"/>
      <c r="BI171" s="8"/>
      <c r="BJ171" s="8"/>
      <c r="BK171" s="6"/>
      <c r="BL171" s="8"/>
      <c r="BM171" s="8"/>
      <c r="BN171" s="6"/>
      <c r="BO171" s="8"/>
      <c r="BP171" s="8"/>
      <c r="BQ171" s="6"/>
      <c r="BR171" s="8"/>
    </row>
    <row r="172">
      <c r="A172" s="6"/>
      <c r="B172" s="6" t="s">
        <v>172</v>
      </c>
      <c r="C172" s="3" t="str">
        <f t="shared" si="1"/>
        <v>_striped purple</v>
      </c>
      <c r="D172" s="3" t="str">
        <f t="shared" si="5"/>
        <v>#N/A</v>
      </c>
      <c r="E172" s="3" t="b">
        <f t="shared" si="2"/>
        <v>0</v>
      </c>
      <c r="G172" s="3" t="str">
        <f t="shared" si="3"/>
        <v>#N/A</v>
      </c>
      <c r="AU172" s="8"/>
      <c r="AV172" s="6"/>
      <c r="AW172" s="8"/>
      <c r="AX172" s="8"/>
      <c r="AY172" s="6"/>
      <c r="AZ172" s="8"/>
      <c r="BA172" s="8"/>
      <c r="BB172" s="6"/>
      <c r="BC172" s="8"/>
      <c r="BD172" s="8"/>
      <c r="BE172" s="6"/>
      <c r="BF172" s="8"/>
      <c r="BG172" s="8"/>
      <c r="BH172" s="6"/>
      <c r="BI172" s="8"/>
      <c r="BJ172" s="8"/>
      <c r="BK172" s="6"/>
      <c r="BL172" s="8"/>
      <c r="BM172" s="8"/>
      <c r="BN172" s="6"/>
      <c r="BO172" s="8"/>
      <c r="BP172" s="8"/>
      <c r="BQ172" s="6"/>
      <c r="BR172" s="8"/>
    </row>
    <row r="173">
      <c r="A173" s="6"/>
      <c r="B173" s="6" t="s">
        <v>173</v>
      </c>
      <c r="C173" s="3" t="str">
        <f t="shared" si="1"/>
        <v>_clear gray</v>
      </c>
      <c r="D173" s="3" t="str">
        <f t="shared" si="5"/>
        <v>#N/A</v>
      </c>
      <c r="E173" s="3" t="b">
        <f t="shared" si="2"/>
        <v>0</v>
      </c>
      <c r="G173" s="3" t="str">
        <f t="shared" si="3"/>
        <v>#N/A</v>
      </c>
      <c r="AU173" s="8"/>
      <c r="AV173" s="6"/>
      <c r="AW173" s="8"/>
      <c r="AX173" s="8"/>
      <c r="AY173" s="6"/>
      <c r="AZ173" s="8"/>
      <c r="BA173" s="8"/>
      <c r="BB173" s="6"/>
      <c r="BC173" s="8"/>
      <c r="BD173" s="8"/>
      <c r="BE173" s="6"/>
      <c r="BF173" s="8"/>
      <c r="BG173" s="8"/>
      <c r="BH173" s="6"/>
      <c r="BI173" s="8"/>
      <c r="BJ173" s="8"/>
      <c r="BK173" s="6"/>
      <c r="BL173" s="8"/>
      <c r="BM173" s="8"/>
      <c r="BN173" s="6"/>
      <c r="BO173" s="8"/>
      <c r="BP173" s="8"/>
      <c r="BQ173" s="6"/>
      <c r="BR173" s="8"/>
    </row>
    <row r="174">
      <c r="A174" s="6"/>
      <c r="B174" s="6" t="s">
        <v>174</v>
      </c>
      <c r="C174" s="3" t="str">
        <f t="shared" si="1"/>
        <v>_plaid cyan</v>
      </c>
      <c r="D174" s="3" t="str">
        <f t="shared" si="5"/>
        <v>#N/A</v>
      </c>
      <c r="E174" s="3" t="b">
        <f t="shared" si="2"/>
        <v>0</v>
      </c>
      <c r="G174" s="3" t="str">
        <f t="shared" si="3"/>
        <v>#N/A</v>
      </c>
      <c r="AU174" s="8"/>
      <c r="AV174" s="6"/>
      <c r="AW174" s="8"/>
      <c r="AX174" s="8"/>
      <c r="AY174" s="6"/>
      <c r="AZ174" s="8"/>
      <c r="BA174" s="8"/>
      <c r="BB174" s="6"/>
      <c r="BC174" s="8"/>
      <c r="BD174" s="8"/>
      <c r="BE174" s="6"/>
      <c r="BF174" s="8"/>
      <c r="BG174" s="8"/>
      <c r="BH174" s="6"/>
      <c r="BI174" s="8"/>
      <c r="BJ174" s="8"/>
      <c r="BK174" s="6"/>
      <c r="BL174" s="8"/>
      <c r="BM174" s="8"/>
      <c r="BN174" s="6"/>
      <c r="BO174" s="8"/>
      <c r="BP174" s="8"/>
      <c r="BQ174" s="6"/>
      <c r="BR174" s="8"/>
    </row>
    <row r="175">
      <c r="A175" s="6"/>
      <c r="B175" s="6" t="s">
        <v>175</v>
      </c>
      <c r="C175" s="3" t="str">
        <f t="shared" si="1"/>
        <v>_bright orange</v>
      </c>
      <c r="D175" s="3" t="str">
        <f t="shared" si="5"/>
        <v>#N/A</v>
      </c>
      <c r="E175" s="3" t="b">
        <f t="shared" si="2"/>
        <v>0</v>
      </c>
      <c r="G175" s="3" t="str">
        <f t="shared" si="3"/>
        <v>#N/A</v>
      </c>
      <c r="AU175" s="8"/>
      <c r="AV175" s="6"/>
      <c r="AW175" s="8"/>
      <c r="AX175" s="8"/>
      <c r="AY175" s="6"/>
      <c r="AZ175" s="8"/>
      <c r="BA175" s="8"/>
      <c r="BB175" s="6"/>
      <c r="BC175" s="8"/>
      <c r="BD175" s="8"/>
      <c r="BE175" s="6"/>
      <c r="BF175" s="8"/>
      <c r="BG175" s="8"/>
      <c r="BH175" s="6"/>
      <c r="BI175" s="8"/>
      <c r="BJ175" s="8"/>
      <c r="BK175" s="6"/>
      <c r="BL175" s="8"/>
      <c r="BM175" s="8"/>
      <c r="BN175" s="6"/>
      <c r="BO175" s="8"/>
      <c r="BP175" s="8"/>
      <c r="BQ175" s="6"/>
      <c r="BR175" s="8"/>
    </row>
    <row r="176">
      <c r="A176" s="6"/>
      <c r="B176" s="6" t="s">
        <v>176</v>
      </c>
      <c r="C176" s="3" t="str">
        <f t="shared" si="1"/>
        <v>_dotted turquoise</v>
      </c>
      <c r="D176" s="3" t="str">
        <f t="shared" si="5"/>
        <v>#N/A</v>
      </c>
      <c r="E176" s="3" t="b">
        <f t="shared" si="2"/>
        <v>0</v>
      </c>
      <c r="G176" s="3" t="str">
        <f t="shared" si="3"/>
        <v>#N/A</v>
      </c>
      <c r="AU176" s="8"/>
      <c r="AV176" s="6"/>
      <c r="AW176" s="8"/>
      <c r="AX176" s="8"/>
      <c r="AY176" s="6"/>
      <c r="AZ176" s="8"/>
      <c r="BA176" s="8"/>
      <c r="BB176" s="6"/>
      <c r="BC176" s="8"/>
      <c r="BD176" s="8"/>
      <c r="BE176" s="6"/>
      <c r="BF176" s="8"/>
      <c r="BG176" s="8"/>
      <c r="BH176" s="6"/>
      <c r="BI176" s="8"/>
      <c r="BJ176" s="8"/>
      <c r="BK176" s="6"/>
      <c r="BL176" s="8"/>
      <c r="BM176" s="8"/>
      <c r="BN176" s="6"/>
      <c r="BO176" s="8"/>
      <c r="BP176" s="8"/>
      <c r="BQ176" s="6"/>
      <c r="BR176" s="8"/>
    </row>
    <row r="177">
      <c r="A177" s="6"/>
      <c r="B177" s="6" t="s">
        <v>177</v>
      </c>
      <c r="C177" s="3" t="str">
        <f t="shared" si="1"/>
        <v>_vibrant turquoise</v>
      </c>
      <c r="D177" s="3" t="str">
        <f t="shared" si="5"/>
        <v>#N/A</v>
      </c>
      <c r="E177" s="3" t="b">
        <f t="shared" si="2"/>
        <v>0</v>
      </c>
      <c r="G177" s="3" t="str">
        <f t="shared" si="3"/>
        <v>#N/A</v>
      </c>
      <c r="AU177" s="8"/>
      <c r="AV177" s="6"/>
      <c r="AW177" s="8"/>
      <c r="AX177" s="8"/>
      <c r="AY177" s="6"/>
      <c r="AZ177" s="8"/>
      <c r="BA177" s="8"/>
      <c r="BB177" s="6"/>
      <c r="BC177" s="8"/>
      <c r="BD177" s="8"/>
      <c r="BE177" s="6"/>
      <c r="BF177" s="8"/>
      <c r="BG177" s="8"/>
      <c r="BH177" s="6"/>
      <c r="BI177" s="8"/>
      <c r="BJ177" s="8"/>
      <c r="BK177" s="6"/>
      <c r="BL177" s="8"/>
      <c r="BM177" s="8"/>
      <c r="BN177" s="6"/>
      <c r="BO177" s="8"/>
      <c r="BP177" s="8"/>
      <c r="BQ177" s="6"/>
      <c r="BR177" s="8"/>
    </row>
    <row r="178">
      <c r="A178" s="6"/>
      <c r="B178" s="6" t="s">
        <v>178</v>
      </c>
      <c r="C178" s="3" t="str">
        <f t="shared" si="1"/>
        <v>_striped lime</v>
      </c>
      <c r="D178" s="3" t="str">
        <f t="shared" si="5"/>
        <v>#N/A</v>
      </c>
      <c r="E178" s="3" t="b">
        <f t="shared" si="2"/>
        <v>1</v>
      </c>
      <c r="G178" s="3" t="str">
        <f t="shared" si="3"/>
        <v>#N/A</v>
      </c>
      <c r="AU178" s="8"/>
      <c r="AV178" s="6"/>
      <c r="AW178" s="8"/>
      <c r="AX178" s="8"/>
      <c r="AY178" s="6"/>
      <c r="AZ178" s="8"/>
      <c r="BA178" s="8"/>
      <c r="BB178" s="6"/>
      <c r="BC178" s="8"/>
      <c r="BD178" s="8"/>
      <c r="BE178" s="6"/>
      <c r="BF178" s="8"/>
      <c r="BG178" s="8"/>
      <c r="BH178" s="6"/>
      <c r="BI178" s="8"/>
      <c r="BJ178" s="8"/>
      <c r="BK178" s="6"/>
      <c r="BL178" s="8"/>
      <c r="BM178" s="8"/>
      <c r="BN178" s="6"/>
      <c r="BO178" s="8"/>
      <c r="BP178" s="8"/>
      <c r="BQ178" s="6"/>
      <c r="BR178" s="8"/>
    </row>
    <row r="179">
      <c r="A179" s="6"/>
      <c r="B179" s="6" t="s">
        <v>179</v>
      </c>
      <c r="C179" s="3" t="str">
        <f t="shared" si="1"/>
        <v>_light violet</v>
      </c>
      <c r="D179" s="3" t="str">
        <f t="shared" si="5"/>
        <v>#N/A</v>
      </c>
      <c r="E179" s="3" t="b">
        <f t="shared" si="2"/>
        <v>0</v>
      </c>
      <c r="G179" s="3" t="str">
        <f t="shared" si="3"/>
        <v>#N/A</v>
      </c>
      <c r="AU179" s="8"/>
      <c r="AV179" s="6"/>
      <c r="AW179" s="8"/>
      <c r="AX179" s="8"/>
      <c r="AY179" s="6"/>
      <c r="AZ179" s="8"/>
      <c r="BA179" s="8"/>
      <c r="BB179" s="6"/>
      <c r="BC179" s="8"/>
      <c r="BD179" s="8"/>
      <c r="BE179" s="6"/>
      <c r="BF179" s="8"/>
      <c r="BG179" s="8"/>
      <c r="BH179" s="6"/>
      <c r="BI179" s="8"/>
      <c r="BJ179" s="8"/>
      <c r="BK179" s="6"/>
      <c r="BL179" s="8"/>
      <c r="BM179" s="8"/>
      <c r="BN179" s="6"/>
      <c r="BO179" s="8"/>
      <c r="BP179" s="8"/>
      <c r="BQ179" s="6"/>
      <c r="BR179" s="8"/>
    </row>
    <row r="180">
      <c r="A180" s="6"/>
      <c r="B180" s="6" t="s">
        <v>180</v>
      </c>
      <c r="C180" s="3" t="str">
        <f t="shared" si="1"/>
        <v>_striped orange</v>
      </c>
      <c r="D180" s="3" t="str">
        <f t="shared" si="5"/>
        <v>#N/A</v>
      </c>
      <c r="E180" s="3" t="b">
        <f t="shared" si="2"/>
        <v>0</v>
      </c>
      <c r="G180" s="3" t="str">
        <f t="shared" si="3"/>
        <v>#N/A</v>
      </c>
      <c r="AU180" s="8"/>
      <c r="AV180" s="6"/>
      <c r="AW180" s="8"/>
      <c r="AX180" s="8"/>
      <c r="AY180" s="6"/>
      <c r="AZ180" s="8"/>
      <c r="BA180" s="8"/>
      <c r="BB180" s="6"/>
      <c r="BC180" s="8"/>
      <c r="BD180" s="8"/>
      <c r="BE180" s="6"/>
      <c r="BF180" s="8"/>
      <c r="BG180" s="8"/>
      <c r="BH180" s="6"/>
      <c r="BI180" s="8"/>
      <c r="BJ180" s="8"/>
      <c r="BK180" s="6"/>
      <c r="BL180" s="8"/>
      <c r="BM180" s="8"/>
      <c r="BN180" s="6"/>
      <c r="BO180" s="8"/>
      <c r="BP180" s="8"/>
      <c r="BQ180" s="6"/>
      <c r="BR180" s="8"/>
    </row>
    <row r="181">
      <c r="A181" s="6"/>
      <c r="B181" s="6" t="s">
        <v>181</v>
      </c>
      <c r="C181" s="3" t="str">
        <f t="shared" si="1"/>
        <v>_drab turquoise</v>
      </c>
      <c r="D181" s="3" t="str">
        <f t="shared" si="5"/>
        <v>#N/A</v>
      </c>
      <c r="E181" s="3" t="b">
        <f t="shared" si="2"/>
        <v>0</v>
      </c>
      <c r="G181" s="3" t="str">
        <f t="shared" si="3"/>
        <v>#N/A</v>
      </c>
      <c r="AU181" s="8"/>
      <c r="AV181" s="6"/>
      <c r="AW181" s="8"/>
      <c r="AX181" s="8"/>
      <c r="AY181" s="6"/>
      <c r="AZ181" s="8"/>
      <c r="BA181" s="8"/>
      <c r="BB181" s="6"/>
      <c r="BC181" s="8"/>
      <c r="BD181" s="8"/>
      <c r="BE181" s="6"/>
      <c r="BF181" s="8"/>
      <c r="BG181" s="8"/>
      <c r="BH181" s="6"/>
      <c r="BI181" s="8"/>
      <c r="BJ181" s="8"/>
      <c r="BK181" s="6"/>
      <c r="BL181" s="8"/>
      <c r="BM181" s="8"/>
      <c r="BN181" s="6"/>
      <c r="BO181" s="8"/>
      <c r="BP181" s="8"/>
      <c r="BQ181" s="6"/>
      <c r="BR181" s="8"/>
    </row>
    <row r="182">
      <c r="A182" s="6"/>
      <c r="B182" s="6" t="s">
        <v>182</v>
      </c>
      <c r="C182" s="3" t="str">
        <f t="shared" si="1"/>
        <v>_pale salmon</v>
      </c>
      <c r="D182" s="3" t="str">
        <f t="shared" si="5"/>
        <v>#N/A</v>
      </c>
      <c r="E182" s="3" t="b">
        <f t="shared" si="2"/>
        <v>0</v>
      </c>
      <c r="G182" s="3" t="str">
        <f t="shared" si="3"/>
        <v>#N/A</v>
      </c>
      <c r="AU182" s="8"/>
      <c r="AV182" s="6"/>
      <c r="AW182" s="8"/>
      <c r="AX182" s="8"/>
      <c r="AY182" s="6"/>
      <c r="AZ182" s="8"/>
      <c r="BA182" s="8"/>
      <c r="BB182" s="6"/>
      <c r="BC182" s="8"/>
      <c r="BD182" s="8"/>
      <c r="BE182" s="6"/>
      <c r="BF182" s="8"/>
      <c r="BG182" s="8"/>
      <c r="BH182" s="6"/>
      <c r="BI182" s="8"/>
      <c r="BJ182" s="8"/>
      <c r="BK182" s="6"/>
      <c r="BL182" s="8"/>
      <c r="BM182" s="8"/>
      <c r="BN182" s="6"/>
      <c r="BO182" s="8"/>
      <c r="BP182" s="8"/>
      <c r="BQ182" s="6"/>
      <c r="BR182" s="8"/>
    </row>
    <row r="183">
      <c r="A183" s="6"/>
      <c r="B183" s="6" t="s">
        <v>183</v>
      </c>
      <c r="C183" s="3" t="str">
        <f t="shared" si="1"/>
        <v>_shiny yellow</v>
      </c>
      <c r="D183" s="3" t="str">
        <f t="shared" si="5"/>
        <v>#N/A</v>
      </c>
      <c r="E183" s="3" t="b">
        <f t="shared" si="2"/>
        <v>0</v>
      </c>
      <c r="G183" s="3" t="str">
        <f t="shared" si="3"/>
        <v>#N/A</v>
      </c>
      <c r="AU183" s="8"/>
      <c r="AV183" s="6"/>
      <c r="AW183" s="8"/>
      <c r="AX183" s="8"/>
      <c r="AY183" s="6"/>
      <c r="AZ183" s="8"/>
      <c r="BA183" s="8"/>
      <c r="BB183" s="6"/>
      <c r="BC183" s="8"/>
      <c r="BD183" s="8"/>
      <c r="BE183" s="6"/>
      <c r="BF183" s="8"/>
      <c r="BG183" s="8"/>
      <c r="BH183" s="6"/>
      <c r="BI183" s="8"/>
      <c r="BJ183" s="8"/>
      <c r="BK183" s="6"/>
      <c r="BL183" s="8"/>
      <c r="BM183" s="8"/>
      <c r="BN183" s="6"/>
      <c r="BO183" s="8"/>
      <c r="BP183" s="8"/>
      <c r="BQ183" s="6"/>
      <c r="BR183" s="8"/>
    </row>
    <row r="184">
      <c r="A184" s="6"/>
      <c r="B184" s="6" t="s">
        <v>184</v>
      </c>
      <c r="C184" s="3" t="str">
        <f t="shared" si="1"/>
        <v>_plaid lime</v>
      </c>
      <c r="D184" s="3" t="str">
        <f t="shared" si="5"/>
        <v>#N/A</v>
      </c>
      <c r="E184" s="3" t="b">
        <f t="shared" si="2"/>
        <v>0</v>
      </c>
      <c r="G184" s="3" t="str">
        <f t="shared" si="3"/>
        <v>#N/A</v>
      </c>
      <c r="AU184" s="8"/>
      <c r="AV184" s="6"/>
      <c r="AW184" s="8"/>
      <c r="AX184" s="8"/>
      <c r="AY184" s="6"/>
      <c r="AZ184" s="8"/>
      <c r="BA184" s="8"/>
      <c r="BB184" s="6"/>
      <c r="BC184" s="8"/>
      <c r="BD184" s="8"/>
      <c r="BE184" s="6"/>
      <c r="BF184" s="8"/>
      <c r="BG184" s="8"/>
      <c r="BH184" s="6"/>
      <c r="BI184" s="8"/>
      <c r="BJ184" s="8"/>
      <c r="BK184" s="6"/>
      <c r="BL184" s="8"/>
      <c r="BM184" s="8"/>
      <c r="BN184" s="6"/>
      <c r="BO184" s="8"/>
      <c r="BP184" s="8"/>
      <c r="BQ184" s="6"/>
      <c r="BR184" s="8"/>
    </row>
    <row r="185">
      <c r="A185" s="6"/>
      <c r="B185" s="6" t="s">
        <v>185</v>
      </c>
      <c r="C185" s="3" t="str">
        <f t="shared" si="1"/>
        <v>_muted cyan</v>
      </c>
      <c r="D185" s="3" t="str">
        <f t="shared" si="5"/>
        <v>#N/A</v>
      </c>
      <c r="E185" s="3" t="b">
        <f t="shared" si="2"/>
        <v>0</v>
      </c>
      <c r="G185" s="3" t="str">
        <f t="shared" si="3"/>
        <v>#N/A</v>
      </c>
      <c r="AU185" s="8"/>
      <c r="AV185" s="6"/>
      <c r="AW185" s="8"/>
      <c r="AX185" s="8"/>
      <c r="AY185" s="6"/>
      <c r="AZ185" s="8"/>
      <c r="BA185" s="8"/>
      <c r="BB185" s="6"/>
      <c r="BC185" s="8"/>
      <c r="BD185" s="8"/>
      <c r="BE185" s="6"/>
      <c r="BF185" s="8"/>
      <c r="BG185" s="8"/>
      <c r="BH185" s="6"/>
      <c r="BI185" s="8"/>
      <c r="BJ185" s="8"/>
      <c r="BK185" s="6"/>
      <c r="BL185" s="8"/>
      <c r="BM185" s="8"/>
      <c r="BN185" s="6"/>
      <c r="BO185" s="8"/>
      <c r="BP185" s="8"/>
      <c r="BQ185" s="6"/>
      <c r="BR185" s="8"/>
    </row>
    <row r="186">
      <c r="A186" s="6"/>
      <c r="B186" s="6" t="s">
        <v>186</v>
      </c>
      <c r="C186" s="3" t="str">
        <f t="shared" si="1"/>
        <v>_dull cyan</v>
      </c>
      <c r="D186" s="3" t="str">
        <f t="shared" si="5"/>
        <v>#N/A</v>
      </c>
      <c r="E186" s="3" t="b">
        <f t="shared" si="2"/>
        <v>0</v>
      </c>
      <c r="G186" s="3" t="str">
        <f t="shared" si="3"/>
        <v>#N/A</v>
      </c>
      <c r="AU186" s="8"/>
      <c r="AV186" s="6"/>
      <c r="AW186" s="8"/>
      <c r="AX186" s="8"/>
      <c r="AY186" s="6"/>
      <c r="AZ186" s="8"/>
      <c r="BA186" s="8"/>
      <c r="BB186" s="6"/>
      <c r="BC186" s="8"/>
      <c r="BD186" s="8"/>
      <c r="BE186" s="6"/>
      <c r="BF186" s="8"/>
      <c r="BG186" s="8"/>
      <c r="BH186" s="6"/>
      <c r="BI186" s="8"/>
      <c r="BJ186" s="8"/>
      <c r="BK186" s="6"/>
      <c r="BL186" s="8"/>
      <c r="BM186" s="8"/>
      <c r="BN186" s="6"/>
      <c r="BO186" s="8"/>
      <c r="BP186" s="8"/>
      <c r="BQ186" s="6"/>
      <c r="BR186" s="8"/>
    </row>
    <row r="187">
      <c r="A187" s="6"/>
      <c r="B187" s="6" t="s">
        <v>187</v>
      </c>
      <c r="C187" s="3" t="str">
        <f t="shared" si="1"/>
        <v>_pale beige</v>
      </c>
      <c r="D187" s="3" t="str">
        <f t="shared" si="5"/>
        <v>#N/A</v>
      </c>
      <c r="E187" s="3" t="b">
        <f t="shared" si="2"/>
        <v>0</v>
      </c>
      <c r="G187" s="3" t="str">
        <f t="shared" si="3"/>
        <v>#N/A</v>
      </c>
      <c r="AU187" s="8"/>
      <c r="AV187" s="6"/>
      <c r="AW187" s="8"/>
      <c r="AX187" s="8"/>
      <c r="AY187" s="6"/>
      <c r="AZ187" s="8"/>
      <c r="BA187" s="8"/>
      <c r="BB187" s="6"/>
      <c r="BC187" s="8"/>
      <c r="BD187" s="8"/>
      <c r="BE187" s="6"/>
      <c r="BF187" s="8"/>
      <c r="BG187" s="8"/>
      <c r="BH187" s="6"/>
      <c r="BI187" s="8"/>
      <c r="BJ187" s="8"/>
      <c r="BK187" s="6"/>
      <c r="BL187" s="8"/>
      <c r="BM187" s="8"/>
      <c r="BN187" s="6"/>
      <c r="BO187" s="8"/>
      <c r="BP187" s="8"/>
      <c r="BQ187" s="6"/>
      <c r="BR187" s="8"/>
    </row>
    <row r="188">
      <c r="A188" s="6"/>
      <c r="B188" s="6" t="s">
        <v>188</v>
      </c>
      <c r="C188" s="3" t="str">
        <f t="shared" si="1"/>
        <v>_shiny chartreuse</v>
      </c>
      <c r="D188" s="3" t="str">
        <f t="shared" si="5"/>
        <v>#N/A</v>
      </c>
      <c r="E188" s="3" t="b">
        <f t="shared" si="2"/>
        <v>0</v>
      </c>
      <c r="G188" s="3" t="str">
        <f t="shared" si="3"/>
        <v>#N/A</v>
      </c>
      <c r="AU188" s="8"/>
      <c r="AV188" s="6"/>
      <c r="AW188" s="8"/>
      <c r="AX188" s="8"/>
      <c r="AY188" s="6"/>
      <c r="AZ188" s="8"/>
      <c r="BA188" s="8"/>
      <c r="BB188" s="6"/>
      <c r="BC188" s="8"/>
      <c r="BD188" s="8"/>
      <c r="BE188" s="6"/>
      <c r="BF188" s="8"/>
      <c r="BG188" s="8"/>
      <c r="BH188" s="6"/>
      <c r="BI188" s="8"/>
      <c r="BJ188" s="8"/>
      <c r="BK188" s="6"/>
      <c r="BL188" s="8"/>
      <c r="BM188" s="8"/>
      <c r="BN188" s="6"/>
      <c r="BO188" s="8"/>
      <c r="BP188" s="8"/>
      <c r="BQ188" s="6"/>
      <c r="BR188" s="8"/>
    </row>
    <row r="189">
      <c r="A189" s="6"/>
      <c r="B189" s="6" t="s">
        <v>189</v>
      </c>
      <c r="C189" s="3" t="str">
        <f t="shared" si="1"/>
        <v>_dark silver</v>
      </c>
      <c r="D189" s="3" t="str">
        <f t="shared" si="5"/>
        <v>#N/A</v>
      </c>
      <c r="E189" s="3" t="b">
        <f t="shared" si="2"/>
        <v>0</v>
      </c>
      <c r="G189" s="3" t="str">
        <f t="shared" si="3"/>
        <v>#N/A</v>
      </c>
      <c r="AU189" s="8"/>
      <c r="AV189" s="6"/>
      <c r="AW189" s="8"/>
      <c r="AX189" s="8"/>
      <c r="AY189" s="6"/>
      <c r="AZ189" s="8"/>
      <c r="BA189" s="8"/>
      <c r="BB189" s="6"/>
      <c r="BC189" s="8"/>
      <c r="BD189" s="8"/>
      <c r="BE189" s="6"/>
      <c r="BF189" s="8"/>
      <c r="BG189" s="8"/>
      <c r="BH189" s="6"/>
      <c r="BI189" s="8"/>
      <c r="BJ189" s="8"/>
      <c r="BK189" s="6"/>
      <c r="BL189" s="8"/>
      <c r="BM189" s="8"/>
      <c r="BN189" s="6"/>
      <c r="BO189" s="8"/>
      <c r="BP189" s="8"/>
      <c r="BQ189" s="6"/>
      <c r="BR189" s="8"/>
    </row>
    <row r="190">
      <c r="A190" s="6"/>
      <c r="B190" s="6" t="s">
        <v>190</v>
      </c>
      <c r="C190" s="3" t="str">
        <f t="shared" si="1"/>
        <v>_mirrored violet</v>
      </c>
      <c r="D190" s="3" t="str">
        <f t="shared" si="5"/>
        <v>#N/A</v>
      </c>
      <c r="E190" s="3" t="b">
        <f t="shared" si="2"/>
        <v>0</v>
      </c>
      <c r="G190" s="3" t="str">
        <f t="shared" si="3"/>
        <v>#N/A</v>
      </c>
      <c r="AU190" s="8"/>
      <c r="AV190" s="6"/>
      <c r="AW190" s="8"/>
      <c r="AX190" s="8"/>
      <c r="AY190" s="6"/>
      <c r="AZ190" s="8"/>
      <c r="BA190" s="8"/>
      <c r="BB190" s="6"/>
      <c r="BC190" s="8"/>
      <c r="BD190" s="8"/>
      <c r="BE190" s="6"/>
      <c r="BF190" s="8"/>
      <c r="BG190" s="8"/>
      <c r="BH190" s="6"/>
      <c r="BI190" s="8"/>
      <c r="BJ190" s="8"/>
      <c r="BK190" s="6"/>
      <c r="BL190" s="8"/>
      <c r="BM190" s="8"/>
      <c r="BN190" s="6"/>
      <c r="BO190" s="8"/>
      <c r="BP190" s="8"/>
      <c r="BQ190" s="6"/>
      <c r="BR190" s="8"/>
    </row>
    <row r="191">
      <c r="A191" s="6"/>
      <c r="B191" s="6" t="s">
        <v>191</v>
      </c>
      <c r="C191" s="3" t="str">
        <f t="shared" si="1"/>
        <v>_clear aqua</v>
      </c>
      <c r="D191" s="3" t="str">
        <f t="shared" si="5"/>
        <v>#N/A</v>
      </c>
      <c r="E191" s="3" t="b">
        <f t="shared" si="2"/>
        <v>0</v>
      </c>
      <c r="G191" s="3" t="str">
        <f t="shared" si="3"/>
        <v>#N/A</v>
      </c>
      <c r="AU191" s="8"/>
      <c r="AV191" s="6"/>
      <c r="AW191" s="8"/>
      <c r="AX191" s="8"/>
      <c r="AY191" s="6"/>
      <c r="AZ191" s="8"/>
      <c r="BA191" s="8"/>
      <c r="BB191" s="6"/>
      <c r="BC191" s="8"/>
      <c r="BD191" s="8"/>
      <c r="BE191" s="6"/>
      <c r="BF191" s="8"/>
      <c r="BG191" s="8"/>
      <c r="BH191" s="6"/>
      <c r="BI191" s="8"/>
      <c r="BJ191" s="8"/>
      <c r="BK191" s="6"/>
      <c r="BL191" s="8"/>
      <c r="BM191" s="8"/>
      <c r="BN191" s="6"/>
      <c r="BO191" s="8"/>
      <c r="BP191" s="8"/>
      <c r="BQ191" s="6"/>
      <c r="BR191" s="8"/>
    </row>
    <row r="192">
      <c r="A192" s="6"/>
      <c r="B192" s="6" t="s">
        <v>192</v>
      </c>
      <c r="C192" s="3" t="str">
        <f t="shared" si="1"/>
        <v>_plaid teal</v>
      </c>
      <c r="D192" s="3" t="str">
        <f t="shared" si="5"/>
        <v>#N/A</v>
      </c>
      <c r="E192" s="3" t="b">
        <f t="shared" si="2"/>
        <v>0</v>
      </c>
      <c r="G192" s="3" t="str">
        <f t="shared" si="3"/>
        <v>#N/A</v>
      </c>
      <c r="AU192" s="8"/>
      <c r="AV192" s="6"/>
      <c r="AW192" s="8"/>
      <c r="AX192" s="8"/>
      <c r="AY192" s="6"/>
      <c r="AZ192" s="8"/>
      <c r="BA192" s="8"/>
      <c r="BB192" s="6"/>
      <c r="BC192" s="8"/>
      <c r="BD192" s="8"/>
      <c r="BE192" s="6"/>
      <c r="BF192" s="8"/>
      <c r="BG192" s="8"/>
      <c r="BH192" s="6"/>
      <c r="BI192" s="8"/>
      <c r="BJ192" s="8"/>
      <c r="BK192" s="6"/>
      <c r="BL192" s="8"/>
      <c r="BM192" s="8"/>
      <c r="BN192" s="6"/>
      <c r="BO192" s="8"/>
      <c r="BP192" s="8"/>
      <c r="BQ192" s="6"/>
      <c r="BR192" s="8"/>
    </row>
    <row r="193">
      <c r="A193" s="6"/>
      <c r="B193" s="6" t="s">
        <v>193</v>
      </c>
      <c r="C193" s="3" t="str">
        <f t="shared" si="1"/>
        <v>_wavy olive</v>
      </c>
      <c r="D193" s="3" t="str">
        <f t="shared" si="5"/>
        <v>#N/A</v>
      </c>
      <c r="E193" s="3" t="b">
        <f t="shared" si="2"/>
        <v>0</v>
      </c>
      <c r="G193" s="3" t="str">
        <f t="shared" si="3"/>
        <v>#N/A</v>
      </c>
      <c r="AU193" s="8"/>
      <c r="AV193" s="6"/>
      <c r="AW193" s="8"/>
      <c r="AX193" s="8"/>
      <c r="AY193" s="6"/>
      <c r="AZ193" s="8"/>
      <c r="BA193" s="8"/>
      <c r="BB193" s="6"/>
      <c r="BC193" s="8"/>
      <c r="BD193" s="8"/>
      <c r="BE193" s="6"/>
      <c r="BF193" s="8"/>
      <c r="BG193" s="8"/>
      <c r="BH193" s="6"/>
      <c r="BI193" s="8"/>
      <c r="BJ193" s="8"/>
      <c r="BK193" s="6"/>
      <c r="BL193" s="8"/>
      <c r="BM193" s="8"/>
      <c r="BN193" s="6"/>
      <c r="BO193" s="8"/>
      <c r="BP193" s="8"/>
      <c r="BQ193" s="6"/>
      <c r="BR193" s="8"/>
    </row>
    <row r="194">
      <c r="A194" s="6"/>
      <c r="B194" s="6" t="s">
        <v>194</v>
      </c>
      <c r="C194" s="3" t="str">
        <f t="shared" si="1"/>
        <v>_pale lavender</v>
      </c>
      <c r="D194" s="3" t="str">
        <f t="shared" si="5"/>
        <v>#N/A</v>
      </c>
      <c r="E194" s="3" t="b">
        <f t="shared" si="2"/>
        <v>0</v>
      </c>
      <c r="G194" s="3" t="str">
        <f t="shared" si="3"/>
        <v>#N/A</v>
      </c>
      <c r="AU194" s="8"/>
      <c r="AV194" s="6"/>
      <c r="AW194" s="8"/>
      <c r="AX194" s="8"/>
      <c r="AY194" s="6"/>
      <c r="AZ194" s="8"/>
      <c r="BA194" s="8"/>
      <c r="BB194" s="6"/>
      <c r="BC194" s="8"/>
      <c r="BD194" s="8"/>
      <c r="BE194" s="6"/>
      <c r="BF194" s="8"/>
      <c r="BG194" s="8"/>
      <c r="BH194" s="6"/>
      <c r="BI194" s="8"/>
      <c r="BJ194" s="8"/>
      <c r="BK194" s="6"/>
      <c r="BL194" s="8"/>
      <c r="BM194" s="8"/>
      <c r="BN194" s="6"/>
      <c r="BO194" s="8"/>
      <c r="BP194" s="8"/>
      <c r="BQ194" s="6"/>
      <c r="BR194" s="8"/>
    </row>
    <row r="195">
      <c r="A195" s="6"/>
      <c r="B195" s="6" t="s">
        <v>195</v>
      </c>
      <c r="C195" s="3" t="str">
        <f t="shared" si="1"/>
        <v>_shiny blue</v>
      </c>
      <c r="D195" s="3" t="str">
        <f t="shared" si="5"/>
        <v>#N/A</v>
      </c>
      <c r="E195" s="3" t="b">
        <f t="shared" si="2"/>
        <v>0</v>
      </c>
      <c r="G195" s="3" t="str">
        <f t="shared" si="3"/>
        <v>#N/A</v>
      </c>
      <c r="AU195" s="8"/>
      <c r="AV195" s="6"/>
      <c r="AW195" s="8"/>
      <c r="AX195" s="8"/>
      <c r="AY195" s="6"/>
      <c r="AZ195" s="8"/>
      <c r="BA195" s="8"/>
      <c r="BB195" s="6"/>
      <c r="BC195" s="8"/>
      <c r="BD195" s="8"/>
      <c r="BE195" s="6"/>
      <c r="BF195" s="8"/>
      <c r="BG195" s="8"/>
      <c r="BH195" s="6"/>
      <c r="BI195" s="8"/>
      <c r="BJ195" s="8"/>
      <c r="BK195" s="6"/>
      <c r="BL195" s="8"/>
      <c r="BM195" s="8"/>
      <c r="BN195" s="6"/>
      <c r="BO195" s="8"/>
      <c r="BP195" s="8"/>
      <c r="BQ195" s="6"/>
      <c r="BR195" s="8"/>
    </row>
    <row r="196">
      <c r="A196" s="6"/>
      <c r="B196" s="6" t="s">
        <v>196</v>
      </c>
      <c r="C196" s="3" t="str">
        <f t="shared" si="1"/>
        <v>_light coral</v>
      </c>
      <c r="D196" s="3" t="str">
        <f t="shared" si="5"/>
        <v>#N/A</v>
      </c>
      <c r="E196" s="3" t="b">
        <f t="shared" si="2"/>
        <v>0</v>
      </c>
      <c r="G196" s="3" t="str">
        <f t="shared" si="3"/>
        <v>#N/A</v>
      </c>
      <c r="AU196" s="8"/>
      <c r="AV196" s="6"/>
      <c r="AW196" s="8"/>
      <c r="AX196" s="8"/>
      <c r="AY196" s="6"/>
      <c r="AZ196" s="8"/>
      <c r="BA196" s="8"/>
      <c r="BB196" s="6"/>
      <c r="BC196" s="8"/>
      <c r="BD196" s="8"/>
      <c r="BE196" s="6"/>
      <c r="BF196" s="8"/>
      <c r="BG196" s="8"/>
      <c r="BH196" s="6"/>
      <c r="BI196" s="8"/>
      <c r="BJ196" s="8"/>
      <c r="BK196" s="6"/>
      <c r="BL196" s="8"/>
      <c r="BM196" s="8"/>
      <c r="BN196" s="6"/>
      <c r="BO196" s="8"/>
      <c r="BP196" s="8"/>
      <c r="BQ196" s="6"/>
      <c r="BR196" s="8"/>
    </row>
    <row r="197">
      <c r="A197" s="6"/>
      <c r="B197" s="6" t="s">
        <v>197</v>
      </c>
      <c r="C197" s="3" t="str">
        <f t="shared" si="1"/>
        <v>_pale brown</v>
      </c>
      <c r="D197" s="3" t="str">
        <f t="shared" si="5"/>
        <v>#N/A</v>
      </c>
      <c r="E197" s="3" t="b">
        <f t="shared" si="2"/>
        <v>0</v>
      </c>
      <c r="G197" s="3" t="str">
        <f t="shared" si="3"/>
        <v>#N/A</v>
      </c>
      <c r="AU197" s="8"/>
      <c r="AV197" s="6"/>
      <c r="AW197" s="8"/>
      <c r="AX197" s="8"/>
      <c r="AY197" s="6"/>
      <c r="AZ197" s="8"/>
      <c r="BA197" s="8"/>
      <c r="BB197" s="6"/>
      <c r="BC197" s="8"/>
      <c r="BD197" s="8"/>
      <c r="BE197" s="6"/>
      <c r="BF197" s="8"/>
      <c r="BG197" s="8"/>
      <c r="BH197" s="6"/>
      <c r="BI197" s="8"/>
      <c r="BJ197" s="8"/>
      <c r="BK197" s="6"/>
      <c r="BL197" s="8"/>
      <c r="BM197" s="8"/>
      <c r="BN197" s="6"/>
      <c r="BO197" s="8"/>
      <c r="BP197" s="8"/>
      <c r="BQ197" s="6"/>
      <c r="BR197" s="8"/>
    </row>
    <row r="198">
      <c r="A198" s="6"/>
      <c r="B198" s="6" t="s">
        <v>198</v>
      </c>
      <c r="C198" s="3" t="str">
        <f t="shared" si="1"/>
        <v>_vibrant tomato</v>
      </c>
      <c r="D198" s="3" t="str">
        <f t="shared" si="5"/>
        <v>#N/A</v>
      </c>
      <c r="E198" s="3" t="b">
        <f t="shared" si="2"/>
        <v>0</v>
      </c>
      <c r="G198" s="3" t="str">
        <f t="shared" si="3"/>
        <v>#N/A</v>
      </c>
      <c r="AU198" s="8"/>
      <c r="AV198" s="6"/>
      <c r="AW198" s="8"/>
      <c r="AX198" s="8"/>
      <c r="AY198" s="6"/>
      <c r="AZ198" s="8"/>
      <c r="BA198" s="8"/>
      <c r="BB198" s="6"/>
      <c r="BC198" s="8"/>
      <c r="BD198" s="8"/>
      <c r="BE198" s="6"/>
      <c r="BF198" s="8"/>
      <c r="BG198" s="8"/>
      <c r="BH198" s="6"/>
      <c r="BI198" s="8"/>
      <c r="BJ198" s="8"/>
      <c r="BK198" s="6"/>
      <c r="BL198" s="8"/>
      <c r="BM198" s="8"/>
      <c r="BN198" s="6"/>
      <c r="BO198" s="8"/>
      <c r="BP198" s="8"/>
      <c r="BQ198" s="6"/>
      <c r="BR198" s="8"/>
    </row>
    <row r="199">
      <c r="A199" s="6"/>
      <c r="B199" s="6" t="s">
        <v>199</v>
      </c>
      <c r="C199" s="3" t="str">
        <f t="shared" si="1"/>
        <v>_dull olive</v>
      </c>
      <c r="D199" s="3" t="str">
        <f t="shared" si="5"/>
        <v>#N/A</v>
      </c>
      <c r="E199" s="3" t="b">
        <f t="shared" si="2"/>
        <v>0</v>
      </c>
      <c r="G199" s="3" t="str">
        <f t="shared" si="3"/>
        <v>#N/A</v>
      </c>
      <c r="AU199" s="8"/>
      <c r="AV199" s="6"/>
      <c r="AW199" s="8"/>
      <c r="AX199" s="8"/>
      <c r="AY199" s="6"/>
      <c r="AZ199" s="8"/>
      <c r="BA199" s="8"/>
      <c r="BB199" s="6"/>
      <c r="BC199" s="8"/>
      <c r="BD199" s="8"/>
      <c r="BE199" s="6"/>
      <c r="BF199" s="8"/>
      <c r="BG199" s="8"/>
      <c r="BH199" s="6"/>
      <c r="BI199" s="8"/>
      <c r="BJ199" s="8"/>
      <c r="BK199" s="6"/>
      <c r="BL199" s="8"/>
      <c r="BM199" s="8"/>
      <c r="BN199" s="6"/>
      <c r="BO199" s="8"/>
      <c r="BP199" s="8"/>
      <c r="BQ199" s="6"/>
      <c r="BR199" s="8"/>
    </row>
    <row r="200">
      <c r="A200" s="6"/>
      <c r="B200" s="6" t="s">
        <v>200</v>
      </c>
      <c r="C200" s="3" t="str">
        <f t="shared" si="1"/>
        <v>_light chartreuse</v>
      </c>
      <c r="D200" s="3" t="str">
        <f t="shared" si="5"/>
        <v>#N/A</v>
      </c>
      <c r="E200" s="3" t="b">
        <f t="shared" si="2"/>
        <v>0</v>
      </c>
      <c r="G200" s="3" t="str">
        <f t="shared" si="3"/>
        <v>#N/A</v>
      </c>
      <c r="AU200" s="8"/>
      <c r="AV200" s="6"/>
      <c r="AW200" s="8"/>
      <c r="AX200" s="8"/>
      <c r="AY200" s="6"/>
      <c r="AZ200" s="8"/>
      <c r="BA200" s="8"/>
      <c r="BB200" s="6"/>
      <c r="BC200" s="8"/>
      <c r="BD200" s="8"/>
      <c r="BE200" s="6"/>
      <c r="BF200" s="8"/>
      <c r="BG200" s="8"/>
      <c r="BH200" s="6"/>
      <c r="BI200" s="8"/>
      <c r="BJ200" s="8"/>
      <c r="BK200" s="6"/>
      <c r="BL200" s="8"/>
      <c r="BM200" s="8"/>
      <c r="BN200" s="6"/>
      <c r="BO200" s="8"/>
      <c r="BP200" s="8"/>
      <c r="BQ200" s="6"/>
      <c r="BR200" s="8"/>
    </row>
    <row r="201">
      <c r="A201" s="6"/>
      <c r="B201" s="6" t="s">
        <v>201</v>
      </c>
      <c r="C201" s="3" t="str">
        <f t="shared" si="1"/>
        <v>_posh gray</v>
      </c>
      <c r="D201" s="3" t="str">
        <f t="shared" si="5"/>
        <v>#N/A</v>
      </c>
      <c r="E201" s="3" t="b">
        <f t="shared" si="2"/>
        <v>0</v>
      </c>
      <c r="G201" s="3" t="str">
        <f t="shared" si="3"/>
        <v>#N/A</v>
      </c>
      <c r="AU201" s="8"/>
      <c r="AV201" s="6"/>
      <c r="AW201" s="8"/>
      <c r="AX201" s="8"/>
      <c r="AY201" s="6"/>
      <c r="AZ201" s="8"/>
      <c r="BA201" s="8"/>
      <c r="BB201" s="6"/>
      <c r="BC201" s="8"/>
      <c r="BD201" s="8"/>
      <c r="BE201" s="6"/>
      <c r="BF201" s="8"/>
      <c r="BG201" s="8"/>
      <c r="BH201" s="6"/>
      <c r="BI201" s="8"/>
      <c r="BJ201" s="8"/>
      <c r="BK201" s="6"/>
      <c r="BL201" s="8"/>
      <c r="BM201" s="8"/>
      <c r="BN201" s="6"/>
      <c r="BO201" s="8"/>
      <c r="BP201" s="8"/>
      <c r="BQ201" s="6"/>
      <c r="BR201" s="8"/>
    </row>
    <row r="202">
      <c r="A202" s="6"/>
      <c r="B202" s="6" t="s">
        <v>202</v>
      </c>
      <c r="C202" s="3" t="str">
        <f t="shared" si="1"/>
        <v>_bright yellow</v>
      </c>
      <c r="D202" s="3" t="str">
        <f t="shared" si="5"/>
        <v>#N/A</v>
      </c>
      <c r="E202" s="3" t="b">
        <f t="shared" si="2"/>
        <v>0</v>
      </c>
      <c r="G202" s="3" t="str">
        <f t="shared" si="3"/>
        <v>#N/A</v>
      </c>
      <c r="AU202" s="8"/>
      <c r="AV202" s="6"/>
      <c r="AW202" s="8"/>
      <c r="AX202" s="8"/>
      <c r="AY202" s="6"/>
      <c r="AZ202" s="8"/>
      <c r="BA202" s="8"/>
      <c r="BB202" s="6"/>
      <c r="BC202" s="8"/>
      <c r="BD202" s="8"/>
      <c r="BE202" s="6"/>
      <c r="BF202" s="8"/>
      <c r="BG202" s="8"/>
      <c r="BH202" s="6"/>
      <c r="BI202" s="8"/>
      <c r="BJ202" s="8"/>
      <c r="BK202" s="6"/>
      <c r="BL202" s="8"/>
      <c r="BM202" s="8"/>
      <c r="BN202" s="6"/>
      <c r="BO202" s="8"/>
      <c r="BP202" s="8"/>
      <c r="BQ202" s="6"/>
      <c r="BR202" s="8"/>
    </row>
    <row r="203">
      <c r="A203" s="6"/>
      <c r="B203" s="6" t="s">
        <v>203</v>
      </c>
      <c r="C203" s="3" t="str">
        <f t="shared" si="1"/>
        <v>_bright gold</v>
      </c>
      <c r="D203" s="3" t="str">
        <f t="shared" si="5"/>
        <v>#N/A</v>
      </c>
      <c r="E203" s="3" t="b">
        <f t="shared" si="2"/>
        <v>0</v>
      </c>
      <c r="G203" s="3" t="str">
        <f t="shared" si="3"/>
        <v>#N/A</v>
      </c>
      <c r="AU203" s="8"/>
      <c r="AV203" s="6"/>
      <c r="AW203" s="8"/>
      <c r="AX203" s="8"/>
      <c r="AY203" s="6"/>
      <c r="AZ203" s="8"/>
      <c r="BA203" s="8"/>
      <c r="BB203" s="6"/>
      <c r="BC203" s="8"/>
      <c r="BD203" s="8"/>
      <c r="BE203" s="6"/>
      <c r="BF203" s="8"/>
      <c r="BG203" s="8"/>
      <c r="BH203" s="6"/>
      <c r="BI203" s="8"/>
      <c r="BJ203" s="8"/>
      <c r="BK203" s="6"/>
      <c r="BL203" s="8"/>
      <c r="BM203" s="8"/>
      <c r="BN203" s="6"/>
      <c r="BO203" s="8"/>
      <c r="BP203" s="8"/>
      <c r="BQ203" s="6"/>
      <c r="BR203" s="8"/>
    </row>
    <row r="204">
      <c r="A204" s="6"/>
      <c r="B204" s="6" t="s">
        <v>204</v>
      </c>
      <c r="C204" s="3" t="str">
        <f t="shared" si="1"/>
        <v>_dotted red</v>
      </c>
      <c r="D204" s="3" t="str">
        <f t="shared" si="5"/>
        <v>#N/A</v>
      </c>
      <c r="E204" s="3" t="b">
        <f t="shared" si="2"/>
        <v>0</v>
      </c>
      <c r="G204" s="3" t="str">
        <f t="shared" si="3"/>
        <v>#N/A</v>
      </c>
      <c r="AU204" s="8"/>
      <c r="AV204" s="6"/>
      <c r="AW204" s="8"/>
      <c r="AX204" s="8"/>
      <c r="AY204" s="6"/>
      <c r="AZ204" s="8"/>
      <c r="BA204" s="8"/>
      <c r="BB204" s="6"/>
      <c r="BC204" s="8"/>
      <c r="BD204" s="8"/>
      <c r="BE204" s="6"/>
      <c r="BF204" s="8"/>
      <c r="BG204" s="8"/>
      <c r="BH204" s="6"/>
      <c r="BI204" s="8"/>
      <c r="BJ204" s="8"/>
      <c r="BK204" s="6"/>
      <c r="BL204" s="8"/>
      <c r="BM204" s="8"/>
      <c r="BN204" s="6"/>
      <c r="BO204" s="8"/>
      <c r="BP204" s="8"/>
      <c r="BQ204" s="6"/>
      <c r="BR204" s="8"/>
    </row>
    <row r="205">
      <c r="A205" s="6"/>
      <c r="B205" s="6" t="s">
        <v>205</v>
      </c>
      <c r="C205" s="3" t="str">
        <f t="shared" si="1"/>
        <v>_clear brown</v>
      </c>
      <c r="D205" s="3" t="str">
        <f t="shared" si="5"/>
        <v>#N/A</v>
      </c>
      <c r="E205" s="3" t="b">
        <f t="shared" si="2"/>
        <v>0</v>
      </c>
      <c r="G205" s="3" t="str">
        <f t="shared" si="3"/>
        <v>#N/A</v>
      </c>
      <c r="AU205" s="8"/>
      <c r="AV205" s="6"/>
      <c r="AW205" s="8"/>
      <c r="AX205" s="8"/>
      <c r="AY205" s="6"/>
      <c r="AZ205" s="8"/>
      <c r="BA205" s="8"/>
      <c r="BB205" s="6"/>
      <c r="BC205" s="8"/>
      <c r="BD205" s="8"/>
      <c r="BE205" s="6"/>
      <c r="BF205" s="8"/>
      <c r="BG205" s="8"/>
      <c r="BH205" s="6"/>
      <c r="BI205" s="8"/>
      <c r="BJ205" s="8"/>
      <c r="BK205" s="6"/>
      <c r="BL205" s="8"/>
      <c r="BM205" s="8"/>
      <c r="BN205" s="6"/>
      <c r="BO205" s="8"/>
      <c r="BP205" s="8"/>
      <c r="BQ205" s="6"/>
      <c r="BR205" s="8"/>
    </row>
    <row r="206">
      <c r="A206" s="6"/>
      <c r="B206" s="6" t="s">
        <v>206</v>
      </c>
      <c r="C206" s="3" t="str">
        <f t="shared" si="1"/>
        <v>_light plum</v>
      </c>
      <c r="D206" s="3" t="str">
        <f t="shared" si="5"/>
        <v>#N/A</v>
      </c>
      <c r="E206" s="3" t="b">
        <f t="shared" si="2"/>
        <v>0</v>
      </c>
      <c r="G206" s="3" t="str">
        <f t="shared" si="3"/>
        <v>#N/A</v>
      </c>
      <c r="AU206" s="8"/>
      <c r="AV206" s="6"/>
      <c r="AW206" s="8"/>
      <c r="AX206" s="8"/>
      <c r="AY206" s="6"/>
      <c r="AZ206" s="8"/>
      <c r="BA206" s="8"/>
      <c r="BB206" s="6"/>
      <c r="BC206" s="8"/>
      <c r="BD206" s="8"/>
      <c r="BE206" s="6"/>
      <c r="BF206" s="8"/>
      <c r="BG206" s="8"/>
      <c r="BH206" s="6"/>
      <c r="BI206" s="8"/>
      <c r="BJ206" s="8"/>
      <c r="BK206" s="6"/>
      <c r="BL206" s="8"/>
      <c r="BM206" s="8"/>
      <c r="BN206" s="6"/>
      <c r="BO206" s="8"/>
      <c r="BP206" s="8"/>
      <c r="BQ206" s="6"/>
      <c r="BR206" s="8"/>
    </row>
    <row r="207">
      <c r="A207" s="6"/>
      <c r="B207" s="6" t="s">
        <v>207</v>
      </c>
      <c r="C207" s="3" t="str">
        <f t="shared" si="1"/>
        <v>_dim purple</v>
      </c>
      <c r="D207" s="3" t="str">
        <f t="shared" si="5"/>
        <v>#N/A</v>
      </c>
      <c r="E207" s="3" t="b">
        <f t="shared" si="2"/>
        <v>0</v>
      </c>
      <c r="G207" s="3" t="str">
        <f t="shared" si="3"/>
        <v>#N/A</v>
      </c>
      <c r="AU207" s="8"/>
      <c r="AV207" s="6"/>
      <c r="AW207" s="8"/>
      <c r="AX207" s="8"/>
      <c r="AY207" s="6"/>
      <c r="AZ207" s="8"/>
      <c r="BA207" s="8"/>
      <c r="BB207" s="6"/>
      <c r="BC207" s="8"/>
      <c r="BD207" s="8"/>
      <c r="BE207" s="6"/>
      <c r="BF207" s="8"/>
      <c r="BG207" s="8"/>
      <c r="BH207" s="6"/>
      <c r="BI207" s="8"/>
      <c r="BJ207" s="8"/>
      <c r="BK207" s="6"/>
      <c r="BL207" s="8"/>
      <c r="BM207" s="8"/>
      <c r="BN207" s="6"/>
      <c r="BO207" s="8"/>
      <c r="BP207" s="8"/>
      <c r="BQ207" s="6"/>
      <c r="BR207" s="8"/>
    </row>
    <row r="208">
      <c r="A208" s="6"/>
      <c r="B208" s="6" t="s">
        <v>208</v>
      </c>
      <c r="C208" s="3" t="str">
        <f t="shared" si="1"/>
        <v>_dull yellow</v>
      </c>
      <c r="D208" s="3" t="str">
        <f t="shared" si="5"/>
        <v>#N/A</v>
      </c>
      <c r="E208" s="3" t="b">
        <f t="shared" si="2"/>
        <v>0</v>
      </c>
      <c r="G208" s="3" t="str">
        <f t="shared" si="3"/>
        <v>#N/A</v>
      </c>
      <c r="AU208" s="8"/>
      <c r="AV208" s="6"/>
      <c r="AW208" s="8"/>
      <c r="AX208" s="8"/>
      <c r="AY208" s="6"/>
      <c r="AZ208" s="8"/>
      <c r="BA208" s="8"/>
      <c r="BB208" s="6"/>
      <c r="BC208" s="8"/>
      <c r="BD208" s="8"/>
      <c r="BE208" s="6"/>
      <c r="BF208" s="8"/>
      <c r="BG208" s="8"/>
      <c r="BH208" s="6"/>
      <c r="BI208" s="8"/>
      <c r="BJ208" s="8"/>
      <c r="BK208" s="6"/>
      <c r="BL208" s="8"/>
      <c r="BM208" s="8"/>
      <c r="BN208" s="6"/>
      <c r="BO208" s="8"/>
      <c r="BP208" s="8"/>
      <c r="BQ208" s="6"/>
      <c r="BR208" s="8"/>
    </row>
    <row r="209">
      <c r="A209" s="6"/>
      <c r="B209" s="6" t="s">
        <v>209</v>
      </c>
      <c r="C209" s="3" t="str">
        <f t="shared" si="1"/>
        <v>_shiny gold</v>
      </c>
      <c r="D209" s="3" t="str">
        <f t="shared" si="5"/>
        <v>#N/A</v>
      </c>
      <c r="E209" s="3" t="b">
        <f t="shared" si="2"/>
        <v>0</v>
      </c>
      <c r="G209" s="3" t="str">
        <f t="shared" si="3"/>
        <v>#N/A</v>
      </c>
      <c r="AU209" s="8"/>
      <c r="AV209" s="6"/>
      <c r="AW209" s="8"/>
      <c r="AX209" s="8"/>
      <c r="AY209" s="6"/>
      <c r="AZ209" s="8"/>
      <c r="BA209" s="8"/>
      <c r="BB209" s="6"/>
      <c r="BC209" s="8"/>
      <c r="BD209" s="8"/>
      <c r="BE209" s="6"/>
      <c r="BF209" s="8"/>
      <c r="BG209" s="8"/>
      <c r="BH209" s="6"/>
      <c r="BI209" s="8"/>
      <c r="BJ209" s="8"/>
      <c r="BK209" s="6"/>
      <c r="BL209" s="8"/>
      <c r="BM209" s="8"/>
      <c r="BN209" s="6"/>
      <c r="BO209" s="8"/>
      <c r="BP209" s="8"/>
      <c r="BQ209" s="6"/>
      <c r="BR209" s="8"/>
    </row>
    <row r="210">
      <c r="A210" s="6"/>
      <c r="B210" s="6" t="s">
        <v>210</v>
      </c>
      <c r="C210" s="3" t="str">
        <f t="shared" si="1"/>
        <v>_mirrored crimson</v>
      </c>
      <c r="D210" s="3" t="str">
        <f t="shared" si="5"/>
        <v>#N/A</v>
      </c>
      <c r="E210" s="3" t="b">
        <f t="shared" si="2"/>
        <v>0</v>
      </c>
      <c r="G210" s="3" t="str">
        <f t="shared" si="3"/>
        <v>#N/A</v>
      </c>
      <c r="AU210" s="8"/>
      <c r="AV210" s="6"/>
      <c r="AW210" s="8"/>
      <c r="AX210" s="8"/>
      <c r="AY210" s="6"/>
      <c r="AZ210" s="8"/>
      <c r="BA210" s="8"/>
      <c r="BB210" s="6"/>
      <c r="BC210" s="8"/>
      <c r="BD210" s="8"/>
      <c r="BE210" s="6"/>
      <c r="BF210" s="8"/>
      <c r="BG210" s="8"/>
      <c r="BH210" s="6"/>
      <c r="BI210" s="8"/>
      <c r="BJ210" s="8"/>
      <c r="BK210" s="6"/>
      <c r="BL210" s="8"/>
      <c r="BM210" s="8"/>
      <c r="BN210" s="6"/>
      <c r="BO210" s="8"/>
      <c r="BP210" s="8"/>
      <c r="BQ210" s="6"/>
      <c r="BR210" s="8"/>
    </row>
    <row r="211">
      <c r="A211" s="6"/>
      <c r="B211" s="6" t="s">
        <v>211</v>
      </c>
      <c r="C211" s="3" t="str">
        <f t="shared" si="1"/>
        <v>_shiny lavender</v>
      </c>
      <c r="D211" s="3" t="str">
        <f t="shared" si="5"/>
        <v>#N/A</v>
      </c>
      <c r="E211" s="3" t="b">
        <f t="shared" si="2"/>
        <v>0</v>
      </c>
      <c r="G211" s="3" t="str">
        <f t="shared" si="3"/>
        <v>#N/A</v>
      </c>
      <c r="AU211" s="8"/>
      <c r="AV211" s="6"/>
      <c r="AW211" s="8"/>
      <c r="AX211" s="8"/>
      <c r="AY211" s="6"/>
      <c r="AZ211" s="8"/>
      <c r="BA211" s="8"/>
      <c r="BB211" s="6"/>
      <c r="BC211" s="8"/>
      <c r="BD211" s="8"/>
      <c r="BE211" s="6"/>
      <c r="BF211" s="8"/>
      <c r="BG211" s="8"/>
      <c r="BH211" s="6"/>
      <c r="BI211" s="8"/>
      <c r="BJ211" s="8"/>
      <c r="BK211" s="6"/>
      <c r="BL211" s="8"/>
      <c r="BM211" s="8"/>
      <c r="BN211" s="6"/>
      <c r="BO211" s="8"/>
      <c r="BP211" s="8"/>
      <c r="BQ211" s="6"/>
      <c r="BR211" s="8"/>
    </row>
    <row r="212">
      <c r="A212" s="6"/>
      <c r="B212" s="6" t="s">
        <v>212</v>
      </c>
      <c r="C212" s="3" t="str">
        <f t="shared" si="1"/>
        <v>_vibrant cyan</v>
      </c>
      <c r="D212" s="3" t="str">
        <f t="shared" si="5"/>
        <v>#N/A</v>
      </c>
      <c r="E212" s="3" t="b">
        <f t="shared" si="2"/>
        <v>0</v>
      </c>
      <c r="G212" s="3" t="str">
        <f t="shared" si="3"/>
        <v>#N/A</v>
      </c>
      <c r="AU212" s="8"/>
      <c r="AV212" s="6"/>
      <c r="AW212" s="8"/>
      <c r="AX212" s="8"/>
      <c r="AY212" s="6"/>
      <c r="AZ212" s="8"/>
      <c r="BA212" s="8"/>
      <c r="BB212" s="6"/>
      <c r="BC212" s="8"/>
      <c r="BD212" s="8"/>
      <c r="BE212" s="6"/>
      <c r="BF212" s="8"/>
      <c r="BG212" s="8"/>
      <c r="BH212" s="6"/>
      <c r="BI212" s="8"/>
      <c r="BJ212" s="8"/>
      <c r="BK212" s="6"/>
      <c r="BL212" s="8"/>
      <c r="BM212" s="8"/>
      <c r="BN212" s="6"/>
      <c r="BO212" s="8"/>
      <c r="BP212" s="8"/>
      <c r="BQ212" s="6"/>
      <c r="BR212" s="8"/>
    </row>
    <row r="213">
      <c r="A213" s="6"/>
      <c r="B213" s="6" t="s">
        <v>213</v>
      </c>
      <c r="C213" s="3" t="str">
        <f t="shared" si="1"/>
        <v>_wavy gold</v>
      </c>
      <c r="D213" s="3" t="str">
        <f t="shared" si="5"/>
        <v>#N/A</v>
      </c>
      <c r="E213" s="3" t="b">
        <f t="shared" si="2"/>
        <v>0</v>
      </c>
      <c r="G213" s="3" t="str">
        <f t="shared" si="3"/>
        <v>#N/A</v>
      </c>
      <c r="AU213" s="8"/>
      <c r="AV213" s="6"/>
      <c r="AW213" s="8"/>
      <c r="AX213" s="8"/>
      <c r="AY213" s="6"/>
      <c r="AZ213" s="8"/>
      <c r="BA213" s="8"/>
      <c r="BB213" s="6"/>
      <c r="BC213" s="8"/>
      <c r="BD213" s="8"/>
      <c r="BE213" s="6"/>
      <c r="BF213" s="8"/>
      <c r="BG213" s="8"/>
      <c r="BH213" s="6"/>
      <c r="BI213" s="8"/>
      <c r="BJ213" s="8"/>
      <c r="BK213" s="6"/>
      <c r="BL213" s="8"/>
      <c r="BM213" s="8"/>
      <c r="BN213" s="6"/>
      <c r="BO213" s="8"/>
      <c r="BP213" s="8"/>
      <c r="BQ213" s="6"/>
      <c r="BR213" s="8"/>
    </row>
    <row r="214">
      <c r="A214" s="6"/>
      <c r="B214" s="6" t="s">
        <v>214</v>
      </c>
      <c r="C214" s="3" t="str">
        <f t="shared" si="1"/>
        <v>_dark cyan</v>
      </c>
      <c r="D214" s="3" t="str">
        <f t="shared" si="5"/>
        <v>#N/A</v>
      </c>
      <c r="E214" s="3" t="b">
        <f t="shared" si="2"/>
        <v>0</v>
      </c>
      <c r="G214" s="3" t="str">
        <f t="shared" si="3"/>
        <v>#N/A</v>
      </c>
      <c r="AU214" s="8"/>
      <c r="AV214" s="6"/>
      <c r="AW214" s="8"/>
      <c r="AX214" s="8"/>
      <c r="AY214" s="6"/>
      <c r="AZ214" s="8"/>
      <c r="BA214" s="8"/>
      <c r="BB214" s="6"/>
      <c r="BC214" s="8"/>
      <c r="BD214" s="8"/>
      <c r="BE214" s="6"/>
      <c r="BF214" s="8"/>
      <c r="BG214" s="8"/>
      <c r="BH214" s="6"/>
      <c r="BI214" s="8"/>
      <c r="BJ214" s="8"/>
      <c r="BK214" s="6"/>
      <c r="BL214" s="8"/>
      <c r="BM214" s="8"/>
      <c r="BN214" s="6"/>
      <c r="BO214" s="8"/>
      <c r="BP214" s="8"/>
      <c r="BQ214" s="6"/>
      <c r="BR214" s="8"/>
    </row>
    <row r="215">
      <c r="A215" s="6"/>
      <c r="B215" s="6" t="s">
        <v>215</v>
      </c>
      <c r="C215" s="3" t="str">
        <f t="shared" si="1"/>
        <v>_posh lime</v>
      </c>
      <c r="D215" s="3" t="str">
        <f t="shared" si="5"/>
        <v>#N/A</v>
      </c>
      <c r="E215" s="3" t="b">
        <f t="shared" si="2"/>
        <v>0</v>
      </c>
      <c r="G215" s="3" t="str">
        <f t="shared" si="3"/>
        <v>#N/A</v>
      </c>
      <c r="AU215" s="8"/>
      <c r="AV215" s="6"/>
      <c r="AW215" s="8"/>
      <c r="AX215" s="8"/>
      <c r="AY215" s="6"/>
      <c r="AZ215" s="8"/>
      <c r="BA215" s="8"/>
      <c r="BB215" s="6"/>
      <c r="BC215" s="8"/>
      <c r="BD215" s="8"/>
      <c r="BE215" s="6"/>
      <c r="BF215" s="8"/>
      <c r="BG215" s="8"/>
      <c r="BH215" s="6"/>
      <c r="BI215" s="8"/>
      <c r="BJ215" s="8"/>
      <c r="BK215" s="6"/>
      <c r="BL215" s="8"/>
      <c r="BM215" s="8"/>
      <c r="BN215" s="6"/>
      <c r="BO215" s="8"/>
      <c r="BP215" s="8"/>
      <c r="BQ215" s="6"/>
      <c r="BR215" s="8"/>
    </row>
    <row r="216">
      <c r="A216" s="6"/>
      <c r="B216" s="6" t="s">
        <v>216</v>
      </c>
      <c r="C216" s="3" t="str">
        <f t="shared" si="1"/>
        <v>_posh purple</v>
      </c>
      <c r="D216" s="3" t="str">
        <f t="shared" si="5"/>
        <v>#N/A</v>
      </c>
      <c r="E216" s="3" t="b">
        <f t="shared" si="2"/>
        <v>0</v>
      </c>
      <c r="G216" s="3" t="str">
        <f t="shared" si="3"/>
        <v>#N/A</v>
      </c>
      <c r="AU216" s="8"/>
      <c r="AV216" s="6"/>
      <c r="AW216" s="8"/>
      <c r="AX216" s="8"/>
      <c r="AY216" s="6"/>
      <c r="AZ216" s="8"/>
      <c r="BA216" s="8"/>
      <c r="BB216" s="6"/>
      <c r="BC216" s="8"/>
      <c r="BD216" s="8"/>
      <c r="BE216" s="6"/>
      <c r="BF216" s="8"/>
      <c r="BG216" s="8"/>
      <c r="BH216" s="6"/>
      <c r="BI216" s="8"/>
      <c r="BJ216" s="8"/>
      <c r="BK216" s="6"/>
      <c r="BL216" s="8"/>
      <c r="BM216" s="8"/>
      <c r="BN216" s="6"/>
      <c r="BO216" s="8"/>
      <c r="BP216" s="8"/>
      <c r="BQ216" s="6"/>
      <c r="BR216" s="8"/>
    </row>
    <row r="217">
      <c r="A217" s="6"/>
      <c r="B217" s="6" t="s">
        <v>217</v>
      </c>
      <c r="C217" s="3" t="str">
        <f t="shared" si="1"/>
        <v>_pale magenta</v>
      </c>
      <c r="D217" s="3" t="str">
        <f t="shared" si="5"/>
        <v>#N/A</v>
      </c>
      <c r="E217" s="3" t="b">
        <f t="shared" si="2"/>
        <v>0</v>
      </c>
      <c r="G217" s="3" t="str">
        <f t="shared" si="3"/>
        <v>#N/A</v>
      </c>
      <c r="AU217" s="8"/>
      <c r="AV217" s="6"/>
      <c r="AW217" s="8"/>
      <c r="AX217" s="8"/>
      <c r="AY217" s="6"/>
      <c r="AZ217" s="8"/>
      <c r="BA217" s="8"/>
      <c r="BB217" s="6"/>
      <c r="BC217" s="8"/>
      <c r="BD217" s="8"/>
      <c r="BE217" s="6"/>
      <c r="BF217" s="8"/>
      <c r="BG217" s="8"/>
      <c r="BH217" s="6"/>
      <c r="BI217" s="8"/>
      <c r="BJ217" s="8"/>
      <c r="BK217" s="6"/>
      <c r="BL217" s="8"/>
      <c r="BM217" s="8"/>
      <c r="BN217" s="6"/>
      <c r="BO217" s="8"/>
      <c r="BP217" s="8"/>
      <c r="BQ217" s="6"/>
      <c r="BR217" s="8"/>
    </row>
    <row r="218">
      <c r="A218" s="6"/>
      <c r="B218" s="6" t="s">
        <v>218</v>
      </c>
      <c r="C218" s="3" t="str">
        <f t="shared" si="1"/>
        <v>_dim plum</v>
      </c>
      <c r="D218" s="3" t="str">
        <f t="shared" si="5"/>
        <v>#N/A</v>
      </c>
      <c r="E218" s="3" t="b">
        <f t="shared" si="2"/>
        <v>0</v>
      </c>
      <c r="G218" s="3" t="str">
        <f t="shared" si="3"/>
        <v>#N/A</v>
      </c>
      <c r="AU218" s="8"/>
      <c r="AV218" s="6"/>
      <c r="AW218" s="8"/>
      <c r="AX218" s="8"/>
      <c r="AY218" s="6"/>
      <c r="AZ218" s="8"/>
      <c r="BA218" s="8"/>
      <c r="BB218" s="6"/>
      <c r="BC218" s="8"/>
      <c r="BD218" s="8"/>
      <c r="BE218" s="6"/>
      <c r="BF218" s="8"/>
      <c r="BG218" s="8"/>
      <c r="BH218" s="6"/>
      <c r="BI218" s="8"/>
      <c r="BJ218" s="8"/>
      <c r="BK218" s="6"/>
      <c r="BL218" s="8"/>
      <c r="BM218" s="8"/>
      <c r="BN218" s="6"/>
      <c r="BO218" s="8"/>
      <c r="BP218" s="8"/>
      <c r="BQ218" s="6"/>
      <c r="BR218" s="8"/>
    </row>
    <row r="219">
      <c r="A219" s="6"/>
      <c r="B219" s="6" t="s">
        <v>219</v>
      </c>
      <c r="C219" s="3" t="str">
        <f t="shared" si="1"/>
        <v>_plaid indigo</v>
      </c>
      <c r="D219" s="3" t="str">
        <f t="shared" si="5"/>
        <v>#N/A</v>
      </c>
      <c r="E219" s="3" t="b">
        <f t="shared" si="2"/>
        <v>0</v>
      </c>
      <c r="G219" s="3" t="str">
        <f t="shared" si="3"/>
        <v>#N/A</v>
      </c>
      <c r="AU219" s="8"/>
      <c r="AV219" s="6"/>
      <c r="AW219" s="8"/>
      <c r="AX219" s="8"/>
      <c r="AY219" s="6"/>
      <c r="AZ219" s="8"/>
      <c r="BA219" s="8"/>
      <c r="BB219" s="6"/>
      <c r="BC219" s="8"/>
      <c r="BD219" s="8"/>
      <c r="BE219" s="6"/>
      <c r="BF219" s="8"/>
      <c r="BG219" s="8"/>
      <c r="BH219" s="6"/>
      <c r="BI219" s="8"/>
      <c r="BJ219" s="8"/>
      <c r="BK219" s="6"/>
      <c r="BL219" s="8"/>
      <c r="BM219" s="8"/>
      <c r="BN219" s="6"/>
      <c r="BO219" s="8"/>
      <c r="BP219" s="8"/>
      <c r="BQ219" s="6"/>
      <c r="BR219" s="8"/>
    </row>
    <row r="220">
      <c r="A220" s="6"/>
      <c r="B220" s="6" t="s">
        <v>220</v>
      </c>
      <c r="C220" s="3" t="str">
        <f t="shared" si="1"/>
        <v>_dark blue</v>
      </c>
      <c r="D220" s="3" t="str">
        <f t="shared" si="5"/>
        <v>#N/A</v>
      </c>
      <c r="E220" s="3" t="b">
        <f t="shared" si="2"/>
        <v>1</v>
      </c>
      <c r="G220" s="3" t="str">
        <f t="shared" si="3"/>
        <v>#N/A</v>
      </c>
      <c r="AU220" s="8"/>
      <c r="AV220" s="6"/>
      <c r="AW220" s="8"/>
      <c r="AX220" s="8"/>
      <c r="AY220" s="6"/>
      <c r="AZ220" s="8"/>
      <c r="BA220" s="8"/>
      <c r="BB220" s="6"/>
      <c r="BC220" s="8"/>
      <c r="BD220" s="8"/>
      <c r="BE220" s="6"/>
      <c r="BF220" s="8"/>
      <c r="BG220" s="8"/>
      <c r="BH220" s="6"/>
      <c r="BI220" s="8"/>
      <c r="BJ220" s="8"/>
      <c r="BK220" s="6"/>
      <c r="BL220" s="8"/>
      <c r="BM220" s="8"/>
      <c r="BN220" s="6"/>
      <c r="BO220" s="8"/>
      <c r="BP220" s="8"/>
      <c r="BQ220" s="6"/>
      <c r="BR220" s="8"/>
    </row>
    <row r="221">
      <c r="A221" s="6"/>
      <c r="B221" s="6" t="s">
        <v>221</v>
      </c>
      <c r="C221" s="3" t="str">
        <f t="shared" si="1"/>
        <v>_dull red</v>
      </c>
      <c r="D221" s="3" t="str">
        <f t="shared" si="5"/>
        <v>#N/A</v>
      </c>
      <c r="E221" s="3" t="b">
        <f t="shared" si="2"/>
        <v>0</v>
      </c>
      <c r="G221" s="3" t="str">
        <f t="shared" si="3"/>
        <v>#N/A</v>
      </c>
      <c r="AU221" s="8"/>
      <c r="AV221" s="6"/>
      <c r="AW221" s="8"/>
      <c r="AX221" s="8"/>
      <c r="AY221" s="6"/>
      <c r="AZ221" s="8"/>
      <c r="BA221" s="8"/>
      <c r="BB221" s="6"/>
      <c r="BC221" s="8"/>
      <c r="BD221" s="8"/>
      <c r="BE221" s="6"/>
      <c r="BF221" s="8"/>
      <c r="BG221" s="8"/>
      <c r="BH221" s="6"/>
      <c r="BI221" s="8"/>
      <c r="BJ221" s="8"/>
      <c r="BK221" s="6"/>
      <c r="BL221" s="8"/>
      <c r="BM221" s="8"/>
      <c r="BN221" s="6"/>
      <c r="BO221" s="8"/>
      <c r="BP221" s="8"/>
      <c r="BQ221" s="6"/>
      <c r="BR221" s="8"/>
    </row>
    <row r="222">
      <c r="A222" s="6"/>
      <c r="B222" s="6" t="s">
        <v>222</v>
      </c>
      <c r="C222" s="3" t="str">
        <f t="shared" si="1"/>
        <v>_striped yellow</v>
      </c>
      <c r="D222" s="3" t="str">
        <f t="shared" si="5"/>
        <v>#N/A</v>
      </c>
      <c r="E222" s="3" t="b">
        <f t="shared" si="2"/>
        <v>0</v>
      </c>
      <c r="G222" s="3" t="str">
        <f t="shared" si="3"/>
        <v>#N/A</v>
      </c>
      <c r="AU222" s="8"/>
      <c r="AV222" s="6"/>
      <c r="AW222" s="8"/>
      <c r="AX222" s="8"/>
      <c r="AY222" s="6"/>
      <c r="AZ222" s="8"/>
      <c r="BA222" s="8"/>
      <c r="BB222" s="6"/>
      <c r="BC222" s="8"/>
      <c r="BD222" s="8"/>
      <c r="BE222" s="6"/>
      <c r="BF222" s="8"/>
      <c r="BG222" s="8"/>
      <c r="BH222" s="6"/>
      <c r="BI222" s="8"/>
      <c r="BJ222" s="8"/>
      <c r="BK222" s="6"/>
      <c r="BL222" s="8"/>
      <c r="BM222" s="8"/>
      <c r="BN222" s="6"/>
      <c r="BO222" s="8"/>
      <c r="BP222" s="8"/>
      <c r="BQ222" s="6"/>
      <c r="BR222" s="8"/>
    </row>
    <row r="223">
      <c r="A223" s="6"/>
      <c r="B223" s="6" t="s">
        <v>223</v>
      </c>
      <c r="C223" s="3" t="str">
        <f t="shared" si="1"/>
        <v>_vibrant magenta</v>
      </c>
      <c r="D223" s="3" t="str">
        <f t="shared" si="5"/>
        <v>#N/A</v>
      </c>
      <c r="E223" s="3" t="b">
        <f t="shared" si="2"/>
        <v>0</v>
      </c>
      <c r="G223" s="3" t="str">
        <f t="shared" si="3"/>
        <v>#N/A</v>
      </c>
      <c r="AU223" s="8"/>
      <c r="AV223" s="6"/>
      <c r="AW223" s="8"/>
      <c r="AX223" s="8"/>
      <c r="AY223" s="6"/>
      <c r="AZ223" s="8"/>
      <c r="BA223" s="8"/>
      <c r="BB223" s="6"/>
      <c r="BC223" s="8"/>
      <c r="BD223" s="8"/>
      <c r="BE223" s="6"/>
      <c r="BF223" s="8"/>
      <c r="BG223" s="8"/>
      <c r="BH223" s="6"/>
      <c r="BI223" s="8"/>
      <c r="BJ223" s="8"/>
      <c r="BK223" s="6"/>
      <c r="BL223" s="8"/>
      <c r="BM223" s="8"/>
      <c r="BN223" s="6"/>
      <c r="BO223" s="8"/>
      <c r="BP223" s="8"/>
      <c r="BQ223" s="6"/>
      <c r="BR223" s="8"/>
    </row>
    <row r="224">
      <c r="A224" s="6"/>
      <c r="B224" s="6" t="s">
        <v>224</v>
      </c>
      <c r="C224" s="3" t="str">
        <f t="shared" si="1"/>
        <v>_plaid red</v>
      </c>
      <c r="D224" s="3" t="str">
        <f t="shared" si="5"/>
        <v>#N/A</v>
      </c>
      <c r="E224" s="3" t="b">
        <f t="shared" si="2"/>
        <v>0</v>
      </c>
      <c r="G224" s="3" t="str">
        <f t="shared" si="3"/>
        <v>#N/A</v>
      </c>
      <c r="AU224" s="8"/>
      <c r="AV224" s="6"/>
      <c r="AW224" s="8"/>
      <c r="AX224" s="8"/>
      <c r="AY224" s="6"/>
      <c r="AZ224" s="8"/>
      <c r="BA224" s="8"/>
      <c r="BB224" s="6"/>
      <c r="BC224" s="8"/>
      <c r="BD224" s="8"/>
      <c r="BE224" s="6"/>
      <c r="BF224" s="8"/>
      <c r="BG224" s="8"/>
      <c r="BH224" s="6"/>
      <c r="BI224" s="8"/>
      <c r="BJ224" s="8"/>
      <c r="BK224" s="6"/>
      <c r="BL224" s="8"/>
      <c r="BM224" s="8"/>
      <c r="BN224" s="6"/>
      <c r="BO224" s="8"/>
      <c r="BP224" s="8"/>
      <c r="BQ224" s="6"/>
      <c r="BR224" s="8"/>
    </row>
    <row r="225">
      <c r="A225" s="6"/>
      <c r="B225" s="6" t="s">
        <v>225</v>
      </c>
      <c r="C225" s="3" t="str">
        <f t="shared" si="1"/>
        <v>_wavy orange</v>
      </c>
      <c r="D225" s="3" t="str">
        <f t="shared" si="5"/>
        <v>#N/A</v>
      </c>
      <c r="E225" s="3" t="b">
        <f t="shared" si="2"/>
        <v>0</v>
      </c>
      <c r="G225" s="3" t="str">
        <f t="shared" si="3"/>
        <v>#N/A</v>
      </c>
      <c r="AU225" s="8"/>
      <c r="AV225" s="6"/>
      <c r="AW225" s="8"/>
      <c r="AX225" s="8"/>
      <c r="AY225" s="6"/>
      <c r="AZ225" s="8"/>
      <c r="BA225" s="8"/>
      <c r="BB225" s="6"/>
      <c r="BC225" s="8"/>
      <c r="BD225" s="8"/>
      <c r="BE225" s="6"/>
      <c r="BF225" s="8"/>
      <c r="BG225" s="8"/>
      <c r="BH225" s="6"/>
      <c r="BI225" s="8"/>
      <c r="BJ225" s="8"/>
      <c r="BK225" s="6"/>
      <c r="BL225" s="8"/>
      <c r="BM225" s="8"/>
      <c r="BN225" s="6"/>
      <c r="BO225" s="8"/>
      <c r="BP225" s="8"/>
      <c r="BQ225" s="6"/>
      <c r="BR225" s="8"/>
    </row>
    <row r="226">
      <c r="A226" s="6"/>
      <c r="B226" s="6" t="s">
        <v>226</v>
      </c>
      <c r="C226" s="3" t="str">
        <f t="shared" si="1"/>
        <v>_pale green</v>
      </c>
      <c r="D226" s="3" t="str">
        <f t="shared" si="5"/>
        <v>#N/A</v>
      </c>
      <c r="E226" s="3" t="b">
        <f t="shared" si="2"/>
        <v>0</v>
      </c>
      <c r="G226" s="3" t="str">
        <f t="shared" si="3"/>
        <v>#N/A</v>
      </c>
      <c r="AU226" s="8"/>
      <c r="AV226" s="6"/>
      <c r="AW226" s="8"/>
      <c r="AX226" s="8"/>
      <c r="AY226" s="6"/>
      <c r="AZ226" s="8"/>
      <c r="BA226" s="8"/>
      <c r="BB226" s="6"/>
      <c r="BC226" s="8"/>
      <c r="BD226" s="8"/>
      <c r="BE226" s="6"/>
      <c r="BF226" s="8"/>
      <c r="BG226" s="8"/>
      <c r="BH226" s="6"/>
      <c r="BI226" s="8"/>
      <c r="BJ226" s="8"/>
      <c r="BK226" s="6"/>
      <c r="BL226" s="8"/>
      <c r="BM226" s="8"/>
      <c r="BN226" s="6"/>
      <c r="BO226" s="8"/>
      <c r="BP226" s="8"/>
      <c r="BQ226" s="6"/>
      <c r="BR226" s="8"/>
    </row>
    <row r="227">
      <c r="A227" s="6"/>
      <c r="B227" s="6" t="s">
        <v>227</v>
      </c>
      <c r="C227" s="3" t="str">
        <f t="shared" si="1"/>
        <v>_dotted chartreuse</v>
      </c>
      <c r="D227" s="3" t="str">
        <f t="shared" si="5"/>
        <v>#N/A</v>
      </c>
      <c r="E227" s="3" t="b">
        <f t="shared" si="2"/>
        <v>0</v>
      </c>
      <c r="G227" s="3" t="str">
        <f t="shared" si="3"/>
        <v>#N/A</v>
      </c>
      <c r="AU227" s="8"/>
      <c r="AV227" s="6"/>
      <c r="AW227" s="8"/>
      <c r="AX227" s="8"/>
      <c r="AY227" s="6"/>
      <c r="AZ227" s="8"/>
      <c r="BA227" s="8"/>
      <c r="BB227" s="6"/>
      <c r="BC227" s="8"/>
      <c r="BD227" s="8"/>
      <c r="BE227" s="6"/>
      <c r="BF227" s="8"/>
      <c r="BG227" s="8"/>
      <c r="BH227" s="6"/>
      <c r="BI227" s="8"/>
      <c r="BJ227" s="8"/>
      <c r="BK227" s="6"/>
      <c r="BL227" s="8"/>
      <c r="BM227" s="8"/>
      <c r="BN227" s="6"/>
      <c r="BO227" s="8"/>
      <c r="BP227" s="8"/>
      <c r="BQ227" s="6"/>
      <c r="BR227" s="8"/>
    </row>
    <row r="228">
      <c r="A228" s="6"/>
      <c r="B228" s="6" t="s">
        <v>228</v>
      </c>
      <c r="C228" s="3" t="str">
        <f t="shared" si="1"/>
        <v>_light turquoise</v>
      </c>
      <c r="D228" s="3" t="str">
        <f t="shared" si="5"/>
        <v>#N/A</v>
      </c>
      <c r="E228" s="3" t="b">
        <f t="shared" si="2"/>
        <v>0</v>
      </c>
      <c r="G228" s="3" t="str">
        <f t="shared" si="3"/>
        <v>#N/A</v>
      </c>
      <c r="AU228" s="8"/>
      <c r="AV228" s="6"/>
      <c r="AW228" s="8"/>
      <c r="AX228" s="8"/>
      <c r="AY228" s="6"/>
      <c r="AZ228" s="8"/>
      <c r="BA228" s="8"/>
      <c r="BB228" s="6"/>
      <c r="BC228" s="8"/>
      <c r="BD228" s="8"/>
      <c r="BE228" s="6"/>
      <c r="BF228" s="8"/>
      <c r="BG228" s="8"/>
      <c r="BH228" s="6"/>
      <c r="BI228" s="8"/>
      <c r="BJ228" s="8"/>
      <c r="BK228" s="6"/>
      <c r="BL228" s="8"/>
      <c r="BM228" s="8"/>
      <c r="BN228" s="6"/>
      <c r="BO228" s="8"/>
      <c r="BP228" s="8"/>
      <c r="BQ228" s="6"/>
      <c r="BR228" s="8"/>
    </row>
    <row r="229">
      <c r="A229" s="6"/>
      <c r="B229" s="6" t="s">
        <v>229</v>
      </c>
      <c r="C229" s="3" t="str">
        <f t="shared" si="1"/>
        <v>_shiny violet</v>
      </c>
      <c r="D229" s="3" t="str">
        <f t="shared" si="5"/>
        <v>#N/A</v>
      </c>
      <c r="E229" s="3" t="b">
        <f t="shared" si="2"/>
        <v>0</v>
      </c>
      <c r="G229" s="3" t="str">
        <f t="shared" si="3"/>
        <v>#N/A</v>
      </c>
      <c r="AU229" s="8"/>
      <c r="AV229" s="6"/>
      <c r="AW229" s="8"/>
      <c r="AX229" s="8"/>
      <c r="AY229" s="6"/>
      <c r="AZ229" s="8"/>
      <c r="BA229" s="8"/>
      <c r="BB229" s="6"/>
      <c r="BC229" s="8"/>
      <c r="BD229" s="8"/>
      <c r="BE229" s="6"/>
      <c r="BF229" s="8"/>
      <c r="BG229" s="8"/>
      <c r="BH229" s="6"/>
      <c r="BI229" s="8"/>
      <c r="BJ229" s="8"/>
      <c r="BK229" s="6"/>
      <c r="BL229" s="8"/>
      <c r="BM229" s="8"/>
      <c r="BN229" s="6"/>
      <c r="BO229" s="8"/>
      <c r="BP229" s="8"/>
      <c r="BQ229" s="6"/>
      <c r="BR229" s="8"/>
    </row>
    <row r="230">
      <c r="A230" s="6"/>
      <c r="B230" s="6" t="s">
        <v>230</v>
      </c>
      <c r="C230" s="3" t="str">
        <f t="shared" si="1"/>
        <v>_light white</v>
      </c>
      <c r="D230" s="3" t="str">
        <f t="shared" si="5"/>
        <v>#N/A</v>
      </c>
      <c r="E230" s="3" t="b">
        <f t="shared" si="2"/>
        <v>0</v>
      </c>
      <c r="G230" s="3" t="str">
        <f t="shared" si="3"/>
        <v>#N/A</v>
      </c>
      <c r="AU230" s="8"/>
      <c r="AV230" s="6"/>
      <c r="AW230" s="8"/>
      <c r="AX230" s="8"/>
      <c r="AY230" s="6"/>
      <c r="AZ230" s="8"/>
      <c r="BA230" s="8"/>
      <c r="BB230" s="6"/>
      <c r="BC230" s="8"/>
      <c r="BD230" s="8"/>
      <c r="BE230" s="6"/>
      <c r="BF230" s="8"/>
      <c r="BG230" s="8"/>
      <c r="BH230" s="6"/>
      <c r="BI230" s="8"/>
      <c r="BJ230" s="8"/>
      <c r="BK230" s="6"/>
      <c r="BL230" s="8"/>
      <c r="BM230" s="8"/>
      <c r="BN230" s="6"/>
      <c r="BO230" s="8"/>
      <c r="BP230" s="8"/>
      <c r="BQ230" s="6"/>
      <c r="BR230" s="8"/>
    </row>
    <row r="231">
      <c r="A231" s="6"/>
      <c r="B231" s="6" t="s">
        <v>231</v>
      </c>
      <c r="C231" s="3" t="str">
        <f t="shared" si="1"/>
        <v>_muted beige</v>
      </c>
      <c r="D231" s="3" t="str">
        <f t="shared" si="5"/>
        <v>#N/A</v>
      </c>
      <c r="E231" s="3" t="b">
        <f t="shared" si="2"/>
        <v>0</v>
      </c>
      <c r="G231" s="3" t="str">
        <f t="shared" si="3"/>
        <v>#N/A</v>
      </c>
      <c r="AU231" s="8"/>
      <c r="AV231" s="6"/>
      <c r="AW231" s="8"/>
      <c r="AX231" s="8"/>
      <c r="AY231" s="6"/>
      <c r="AZ231" s="8"/>
      <c r="BA231" s="8"/>
      <c r="BB231" s="6"/>
      <c r="BC231" s="8"/>
      <c r="BD231" s="8"/>
      <c r="BE231" s="6"/>
      <c r="BF231" s="8"/>
      <c r="BG231" s="8"/>
      <c r="BH231" s="6"/>
      <c r="BI231" s="8"/>
      <c r="BJ231" s="8"/>
      <c r="BK231" s="6"/>
      <c r="BL231" s="8"/>
      <c r="BM231" s="8"/>
      <c r="BN231" s="6"/>
      <c r="BO231" s="8"/>
      <c r="BP231" s="8"/>
      <c r="BQ231" s="6"/>
      <c r="BR231" s="8"/>
    </row>
    <row r="232">
      <c r="A232" s="6"/>
      <c r="B232" s="6" t="s">
        <v>232</v>
      </c>
      <c r="C232" s="3" t="str">
        <f t="shared" si="1"/>
        <v>_faded silver</v>
      </c>
      <c r="D232" s="3" t="str">
        <f t="shared" si="5"/>
        <v>#N/A</v>
      </c>
      <c r="E232" s="3" t="b">
        <f t="shared" si="2"/>
        <v>0</v>
      </c>
      <c r="G232" s="3" t="str">
        <f t="shared" si="3"/>
        <v>#N/A</v>
      </c>
      <c r="AU232" s="8"/>
      <c r="AV232" s="6"/>
      <c r="AW232" s="8"/>
      <c r="AX232" s="8"/>
      <c r="AY232" s="6"/>
      <c r="AZ232" s="8"/>
      <c r="BA232" s="8"/>
      <c r="BB232" s="6"/>
      <c r="BC232" s="8"/>
      <c r="BD232" s="8"/>
      <c r="BE232" s="6"/>
      <c r="BF232" s="8"/>
      <c r="BG232" s="8"/>
      <c r="BH232" s="6"/>
      <c r="BI232" s="8"/>
      <c r="BJ232" s="8"/>
      <c r="BK232" s="6"/>
      <c r="BL232" s="8"/>
      <c r="BM232" s="8"/>
      <c r="BN232" s="6"/>
      <c r="BO232" s="8"/>
      <c r="BP232" s="8"/>
      <c r="BQ232" s="6"/>
      <c r="BR232" s="8"/>
    </row>
    <row r="233">
      <c r="A233" s="6"/>
      <c r="B233" s="6" t="s">
        <v>233</v>
      </c>
      <c r="C233" s="3" t="str">
        <f t="shared" si="1"/>
        <v>_faded red</v>
      </c>
      <c r="D233" s="3" t="str">
        <f t="shared" si="5"/>
        <v>#N/A</v>
      </c>
      <c r="E233" s="3" t="b">
        <f t="shared" si="2"/>
        <v>0</v>
      </c>
      <c r="G233" s="3" t="str">
        <f t="shared" si="3"/>
        <v>#N/A</v>
      </c>
      <c r="AU233" s="8"/>
      <c r="AV233" s="6"/>
      <c r="AW233" s="8"/>
      <c r="AX233" s="8"/>
      <c r="AY233" s="6"/>
      <c r="AZ233" s="8"/>
      <c r="BA233" s="8"/>
      <c r="BB233" s="6"/>
      <c r="BC233" s="8"/>
      <c r="BD233" s="8"/>
      <c r="BE233" s="6"/>
      <c r="BF233" s="8"/>
      <c r="BG233" s="8"/>
      <c r="BH233" s="6"/>
      <c r="BI233" s="8"/>
      <c r="BJ233" s="8"/>
      <c r="BK233" s="6"/>
      <c r="BL233" s="8"/>
      <c r="BM233" s="8"/>
      <c r="BN233" s="6"/>
      <c r="BO233" s="8"/>
      <c r="BP233" s="8"/>
      <c r="BQ233" s="6"/>
      <c r="BR233" s="8"/>
    </row>
    <row r="234">
      <c r="A234" s="6"/>
      <c r="B234" s="6" t="s">
        <v>234</v>
      </c>
      <c r="C234" s="3" t="str">
        <f t="shared" si="1"/>
        <v>_shiny bronze</v>
      </c>
      <c r="D234" s="3" t="str">
        <f t="shared" si="5"/>
        <v>#N/A</v>
      </c>
      <c r="E234" s="3" t="b">
        <f t="shared" si="2"/>
        <v>0</v>
      </c>
      <c r="G234" s="3" t="str">
        <f t="shared" si="3"/>
        <v>#N/A</v>
      </c>
      <c r="AU234" s="8"/>
      <c r="AV234" s="6"/>
      <c r="AW234" s="8"/>
      <c r="AX234" s="8"/>
      <c r="AY234" s="6"/>
      <c r="AZ234" s="8"/>
      <c r="BA234" s="8"/>
      <c r="BB234" s="6"/>
      <c r="BC234" s="8"/>
      <c r="BD234" s="8"/>
      <c r="BE234" s="6"/>
      <c r="BF234" s="8"/>
      <c r="BG234" s="8"/>
      <c r="BH234" s="6"/>
      <c r="BI234" s="8"/>
      <c r="BJ234" s="8"/>
      <c r="BK234" s="6"/>
      <c r="BL234" s="8"/>
      <c r="BM234" s="8"/>
      <c r="BN234" s="6"/>
      <c r="BO234" s="8"/>
      <c r="BP234" s="8"/>
      <c r="BQ234" s="6"/>
      <c r="BR234" s="8"/>
    </row>
    <row r="235">
      <c r="A235" s="6"/>
      <c r="B235" s="6" t="s">
        <v>235</v>
      </c>
      <c r="C235" s="3" t="str">
        <f t="shared" si="1"/>
        <v>_dull gold</v>
      </c>
      <c r="D235" s="3" t="str">
        <f t="shared" si="5"/>
        <v>#N/A</v>
      </c>
      <c r="E235" s="3" t="b">
        <f t="shared" si="2"/>
        <v>0</v>
      </c>
      <c r="G235" s="3" t="str">
        <f t="shared" si="3"/>
        <v>#N/A</v>
      </c>
      <c r="AU235" s="8"/>
      <c r="AV235" s="6"/>
      <c r="AW235" s="8"/>
      <c r="AX235" s="8"/>
      <c r="AY235" s="6"/>
      <c r="AZ235" s="8"/>
      <c r="BA235" s="8"/>
      <c r="BB235" s="6"/>
      <c r="BC235" s="8"/>
      <c r="BD235" s="8"/>
      <c r="BE235" s="6"/>
      <c r="BF235" s="8"/>
      <c r="BG235" s="8"/>
      <c r="BH235" s="6"/>
      <c r="BI235" s="8"/>
      <c r="BJ235" s="8"/>
      <c r="BK235" s="6"/>
      <c r="BL235" s="8"/>
      <c r="BM235" s="8"/>
      <c r="BN235" s="6"/>
      <c r="BO235" s="8"/>
      <c r="BP235" s="8"/>
      <c r="BQ235" s="6"/>
      <c r="BR235" s="8"/>
    </row>
    <row r="236">
      <c r="A236" s="6"/>
      <c r="B236" s="6" t="s">
        <v>236</v>
      </c>
      <c r="C236" s="3" t="str">
        <f t="shared" si="1"/>
        <v>_muted olive</v>
      </c>
      <c r="D236" s="3" t="str">
        <f t="shared" si="5"/>
        <v>#N/A</v>
      </c>
      <c r="E236" s="3" t="b">
        <f t="shared" si="2"/>
        <v>0</v>
      </c>
      <c r="G236" s="3" t="str">
        <f t="shared" si="3"/>
        <v>#N/A</v>
      </c>
      <c r="AU236" s="8"/>
      <c r="AV236" s="6"/>
      <c r="AW236" s="8"/>
      <c r="AX236" s="8"/>
      <c r="AY236" s="6"/>
      <c r="AZ236" s="8"/>
      <c r="BA236" s="8"/>
      <c r="BB236" s="6"/>
      <c r="BC236" s="8"/>
      <c r="BD236" s="8"/>
      <c r="BE236" s="6"/>
      <c r="BF236" s="8"/>
      <c r="BG236" s="8"/>
      <c r="BH236" s="6"/>
      <c r="BI236" s="8"/>
      <c r="BJ236" s="8"/>
      <c r="BK236" s="6"/>
      <c r="BL236" s="8"/>
      <c r="BM236" s="8"/>
      <c r="BN236" s="6"/>
      <c r="BO236" s="8"/>
      <c r="BP236" s="8"/>
      <c r="BQ236" s="6"/>
      <c r="BR236" s="8"/>
    </row>
    <row r="237">
      <c r="A237" s="6"/>
      <c r="B237" s="6" t="s">
        <v>237</v>
      </c>
      <c r="C237" s="3" t="str">
        <f t="shared" si="1"/>
        <v>_dotted bronze</v>
      </c>
      <c r="D237" s="3" t="str">
        <f t="shared" si="5"/>
        <v>#N/A</v>
      </c>
      <c r="E237" s="3" t="b">
        <f t="shared" si="2"/>
        <v>0</v>
      </c>
      <c r="G237" s="3" t="str">
        <f t="shared" si="3"/>
        <v>#N/A</v>
      </c>
      <c r="AU237" s="8"/>
      <c r="AV237" s="6"/>
      <c r="AW237" s="8"/>
      <c r="AX237" s="8"/>
      <c r="AY237" s="6"/>
      <c r="AZ237" s="8"/>
      <c r="BA237" s="8"/>
      <c r="BB237" s="6"/>
      <c r="BC237" s="8"/>
      <c r="BD237" s="8"/>
      <c r="BE237" s="6"/>
      <c r="BF237" s="8"/>
      <c r="BG237" s="8"/>
      <c r="BH237" s="6"/>
      <c r="BI237" s="8"/>
      <c r="BJ237" s="8"/>
      <c r="BK237" s="6"/>
      <c r="BL237" s="8"/>
      <c r="BM237" s="8"/>
      <c r="BN237" s="6"/>
      <c r="BO237" s="8"/>
      <c r="BP237" s="8"/>
      <c r="BQ237" s="6"/>
      <c r="BR237" s="8"/>
    </row>
    <row r="238">
      <c r="A238" s="6"/>
      <c r="B238" s="6" t="s">
        <v>238</v>
      </c>
      <c r="C238" s="3" t="str">
        <f t="shared" si="1"/>
        <v>_shiny orange</v>
      </c>
      <c r="D238" s="3" t="str">
        <f t="shared" si="5"/>
        <v>#N/A</v>
      </c>
      <c r="E238" s="3" t="b">
        <f t="shared" si="2"/>
        <v>0</v>
      </c>
      <c r="G238" s="3" t="str">
        <f t="shared" si="3"/>
        <v>#N/A</v>
      </c>
      <c r="AU238" s="8"/>
      <c r="AV238" s="6"/>
      <c r="AW238" s="8"/>
      <c r="AX238" s="8"/>
      <c r="AY238" s="6"/>
      <c r="AZ238" s="8"/>
      <c r="BA238" s="8"/>
      <c r="BB238" s="6"/>
      <c r="BC238" s="8"/>
      <c r="BD238" s="8"/>
      <c r="BE238" s="6"/>
      <c r="BF238" s="8"/>
      <c r="BG238" s="8"/>
      <c r="BH238" s="6"/>
      <c r="BI238" s="8"/>
      <c r="BJ238" s="8"/>
      <c r="BK238" s="6"/>
      <c r="BL238" s="8"/>
      <c r="BM238" s="8"/>
      <c r="BN238" s="6"/>
      <c r="BO238" s="8"/>
      <c r="BP238" s="8"/>
      <c r="BQ238" s="6"/>
      <c r="BR238" s="8"/>
    </row>
    <row r="239">
      <c r="A239" s="6"/>
      <c r="B239" s="6" t="s">
        <v>239</v>
      </c>
      <c r="C239" s="3" t="str">
        <f t="shared" si="1"/>
        <v>_wavy salmon</v>
      </c>
      <c r="D239" s="3" t="str">
        <f t="shared" si="5"/>
        <v>#N/A</v>
      </c>
      <c r="E239" s="3" t="b">
        <f t="shared" si="2"/>
        <v>0</v>
      </c>
      <c r="G239" s="3" t="str">
        <f t="shared" si="3"/>
        <v>#N/A</v>
      </c>
      <c r="AU239" s="8"/>
      <c r="AV239" s="6"/>
      <c r="AW239" s="8"/>
      <c r="AX239" s="8"/>
      <c r="AY239" s="6"/>
      <c r="AZ239" s="8"/>
      <c r="BA239" s="8"/>
      <c r="BB239" s="6"/>
      <c r="BC239" s="8"/>
      <c r="BD239" s="8"/>
      <c r="BE239" s="6"/>
      <c r="BF239" s="8"/>
      <c r="BG239" s="8"/>
      <c r="BH239" s="6"/>
      <c r="BI239" s="8"/>
      <c r="BJ239" s="8"/>
      <c r="BK239" s="6"/>
      <c r="BL239" s="8"/>
      <c r="BM239" s="8"/>
      <c r="BN239" s="6"/>
      <c r="BO239" s="8"/>
      <c r="BP239" s="8"/>
      <c r="BQ239" s="6"/>
      <c r="BR239" s="8"/>
    </row>
    <row r="240">
      <c r="A240" s="6"/>
      <c r="B240" s="6" t="s">
        <v>240</v>
      </c>
      <c r="C240" s="3" t="str">
        <f t="shared" si="1"/>
        <v>_wavy crimson</v>
      </c>
      <c r="D240" s="3" t="str">
        <f t="shared" si="5"/>
        <v>#N/A</v>
      </c>
      <c r="E240" s="3" t="b">
        <f t="shared" si="2"/>
        <v>0</v>
      </c>
      <c r="G240" s="3" t="str">
        <f t="shared" si="3"/>
        <v>#N/A</v>
      </c>
      <c r="AU240" s="8"/>
      <c r="AV240" s="6"/>
      <c r="AW240" s="8"/>
      <c r="AX240" s="8"/>
      <c r="AY240" s="6"/>
      <c r="AZ240" s="8"/>
      <c r="BA240" s="8"/>
      <c r="BB240" s="6"/>
      <c r="BC240" s="8"/>
      <c r="BD240" s="8"/>
      <c r="BE240" s="6"/>
      <c r="BF240" s="8"/>
      <c r="BG240" s="8"/>
      <c r="BH240" s="6"/>
      <c r="BI240" s="8"/>
      <c r="BJ240" s="8"/>
      <c r="BK240" s="6"/>
      <c r="BL240" s="8"/>
      <c r="BM240" s="8"/>
      <c r="BN240" s="6"/>
      <c r="BO240" s="8"/>
      <c r="BP240" s="8"/>
      <c r="BQ240" s="6"/>
      <c r="BR240" s="8"/>
    </row>
    <row r="241">
      <c r="A241" s="6"/>
      <c r="B241" s="6" t="s">
        <v>241</v>
      </c>
      <c r="C241" s="3" t="str">
        <f t="shared" si="1"/>
        <v>_bright coral</v>
      </c>
      <c r="D241" s="3" t="str">
        <f t="shared" si="5"/>
        <v>#N/A</v>
      </c>
      <c r="E241" s="3" t="b">
        <f t="shared" si="2"/>
        <v>0</v>
      </c>
      <c r="G241" s="3" t="str">
        <f t="shared" si="3"/>
        <v>#N/A</v>
      </c>
      <c r="AU241" s="8"/>
      <c r="AV241" s="6"/>
      <c r="AW241" s="8"/>
      <c r="AX241" s="8"/>
      <c r="AY241" s="6"/>
      <c r="AZ241" s="8"/>
      <c r="BA241" s="8"/>
      <c r="BB241" s="6"/>
      <c r="BC241" s="8"/>
      <c r="BD241" s="8"/>
      <c r="BE241" s="6"/>
      <c r="BF241" s="8"/>
      <c r="BG241" s="8"/>
      <c r="BH241" s="6"/>
      <c r="BI241" s="8"/>
      <c r="BJ241" s="8"/>
      <c r="BK241" s="6"/>
      <c r="BL241" s="8"/>
      <c r="BM241" s="8"/>
      <c r="BN241" s="6"/>
      <c r="BO241" s="8"/>
      <c r="BP241" s="8"/>
      <c r="BQ241" s="6"/>
      <c r="BR241" s="8"/>
    </row>
    <row r="242">
      <c r="A242" s="6"/>
      <c r="B242" s="6" t="s">
        <v>242</v>
      </c>
      <c r="C242" s="3" t="str">
        <f t="shared" si="1"/>
        <v>_dotted crimson</v>
      </c>
      <c r="D242" s="3" t="str">
        <f t="shared" si="5"/>
        <v>#N/A</v>
      </c>
      <c r="E242" s="3" t="b">
        <f t="shared" si="2"/>
        <v>0</v>
      </c>
      <c r="G242" s="3" t="str">
        <f t="shared" si="3"/>
        <v>#N/A</v>
      </c>
      <c r="AU242" s="8"/>
      <c r="AV242" s="6"/>
      <c r="AW242" s="8"/>
      <c r="AX242" s="8"/>
      <c r="AY242" s="6"/>
      <c r="AZ242" s="8"/>
      <c r="BA242" s="8"/>
      <c r="BB242" s="6"/>
      <c r="BC242" s="8"/>
      <c r="BD242" s="8"/>
      <c r="BE242" s="6"/>
      <c r="BF242" s="8"/>
      <c r="BG242" s="8"/>
      <c r="BH242" s="6"/>
      <c r="BI242" s="8"/>
      <c r="BJ242" s="8"/>
      <c r="BK242" s="6"/>
      <c r="BL242" s="8"/>
      <c r="BM242" s="8"/>
      <c r="BN242" s="6"/>
      <c r="BO242" s="8"/>
      <c r="BP242" s="8"/>
      <c r="BQ242" s="6"/>
      <c r="BR242" s="8"/>
    </row>
    <row r="243">
      <c r="A243" s="6"/>
      <c r="B243" s="6" t="s">
        <v>243</v>
      </c>
      <c r="C243" s="3" t="str">
        <f t="shared" si="1"/>
        <v>_bright violet</v>
      </c>
      <c r="D243" s="3" t="str">
        <f t="shared" si="5"/>
        <v>#N/A</v>
      </c>
      <c r="E243" s="3" t="b">
        <f t="shared" si="2"/>
        <v>0</v>
      </c>
      <c r="G243" s="3" t="str">
        <f t="shared" si="3"/>
        <v>#N/A</v>
      </c>
      <c r="AU243" s="8"/>
      <c r="AV243" s="6"/>
      <c r="AW243" s="8"/>
      <c r="AX243" s="8"/>
      <c r="AY243" s="6"/>
      <c r="AZ243" s="8"/>
      <c r="BA243" s="8"/>
      <c r="BB243" s="6"/>
      <c r="BC243" s="8"/>
      <c r="BD243" s="8"/>
      <c r="BE243" s="6"/>
      <c r="BF243" s="8"/>
      <c r="BG243" s="8"/>
      <c r="BH243" s="6"/>
      <c r="BI243" s="8"/>
      <c r="BJ243" s="8"/>
      <c r="BK243" s="6"/>
      <c r="BL243" s="8"/>
      <c r="BM243" s="8"/>
      <c r="BN243" s="6"/>
      <c r="BO243" s="8"/>
      <c r="BP243" s="8"/>
      <c r="BQ243" s="6"/>
      <c r="BR243" s="8"/>
    </row>
    <row r="244">
      <c r="A244" s="6"/>
      <c r="B244" s="6" t="s">
        <v>244</v>
      </c>
      <c r="C244" s="3" t="str">
        <f t="shared" si="1"/>
        <v>_drab blue</v>
      </c>
      <c r="D244" s="3" t="str">
        <f t="shared" si="5"/>
        <v>#N/A</v>
      </c>
      <c r="E244" s="3" t="b">
        <f t="shared" si="2"/>
        <v>1</v>
      </c>
      <c r="G244" s="3" t="str">
        <f t="shared" si="3"/>
        <v>#N/A</v>
      </c>
      <c r="AU244" s="8"/>
      <c r="AV244" s="6"/>
      <c r="AW244" s="8"/>
      <c r="AX244" s="8"/>
      <c r="AY244" s="6"/>
      <c r="AZ244" s="8"/>
      <c r="BA244" s="8"/>
      <c r="BB244" s="6"/>
      <c r="BC244" s="8"/>
      <c r="BD244" s="8"/>
      <c r="BE244" s="6"/>
      <c r="BF244" s="8"/>
      <c r="BG244" s="8"/>
      <c r="BH244" s="6"/>
      <c r="BI244" s="8"/>
      <c r="BJ244" s="8"/>
      <c r="BK244" s="6"/>
      <c r="BL244" s="8"/>
      <c r="BM244" s="8"/>
      <c r="BN244" s="6"/>
      <c r="BO244" s="8"/>
      <c r="BP244" s="8"/>
      <c r="BQ244" s="6"/>
      <c r="BR244" s="8"/>
    </row>
    <row r="245">
      <c r="A245" s="6"/>
      <c r="B245" s="6" t="s">
        <v>245</v>
      </c>
      <c r="C245" s="3" t="str">
        <f t="shared" si="1"/>
        <v>_posh salmon</v>
      </c>
      <c r="D245" s="3" t="str">
        <f t="shared" si="5"/>
        <v>#N/A</v>
      </c>
      <c r="E245" s="3" t="b">
        <f t="shared" si="2"/>
        <v>0</v>
      </c>
      <c r="G245" s="3" t="str">
        <f t="shared" si="3"/>
        <v>#N/A</v>
      </c>
      <c r="AU245" s="8"/>
      <c r="AV245" s="6"/>
      <c r="AW245" s="8"/>
      <c r="AX245" s="8"/>
      <c r="AY245" s="6"/>
      <c r="AZ245" s="8"/>
      <c r="BA245" s="8"/>
      <c r="BB245" s="6"/>
      <c r="BC245" s="8"/>
      <c r="BD245" s="8"/>
      <c r="BE245" s="6"/>
      <c r="BF245" s="8"/>
      <c r="BG245" s="8"/>
      <c r="BH245" s="6"/>
      <c r="BI245" s="8"/>
      <c r="BJ245" s="8"/>
      <c r="BK245" s="6"/>
      <c r="BL245" s="8"/>
      <c r="BM245" s="8"/>
      <c r="BN245" s="6"/>
      <c r="BO245" s="8"/>
      <c r="BP245" s="8"/>
      <c r="BQ245" s="6"/>
      <c r="BR245" s="8"/>
    </row>
    <row r="246">
      <c r="A246" s="6"/>
      <c r="B246" s="6" t="s">
        <v>246</v>
      </c>
      <c r="C246" s="3" t="str">
        <f t="shared" si="1"/>
        <v>_dim coral</v>
      </c>
      <c r="D246" s="3" t="str">
        <f t="shared" si="5"/>
        <v>#N/A</v>
      </c>
      <c r="E246" s="3" t="b">
        <f t="shared" si="2"/>
        <v>0</v>
      </c>
      <c r="G246" s="3" t="str">
        <f t="shared" si="3"/>
        <v>#N/A</v>
      </c>
      <c r="AU246" s="8"/>
      <c r="AV246" s="6"/>
      <c r="AW246" s="8"/>
      <c r="AX246" s="8"/>
      <c r="AY246" s="6"/>
      <c r="AZ246" s="8"/>
      <c r="BA246" s="8"/>
      <c r="BB246" s="6"/>
      <c r="BC246" s="8"/>
      <c r="BD246" s="8"/>
      <c r="BE246" s="6"/>
      <c r="BF246" s="8"/>
      <c r="BG246" s="8"/>
      <c r="BH246" s="6"/>
      <c r="BI246" s="8"/>
      <c r="BJ246" s="8"/>
      <c r="BK246" s="6"/>
      <c r="BL246" s="8"/>
      <c r="BM246" s="8"/>
      <c r="BN246" s="6"/>
      <c r="BO246" s="8"/>
      <c r="BP246" s="8"/>
      <c r="BQ246" s="6"/>
      <c r="BR246" s="8"/>
    </row>
    <row r="247">
      <c r="A247" s="6"/>
      <c r="B247" s="6" t="s">
        <v>247</v>
      </c>
      <c r="C247" s="3" t="str">
        <f t="shared" si="1"/>
        <v>_dark aqua</v>
      </c>
      <c r="D247" s="3" t="str">
        <f t="shared" si="5"/>
        <v>#N/A</v>
      </c>
      <c r="E247" s="3" t="b">
        <f t="shared" si="2"/>
        <v>0</v>
      </c>
      <c r="G247" s="3" t="str">
        <f t="shared" si="3"/>
        <v>#N/A</v>
      </c>
      <c r="AU247" s="8"/>
      <c r="AV247" s="6"/>
      <c r="AW247" s="8"/>
      <c r="AX247" s="8"/>
      <c r="AY247" s="6"/>
      <c r="AZ247" s="8"/>
      <c r="BA247" s="8"/>
      <c r="BB247" s="6"/>
      <c r="BC247" s="8"/>
      <c r="BD247" s="8"/>
      <c r="BE247" s="6"/>
      <c r="BF247" s="8"/>
      <c r="BG247" s="8"/>
      <c r="BH247" s="6"/>
      <c r="BI247" s="8"/>
      <c r="BJ247" s="8"/>
      <c r="BK247" s="6"/>
      <c r="BL247" s="8"/>
      <c r="BM247" s="8"/>
      <c r="BN247" s="6"/>
      <c r="BO247" s="8"/>
      <c r="BP247" s="8"/>
      <c r="BQ247" s="6"/>
      <c r="BR247" s="8"/>
    </row>
    <row r="248">
      <c r="A248" s="6"/>
      <c r="B248" s="6" t="s">
        <v>248</v>
      </c>
      <c r="C248" s="3" t="str">
        <f t="shared" si="1"/>
        <v>_dark orange</v>
      </c>
      <c r="D248" s="3" t="str">
        <f t="shared" si="5"/>
        <v>#N/A</v>
      </c>
      <c r="E248" s="3" t="b">
        <f t="shared" si="2"/>
        <v>0</v>
      </c>
      <c r="G248" s="3" t="str">
        <f t="shared" si="3"/>
        <v>#N/A</v>
      </c>
      <c r="AU248" s="8"/>
      <c r="AV248" s="6"/>
      <c r="AW248" s="8"/>
      <c r="AX248" s="8"/>
      <c r="AY248" s="6"/>
      <c r="AZ248" s="8"/>
      <c r="BA248" s="8"/>
      <c r="BB248" s="6"/>
      <c r="BC248" s="8"/>
      <c r="BD248" s="8"/>
      <c r="BE248" s="6"/>
      <c r="BF248" s="8"/>
      <c r="BG248" s="8"/>
      <c r="BH248" s="6"/>
      <c r="BI248" s="8"/>
      <c r="BJ248" s="8"/>
      <c r="BK248" s="6"/>
      <c r="BL248" s="8"/>
      <c r="BM248" s="8"/>
      <c r="BN248" s="6"/>
      <c r="BO248" s="8"/>
      <c r="BP248" s="8"/>
      <c r="BQ248" s="6"/>
      <c r="BR248" s="8"/>
    </row>
    <row r="249">
      <c r="A249" s="6"/>
      <c r="B249" s="6" t="s">
        <v>249</v>
      </c>
      <c r="C249" s="3" t="str">
        <f t="shared" si="1"/>
        <v>_vibrant red</v>
      </c>
      <c r="D249" s="3" t="str">
        <f t="shared" si="5"/>
        <v>#N/A</v>
      </c>
      <c r="E249" s="3" t="b">
        <f t="shared" si="2"/>
        <v>0</v>
      </c>
      <c r="G249" s="3" t="str">
        <f t="shared" si="3"/>
        <v>#N/A</v>
      </c>
      <c r="AU249" s="8"/>
      <c r="AV249" s="6"/>
      <c r="AW249" s="8"/>
      <c r="AX249" s="8"/>
      <c r="AY249" s="6"/>
      <c r="AZ249" s="8"/>
      <c r="BA249" s="8"/>
      <c r="BB249" s="6"/>
      <c r="BC249" s="8"/>
      <c r="BD249" s="8"/>
      <c r="BE249" s="6"/>
      <c r="BF249" s="8"/>
      <c r="BG249" s="8"/>
      <c r="BH249" s="6"/>
      <c r="BI249" s="8"/>
      <c r="BJ249" s="8"/>
      <c r="BK249" s="6"/>
      <c r="BL249" s="8"/>
      <c r="BM249" s="8"/>
      <c r="BN249" s="6"/>
      <c r="BO249" s="8"/>
      <c r="BP249" s="8"/>
      <c r="BQ249" s="6"/>
      <c r="BR249" s="8"/>
    </row>
    <row r="250">
      <c r="A250" s="6"/>
      <c r="B250" s="6" t="s">
        <v>250</v>
      </c>
      <c r="C250" s="3" t="str">
        <f t="shared" si="1"/>
        <v>_muted lime</v>
      </c>
      <c r="D250" s="3" t="str">
        <f t="shared" si="5"/>
        <v>#N/A</v>
      </c>
      <c r="E250" s="3" t="b">
        <f t="shared" si="2"/>
        <v>0</v>
      </c>
      <c r="G250" s="3" t="str">
        <f t="shared" si="3"/>
        <v>#N/A</v>
      </c>
      <c r="AU250" s="8"/>
      <c r="AV250" s="6"/>
      <c r="AW250" s="8"/>
      <c r="AX250" s="8"/>
      <c r="AY250" s="6"/>
      <c r="AZ250" s="8"/>
      <c r="BA250" s="8"/>
      <c r="BB250" s="6"/>
      <c r="BC250" s="8"/>
      <c r="BD250" s="8"/>
      <c r="BE250" s="6"/>
      <c r="BF250" s="8"/>
      <c r="BG250" s="8"/>
      <c r="BH250" s="6"/>
      <c r="BI250" s="8"/>
      <c r="BJ250" s="8"/>
      <c r="BK250" s="6"/>
      <c r="BL250" s="8"/>
      <c r="BM250" s="8"/>
      <c r="BN250" s="6"/>
      <c r="BO250" s="8"/>
      <c r="BP250" s="8"/>
      <c r="BQ250" s="6"/>
      <c r="BR250" s="8"/>
    </row>
    <row r="251">
      <c r="A251" s="6"/>
      <c r="B251" s="6" t="s">
        <v>251</v>
      </c>
      <c r="C251" s="3" t="str">
        <f t="shared" si="1"/>
        <v>_clear tan</v>
      </c>
      <c r="D251" s="3" t="str">
        <f t="shared" si="5"/>
        <v>#N/A</v>
      </c>
      <c r="E251" s="3" t="b">
        <f t="shared" si="2"/>
        <v>0</v>
      </c>
      <c r="G251" s="3" t="str">
        <f t="shared" si="3"/>
        <v>#N/A</v>
      </c>
      <c r="AU251" s="8"/>
      <c r="AV251" s="6"/>
      <c r="AW251" s="8"/>
      <c r="AX251" s="8"/>
      <c r="AY251" s="6"/>
      <c r="AZ251" s="8"/>
      <c r="BA251" s="8"/>
      <c r="BB251" s="6"/>
      <c r="BC251" s="8"/>
      <c r="BD251" s="8"/>
      <c r="BE251" s="6"/>
      <c r="BF251" s="8"/>
      <c r="BG251" s="8"/>
      <c r="BH251" s="6"/>
      <c r="BI251" s="8"/>
      <c r="BJ251" s="8"/>
      <c r="BK251" s="6"/>
      <c r="BL251" s="8"/>
      <c r="BM251" s="8"/>
      <c r="BN251" s="6"/>
      <c r="BO251" s="8"/>
      <c r="BP251" s="8"/>
      <c r="BQ251" s="6"/>
      <c r="BR251" s="8"/>
    </row>
    <row r="252">
      <c r="A252" s="6"/>
      <c r="B252" s="6" t="s">
        <v>252</v>
      </c>
      <c r="C252" s="3" t="str">
        <f t="shared" si="1"/>
        <v>_vibrant coral</v>
      </c>
      <c r="D252" s="3" t="str">
        <f t="shared" si="5"/>
        <v>#N/A</v>
      </c>
      <c r="E252" s="3" t="b">
        <f t="shared" si="2"/>
        <v>0</v>
      </c>
      <c r="G252" s="3" t="str">
        <f t="shared" si="3"/>
        <v>#N/A</v>
      </c>
      <c r="AU252" s="8"/>
      <c r="AV252" s="6"/>
      <c r="AW252" s="8"/>
      <c r="AX252" s="8"/>
      <c r="AY252" s="6"/>
      <c r="AZ252" s="8"/>
      <c r="BA252" s="8"/>
      <c r="BB252" s="6"/>
      <c r="BC252" s="8"/>
      <c r="BD252" s="8"/>
      <c r="BE252" s="6"/>
      <c r="BF252" s="8"/>
      <c r="BG252" s="8"/>
      <c r="BH252" s="6"/>
      <c r="BI252" s="8"/>
      <c r="BJ252" s="8"/>
      <c r="BK252" s="6"/>
      <c r="BL252" s="8"/>
      <c r="BM252" s="8"/>
      <c r="BN252" s="6"/>
      <c r="BO252" s="8"/>
      <c r="BP252" s="8"/>
      <c r="BQ252" s="6"/>
      <c r="BR252" s="8"/>
    </row>
    <row r="253">
      <c r="A253" s="6"/>
      <c r="B253" s="6" t="s">
        <v>253</v>
      </c>
      <c r="C253" s="3" t="str">
        <f t="shared" si="1"/>
        <v>_dark olive</v>
      </c>
      <c r="D253" s="3" t="str">
        <f t="shared" si="5"/>
        <v>#N/A</v>
      </c>
      <c r="E253" s="3" t="b">
        <f t="shared" si="2"/>
        <v>0</v>
      </c>
      <c r="G253" s="3" t="str">
        <f t="shared" si="3"/>
        <v>#N/A</v>
      </c>
      <c r="AU253" s="8"/>
      <c r="AV253" s="6"/>
      <c r="AW253" s="8"/>
      <c r="AX253" s="8"/>
      <c r="AY253" s="6"/>
      <c r="AZ253" s="8"/>
      <c r="BA253" s="8"/>
      <c r="BB253" s="6"/>
      <c r="BC253" s="8"/>
      <c r="BD253" s="8"/>
      <c r="BE253" s="6"/>
      <c r="BF253" s="8"/>
      <c r="BG253" s="8"/>
      <c r="BH253" s="6"/>
      <c r="BI253" s="8"/>
      <c r="BJ253" s="8"/>
      <c r="BK253" s="6"/>
      <c r="BL253" s="8"/>
      <c r="BM253" s="8"/>
      <c r="BN253" s="6"/>
      <c r="BO253" s="8"/>
      <c r="BP253" s="8"/>
      <c r="BQ253" s="6"/>
      <c r="BR253" s="8"/>
    </row>
    <row r="254">
      <c r="A254" s="6"/>
      <c r="B254" s="6" t="s">
        <v>254</v>
      </c>
      <c r="C254" s="3" t="str">
        <f t="shared" si="1"/>
        <v>_dotted blue</v>
      </c>
      <c r="D254" s="3" t="str">
        <f t="shared" si="5"/>
        <v>#N/A</v>
      </c>
      <c r="E254" s="3" t="b">
        <f t="shared" si="2"/>
        <v>0</v>
      </c>
      <c r="G254" s="3" t="str">
        <f t="shared" si="3"/>
        <v>#N/A</v>
      </c>
      <c r="AU254" s="8"/>
      <c r="AV254" s="6"/>
      <c r="AW254" s="8"/>
      <c r="AX254" s="8"/>
      <c r="AY254" s="6"/>
      <c r="AZ254" s="8"/>
      <c r="BA254" s="8"/>
      <c r="BB254" s="6"/>
      <c r="BC254" s="8"/>
      <c r="BD254" s="8"/>
      <c r="BE254" s="6"/>
      <c r="BF254" s="8"/>
      <c r="BG254" s="8"/>
      <c r="BH254" s="6"/>
      <c r="BI254" s="8"/>
      <c r="BJ254" s="8"/>
      <c r="BK254" s="6"/>
      <c r="BL254" s="8"/>
      <c r="BM254" s="8"/>
      <c r="BN254" s="6"/>
      <c r="BO254" s="8"/>
      <c r="BP254" s="8"/>
      <c r="BQ254" s="6"/>
      <c r="BR254" s="8"/>
    </row>
    <row r="255">
      <c r="A255" s="6"/>
      <c r="B255" s="6" t="s">
        <v>255</v>
      </c>
      <c r="C255" s="3" t="str">
        <f t="shared" si="1"/>
        <v>_bright maroon</v>
      </c>
      <c r="D255" s="3" t="str">
        <f t="shared" si="5"/>
        <v>#N/A</v>
      </c>
      <c r="E255" s="3" t="b">
        <f t="shared" si="2"/>
        <v>0</v>
      </c>
      <c r="G255" s="3" t="str">
        <f t="shared" si="3"/>
        <v>#N/A</v>
      </c>
      <c r="AU255" s="8"/>
      <c r="AV255" s="6"/>
      <c r="AW255" s="8"/>
      <c r="AX255" s="8"/>
      <c r="AY255" s="6"/>
      <c r="AZ255" s="8"/>
      <c r="BA255" s="8"/>
      <c r="BB255" s="6"/>
      <c r="BC255" s="8"/>
      <c r="BD255" s="8"/>
      <c r="BE255" s="6"/>
      <c r="BF255" s="8"/>
      <c r="BG255" s="8"/>
      <c r="BH255" s="6"/>
      <c r="BI255" s="8"/>
      <c r="BJ255" s="8"/>
      <c r="BK255" s="6"/>
      <c r="BL255" s="8"/>
      <c r="BM255" s="8"/>
      <c r="BN255" s="6"/>
      <c r="BO255" s="8"/>
      <c r="BP255" s="8"/>
      <c r="BQ255" s="6"/>
      <c r="BR255" s="8"/>
    </row>
    <row r="256">
      <c r="A256" s="6"/>
      <c r="B256" s="6" t="s">
        <v>256</v>
      </c>
      <c r="C256" s="3" t="str">
        <f t="shared" si="1"/>
        <v>_bright cyan</v>
      </c>
      <c r="D256" s="3" t="str">
        <f t="shared" si="5"/>
        <v>#N/A</v>
      </c>
      <c r="E256" s="3" t="b">
        <f t="shared" si="2"/>
        <v>0</v>
      </c>
      <c r="G256" s="3" t="str">
        <f t="shared" si="3"/>
        <v>#N/A</v>
      </c>
      <c r="AU256" s="8"/>
      <c r="AV256" s="6"/>
      <c r="AW256" s="8"/>
      <c r="AX256" s="8"/>
      <c r="AY256" s="6"/>
      <c r="AZ256" s="8"/>
      <c r="BA256" s="8"/>
      <c r="BB256" s="6"/>
      <c r="BC256" s="8"/>
      <c r="BD256" s="8"/>
      <c r="BE256" s="6"/>
      <c r="BF256" s="8"/>
      <c r="BG256" s="8"/>
      <c r="BH256" s="6"/>
      <c r="BI256" s="8"/>
      <c r="BJ256" s="8"/>
      <c r="BK256" s="6"/>
      <c r="BL256" s="8"/>
      <c r="BM256" s="8"/>
      <c r="BN256" s="6"/>
      <c r="BO256" s="8"/>
      <c r="BP256" s="8"/>
      <c r="BQ256" s="6"/>
      <c r="BR256" s="8"/>
    </row>
    <row r="257">
      <c r="A257" s="6"/>
      <c r="B257" s="6" t="s">
        <v>257</v>
      </c>
      <c r="C257" s="3" t="str">
        <f t="shared" si="1"/>
        <v>_plaid olive</v>
      </c>
      <c r="D257" s="3" t="str">
        <f t="shared" si="5"/>
        <v>#N/A</v>
      </c>
      <c r="E257" s="3" t="b">
        <f t="shared" si="2"/>
        <v>0</v>
      </c>
      <c r="G257" s="3" t="str">
        <f t="shared" si="3"/>
        <v>#N/A</v>
      </c>
      <c r="AU257" s="8"/>
      <c r="AV257" s="6"/>
      <c r="AW257" s="8"/>
      <c r="AX257" s="8"/>
      <c r="AY257" s="6"/>
      <c r="AZ257" s="8"/>
      <c r="BA257" s="8"/>
      <c r="BB257" s="6"/>
      <c r="BC257" s="8"/>
      <c r="BD257" s="8"/>
      <c r="BE257" s="6"/>
      <c r="BF257" s="8"/>
      <c r="BG257" s="8"/>
      <c r="BH257" s="6"/>
      <c r="BI257" s="8"/>
      <c r="BJ257" s="8"/>
      <c r="BK257" s="6"/>
      <c r="BL257" s="8"/>
      <c r="BM257" s="8"/>
      <c r="BN257" s="6"/>
      <c r="BO257" s="8"/>
      <c r="BP257" s="8"/>
      <c r="BQ257" s="6"/>
      <c r="BR257" s="8"/>
    </row>
    <row r="258">
      <c r="A258" s="6"/>
      <c r="B258" s="6" t="s">
        <v>258</v>
      </c>
      <c r="C258" s="3" t="str">
        <f t="shared" si="1"/>
        <v>_plaid chartreuse</v>
      </c>
      <c r="D258" s="3" t="str">
        <f t="shared" si="5"/>
        <v>#N/A</v>
      </c>
      <c r="E258" s="3" t="b">
        <f t="shared" si="2"/>
        <v>0</v>
      </c>
      <c r="G258" s="3" t="str">
        <f t="shared" si="3"/>
        <v>#N/A</v>
      </c>
      <c r="AU258" s="8"/>
      <c r="AV258" s="6"/>
      <c r="AW258" s="8"/>
      <c r="AX258" s="8"/>
      <c r="AY258" s="6"/>
      <c r="AZ258" s="8"/>
      <c r="BA258" s="8"/>
      <c r="BB258" s="6"/>
      <c r="BC258" s="8"/>
      <c r="BD258" s="8"/>
      <c r="BE258" s="6"/>
      <c r="BF258" s="8"/>
      <c r="BG258" s="8"/>
      <c r="BH258" s="6"/>
      <c r="BI258" s="8"/>
      <c r="BJ258" s="8"/>
      <c r="BK258" s="6"/>
      <c r="BL258" s="8"/>
      <c r="BM258" s="8"/>
      <c r="BN258" s="6"/>
      <c r="BO258" s="8"/>
      <c r="BP258" s="8"/>
      <c r="BQ258" s="6"/>
      <c r="BR258" s="8"/>
    </row>
    <row r="259">
      <c r="A259" s="6"/>
      <c r="B259" s="6" t="s">
        <v>259</v>
      </c>
      <c r="C259" s="3" t="str">
        <f t="shared" si="1"/>
        <v>_dull maroon</v>
      </c>
      <c r="D259" s="3" t="str">
        <f t="shared" si="5"/>
        <v>#N/A</v>
      </c>
      <c r="E259" s="3" t="b">
        <f t="shared" si="2"/>
        <v>0</v>
      </c>
      <c r="G259" s="3" t="str">
        <f t="shared" si="3"/>
        <v>#N/A</v>
      </c>
      <c r="AU259" s="8"/>
      <c r="AV259" s="6"/>
      <c r="AW259" s="8"/>
      <c r="AX259" s="8"/>
      <c r="AY259" s="6"/>
      <c r="AZ259" s="8"/>
      <c r="BA259" s="8"/>
      <c r="BB259" s="6"/>
      <c r="BC259" s="8"/>
      <c r="BD259" s="8"/>
      <c r="BE259" s="6"/>
      <c r="BF259" s="8"/>
      <c r="BG259" s="8"/>
      <c r="BH259" s="6"/>
      <c r="BI259" s="8"/>
      <c r="BJ259" s="8"/>
      <c r="BK259" s="6"/>
      <c r="BL259" s="8"/>
      <c r="BM259" s="8"/>
      <c r="BN259" s="6"/>
      <c r="BO259" s="8"/>
      <c r="BP259" s="8"/>
      <c r="BQ259" s="6"/>
      <c r="BR259" s="8"/>
    </row>
    <row r="260">
      <c r="A260" s="6"/>
      <c r="B260" s="6" t="s">
        <v>260</v>
      </c>
      <c r="C260" s="3" t="str">
        <f t="shared" si="1"/>
        <v>_light fuchsia</v>
      </c>
      <c r="D260" s="3" t="str">
        <f t="shared" si="5"/>
        <v>#N/A</v>
      </c>
      <c r="E260" s="3" t="b">
        <f t="shared" si="2"/>
        <v>0</v>
      </c>
      <c r="G260" s="3" t="str">
        <f t="shared" si="3"/>
        <v>#N/A</v>
      </c>
      <c r="AU260" s="8"/>
      <c r="AV260" s="6"/>
      <c r="AW260" s="8"/>
      <c r="AX260" s="8"/>
      <c r="AY260" s="6"/>
      <c r="AZ260" s="8"/>
      <c r="BA260" s="8"/>
      <c r="BB260" s="6"/>
      <c r="BC260" s="8"/>
      <c r="BD260" s="8"/>
      <c r="BE260" s="6"/>
      <c r="BF260" s="8"/>
      <c r="BG260" s="8"/>
      <c r="BH260" s="6"/>
      <c r="BI260" s="8"/>
      <c r="BJ260" s="8"/>
      <c r="BK260" s="6"/>
      <c r="BL260" s="8"/>
      <c r="BM260" s="8"/>
      <c r="BN260" s="6"/>
      <c r="BO260" s="8"/>
      <c r="BP260" s="8"/>
      <c r="BQ260" s="6"/>
      <c r="BR260" s="8"/>
    </row>
    <row r="261">
      <c r="A261" s="6"/>
      <c r="B261" s="6" t="s">
        <v>261</v>
      </c>
      <c r="C261" s="3" t="str">
        <f t="shared" si="1"/>
        <v>_dull orange</v>
      </c>
      <c r="D261" s="3" t="str">
        <f t="shared" si="5"/>
        <v>#N/A</v>
      </c>
      <c r="E261" s="3" t="b">
        <f t="shared" si="2"/>
        <v>0</v>
      </c>
      <c r="G261" s="3" t="str">
        <f t="shared" si="3"/>
        <v>#N/A</v>
      </c>
      <c r="AU261" s="8"/>
      <c r="AV261" s="6"/>
      <c r="AW261" s="8"/>
      <c r="AX261" s="8"/>
      <c r="AY261" s="6"/>
      <c r="AZ261" s="8"/>
      <c r="BA261" s="8"/>
      <c r="BB261" s="6"/>
      <c r="BC261" s="8"/>
      <c r="BD261" s="8"/>
      <c r="BE261" s="6"/>
      <c r="BF261" s="8"/>
      <c r="BG261" s="8"/>
      <c r="BH261" s="6"/>
      <c r="BI261" s="8"/>
      <c r="BJ261" s="8"/>
      <c r="BK261" s="6"/>
      <c r="BL261" s="8"/>
      <c r="BM261" s="8"/>
      <c r="BN261" s="6"/>
      <c r="BO261" s="8"/>
      <c r="BP261" s="8"/>
      <c r="BQ261" s="6"/>
      <c r="BR261" s="8"/>
    </row>
    <row r="262">
      <c r="A262" s="6"/>
      <c r="B262" s="6" t="s">
        <v>262</v>
      </c>
      <c r="C262" s="3" t="str">
        <f t="shared" si="1"/>
        <v>_dull blue</v>
      </c>
      <c r="D262" s="3" t="str">
        <f t="shared" si="5"/>
        <v>#N/A</v>
      </c>
      <c r="E262" s="3" t="b">
        <f t="shared" si="2"/>
        <v>0</v>
      </c>
      <c r="G262" s="3" t="str">
        <f t="shared" si="3"/>
        <v>#N/A</v>
      </c>
      <c r="AU262" s="8"/>
      <c r="AV262" s="6"/>
      <c r="AW262" s="8"/>
      <c r="AX262" s="8"/>
      <c r="AY262" s="6"/>
      <c r="AZ262" s="8"/>
      <c r="BA262" s="8"/>
      <c r="BB262" s="6"/>
      <c r="BC262" s="8"/>
      <c r="BD262" s="8"/>
      <c r="BE262" s="6"/>
      <c r="BF262" s="8"/>
      <c r="BG262" s="8"/>
      <c r="BH262" s="6"/>
      <c r="BI262" s="8"/>
      <c r="BJ262" s="8"/>
      <c r="BK262" s="6"/>
      <c r="BL262" s="8"/>
      <c r="BM262" s="8"/>
      <c r="BN262" s="6"/>
      <c r="BO262" s="8"/>
      <c r="BP262" s="8"/>
      <c r="BQ262" s="6"/>
      <c r="BR262" s="8"/>
    </row>
    <row r="263">
      <c r="A263" s="6"/>
      <c r="B263" s="6" t="s">
        <v>263</v>
      </c>
      <c r="C263" s="3" t="str">
        <f t="shared" si="1"/>
        <v>_plaid yellow</v>
      </c>
      <c r="D263" s="3" t="str">
        <f t="shared" si="5"/>
        <v>#N/A</v>
      </c>
      <c r="E263" s="3" t="b">
        <f t="shared" si="2"/>
        <v>0</v>
      </c>
      <c r="G263" s="3" t="str">
        <f t="shared" si="3"/>
        <v>#N/A</v>
      </c>
      <c r="AU263" s="8"/>
      <c r="AV263" s="6"/>
      <c r="AW263" s="8"/>
      <c r="AX263" s="8"/>
      <c r="AY263" s="6"/>
      <c r="AZ263" s="8"/>
      <c r="BA263" s="8"/>
      <c r="BB263" s="6"/>
      <c r="BC263" s="8"/>
      <c r="BD263" s="8"/>
      <c r="BE263" s="6"/>
      <c r="BF263" s="8"/>
      <c r="BG263" s="8"/>
      <c r="BH263" s="6"/>
      <c r="BI263" s="8"/>
      <c r="BJ263" s="8"/>
      <c r="BK263" s="6"/>
      <c r="BL263" s="8"/>
      <c r="BM263" s="8"/>
      <c r="BN263" s="6"/>
      <c r="BO263" s="8"/>
      <c r="BP263" s="8"/>
      <c r="BQ263" s="6"/>
      <c r="BR263" s="8"/>
    </row>
    <row r="264">
      <c r="A264" s="6"/>
      <c r="B264" s="6" t="s">
        <v>264</v>
      </c>
      <c r="C264" s="3" t="str">
        <f t="shared" si="1"/>
        <v>_clear black</v>
      </c>
      <c r="D264" s="3" t="str">
        <f t="shared" si="5"/>
        <v>#N/A</v>
      </c>
      <c r="E264" s="3" t="b">
        <f t="shared" si="2"/>
        <v>0</v>
      </c>
      <c r="G264" s="3" t="str">
        <f t="shared" si="3"/>
        <v>#N/A</v>
      </c>
      <c r="AU264" s="8"/>
      <c r="AV264" s="6"/>
      <c r="AW264" s="8"/>
      <c r="AX264" s="8"/>
      <c r="AY264" s="6"/>
      <c r="AZ264" s="8"/>
      <c r="BA264" s="8"/>
      <c r="BB264" s="6"/>
      <c r="BC264" s="8"/>
      <c r="BD264" s="8"/>
      <c r="BE264" s="6"/>
      <c r="BF264" s="8"/>
      <c r="BG264" s="8"/>
      <c r="BH264" s="6"/>
      <c r="BI264" s="8"/>
      <c r="BJ264" s="8"/>
      <c r="BK264" s="6"/>
      <c r="BL264" s="8"/>
      <c r="BM264" s="8"/>
      <c r="BN264" s="6"/>
      <c r="BO264" s="8"/>
      <c r="BP264" s="8"/>
      <c r="BQ264" s="6"/>
      <c r="BR264" s="8"/>
    </row>
    <row r="265">
      <c r="A265" s="6"/>
      <c r="B265" s="6" t="s">
        <v>265</v>
      </c>
      <c r="C265" s="3" t="str">
        <f t="shared" si="1"/>
        <v>_muted coral</v>
      </c>
      <c r="D265" s="3" t="str">
        <f t="shared" si="5"/>
        <v>#N/A</v>
      </c>
      <c r="E265" s="3" t="b">
        <f t="shared" si="2"/>
        <v>0</v>
      </c>
      <c r="G265" s="3" t="str">
        <f t="shared" si="3"/>
        <v>#N/A</v>
      </c>
      <c r="AU265" s="8"/>
      <c r="AV265" s="6"/>
      <c r="AW265" s="8"/>
      <c r="AX265" s="8"/>
      <c r="AY265" s="6"/>
      <c r="AZ265" s="8"/>
      <c r="BA265" s="8"/>
      <c r="BB265" s="6"/>
      <c r="BC265" s="8"/>
      <c r="BD265" s="8"/>
      <c r="BE265" s="6"/>
      <c r="BF265" s="8"/>
      <c r="BG265" s="8"/>
      <c r="BH265" s="6"/>
      <c r="BI265" s="8"/>
      <c r="BJ265" s="8"/>
      <c r="BK265" s="6"/>
      <c r="BL265" s="8"/>
      <c r="BM265" s="8"/>
      <c r="BN265" s="6"/>
      <c r="BO265" s="8"/>
      <c r="BP265" s="8"/>
      <c r="BQ265" s="6"/>
      <c r="BR265" s="8"/>
    </row>
    <row r="266">
      <c r="A266" s="6"/>
      <c r="B266" s="6" t="s">
        <v>266</v>
      </c>
      <c r="C266" s="3" t="str">
        <f t="shared" si="1"/>
        <v>_plaid magenta</v>
      </c>
      <c r="D266" s="3" t="str">
        <f t="shared" si="5"/>
        <v>#N/A</v>
      </c>
      <c r="E266" s="3" t="b">
        <f t="shared" si="2"/>
        <v>0</v>
      </c>
      <c r="G266" s="3" t="str">
        <f t="shared" si="3"/>
        <v>#N/A</v>
      </c>
      <c r="AU266" s="8"/>
      <c r="AV266" s="6"/>
      <c r="AW266" s="8"/>
      <c r="AX266" s="8"/>
      <c r="AY266" s="6"/>
      <c r="AZ266" s="8"/>
      <c r="BA266" s="8"/>
      <c r="BB266" s="6"/>
      <c r="BC266" s="8"/>
      <c r="BD266" s="8"/>
      <c r="BE266" s="6"/>
      <c r="BF266" s="8"/>
      <c r="BG266" s="8"/>
      <c r="BH266" s="6"/>
      <c r="BI266" s="8"/>
      <c r="BJ266" s="8"/>
      <c r="BK266" s="6"/>
      <c r="BL266" s="8"/>
      <c r="BM266" s="8"/>
      <c r="BN266" s="6"/>
      <c r="BO266" s="8"/>
      <c r="BP266" s="8"/>
      <c r="BQ266" s="6"/>
      <c r="BR266" s="8"/>
    </row>
    <row r="267">
      <c r="A267" s="6"/>
      <c r="B267" s="6" t="s">
        <v>267</v>
      </c>
      <c r="C267" s="3" t="str">
        <f t="shared" si="1"/>
        <v>_clear tomato</v>
      </c>
      <c r="D267" s="3" t="str">
        <f t="shared" si="5"/>
        <v>#N/A</v>
      </c>
      <c r="E267" s="3" t="b">
        <f t="shared" si="2"/>
        <v>0</v>
      </c>
      <c r="G267" s="3" t="str">
        <f t="shared" si="3"/>
        <v>#N/A</v>
      </c>
      <c r="AU267" s="8"/>
      <c r="AV267" s="6"/>
      <c r="AW267" s="8"/>
      <c r="AX267" s="8"/>
      <c r="AY267" s="6"/>
      <c r="AZ267" s="8"/>
      <c r="BA267" s="8"/>
      <c r="BB267" s="6"/>
      <c r="BC267" s="8"/>
      <c r="BD267" s="8"/>
      <c r="BE267" s="6"/>
      <c r="BF267" s="8"/>
      <c r="BG267" s="8"/>
      <c r="BH267" s="6"/>
      <c r="BI267" s="8"/>
      <c r="BJ267" s="8"/>
      <c r="BK267" s="6"/>
      <c r="BL267" s="8"/>
      <c r="BM267" s="8"/>
      <c r="BN267" s="6"/>
      <c r="BO267" s="8"/>
      <c r="BP267" s="8"/>
      <c r="BQ267" s="6"/>
      <c r="BR267" s="8"/>
    </row>
    <row r="268">
      <c r="A268" s="6"/>
      <c r="B268" s="6" t="s">
        <v>268</v>
      </c>
      <c r="C268" s="3" t="str">
        <f t="shared" si="1"/>
        <v>_clear yellow</v>
      </c>
      <c r="D268" s="3" t="str">
        <f t="shared" si="5"/>
        <v>#N/A</v>
      </c>
      <c r="E268" s="3" t="b">
        <f t="shared" si="2"/>
        <v>0</v>
      </c>
      <c r="G268" s="3" t="str">
        <f t="shared" si="3"/>
        <v>#N/A</v>
      </c>
      <c r="AU268" s="8"/>
      <c r="AV268" s="6"/>
      <c r="AW268" s="8"/>
      <c r="AX268" s="8"/>
      <c r="AY268" s="6"/>
      <c r="AZ268" s="8"/>
      <c r="BA268" s="8"/>
      <c r="BB268" s="6"/>
      <c r="BC268" s="8"/>
      <c r="BD268" s="8"/>
      <c r="BE268" s="6"/>
      <c r="BF268" s="8"/>
      <c r="BG268" s="8"/>
      <c r="BH268" s="6"/>
      <c r="BI268" s="8"/>
      <c r="BJ268" s="8"/>
      <c r="BK268" s="6"/>
      <c r="BL268" s="8"/>
      <c r="BM268" s="8"/>
      <c r="BN268" s="6"/>
      <c r="BO268" s="8"/>
      <c r="BP268" s="8"/>
      <c r="BQ268" s="6"/>
      <c r="BR268" s="8"/>
    </row>
    <row r="269">
      <c r="A269" s="6"/>
      <c r="B269" s="6" t="s">
        <v>269</v>
      </c>
      <c r="C269" s="3" t="str">
        <f t="shared" si="1"/>
        <v>_dark gray</v>
      </c>
      <c r="D269" s="3" t="str">
        <f t="shared" si="5"/>
        <v>#N/A</v>
      </c>
      <c r="E269" s="3" t="b">
        <f t="shared" si="2"/>
        <v>0</v>
      </c>
      <c r="G269" s="3" t="str">
        <f t="shared" si="3"/>
        <v>#N/A</v>
      </c>
      <c r="AU269" s="8"/>
      <c r="AV269" s="6"/>
      <c r="AW269" s="8"/>
      <c r="AX269" s="8"/>
      <c r="AY269" s="6"/>
      <c r="AZ269" s="8"/>
      <c r="BA269" s="8"/>
      <c r="BB269" s="6"/>
      <c r="BC269" s="8"/>
      <c r="BD269" s="8"/>
      <c r="BE269" s="6"/>
      <c r="BF269" s="8"/>
      <c r="BG269" s="8"/>
      <c r="BH269" s="6"/>
      <c r="BI269" s="8"/>
      <c r="BJ269" s="8"/>
      <c r="BK269" s="6"/>
      <c r="BL269" s="8"/>
      <c r="BM269" s="8"/>
      <c r="BN269" s="6"/>
      <c r="BO269" s="8"/>
      <c r="BP269" s="8"/>
      <c r="BQ269" s="6"/>
      <c r="BR269" s="8"/>
    </row>
    <row r="270">
      <c r="A270" s="6"/>
      <c r="B270" s="6" t="s">
        <v>270</v>
      </c>
      <c r="C270" s="3" t="str">
        <f t="shared" si="1"/>
        <v>_light magenta</v>
      </c>
      <c r="D270" s="3" t="str">
        <f t="shared" si="5"/>
        <v>#N/A</v>
      </c>
      <c r="E270" s="3" t="b">
        <f t="shared" si="2"/>
        <v>0</v>
      </c>
      <c r="G270" s="3" t="str">
        <f t="shared" si="3"/>
        <v>#N/A</v>
      </c>
      <c r="AU270" s="8"/>
      <c r="AV270" s="6"/>
      <c r="AW270" s="8"/>
      <c r="AX270" s="8"/>
      <c r="AY270" s="6"/>
      <c r="AZ270" s="8"/>
      <c r="BA270" s="8"/>
      <c r="BB270" s="6"/>
      <c r="BC270" s="8"/>
      <c r="BD270" s="8"/>
      <c r="BE270" s="6"/>
      <c r="BF270" s="8"/>
      <c r="BG270" s="8"/>
      <c r="BH270" s="6"/>
      <c r="BI270" s="8"/>
      <c r="BJ270" s="8"/>
      <c r="BK270" s="6"/>
      <c r="BL270" s="8"/>
      <c r="BM270" s="8"/>
      <c r="BN270" s="6"/>
      <c r="BO270" s="8"/>
      <c r="BP270" s="8"/>
      <c r="BQ270" s="6"/>
      <c r="BR270" s="8"/>
    </row>
    <row r="271">
      <c r="A271" s="6"/>
      <c r="B271" s="6" t="s">
        <v>271</v>
      </c>
      <c r="C271" s="3" t="str">
        <f t="shared" si="1"/>
        <v>_shiny indigo</v>
      </c>
      <c r="D271" s="3" t="str">
        <f t="shared" si="5"/>
        <v>#N/A</v>
      </c>
      <c r="E271" s="3" t="b">
        <f t="shared" si="2"/>
        <v>0</v>
      </c>
      <c r="G271" s="3" t="str">
        <f t="shared" si="3"/>
        <v>#N/A</v>
      </c>
      <c r="AU271" s="8"/>
      <c r="AV271" s="6"/>
      <c r="AW271" s="8"/>
      <c r="AX271" s="8"/>
      <c r="AY271" s="6"/>
      <c r="AZ271" s="8"/>
      <c r="BA271" s="8"/>
      <c r="BB271" s="6"/>
      <c r="BC271" s="8"/>
      <c r="BD271" s="8"/>
      <c r="BE271" s="6"/>
      <c r="BF271" s="8"/>
      <c r="BG271" s="8"/>
      <c r="BH271" s="6"/>
      <c r="BI271" s="8"/>
      <c r="BJ271" s="8"/>
      <c r="BK271" s="6"/>
      <c r="BL271" s="8"/>
      <c r="BM271" s="8"/>
      <c r="BN271" s="6"/>
      <c r="BO271" s="8"/>
      <c r="BP271" s="8"/>
      <c r="BQ271" s="6"/>
      <c r="BR271" s="8"/>
    </row>
    <row r="272">
      <c r="A272" s="6"/>
      <c r="B272" s="6" t="s">
        <v>272</v>
      </c>
      <c r="C272" s="3" t="str">
        <f t="shared" si="1"/>
        <v>_muted gray</v>
      </c>
      <c r="D272" s="3" t="str">
        <f t="shared" si="5"/>
        <v>#N/A</v>
      </c>
      <c r="E272" s="3" t="b">
        <f t="shared" si="2"/>
        <v>0</v>
      </c>
      <c r="G272" s="3" t="str">
        <f t="shared" si="3"/>
        <v>#N/A</v>
      </c>
      <c r="AU272" s="8"/>
      <c r="AV272" s="6"/>
      <c r="AW272" s="8"/>
      <c r="AX272" s="8"/>
      <c r="AY272" s="6"/>
      <c r="AZ272" s="8"/>
      <c r="BA272" s="8"/>
      <c r="BB272" s="6"/>
      <c r="BC272" s="8"/>
      <c r="BD272" s="8"/>
      <c r="BE272" s="6"/>
      <c r="BF272" s="8"/>
      <c r="BG272" s="8"/>
      <c r="BH272" s="6"/>
      <c r="BI272" s="8"/>
      <c r="BJ272" s="8"/>
      <c r="BK272" s="6"/>
      <c r="BL272" s="8"/>
      <c r="BM272" s="8"/>
      <c r="BN272" s="6"/>
      <c r="BO272" s="8"/>
      <c r="BP272" s="8"/>
      <c r="BQ272" s="6"/>
      <c r="BR272" s="8"/>
    </row>
    <row r="273">
      <c r="A273" s="6"/>
      <c r="B273" s="6" t="s">
        <v>273</v>
      </c>
      <c r="C273" s="3" t="str">
        <f t="shared" si="1"/>
        <v>_wavy lavender</v>
      </c>
      <c r="D273" s="3" t="str">
        <f t="shared" si="5"/>
        <v>#N/A</v>
      </c>
      <c r="E273" s="3" t="b">
        <f t="shared" si="2"/>
        <v>0</v>
      </c>
      <c r="G273" s="3" t="str">
        <f t="shared" si="3"/>
        <v>#N/A</v>
      </c>
      <c r="AU273" s="8"/>
      <c r="AV273" s="6"/>
      <c r="AW273" s="8"/>
      <c r="AX273" s="8"/>
      <c r="AY273" s="6"/>
      <c r="AZ273" s="8"/>
      <c r="BA273" s="8"/>
      <c r="BB273" s="6"/>
      <c r="BC273" s="8"/>
      <c r="BD273" s="8"/>
      <c r="BE273" s="6"/>
      <c r="BF273" s="8"/>
      <c r="BG273" s="8"/>
      <c r="BH273" s="6"/>
      <c r="BI273" s="8"/>
      <c r="BJ273" s="8"/>
      <c r="BK273" s="6"/>
      <c r="BL273" s="8"/>
      <c r="BM273" s="8"/>
      <c r="BN273" s="6"/>
      <c r="BO273" s="8"/>
      <c r="BP273" s="8"/>
      <c r="BQ273" s="6"/>
      <c r="BR273" s="8"/>
    </row>
    <row r="274">
      <c r="A274" s="6"/>
      <c r="B274" s="6" t="s">
        <v>274</v>
      </c>
      <c r="C274" s="3" t="str">
        <f t="shared" si="1"/>
        <v>_faded olive</v>
      </c>
      <c r="D274" s="3" t="str">
        <f t="shared" si="5"/>
        <v>#N/A</v>
      </c>
      <c r="E274" s="3" t="b">
        <f t="shared" si="2"/>
        <v>0</v>
      </c>
      <c r="G274" s="3" t="str">
        <f t="shared" si="3"/>
        <v>#N/A</v>
      </c>
      <c r="AU274" s="8"/>
      <c r="AV274" s="6"/>
      <c r="AW274" s="8"/>
      <c r="AX274" s="8"/>
      <c r="AY274" s="6"/>
      <c r="AZ274" s="8"/>
      <c r="BA274" s="8"/>
      <c r="BB274" s="6"/>
      <c r="BC274" s="8"/>
      <c r="BD274" s="8"/>
      <c r="BE274" s="6"/>
      <c r="BF274" s="8"/>
      <c r="BG274" s="8"/>
      <c r="BH274" s="6"/>
      <c r="BI274" s="8"/>
      <c r="BJ274" s="8"/>
      <c r="BK274" s="6"/>
      <c r="BL274" s="8"/>
      <c r="BM274" s="8"/>
      <c r="BN274" s="6"/>
      <c r="BO274" s="8"/>
      <c r="BP274" s="8"/>
      <c r="BQ274" s="6"/>
      <c r="BR274" s="8"/>
    </row>
    <row r="275">
      <c r="A275" s="6"/>
      <c r="B275" s="6" t="s">
        <v>275</v>
      </c>
      <c r="C275" s="3" t="str">
        <f t="shared" si="1"/>
        <v>_muted crimson</v>
      </c>
      <c r="D275" s="3" t="str">
        <f t="shared" si="5"/>
        <v>#N/A</v>
      </c>
      <c r="E275" s="3" t="b">
        <f t="shared" si="2"/>
        <v>0</v>
      </c>
      <c r="G275" s="3" t="str">
        <f t="shared" si="3"/>
        <v>#N/A</v>
      </c>
      <c r="AU275" s="8"/>
      <c r="AV275" s="6"/>
      <c r="AW275" s="8"/>
      <c r="AX275" s="8"/>
      <c r="AY275" s="6"/>
      <c r="AZ275" s="8"/>
      <c r="BA275" s="8"/>
      <c r="BB275" s="6"/>
      <c r="BC275" s="8"/>
      <c r="BD275" s="8"/>
      <c r="BE275" s="6"/>
      <c r="BF275" s="8"/>
      <c r="BG275" s="8"/>
      <c r="BH275" s="6"/>
      <c r="BI275" s="8"/>
      <c r="BJ275" s="8"/>
      <c r="BK275" s="6"/>
      <c r="BL275" s="8"/>
      <c r="BM275" s="8"/>
      <c r="BN275" s="6"/>
      <c r="BO275" s="8"/>
      <c r="BP275" s="8"/>
      <c r="BQ275" s="6"/>
      <c r="BR275" s="8"/>
    </row>
    <row r="276">
      <c r="A276" s="6"/>
      <c r="B276" s="6" t="s">
        <v>276</v>
      </c>
      <c r="C276" s="3" t="str">
        <f t="shared" si="1"/>
        <v>_drab chartreuse</v>
      </c>
      <c r="D276" s="3" t="str">
        <f t="shared" si="5"/>
        <v>#N/A</v>
      </c>
      <c r="E276" s="3" t="b">
        <f t="shared" si="2"/>
        <v>0</v>
      </c>
      <c r="G276" s="3" t="str">
        <f t="shared" si="3"/>
        <v>#N/A</v>
      </c>
      <c r="AU276" s="8"/>
      <c r="AV276" s="6"/>
      <c r="AW276" s="8"/>
      <c r="AX276" s="8"/>
      <c r="AY276" s="6"/>
      <c r="AZ276" s="8"/>
      <c r="BA276" s="8"/>
      <c r="BB276" s="6"/>
      <c r="BC276" s="8"/>
      <c r="BD276" s="8"/>
      <c r="BE276" s="6"/>
      <c r="BF276" s="8"/>
      <c r="BG276" s="8"/>
      <c r="BH276" s="6"/>
      <c r="BI276" s="8"/>
      <c r="BJ276" s="8"/>
      <c r="BK276" s="6"/>
      <c r="BL276" s="8"/>
      <c r="BM276" s="8"/>
      <c r="BN276" s="6"/>
      <c r="BO276" s="8"/>
      <c r="BP276" s="8"/>
      <c r="BQ276" s="6"/>
      <c r="BR276" s="8"/>
    </row>
    <row r="277">
      <c r="A277" s="6"/>
      <c r="B277" s="6" t="s">
        <v>277</v>
      </c>
      <c r="C277" s="3" t="str">
        <f t="shared" si="1"/>
        <v>_wavy cyan</v>
      </c>
      <c r="D277" s="3" t="str">
        <f t="shared" si="5"/>
        <v>#N/A</v>
      </c>
      <c r="E277" s="3" t="b">
        <f t="shared" si="2"/>
        <v>0</v>
      </c>
      <c r="G277" s="3" t="str">
        <f t="shared" si="3"/>
        <v>#N/A</v>
      </c>
      <c r="AU277" s="8"/>
      <c r="AV277" s="6"/>
      <c r="AW277" s="8"/>
      <c r="AX277" s="8"/>
      <c r="AY277" s="6"/>
      <c r="AZ277" s="8"/>
      <c r="BA277" s="8"/>
      <c r="BB277" s="6"/>
      <c r="BC277" s="8"/>
      <c r="BD277" s="8"/>
      <c r="BE277" s="6"/>
      <c r="BF277" s="8"/>
      <c r="BG277" s="8"/>
      <c r="BH277" s="6"/>
      <c r="BI277" s="8"/>
      <c r="BJ277" s="8"/>
      <c r="BK277" s="6"/>
      <c r="BL277" s="8"/>
      <c r="BM277" s="8"/>
      <c r="BN277" s="6"/>
      <c r="BO277" s="8"/>
      <c r="BP277" s="8"/>
      <c r="BQ277" s="6"/>
      <c r="BR277" s="8"/>
    </row>
    <row r="278">
      <c r="A278" s="6"/>
      <c r="B278" s="6" t="s">
        <v>278</v>
      </c>
      <c r="C278" s="3" t="str">
        <f t="shared" si="1"/>
        <v>_mirrored plum</v>
      </c>
      <c r="D278" s="3" t="str">
        <f t="shared" si="5"/>
        <v>#N/A</v>
      </c>
      <c r="E278" s="3" t="b">
        <f t="shared" si="2"/>
        <v>0</v>
      </c>
      <c r="G278" s="3" t="str">
        <f t="shared" si="3"/>
        <v>#N/A</v>
      </c>
      <c r="AU278" s="8"/>
      <c r="AV278" s="6"/>
      <c r="AW278" s="8"/>
      <c r="AX278" s="8"/>
      <c r="AY278" s="6"/>
      <c r="AZ278" s="8"/>
      <c r="BA278" s="8"/>
      <c r="BB278" s="6"/>
      <c r="BC278" s="8"/>
      <c r="BD278" s="8"/>
      <c r="BE278" s="6"/>
      <c r="BF278" s="8"/>
      <c r="BG278" s="8"/>
      <c r="BH278" s="6"/>
      <c r="BI278" s="8"/>
      <c r="BJ278" s="8"/>
      <c r="BK278" s="6"/>
      <c r="BL278" s="8"/>
      <c r="BM278" s="8"/>
      <c r="BN278" s="6"/>
      <c r="BO278" s="8"/>
      <c r="BP278" s="8"/>
      <c r="BQ278" s="6"/>
      <c r="BR278" s="8"/>
    </row>
    <row r="279">
      <c r="A279" s="6"/>
      <c r="B279" s="6" t="s">
        <v>279</v>
      </c>
      <c r="C279" s="3" t="str">
        <f t="shared" si="1"/>
        <v>_plaid lavender</v>
      </c>
      <c r="D279" s="3" t="str">
        <f t="shared" si="5"/>
        <v>#N/A</v>
      </c>
      <c r="E279" s="3" t="b">
        <f t="shared" si="2"/>
        <v>0</v>
      </c>
      <c r="G279" s="3" t="str">
        <f t="shared" si="3"/>
        <v>#N/A</v>
      </c>
      <c r="AU279" s="8"/>
      <c r="AV279" s="6"/>
      <c r="AW279" s="8"/>
      <c r="AX279" s="8"/>
      <c r="AY279" s="6"/>
      <c r="AZ279" s="8"/>
      <c r="BA279" s="8"/>
      <c r="BB279" s="6"/>
      <c r="BC279" s="8"/>
      <c r="BD279" s="8"/>
      <c r="BE279" s="6"/>
      <c r="BF279" s="8"/>
      <c r="BG279" s="8"/>
      <c r="BH279" s="6"/>
      <c r="BI279" s="8"/>
      <c r="BJ279" s="8"/>
      <c r="BK279" s="6"/>
      <c r="BL279" s="8"/>
      <c r="BM279" s="8"/>
      <c r="BN279" s="6"/>
      <c r="BO279" s="8"/>
      <c r="BP279" s="8"/>
      <c r="BQ279" s="6"/>
      <c r="BR279" s="8"/>
    </row>
    <row r="280">
      <c r="A280" s="6"/>
      <c r="B280" s="6" t="s">
        <v>280</v>
      </c>
      <c r="C280" s="3" t="str">
        <f t="shared" si="1"/>
        <v>_muted gold</v>
      </c>
      <c r="D280" s="3" t="str">
        <f t="shared" si="5"/>
        <v>#N/A</v>
      </c>
      <c r="E280" s="3" t="b">
        <f t="shared" si="2"/>
        <v>0</v>
      </c>
      <c r="G280" s="3" t="str">
        <f t="shared" si="3"/>
        <v>#N/A</v>
      </c>
      <c r="AU280" s="8"/>
      <c r="AV280" s="6"/>
      <c r="AW280" s="8"/>
      <c r="AX280" s="8"/>
      <c r="AY280" s="6"/>
      <c r="AZ280" s="8"/>
      <c r="BA280" s="8"/>
      <c r="BB280" s="6"/>
      <c r="BC280" s="8"/>
      <c r="BD280" s="8"/>
      <c r="BE280" s="6"/>
      <c r="BF280" s="8"/>
      <c r="BG280" s="8"/>
      <c r="BH280" s="6"/>
      <c r="BI280" s="8"/>
      <c r="BJ280" s="8"/>
      <c r="BK280" s="6"/>
      <c r="BL280" s="8"/>
      <c r="BM280" s="8"/>
      <c r="BN280" s="6"/>
      <c r="BO280" s="8"/>
      <c r="BP280" s="8"/>
      <c r="BQ280" s="6"/>
      <c r="BR280" s="8"/>
    </row>
    <row r="281">
      <c r="A281" s="6"/>
      <c r="B281" s="6" t="s">
        <v>281</v>
      </c>
      <c r="C281" s="3" t="str">
        <f t="shared" si="1"/>
        <v>_faded bronze</v>
      </c>
      <c r="D281" s="3" t="str">
        <f t="shared" si="5"/>
        <v>#N/A</v>
      </c>
      <c r="E281" s="3" t="b">
        <f t="shared" si="2"/>
        <v>0</v>
      </c>
      <c r="G281" s="3" t="str">
        <f t="shared" si="3"/>
        <v>#N/A</v>
      </c>
      <c r="AU281" s="8"/>
      <c r="AV281" s="6"/>
      <c r="AW281" s="8"/>
      <c r="AX281" s="8"/>
      <c r="AY281" s="6"/>
      <c r="AZ281" s="8"/>
      <c r="BA281" s="8"/>
      <c r="BB281" s="6"/>
      <c r="BC281" s="8"/>
      <c r="BD281" s="8"/>
      <c r="BE281" s="6"/>
      <c r="BF281" s="8"/>
      <c r="BG281" s="8"/>
      <c r="BH281" s="6"/>
      <c r="BI281" s="8"/>
      <c r="BJ281" s="8"/>
      <c r="BK281" s="6"/>
      <c r="BL281" s="8"/>
      <c r="BM281" s="8"/>
      <c r="BN281" s="6"/>
      <c r="BO281" s="8"/>
      <c r="BP281" s="8"/>
      <c r="BQ281" s="6"/>
      <c r="BR281" s="8"/>
    </row>
    <row r="282">
      <c r="A282" s="6"/>
      <c r="B282" s="6" t="s">
        <v>282</v>
      </c>
      <c r="C282" s="3" t="str">
        <f t="shared" si="1"/>
        <v>_clear turquoise</v>
      </c>
      <c r="D282" s="3" t="str">
        <f t="shared" si="5"/>
        <v>#N/A</v>
      </c>
      <c r="E282" s="3" t="b">
        <f t="shared" si="2"/>
        <v>0</v>
      </c>
      <c r="G282" s="3" t="str">
        <f t="shared" si="3"/>
        <v>#N/A</v>
      </c>
      <c r="AU282" s="8"/>
      <c r="AV282" s="6"/>
      <c r="AW282" s="8"/>
      <c r="AX282" s="8"/>
      <c r="AY282" s="6"/>
      <c r="AZ282" s="8"/>
      <c r="BA282" s="8"/>
      <c r="BB282" s="6"/>
      <c r="BC282" s="8"/>
      <c r="BD282" s="8"/>
      <c r="BE282" s="6"/>
      <c r="BF282" s="8"/>
      <c r="BG282" s="8"/>
      <c r="BH282" s="6"/>
      <c r="BI282" s="8"/>
      <c r="BJ282" s="8"/>
      <c r="BK282" s="6"/>
      <c r="BL282" s="8"/>
      <c r="BM282" s="8"/>
      <c r="BN282" s="6"/>
      <c r="BO282" s="8"/>
      <c r="BP282" s="8"/>
      <c r="BQ282" s="6"/>
      <c r="BR282" s="8"/>
    </row>
    <row r="283">
      <c r="A283" s="6"/>
      <c r="B283" s="6" t="s">
        <v>283</v>
      </c>
      <c r="C283" s="3" t="str">
        <f t="shared" si="1"/>
        <v>_vibrant gray</v>
      </c>
      <c r="D283" s="3" t="str">
        <f t="shared" si="5"/>
        <v>#N/A</v>
      </c>
      <c r="E283" s="3" t="b">
        <f t="shared" si="2"/>
        <v>0</v>
      </c>
      <c r="G283" s="3" t="str">
        <f t="shared" si="3"/>
        <v>#N/A</v>
      </c>
      <c r="AU283" s="8"/>
      <c r="AV283" s="6"/>
      <c r="AW283" s="8"/>
      <c r="AX283" s="8"/>
      <c r="AY283" s="6"/>
      <c r="AZ283" s="8"/>
      <c r="BA283" s="8"/>
      <c r="BB283" s="6"/>
      <c r="BC283" s="8"/>
      <c r="BD283" s="8"/>
      <c r="BE283" s="6"/>
      <c r="BF283" s="8"/>
      <c r="BG283" s="8"/>
      <c r="BH283" s="6"/>
      <c r="BI283" s="8"/>
      <c r="BJ283" s="8"/>
      <c r="BK283" s="6"/>
      <c r="BL283" s="8"/>
      <c r="BM283" s="8"/>
      <c r="BN283" s="6"/>
      <c r="BO283" s="8"/>
      <c r="BP283" s="8"/>
      <c r="BQ283" s="6"/>
      <c r="BR283" s="8"/>
    </row>
    <row r="284">
      <c r="A284" s="6"/>
      <c r="B284" s="6" t="s">
        <v>284</v>
      </c>
      <c r="C284" s="3" t="str">
        <f t="shared" si="1"/>
        <v>_bright tan</v>
      </c>
      <c r="D284" s="3" t="str">
        <f t="shared" si="5"/>
        <v>#N/A</v>
      </c>
      <c r="E284" s="3" t="b">
        <f t="shared" si="2"/>
        <v>0</v>
      </c>
      <c r="G284" s="3" t="str">
        <f t="shared" si="3"/>
        <v>#N/A</v>
      </c>
      <c r="AU284" s="8"/>
      <c r="AV284" s="6"/>
      <c r="AW284" s="8"/>
      <c r="AX284" s="8"/>
      <c r="AY284" s="6"/>
      <c r="AZ284" s="8"/>
      <c r="BA284" s="8"/>
      <c r="BB284" s="6"/>
      <c r="BC284" s="8"/>
      <c r="BD284" s="8"/>
      <c r="BE284" s="6"/>
      <c r="BF284" s="8"/>
      <c r="BG284" s="8"/>
      <c r="BH284" s="6"/>
      <c r="BI284" s="8"/>
      <c r="BJ284" s="8"/>
      <c r="BK284" s="6"/>
      <c r="BL284" s="8"/>
      <c r="BM284" s="8"/>
      <c r="BN284" s="6"/>
      <c r="BO284" s="8"/>
      <c r="BP284" s="8"/>
      <c r="BQ284" s="6"/>
      <c r="BR284" s="8"/>
    </row>
    <row r="285">
      <c r="A285" s="6"/>
      <c r="B285" s="6" t="s">
        <v>285</v>
      </c>
      <c r="C285" s="3" t="str">
        <f t="shared" si="1"/>
        <v>_pale bronze</v>
      </c>
      <c r="D285" s="3" t="str">
        <f t="shared" si="5"/>
        <v>#N/A</v>
      </c>
      <c r="E285" s="3" t="b">
        <f t="shared" si="2"/>
        <v>0</v>
      </c>
      <c r="G285" s="3" t="str">
        <f t="shared" si="3"/>
        <v>#N/A</v>
      </c>
      <c r="AU285" s="8"/>
      <c r="AV285" s="6"/>
      <c r="AW285" s="8"/>
      <c r="AX285" s="8"/>
      <c r="AY285" s="6"/>
      <c r="AZ285" s="8"/>
      <c r="BA285" s="8"/>
      <c r="BB285" s="6"/>
      <c r="BC285" s="8"/>
      <c r="BD285" s="8"/>
      <c r="BE285" s="6"/>
      <c r="BF285" s="8"/>
      <c r="BG285" s="8"/>
      <c r="BH285" s="6"/>
      <c r="BI285" s="8"/>
      <c r="BJ285" s="8"/>
      <c r="BK285" s="6"/>
      <c r="BL285" s="8"/>
      <c r="BM285" s="8"/>
      <c r="BN285" s="6"/>
      <c r="BO285" s="8"/>
      <c r="BP285" s="8"/>
      <c r="BQ285" s="6"/>
      <c r="BR285" s="8"/>
    </row>
    <row r="286">
      <c r="A286" s="6"/>
      <c r="B286" s="6" t="s">
        <v>286</v>
      </c>
      <c r="C286" s="3" t="str">
        <f t="shared" si="1"/>
        <v>_clear plum</v>
      </c>
      <c r="D286" s="3" t="str">
        <f t="shared" si="5"/>
        <v>#N/A</v>
      </c>
      <c r="E286" s="3" t="b">
        <f t="shared" si="2"/>
        <v>0</v>
      </c>
      <c r="G286" s="3" t="str">
        <f t="shared" si="3"/>
        <v>#N/A</v>
      </c>
      <c r="AU286" s="8"/>
      <c r="AV286" s="6"/>
      <c r="AW286" s="8"/>
      <c r="AX286" s="8"/>
      <c r="AY286" s="6"/>
      <c r="AZ286" s="8"/>
      <c r="BA286" s="8"/>
      <c r="BB286" s="6"/>
      <c r="BC286" s="8"/>
      <c r="BD286" s="8"/>
      <c r="BE286" s="6"/>
      <c r="BF286" s="8"/>
      <c r="BG286" s="8"/>
      <c r="BH286" s="6"/>
      <c r="BI286" s="8"/>
      <c r="BJ286" s="8"/>
      <c r="BK286" s="6"/>
      <c r="BL286" s="8"/>
      <c r="BM286" s="8"/>
      <c r="BN286" s="6"/>
      <c r="BO286" s="8"/>
      <c r="BP286" s="8"/>
      <c r="BQ286" s="6"/>
      <c r="BR286" s="8"/>
    </row>
    <row r="287">
      <c r="A287" s="6"/>
      <c r="B287" s="6" t="s">
        <v>287</v>
      </c>
      <c r="C287" s="3" t="str">
        <f t="shared" si="1"/>
        <v>_posh turquoise</v>
      </c>
      <c r="D287" s="3" t="str">
        <f t="shared" si="5"/>
        <v>#N/A</v>
      </c>
      <c r="E287" s="3" t="b">
        <f t="shared" si="2"/>
        <v>0</v>
      </c>
      <c r="G287" s="3" t="str">
        <f t="shared" si="3"/>
        <v>#N/A</v>
      </c>
      <c r="AU287" s="8"/>
      <c r="AV287" s="6"/>
      <c r="AW287" s="8"/>
      <c r="AX287" s="8"/>
      <c r="AY287" s="6"/>
      <c r="AZ287" s="8"/>
      <c r="BA287" s="8"/>
      <c r="BB287" s="6"/>
      <c r="BC287" s="8"/>
      <c r="BD287" s="8"/>
      <c r="BE287" s="6"/>
      <c r="BF287" s="8"/>
      <c r="BG287" s="8"/>
      <c r="BH287" s="6"/>
      <c r="BI287" s="8"/>
      <c r="BJ287" s="8"/>
      <c r="BK287" s="6"/>
      <c r="BL287" s="8"/>
      <c r="BM287" s="8"/>
      <c r="BN287" s="6"/>
      <c r="BO287" s="8"/>
      <c r="BP287" s="8"/>
      <c r="BQ287" s="6"/>
      <c r="BR287" s="8"/>
    </row>
    <row r="288">
      <c r="A288" s="6"/>
      <c r="B288" s="6" t="s">
        <v>288</v>
      </c>
      <c r="C288" s="3" t="str">
        <f t="shared" si="1"/>
        <v>_posh teal</v>
      </c>
      <c r="D288" s="3" t="str">
        <f t="shared" si="5"/>
        <v>#N/A</v>
      </c>
      <c r="E288" s="3" t="b">
        <f t="shared" si="2"/>
        <v>0</v>
      </c>
      <c r="G288" s="3" t="str">
        <f t="shared" si="3"/>
        <v>#N/A</v>
      </c>
      <c r="AU288" s="8"/>
      <c r="AV288" s="6"/>
      <c r="AW288" s="8"/>
      <c r="AX288" s="8"/>
      <c r="AY288" s="6"/>
      <c r="AZ288" s="8"/>
      <c r="BA288" s="8"/>
      <c r="BB288" s="6"/>
      <c r="BC288" s="8"/>
      <c r="BD288" s="8"/>
      <c r="BE288" s="6"/>
      <c r="BF288" s="8"/>
      <c r="BG288" s="8"/>
      <c r="BH288" s="6"/>
      <c r="BI288" s="8"/>
      <c r="BJ288" s="8"/>
      <c r="BK288" s="6"/>
      <c r="BL288" s="8"/>
      <c r="BM288" s="8"/>
      <c r="BN288" s="6"/>
      <c r="BO288" s="8"/>
      <c r="BP288" s="8"/>
      <c r="BQ288" s="6"/>
      <c r="BR288" s="8"/>
    </row>
    <row r="289">
      <c r="A289" s="6"/>
      <c r="B289" s="6" t="s">
        <v>289</v>
      </c>
      <c r="C289" s="3" t="str">
        <f t="shared" si="1"/>
        <v>_dim yellow</v>
      </c>
      <c r="D289" s="3" t="str">
        <f t="shared" si="5"/>
        <v>#N/A</v>
      </c>
      <c r="E289" s="3" t="b">
        <f t="shared" si="2"/>
        <v>0</v>
      </c>
      <c r="G289" s="3" t="str">
        <f t="shared" si="3"/>
        <v>#N/A</v>
      </c>
      <c r="AU289" s="8"/>
      <c r="AV289" s="6"/>
      <c r="AW289" s="8"/>
      <c r="AX289" s="8"/>
      <c r="AY289" s="6"/>
      <c r="AZ289" s="8"/>
      <c r="BA289" s="8"/>
      <c r="BB289" s="6"/>
      <c r="BC289" s="8"/>
      <c r="BD289" s="8"/>
      <c r="BE289" s="6"/>
      <c r="BF289" s="8"/>
      <c r="BG289" s="8"/>
      <c r="BH289" s="6"/>
      <c r="BI289" s="8"/>
      <c r="BJ289" s="8"/>
      <c r="BK289" s="6"/>
      <c r="BL289" s="8"/>
      <c r="BM289" s="8"/>
      <c r="BN289" s="6"/>
      <c r="BO289" s="8"/>
      <c r="BP289" s="8"/>
      <c r="BQ289" s="6"/>
      <c r="BR289" s="8"/>
    </row>
    <row r="290">
      <c r="A290" s="6"/>
      <c r="B290" s="6" t="s">
        <v>290</v>
      </c>
      <c r="C290" s="3" t="str">
        <f t="shared" si="1"/>
        <v>_faded lavender</v>
      </c>
      <c r="D290" s="3" t="str">
        <f t="shared" si="5"/>
        <v>#N/A</v>
      </c>
      <c r="E290" s="3" t="b">
        <f t="shared" si="2"/>
        <v>0</v>
      </c>
      <c r="G290" s="3" t="str">
        <f t="shared" si="3"/>
        <v>#N/A</v>
      </c>
      <c r="AU290" s="8"/>
      <c r="AV290" s="6"/>
      <c r="AW290" s="8"/>
      <c r="AX290" s="8"/>
      <c r="AY290" s="6"/>
      <c r="AZ290" s="8"/>
      <c r="BA290" s="8"/>
      <c r="BB290" s="6"/>
      <c r="BC290" s="8"/>
      <c r="BD290" s="8"/>
      <c r="BE290" s="6"/>
      <c r="BF290" s="8"/>
      <c r="BG290" s="8"/>
      <c r="BH290" s="6"/>
      <c r="BI290" s="8"/>
      <c r="BJ290" s="8"/>
      <c r="BK290" s="6"/>
      <c r="BL290" s="8"/>
      <c r="BM290" s="8"/>
      <c r="BN290" s="6"/>
      <c r="BO290" s="8"/>
      <c r="BP290" s="8"/>
      <c r="BQ290" s="6"/>
      <c r="BR290" s="8"/>
    </row>
    <row r="291">
      <c r="A291" s="6"/>
      <c r="B291" s="6" t="s">
        <v>291</v>
      </c>
      <c r="C291" s="3" t="str">
        <f t="shared" si="1"/>
        <v>_wavy magenta</v>
      </c>
      <c r="D291" s="3" t="str">
        <f t="shared" si="5"/>
        <v>#N/A</v>
      </c>
      <c r="E291" s="3" t="b">
        <f t="shared" si="2"/>
        <v>0</v>
      </c>
      <c r="G291" s="3" t="str">
        <f t="shared" si="3"/>
        <v>#N/A</v>
      </c>
      <c r="AU291" s="8"/>
      <c r="AV291" s="6"/>
      <c r="AW291" s="8"/>
      <c r="AX291" s="8"/>
      <c r="AY291" s="6"/>
      <c r="AZ291" s="8"/>
      <c r="BA291" s="8"/>
      <c r="BB291" s="6"/>
      <c r="BC291" s="8"/>
      <c r="BD291" s="8"/>
      <c r="BE291" s="6"/>
      <c r="BF291" s="8"/>
      <c r="BG291" s="8"/>
      <c r="BH291" s="6"/>
      <c r="BI291" s="8"/>
      <c r="BJ291" s="8"/>
      <c r="BK291" s="6"/>
      <c r="BL291" s="8"/>
      <c r="BM291" s="8"/>
      <c r="BN291" s="6"/>
      <c r="BO291" s="8"/>
      <c r="BP291" s="8"/>
      <c r="BQ291" s="6"/>
      <c r="BR291" s="8"/>
    </row>
    <row r="292">
      <c r="A292" s="6"/>
      <c r="B292" s="6" t="s">
        <v>292</v>
      </c>
      <c r="C292" s="3" t="str">
        <f t="shared" si="1"/>
        <v>_dim brown</v>
      </c>
      <c r="D292" s="3" t="str">
        <f t="shared" si="5"/>
        <v>#N/A</v>
      </c>
      <c r="E292" s="3" t="b">
        <f t="shared" si="2"/>
        <v>0</v>
      </c>
      <c r="G292" s="3" t="str">
        <f t="shared" si="3"/>
        <v>#N/A</v>
      </c>
      <c r="AU292" s="8"/>
      <c r="AV292" s="6"/>
      <c r="AW292" s="8"/>
      <c r="AX292" s="8"/>
      <c r="AY292" s="6"/>
      <c r="AZ292" s="8"/>
      <c r="BA292" s="8"/>
      <c r="BB292" s="6"/>
      <c r="BC292" s="8"/>
      <c r="BD292" s="8"/>
      <c r="BE292" s="6"/>
      <c r="BF292" s="8"/>
      <c r="BG292" s="8"/>
      <c r="BH292" s="6"/>
      <c r="BI292" s="8"/>
      <c r="BJ292" s="8"/>
      <c r="BK292" s="6"/>
      <c r="BL292" s="8"/>
      <c r="BM292" s="8"/>
      <c r="BN292" s="6"/>
      <c r="BO292" s="8"/>
      <c r="BP292" s="8"/>
      <c r="BQ292" s="6"/>
      <c r="BR292" s="8"/>
    </row>
    <row r="293">
      <c r="A293" s="6"/>
      <c r="B293" s="6" t="s">
        <v>293</v>
      </c>
      <c r="C293" s="3" t="str">
        <f t="shared" si="1"/>
        <v>_light lime</v>
      </c>
      <c r="D293" s="3" t="str">
        <f t="shared" si="5"/>
        <v>#N/A</v>
      </c>
      <c r="E293" s="3" t="b">
        <f t="shared" si="2"/>
        <v>0</v>
      </c>
      <c r="G293" s="3" t="str">
        <f t="shared" si="3"/>
        <v>#N/A</v>
      </c>
      <c r="AU293" s="8"/>
      <c r="AV293" s="6"/>
      <c r="AW293" s="8"/>
      <c r="AX293" s="8"/>
      <c r="AY293" s="6"/>
      <c r="AZ293" s="8"/>
      <c r="BA293" s="8"/>
      <c r="BB293" s="6"/>
      <c r="BC293" s="8"/>
      <c r="BD293" s="8"/>
      <c r="BE293" s="6"/>
      <c r="BF293" s="8"/>
      <c r="BG293" s="8"/>
      <c r="BH293" s="6"/>
      <c r="BI293" s="8"/>
      <c r="BJ293" s="8"/>
      <c r="BK293" s="6"/>
      <c r="BL293" s="8"/>
      <c r="BM293" s="8"/>
      <c r="BN293" s="6"/>
      <c r="BO293" s="8"/>
      <c r="BP293" s="8"/>
      <c r="BQ293" s="6"/>
      <c r="BR293" s="8"/>
    </row>
    <row r="294">
      <c r="A294" s="6"/>
      <c r="B294" s="6" t="s">
        <v>294</v>
      </c>
      <c r="C294" s="3" t="str">
        <f t="shared" si="1"/>
        <v>_striped silver</v>
      </c>
      <c r="D294" s="3" t="str">
        <f t="shared" si="5"/>
        <v>#N/A</v>
      </c>
      <c r="E294" s="3" t="b">
        <f t="shared" si="2"/>
        <v>0</v>
      </c>
      <c r="G294" s="3" t="str">
        <f t="shared" si="3"/>
        <v>#N/A</v>
      </c>
      <c r="AU294" s="8"/>
      <c r="AV294" s="6"/>
      <c r="AW294" s="8"/>
      <c r="AX294" s="8"/>
      <c r="AY294" s="6"/>
      <c r="AZ294" s="8"/>
      <c r="BA294" s="8"/>
      <c r="BB294" s="6"/>
      <c r="BC294" s="8"/>
      <c r="BD294" s="8"/>
      <c r="BE294" s="6"/>
      <c r="BF294" s="8"/>
      <c r="BG294" s="8"/>
      <c r="BH294" s="6"/>
      <c r="BI294" s="8"/>
      <c r="BJ294" s="8"/>
      <c r="BK294" s="6"/>
      <c r="BL294" s="8"/>
      <c r="BM294" s="8"/>
      <c r="BN294" s="6"/>
      <c r="BO294" s="8"/>
      <c r="BP294" s="8"/>
      <c r="BQ294" s="6"/>
      <c r="BR294" s="8"/>
    </row>
    <row r="295">
      <c r="A295" s="6"/>
      <c r="B295" s="6" t="s">
        <v>295</v>
      </c>
      <c r="C295" s="3" t="str">
        <f t="shared" si="1"/>
        <v>_bright brown</v>
      </c>
      <c r="D295" s="3" t="str">
        <f t="shared" si="5"/>
        <v>#N/A</v>
      </c>
      <c r="E295" s="3" t="b">
        <f t="shared" si="2"/>
        <v>0</v>
      </c>
      <c r="G295" s="3" t="str">
        <f t="shared" si="3"/>
        <v>#N/A</v>
      </c>
      <c r="AU295" s="8"/>
      <c r="AV295" s="6"/>
      <c r="AW295" s="8"/>
      <c r="AX295" s="8"/>
      <c r="AY295" s="6"/>
      <c r="AZ295" s="8"/>
      <c r="BA295" s="8"/>
      <c r="BB295" s="6"/>
      <c r="BC295" s="8"/>
      <c r="BD295" s="8"/>
      <c r="BE295" s="6"/>
      <c r="BF295" s="8"/>
      <c r="BG295" s="8"/>
      <c r="BH295" s="6"/>
      <c r="BI295" s="8"/>
      <c r="BJ295" s="8"/>
      <c r="BK295" s="6"/>
      <c r="BL295" s="8"/>
      <c r="BM295" s="8"/>
      <c r="BN295" s="6"/>
      <c r="BO295" s="8"/>
      <c r="BP295" s="8"/>
      <c r="BQ295" s="6"/>
      <c r="BR295" s="8"/>
    </row>
    <row r="296">
      <c r="A296" s="6"/>
      <c r="B296" s="6" t="s">
        <v>296</v>
      </c>
      <c r="C296" s="3" t="str">
        <f t="shared" si="1"/>
        <v>_vibrant fuchsia</v>
      </c>
      <c r="D296" s="3" t="str">
        <f t="shared" si="5"/>
        <v>#N/A</v>
      </c>
      <c r="E296" s="3" t="b">
        <f t="shared" si="2"/>
        <v>0</v>
      </c>
      <c r="G296" s="3" t="str">
        <f t="shared" si="3"/>
        <v>#N/A</v>
      </c>
      <c r="AU296" s="8"/>
      <c r="AV296" s="6"/>
      <c r="AW296" s="8"/>
      <c r="AX296" s="8"/>
      <c r="AY296" s="6"/>
      <c r="AZ296" s="8"/>
      <c r="BA296" s="8"/>
      <c r="BB296" s="6"/>
      <c r="BC296" s="8"/>
      <c r="BD296" s="8"/>
      <c r="BE296" s="6"/>
      <c r="BF296" s="8"/>
      <c r="BG296" s="8"/>
      <c r="BH296" s="6"/>
      <c r="BI296" s="8"/>
      <c r="BJ296" s="8"/>
      <c r="BK296" s="6"/>
      <c r="BL296" s="8"/>
      <c r="BM296" s="8"/>
      <c r="BN296" s="6"/>
      <c r="BO296" s="8"/>
      <c r="BP296" s="8"/>
      <c r="BQ296" s="6"/>
      <c r="BR296" s="8"/>
    </row>
    <row r="297">
      <c r="A297" s="6"/>
      <c r="B297" s="6" t="s">
        <v>297</v>
      </c>
      <c r="C297" s="3" t="str">
        <f t="shared" si="1"/>
        <v>_plaid purple</v>
      </c>
      <c r="D297" s="3" t="str">
        <f t="shared" si="5"/>
        <v>#N/A</v>
      </c>
      <c r="E297" s="3" t="b">
        <f t="shared" si="2"/>
        <v>0</v>
      </c>
      <c r="G297" s="3" t="str">
        <f t="shared" si="3"/>
        <v>#N/A</v>
      </c>
      <c r="AU297" s="8"/>
      <c r="AV297" s="6"/>
      <c r="AW297" s="8"/>
      <c r="AX297" s="8"/>
      <c r="AY297" s="6"/>
      <c r="AZ297" s="8"/>
      <c r="BA297" s="8"/>
      <c r="BB297" s="6"/>
      <c r="BC297" s="8"/>
      <c r="BD297" s="8"/>
      <c r="BE297" s="6"/>
      <c r="BF297" s="8"/>
      <c r="BG297" s="8"/>
      <c r="BH297" s="6"/>
      <c r="BI297" s="8"/>
      <c r="BJ297" s="8"/>
      <c r="BK297" s="6"/>
      <c r="BL297" s="8"/>
      <c r="BM297" s="8"/>
      <c r="BN297" s="6"/>
      <c r="BO297" s="8"/>
      <c r="BP297" s="8"/>
      <c r="BQ297" s="6"/>
      <c r="BR297" s="8"/>
    </row>
    <row r="298">
      <c r="A298" s="6"/>
      <c r="B298" s="6" t="s">
        <v>298</v>
      </c>
      <c r="C298" s="3" t="str">
        <f t="shared" si="1"/>
        <v>_wavy violet</v>
      </c>
      <c r="D298" s="3" t="str">
        <f t="shared" si="5"/>
        <v>#N/A</v>
      </c>
      <c r="E298" s="3" t="b">
        <f t="shared" si="2"/>
        <v>0</v>
      </c>
      <c r="G298" s="3" t="str">
        <f t="shared" si="3"/>
        <v>#N/A</v>
      </c>
      <c r="AU298" s="8"/>
      <c r="AV298" s="6"/>
      <c r="AW298" s="8"/>
      <c r="AX298" s="8"/>
      <c r="AY298" s="6"/>
      <c r="AZ298" s="8"/>
      <c r="BA298" s="8"/>
      <c r="BB298" s="6"/>
      <c r="BC298" s="8"/>
      <c r="BD298" s="8"/>
      <c r="BE298" s="6"/>
      <c r="BF298" s="8"/>
      <c r="BG298" s="8"/>
      <c r="BH298" s="6"/>
      <c r="BI298" s="8"/>
      <c r="BJ298" s="8"/>
      <c r="BK298" s="6"/>
      <c r="BL298" s="8"/>
      <c r="BM298" s="8"/>
      <c r="BN298" s="6"/>
      <c r="BO298" s="8"/>
      <c r="BP298" s="8"/>
      <c r="BQ298" s="6"/>
      <c r="BR298" s="8"/>
    </row>
    <row r="299">
      <c r="A299" s="6"/>
      <c r="B299" s="6" t="s">
        <v>299</v>
      </c>
      <c r="C299" s="3" t="str">
        <f t="shared" si="1"/>
        <v>_dark maroon</v>
      </c>
      <c r="D299" s="3" t="str">
        <f t="shared" si="5"/>
        <v>#N/A</v>
      </c>
      <c r="E299" s="3" t="b">
        <f t="shared" si="2"/>
        <v>0</v>
      </c>
      <c r="G299" s="3" t="str">
        <f t="shared" si="3"/>
        <v>#N/A</v>
      </c>
      <c r="AU299" s="8"/>
      <c r="AV299" s="6"/>
      <c r="AW299" s="8"/>
      <c r="AX299" s="8"/>
      <c r="AY299" s="6"/>
      <c r="AZ299" s="8"/>
      <c r="BA299" s="8"/>
      <c r="BB299" s="6"/>
      <c r="BC299" s="8"/>
      <c r="BD299" s="8"/>
      <c r="BE299" s="6"/>
      <c r="BF299" s="8"/>
      <c r="BG299" s="8"/>
      <c r="BH299" s="6"/>
      <c r="BI299" s="8"/>
      <c r="BJ299" s="8"/>
      <c r="BK299" s="6"/>
      <c r="BL299" s="8"/>
      <c r="BM299" s="8"/>
      <c r="BN299" s="6"/>
      <c r="BO299" s="8"/>
      <c r="BP299" s="8"/>
      <c r="BQ299" s="6"/>
      <c r="BR299" s="8"/>
    </row>
    <row r="300">
      <c r="A300" s="6"/>
      <c r="B300" s="6" t="s">
        <v>300</v>
      </c>
      <c r="C300" s="3" t="str">
        <f t="shared" si="1"/>
        <v>_pale coral</v>
      </c>
      <c r="D300" s="3" t="str">
        <f t="shared" si="5"/>
        <v>#N/A</v>
      </c>
      <c r="E300" s="3" t="b">
        <f t="shared" si="2"/>
        <v>0</v>
      </c>
      <c r="G300" s="3" t="str">
        <f t="shared" si="3"/>
        <v>#N/A</v>
      </c>
      <c r="AU300" s="8"/>
      <c r="AV300" s="6"/>
      <c r="AW300" s="8"/>
      <c r="AX300" s="8"/>
      <c r="AY300" s="6"/>
      <c r="AZ300" s="8"/>
      <c r="BA300" s="8"/>
      <c r="BB300" s="6"/>
      <c r="BC300" s="8"/>
      <c r="BD300" s="8"/>
      <c r="BE300" s="6"/>
      <c r="BF300" s="8"/>
      <c r="BG300" s="8"/>
      <c r="BH300" s="6"/>
      <c r="BI300" s="8"/>
      <c r="BJ300" s="8"/>
      <c r="BK300" s="6"/>
      <c r="BL300" s="8"/>
      <c r="BM300" s="8"/>
      <c r="BN300" s="6"/>
      <c r="BO300" s="8"/>
      <c r="BP300" s="8"/>
      <c r="BQ300" s="6"/>
      <c r="BR300" s="8"/>
    </row>
    <row r="301">
      <c r="A301" s="6"/>
      <c r="B301" s="6" t="s">
        <v>301</v>
      </c>
      <c r="C301" s="3" t="str">
        <f t="shared" si="1"/>
        <v>_dark black</v>
      </c>
      <c r="D301" s="3" t="str">
        <f t="shared" si="5"/>
        <v>#N/A</v>
      </c>
      <c r="E301" s="3" t="b">
        <f t="shared" si="2"/>
        <v>0</v>
      </c>
      <c r="G301" s="3" t="str">
        <f t="shared" si="3"/>
        <v>#N/A</v>
      </c>
      <c r="AU301" s="8"/>
      <c r="AV301" s="6"/>
      <c r="AW301" s="8"/>
      <c r="AX301" s="8"/>
      <c r="AY301" s="6"/>
      <c r="AZ301" s="8"/>
      <c r="BA301" s="8"/>
      <c r="BB301" s="6"/>
      <c r="BC301" s="8"/>
      <c r="BD301" s="8"/>
      <c r="BE301" s="6"/>
      <c r="BF301" s="8"/>
      <c r="BG301" s="8"/>
      <c r="BH301" s="6"/>
      <c r="BI301" s="8"/>
      <c r="BJ301" s="8"/>
      <c r="BK301" s="6"/>
      <c r="BL301" s="8"/>
      <c r="BM301" s="8"/>
      <c r="BN301" s="6"/>
      <c r="BO301" s="8"/>
      <c r="BP301" s="8"/>
      <c r="BQ301" s="6"/>
      <c r="BR301" s="8"/>
    </row>
    <row r="302">
      <c r="A302" s="6"/>
      <c r="B302" s="6" t="s">
        <v>302</v>
      </c>
      <c r="C302" s="3" t="str">
        <f t="shared" si="1"/>
        <v>_plaid bronze</v>
      </c>
      <c r="D302" s="3" t="str">
        <f t="shared" si="5"/>
        <v>#N/A</v>
      </c>
      <c r="E302" s="3" t="b">
        <f t="shared" si="2"/>
        <v>0</v>
      </c>
      <c r="G302" s="3" t="str">
        <f t="shared" si="3"/>
        <v>#N/A</v>
      </c>
      <c r="AU302" s="8"/>
      <c r="AV302" s="6"/>
      <c r="AW302" s="8"/>
      <c r="AX302" s="8"/>
      <c r="AY302" s="6"/>
      <c r="AZ302" s="8"/>
      <c r="BA302" s="8"/>
      <c r="BB302" s="6"/>
      <c r="BC302" s="8"/>
      <c r="BD302" s="8"/>
      <c r="BE302" s="6"/>
      <c r="BF302" s="8"/>
      <c r="BG302" s="8"/>
      <c r="BH302" s="6"/>
      <c r="BI302" s="8"/>
      <c r="BJ302" s="8"/>
      <c r="BK302" s="6"/>
      <c r="BL302" s="8"/>
      <c r="BM302" s="8"/>
      <c r="BN302" s="6"/>
      <c r="BO302" s="8"/>
      <c r="BP302" s="8"/>
      <c r="BQ302" s="6"/>
      <c r="BR302" s="8"/>
    </row>
    <row r="303">
      <c r="A303" s="6"/>
      <c r="B303" s="6" t="s">
        <v>303</v>
      </c>
      <c r="C303" s="3" t="str">
        <f t="shared" si="1"/>
        <v>_faded orange</v>
      </c>
      <c r="D303" s="3" t="str">
        <f t="shared" si="5"/>
        <v>#N/A</v>
      </c>
      <c r="E303" s="3" t="b">
        <f t="shared" si="2"/>
        <v>0</v>
      </c>
      <c r="G303" s="3" t="str">
        <f t="shared" si="3"/>
        <v>#N/A</v>
      </c>
      <c r="AU303" s="8"/>
      <c r="AV303" s="6"/>
      <c r="AW303" s="8"/>
      <c r="AX303" s="8"/>
      <c r="AY303" s="6"/>
      <c r="AZ303" s="8"/>
      <c r="BA303" s="8"/>
      <c r="BB303" s="6"/>
      <c r="BC303" s="8"/>
      <c r="BD303" s="8"/>
      <c r="BE303" s="6"/>
      <c r="BF303" s="8"/>
      <c r="BG303" s="8"/>
      <c r="BH303" s="6"/>
      <c r="BI303" s="8"/>
      <c r="BJ303" s="8"/>
      <c r="BK303" s="6"/>
      <c r="BL303" s="8"/>
      <c r="BM303" s="8"/>
      <c r="BN303" s="6"/>
      <c r="BO303" s="8"/>
      <c r="BP303" s="8"/>
      <c r="BQ303" s="6"/>
      <c r="BR303" s="8"/>
    </row>
    <row r="304">
      <c r="A304" s="6"/>
      <c r="B304" s="6" t="s">
        <v>304</v>
      </c>
      <c r="C304" s="3" t="str">
        <f t="shared" si="1"/>
        <v>_light lavender</v>
      </c>
      <c r="D304" s="3" t="str">
        <f t="shared" si="5"/>
        <v>#N/A</v>
      </c>
      <c r="E304" s="3" t="b">
        <f t="shared" si="2"/>
        <v>0</v>
      </c>
      <c r="G304" s="3" t="str">
        <f t="shared" si="3"/>
        <v>#N/A</v>
      </c>
      <c r="AU304" s="8"/>
      <c r="AV304" s="6"/>
      <c r="AW304" s="8"/>
      <c r="AX304" s="8"/>
      <c r="AY304" s="6"/>
      <c r="AZ304" s="8"/>
      <c r="BA304" s="8"/>
      <c r="BB304" s="6"/>
      <c r="BC304" s="8"/>
      <c r="BD304" s="8"/>
      <c r="BE304" s="6"/>
      <c r="BF304" s="8"/>
      <c r="BG304" s="8"/>
      <c r="BH304" s="6"/>
      <c r="BI304" s="8"/>
      <c r="BJ304" s="8"/>
      <c r="BK304" s="6"/>
      <c r="BL304" s="8"/>
      <c r="BM304" s="8"/>
      <c r="BN304" s="6"/>
      <c r="BO304" s="8"/>
      <c r="BP304" s="8"/>
      <c r="BQ304" s="6"/>
      <c r="BR304" s="8"/>
    </row>
    <row r="305">
      <c r="A305" s="6"/>
      <c r="B305" s="6" t="s">
        <v>305</v>
      </c>
      <c r="C305" s="3" t="str">
        <f t="shared" si="1"/>
        <v>_dull chartreuse</v>
      </c>
      <c r="D305" s="3" t="str">
        <f t="shared" si="5"/>
        <v>#N/A</v>
      </c>
      <c r="E305" s="3" t="b">
        <f t="shared" si="2"/>
        <v>0</v>
      </c>
      <c r="G305" s="3" t="str">
        <f t="shared" si="3"/>
        <v>#N/A</v>
      </c>
      <c r="AU305" s="8"/>
      <c r="AV305" s="6"/>
      <c r="AW305" s="8"/>
      <c r="AX305" s="8"/>
      <c r="AY305" s="6"/>
      <c r="AZ305" s="8"/>
      <c r="BA305" s="8"/>
      <c r="BB305" s="6"/>
      <c r="BC305" s="8"/>
      <c r="BD305" s="8"/>
      <c r="BE305" s="6"/>
      <c r="BF305" s="8"/>
      <c r="BG305" s="8"/>
      <c r="BH305" s="6"/>
      <c r="BI305" s="8"/>
      <c r="BJ305" s="8"/>
      <c r="BK305" s="6"/>
      <c r="BL305" s="8"/>
      <c r="BM305" s="8"/>
      <c r="BN305" s="6"/>
      <c r="BO305" s="8"/>
      <c r="BP305" s="8"/>
      <c r="BQ305" s="6"/>
      <c r="BR305" s="8"/>
    </row>
    <row r="306">
      <c r="A306" s="6"/>
      <c r="B306" s="6" t="s">
        <v>306</v>
      </c>
      <c r="C306" s="3" t="str">
        <f t="shared" si="1"/>
        <v>_dark gold</v>
      </c>
      <c r="D306" s="3" t="str">
        <f t="shared" si="5"/>
        <v>#N/A</v>
      </c>
      <c r="E306" s="3" t="b">
        <f t="shared" si="2"/>
        <v>0</v>
      </c>
      <c r="G306" s="3" t="str">
        <f t="shared" si="3"/>
        <v>#N/A</v>
      </c>
      <c r="AU306" s="8"/>
      <c r="AV306" s="6"/>
      <c r="AW306" s="8"/>
      <c r="AX306" s="8"/>
      <c r="AY306" s="6"/>
      <c r="AZ306" s="8"/>
      <c r="BA306" s="8"/>
      <c r="BB306" s="6"/>
      <c r="BC306" s="8"/>
      <c r="BD306" s="8"/>
      <c r="BE306" s="6"/>
      <c r="BF306" s="8"/>
      <c r="BG306" s="8"/>
      <c r="BH306" s="6"/>
      <c r="BI306" s="8"/>
      <c r="BJ306" s="8"/>
      <c r="BK306" s="6"/>
      <c r="BL306" s="8"/>
      <c r="BM306" s="8"/>
      <c r="BN306" s="6"/>
      <c r="BO306" s="8"/>
      <c r="BP306" s="8"/>
      <c r="BQ306" s="6"/>
      <c r="BR306" s="8"/>
    </row>
    <row r="307">
      <c r="A307" s="6"/>
      <c r="B307" s="6" t="s">
        <v>307</v>
      </c>
      <c r="C307" s="3" t="str">
        <f t="shared" si="1"/>
        <v>_dim black</v>
      </c>
      <c r="D307" s="3" t="str">
        <f t="shared" si="5"/>
        <v>#N/A</v>
      </c>
      <c r="E307" s="3" t="b">
        <f t="shared" si="2"/>
        <v>0</v>
      </c>
      <c r="G307" s="3" t="str">
        <f t="shared" si="3"/>
        <v>#N/A</v>
      </c>
      <c r="AU307" s="8"/>
      <c r="AV307" s="6"/>
      <c r="AW307" s="8"/>
      <c r="AX307" s="8"/>
      <c r="AY307" s="6"/>
      <c r="AZ307" s="8"/>
      <c r="BA307" s="8"/>
      <c r="BB307" s="6"/>
      <c r="BC307" s="8"/>
      <c r="BD307" s="8"/>
      <c r="BE307" s="6"/>
      <c r="BF307" s="8"/>
      <c r="BG307" s="8"/>
      <c r="BH307" s="6"/>
      <c r="BI307" s="8"/>
      <c r="BJ307" s="8"/>
      <c r="BK307" s="6"/>
      <c r="BL307" s="8"/>
      <c r="BM307" s="8"/>
      <c r="BN307" s="6"/>
      <c r="BO307" s="8"/>
      <c r="BP307" s="8"/>
      <c r="BQ307" s="6"/>
      <c r="BR307" s="8"/>
    </row>
    <row r="308">
      <c r="A308" s="6"/>
      <c r="B308" s="6" t="s">
        <v>308</v>
      </c>
      <c r="C308" s="3" t="str">
        <f t="shared" si="1"/>
        <v>_plaid salmon</v>
      </c>
      <c r="D308" s="3" t="str">
        <f t="shared" si="5"/>
        <v>#N/A</v>
      </c>
      <c r="E308" s="3" t="b">
        <f t="shared" si="2"/>
        <v>0</v>
      </c>
      <c r="G308" s="3" t="str">
        <f t="shared" si="3"/>
        <v>#N/A</v>
      </c>
      <c r="AU308" s="8"/>
      <c r="AV308" s="6"/>
      <c r="AW308" s="8"/>
      <c r="AX308" s="8"/>
      <c r="AY308" s="6"/>
      <c r="AZ308" s="8"/>
      <c r="BA308" s="8"/>
      <c r="BB308" s="6"/>
      <c r="BC308" s="8"/>
      <c r="BD308" s="8"/>
      <c r="BE308" s="6"/>
      <c r="BF308" s="8"/>
      <c r="BG308" s="8"/>
      <c r="BH308" s="6"/>
      <c r="BI308" s="8"/>
      <c r="BJ308" s="8"/>
      <c r="BK308" s="6"/>
      <c r="BL308" s="8"/>
      <c r="BM308" s="8"/>
      <c r="BN308" s="6"/>
      <c r="BO308" s="8"/>
      <c r="BP308" s="8"/>
      <c r="BQ308" s="6"/>
      <c r="BR308" s="8"/>
    </row>
    <row r="309">
      <c r="A309" s="6"/>
      <c r="B309" s="6" t="s">
        <v>309</v>
      </c>
      <c r="C309" s="3" t="str">
        <f t="shared" si="1"/>
        <v>_vibrant bronze</v>
      </c>
      <c r="D309" s="3" t="str">
        <f t="shared" si="5"/>
        <v>#N/A</v>
      </c>
      <c r="E309" s="3" t="b">
        <f t="shared" si="2"/>
        <v>0</v>
      </c>
      <c r="G309" s="3" t="str">
        <f t="shared" si="3"/>
        <v>#N/A</v>
      </c>
      <c r="AU309" s="8"/>
      <c r="AV309" s="6"/>
      <c r="AW309" s="8"/>
      <c r="AX309" s="8"/>
      <c r="AY309" s="6"/>
      <c r="AZ309" s="8"/>
      <c r="BA309" s="8"/>
      <c r="BB309" s="6"/>
      <c r="BC309" s="8"/>
      <c r="BD309" s="8"/>
      <c r="BE309" s="6"/>
      <c r="BF309" s="8"/>
      <c r="BG309" s="8"/>
      <c r="BH309" s="6"/>
      <c r="BI309" s="8"/>
      <c r="BJ309" s="8"/>
      <c r="BK309" s="6"/>
      <c r="BL309" s="8"/>
      <c r="BM309" s="8"/>
      <c r="BN309" s="6"/>
      <c r="BO309" s="8"/>
      <c r="BP309" s="8"/>
      <c r="BQ309" s="6"/>
      <c r="BR309" s="8"/>
    </row>
    <row r="310">
      <c r="A310" s="6"/>
      <c r="B310" s="6" t="s">
        <v>310</v>
      </c>
      <c r="C310" s="3" t="str">
        <f t="shared" si="1"/>
        <v>_wavy brown</v>
      </c>
      <c r="D310" s="3" t="str">
        <f t="shared" si="5"/>
        <v>#N/A</v>
      </c>
      <c r="E310" s="3" t="b">
        <f t="shared" si="2"/>
        <v>0</v>
      </c>
      <c r="G310" s="3" t="str">
        <f t="shared" si="3"/>
        <v>#N/A</v>
      </c>
      <c r="AU310" s="8"/>
      <c r="AV310" s="6"/>
      <c r="AW310" s="8"/>
      <c r="AX310" s="8"/>
      <c r="AY310" s="6"/>
      <c r="AZ310" s="8"/>
      <c r="BA310" s="8"/>
      <c r="BB310" s="6"/>
      <c r="BC310" s="8"/>
      <c r="BD310" s="8"/>
      <c r="BE310" s="6"/>
      <c r="BF310" s="8"/>
      <c r="BG310" s="8"/>
      <c r="BH310" s="6"/>
      <c r="BI310" s="8"/>
      <c r="BJ310" s="8"/>
      <c r="BK310" s="6"/>
      <c r="BL310" s="8"/>
      <c r="BM310" s="8"/>
      <c r="BN310" s="6"/>
      <c r="BO310" s="8"/>
      <c r="BP310" s="8"/>
      <c r="BQ310" s="6"/>
      <c r="BR310" s="8"/>
    </row>
    <row r="311">
      <c r="A311" s="6"/>
      <c r="B311" s="6" t="s">
        <v>311</v>
      </c>
      <c r="C311" s="3" t="str">
        <f t="shared" si="1"/>
        <v>_dotted lavender</v>
      </c>
      <c r="D311" s="3" t="str">
        <f t="shared" si="5"/>
        <v>#N/A</v>
      </c>
      <c r="E311" s="3" t="b">
        <f t="shared" si="2"/>
        <v>0</v>
      </c>
      <c r="G311" s="3" t="str">
        <f t="shared" si="3"/>
        <v>#N/A</v>
      </c>
      <c r="AU311" s="8"/>
      <c r="AV311" s="6"/>
      <c r="AW311" s="8"/>
      <c r="AX311" s="8"/>
      <c r="AY311" s="6"/>
      <c r="AZ311" s="8"/>
      <c r="BA311" s="8"/>
      <c r="BB311" s="6"/>
      <c r="BC311" s="8"/>
      <c r="BD311" s="8"/>
      <c r="BE311" s="6"/>
      <c r="BF311" s="8"/>
      <c r="BG311" s="8"/>
      <c r="BH311" s="6"/>
      <c r="BI311" s="8"/>
      <c r="BJ311" s="8"/>
      <c r="BK311" s="6"/>
      <c r="BL311" s="8"/>
      <c r="BM311" s="8"/>
      <c r="BN311" s="6"/>
      <c r="BO311" s="8"/>
      <c r="BP311" s="8"/>
      <c r="BQ311" s="6"/>
      <c r="BR311" s="8"/>
    </row>
    <row r="312">
      <c r="A312" s="6"/>
      <c r="B312" s="6" t="s">
        <v>312</v>
      </c>
      <c r="C312" s="3" t="str">
        <f t="shared" si="1"/>
        <v>_dotted gold</v>
      </c>
      <c r="D312" s="3" t="str">
        <f t="shared" si="5"/>
        <v>#N/A</v>
      </c>
      <c r="E312" s="3" t="b">
        <f t="shared" si="2"/>
        <v>0</v>
      </c>
      <c r="G312" s="3" t="str">
        <f t="shared" si="3"/>
        <v>#N/A</v>
      </c>
      <c r="AU312" s="8"/>
      <c r="AV312" s="6"/>
      <c r="AW312" s="8"/>
      <c r="AX312" s="8"/>
      <c r="AY312" s="6"/>
      <c r="AZ312" s="8"/>
      <c r="BA312" s="8"/>
      <c r="BB312" s="6"/>
      <c r="BC312" s="8"/>
      <c r="BD312" s="8"/>
      <c r="BE312" s="6"/>
      <c r="BF312" s="8"/>
      <c r="BG312" s="8"/>
      <c r="BH312" s="6"/>
      <c r="BI312" s="8"/>
      <c r="BJ312" s="8"/>
      <c r="BK312" s="6"/>
      <c r="BL312" s="8"/>
      <c r="BM312" s="8"/>
      <c r="BN312" s="6"/>
      <c r="BO312" s="8"/>
      <c r="BP312" s="8"/>
      <c r="BQ312" s="6"/>
      <c r="BR312" s="8"/>
    </row>
    <row r="313">
      <c r="A313" s="6"/>
      <c r="B313" s="6" t="s">
        <v>313</v>
      </c>
      <c r="C313" s="3" t="str">
        <f t="shared" si="1"/>
        <v>_faded brown</v>
      </c>
      <c r="D313" s="3" t="str">
        <f t="shared" si="5"/>
        <v>#N/A</v>
      </c>
      <c r="E313" s="3" t="b">
        <f t="shared" si="2"/>
        <v>0</v>
      </c>
      <c r="G313" s="3" t="str">
        <f t="shared" si="3"/>
        <v>#N/A</v>
      </c>
      <c r="AU313" s="8"/>
      <c r="AV313" s="6"/>
      <c r="AW313" s="8"/>
      <c r="AX313" s="8"/>
      <c r="AY313" s="6"/>
      <c r="AZ313" s="8"/>
      <c r="BA313" s="8"/>
      <c r="BB313" s="6"/>
      <c r="BC313" s="8"/>
      <c r="BD313" s="8"/>
      <c r="BE313" s="6"/>
      <c r="BF313" s="8"/>
      <c r="BG313" s="8"/>
      <c r="BH313" s="6"/>
      <c r="BI313" s="8"/>
      <c r="BJ313" s="8"/>
      <c r="BK313" s="6"/>
      <c r="BL313" s="8"/>
      <c r="BM313" s="8"/>
      <c r="BN313" s="6"/>
      <c r="BO313" s="8"/>
      <c r="BP313" s="8"/>
      <c r="BQ313" s="6"/>
      <c r="BR313" s="8"/>
    </row>
    <row r="314">
      <c r="A314" s="6"/>
      <c r="B314" s="6" t="s">
        <v>314</v>
      </c>
      <c r="C314" s="3" t="str">
        <f t="shared" si="1"/>
        <v>_light yellow</v>
      </c>
      <c r="D314" s="3" t="str">
        <f t="shared" si="5"/>
        <v>#N/A</v>
      </c>
      <c r="E314" s="3" t="b">
        <f t="shared" si="2"/>
        <v>0</v>
      </c>
      <c r="G314" s="3" t="str">
        <f t="shared" si="3"/>
        <v>#N/A</v>
      </c>
      <c r="AU314" s="8"/>
      <c r="AV314" s="6"/>
      <c r="AW314" s="8"/>
      <c r="AX314" s="8"/>
      <c r="AY314" s="6"/>
      <c r="AZ314" s="8"/>
      <c r="BA314" s="8"/>
      <c r="BB314" s="6"/>
      <c r="BC314" s="8"/>
      <c r="BD314" s="8"/>
      <c r="BE314" s="6"/>
      <c r="BF314" s="8"/>
      <c r="BG314" s="8"/>
      <c r="BH314" s="6"/>
      <c r="BI314" s="8"/>
      <c r="BJ314" s="8"/>
      <c r="BK314" s="6"/>
      <c r="BL314" s="8"/>
      <c r="BM314" s="8"/>
      <c r="BN314" s="6"/>
      <c r="BO314" s="8"/>
      <c r="BP314" s="8"/>
      <c r="BQ314" s="6"/>
      <c r="BR314" s="8"/>
    </row>
    <row r="315">
      <c r="A315" s="6"/>
      <c r="B315" s="6" t="s">
        <v>315</v>
      </c>
      <c r="C315" s="3" t="str">
        <f t="shared" si="1"/>
        <v>_striped salmon</v>
      </c>
      <c r="D315" s="3" t="str">
        <f t="shared" si="5"/>
        <v>#N/A</v>
      </c>
      <c r="E315" s="3" t="b">
        <f t="shared" si="2"/>
        <v>0</v>
      </c>
      <c r="G315" s="3" t="str">
        <f t="shared" si="3"/>
        <v>#N/A</v>
      </c>
      <c r="AU315" s="8"/>
      <c r="AV315" s="6"/>
      <c r="AW315" s="8"/>
      <c r="AX315" s="8"/>
      <c r="AY315" s="6"/>
      <c r="AZ315" s="8"/>
      <c r="BA315" s="8"/>
      <c r="BB315" s="6"/>
      <c r="BC315" s="8"/>
      <c r="BD315" s="8"/>
      <c r="BE315" s="6"/>
      <c r="BF315" s="8"/>
      <c r="BG315" s="8"/>
      <c r="BH315" s="6"/>
      <c r="BI315" s="8"/>
      <c r="BJ315" s="8"/>
      <c r="BK315" s="6"/>
      <c r="BL315" s="8"/>
      <c r="BM315" s="8"/>
      <c r="BN315" s="6"/>
      <c r="BO315" s="8"/>
      <c r="BP315" s="8"/>
      <c r="BQ315" s="6"/>
      <c r="BR315" s="8"/>
    </row>
    <row r="316">
      <c r="A316" s="6"/>
      <c r="B316" s="6" t="s">
        <v>316</v>
      </c>
      <c r="C316" s="3" t="str">
        <f t="shared" si="1"/>
        <v>_light blue</v>
      </c>
      <c r="D316" s="3" t="str">
        <f t="shared" si="5"/>
        <v>#N/A</v>
      </c>
      <c r="E316" s="3" t="b">
        <f t="shared" si="2"/>
        <v>0</v>
      </c>
      <c r="G316" s="3" t="str">
        <f t="shared" si="3"/>
        <v>#N/A</v>
      </c>
      <c r="AU316" s="8"/>
      <c r="AV316" s="6"/>
      <c r="AW316" s="8"/>
      <c r="AX316" s="8"/>
      <c r="AY316" s="6"/>
      <c r="AZ316" s="8"/>
      <c r="BA316" s="8"/>
      <c r="BB316" s="6"/>
      <c r="BC316" s="8"/>
      <c r="BD316" s="8"/>
      <c r="BE316" s="6"/>
      <c r="BF316" s="8"/>
      <c r="BG316" s="8"/>
      <c r="BH316" s="6"/>
      <c r="BI316" s="8"/>
      <c r="BJ316" s="8"/>
      <c r="BK316" s="6"/>
      <c r="BL316" s="8"/>
      <c r="BM316" s="8"/>
      <c r="BN316" s="6"/>
      <c r="BO316" s="8"/>
      <c r="BP316" s="8"/>
      <c r="BQ316" s="6"/>
      <c r="BR316" s="8"/>
    </row>
    <row r="317">
      <c r="A317" s="6"/>
      <c r="B317" s="6" t="s">
        <v>317</v>
      </c>
      <c r="C317" s="3" t="str">
        <f t="shared" si="1"/>
        <v>_faded gold</v>
      </c>
      <c r="D317" s="3" t="str">
        <f t="shared" si="5"/>
        <v>#N/A</v>
      </c>
      <c r="E317" s="3" t="b">
        <f t="shared" si="2"/>
        <v>0</v>
      </c>
      <c r="G317" s="3" t="str">
        <f t="shared" si="3"/>
        <v>#N/A</v>
      </c>
      <c r="AU317" s="8"/>
      <c r="AV317" s="6"/>
      <c r="AW317" s="8"/>
      <c r="AX317" s="8"/>
      <c r="AY317" s="6"/>
      <c r="AZ317" s="8"/>
      <c r="BA317" s="8"/>
      <c r="BB317" s="6"/>
      <c r="BC317" s="8"/>
      <c r="BD317" s="8"/>
      <c r="BE317" s="6"/>
      <c r="BF317" s="8"/>
      <c r="BG317" s="8"/>
      <c r="BH317" s="6"/>
      <c r="BI317" s="8"/>
      <c r="BJ317" s="8"/>
      <c r="BK317" s="6"/>
      <c r="BL317" s="8"/>
      <c r="BM317" s="8"/>
      <c r="BN317" s="6"/>
      <c r="BO317" s="8"/>
      <c r="BP317" s="8"/>
      <c r="BQ317" s="6"/>
      <c r="BR317" s="8"/>
    </row>
    <row r="318">
      <c r="A318" s="6"/>
      <c r="B318" s="6" t="s">
        <v>318</v>
      </c>
      <c r="C318" s="3" t="str">
        <f t="shared" si="1"/>
        <v>_shiny aqua</v>
      </c>
      <c r="D318" s="3" t="str">
        <f t="shared" si="5"/>
        <v>#N/A</v>
      </c>
      <c r="E318" s="3" t="b">
        <f t="shared" si="2"/>
        <v>0</v>
      </c>
      <c r="G318" s="3" t="str">
        <f t="shared" si="3"/>
        <v>#N/A</v>
      </c>
      <c r="AU318" s="8"/>
      <c r="AV318" s="6"/>
      <c r="AW318" s="8"/>
      <c r="AX318" s="8"/>
      <c r="AY318" s="6"/>
      <c r="AZ318" s="8"/>
      <c r="BA318" s="8"/>
      <c r="BB318" s="6"/>
      <c r="BC318" s="8"/>
      <c r="BD318" s="8"/>
      <c r="BE318" s="6"/>
      <c r="BF318" s="8"/>
      <c r="BG318" s="8"/>
      <c r="BH318" s="6"/>
      <c r="BI318" s="8"/>
      <c r="BJ318" s="8"/>
      <c r="BK318" s="6"/>
      <c r="BL318" s="8"/>
      <c r="BM318" s="8"/>
      <c r="BN318" s="6"/>
      <c r="BO318" s="8"/>
      <c r="BP318" s="8"/>
      <c r="BQ318" s="6"/>
      <c r="BR318" s="8"/>
    </row>
    <row r="319">
      <c r="A319" s="6"/>
      <c r="B319" s="6" t="s">
        <v>319</v>
      </c>
      <c r="C319" s="3" t="str">
        <f t="shared" si="1"/>
        <v>_shiny lime</v>
      </c>
      <c r="D319" s="3" t="str">
        <f t="shared" si="5"/>
        <v>#N/A</v>
      </c>
      <c r="E319" s="3" t="b">
        <f t="shared" si="2"/>
        <v>0</v>
      </c>
      <c r="G319" s="3" t="str">
        <f t="shared" si="3"/>
        <v>#N/A</v>
      </c>
      <c r="AU319" s="8"/>
      <c r="AV319" s="6"/>
      <c r="AW319" s="8"/>
      <c r="AX319" s="8"/>
      <c r="AY319" s="6"/>
      <c r="AZ319" s="8"/>
      <c r="BA319" s="8"/>
      <c r="BB319" s="6"/>
      <c r="BC319" s="8"/>
      <c r="BD319" s="8"/>
      <c r="BE319" s="6"/>
      <c r="BF319" s="8"/>
      <c r="BG319" s="8"/>
      <c r="BH319" s="6"/>
      <c r="BI319" s="8"/>
      <c r="BJ319" s="8"/>
      <c r="BK319" s="6"/>
      <c r="BL319" s="8"/>
      <c r="BM319" s="8"/>
      <c r="BN319" s="6"/>
      <c r="BO319" s="8"/>
      <c r="BP319" s="8"/>
      <c r="BQ319" s="6"/>
      <c r="BR319" s="8"/>
    </row>
    <row r="320">
      <c r="A320" s="6"/>
      <c r="B320" s="6" t="s">
        <v>320</v>
      </c>
      <c r="C320" s="3" t="str">
        <f t="shared" si="1"/>
        <v>_vibrant tan</v>
      </c>
      <c r="D320" s="3" t="str">
        <f t="shared" si="5"/>
        <v>#N/A</v>
      </c>
      <c r="E320" s="3" t="b">
        <f t="shared" si="2"/>
        <v>0</v>
      </c>
      <c r="G320" s="3" t="str">
        <f t="shared" si="3"/>
        <v>#N/A</v>
      </c>
      <c r="AU320" s="8"/>
      <c r="AV320" s="6"/>
      <c r="AW320" s="8"/>
      <c r="AX320" s="8"/>
      <c r="AY320" s="6"/>
      <c r="AZ320" s="8"/>
      <c r="BA320" s="8"/>
      <c r="BB320" s="6"/>
      <c r="BC320" s="8"/>
      <c r="BD320" s="8"/>
      <c r="BE320" s="6"/>
      <c r="BF320" s="8"/>
      <c r="BG320" s="8"/>
      <c r="BH320" s="6"/>
      <c r="BI320" s="8"/>
      <c r="BJ320" s="8"/>
      <c r="BK320" s="6"/>
      <c r="BL320" s="8"/>
      <c r="BM320" s="8"/>
      <c r="BN320" s="6"/>
      <c r="BO320" s="8"/>
      <c r="BP320" s="8"/>
      <c r="BQ320" s="6"/>
      <c r="BR320" s="8"/>
    </row>
    <row r="321">
      <c r="A321" s="6"/>
      <c r="B321" s="6" t="s">
        <v>321</v>
      </c>
      <c r="C321" s="3" t="str">
        <f t="shared" si="1"/>
        <v>_vibrant aqua</v>
      </c>
      <c r="D321" s="3" t="str">
        <f t="shared" si="5"/>
        <v>#N/A</v>
      </c>
      <c r="E321" s="3" t="b">
        <f t="shared" si="2"/>
        <v>0</v>
      </c>
      <c r="G321" s="3" t="str">
        <f t="shared" si="3"/>
        <v>#N/A</v>
      </c>
      <c r="AU321" s="8"/>
      <c r="AV321" s="6"/>
      <c r="AW321" s="8"/>
      <c r="AX321" s="8"/>
      <c r="AY321" s="6"/>
      <c r="AZ321" s="8"/>
      <c r="BA321" s="8"/>
      <c r="BB321" s="6"/>
      <c r="BC321" s="8"/>
      <c r="BD321" s="8"/>
      <c r="BE321" s="6"/>
      <c r="BF321" s="8"/>
      <c r="BG321" s="8"/>
      <c r="BH321" s="6"/>
      <c r="BI321" s="8"/>
      <c r="BJ321" s="8"/>
      <c r="BK321" s="6"/>
      <c r="BL321" s="8"/>
      <c r="BM321" s="8"/>
      <c r="BN321" s="6"/>
      <c r="BO321" s="8"/>
      <c r="BP321" s="8"/>
      <c r="BQ321" s="6"/>
      <c r="BR321" s="8"/>
    </row>
    <row r="322">
      <c r="A322" s="6"/>
      <c r="B322" s="6" t="s">
        <v>322</v>
      </c>
      <c r="C322" s="3" t="str">
        <f t="shared" si="1"/>
        <v>_vibrant teal</v>
      </c>
      <c r="D322" s="3" t="str">
        <f t="shared" si="5"/>
        <v>#N/A</v>
      </c>
      <c r="E322" s="3" t="b">
        <f t="shared" si="2"/>
        <v>0</v>
      </c>
      <c r="G322" s="3" t="str">
        <f t="shared" si="3"/>
        <v>#N/A</v>
      </c>
      <c r="AU322" s="8"/>
      <c r="AV322" s="6"/>
      <c r="AW322" s="8"/>
      <c r="AX322" s="8"/>
      <c r="AY322" s="6"/>
      <c r="AZ322" s="8"/>
      <c r="BA322" s="8"/>
      <c r="BB322" s="6"/>
      <c r="BC322" s="8"/>
      <c r="BD322" s="8"/>
      <c r="BE322" s="6"/>
      <c r="BF322" s="8"/>
      <c r="BG322" s="8"/>
      <c r="BH322" s="6"/>
      <c r="BI322" s="8"/>
      <c r="BJ322" s="8"/>
      <c r="BK322" s="6"/>
      <c r="BL322" s="8"/>
      <c r="BM322" s="8"/>
      <c r="BN322" s="6"/>
      <c r="BO322" s="8"/>
      <c r="BP322" s="8"/>
      <c r="BQ322" s="6"/>
      <c r="BR322" s="8"/>
    </row>
    <row r="323">
      <c r="A323" s="6"/>
      <c r="B323" s="6" t="s">
        <v>323</v>
      </c>
      <c r="C323" s="3" t="str">
        <f t="shared" si="1"/>
        <v>_light maroon</v>
      </c>
      <c r="D323" s="3" t="str">
        <f t="shared" si="5"/>
        <v>#N/A</v>
      </c>
      <c r="E323" s="3" t="b">
        <f t="shared" si="2"/>
        <v>0</v>
      </c>
      <c r="G323" s="3" t="str">
        <f t="shared" si="3"/>
        <v>#N/A</v>
      </c>
      <c r="AU323" s="8"/>
      <c r="AV323" s="6"/>
      <c r="AW323" s="8"/>
      <c r="AX323" s="8"/>
      <c r="AY323" s="6"/>
      <c r="AZ323" s="8"/>
      <c r="BA323" s="8"/>
      <c r="BB323" s="6"/>
      <c r="BC323" s="8"/>
      <c r="BD323" s="8"/>
      <c r="BE323" s="6"/>
      <c r="BF323" s="8"/>
      <c r="BG323" s="8"/>
      <c r="BH323" s="6"/>
      <c r="BI323" s="8"/>
      <c r="BJ323" s="8"/>
      <c r="BK323" s="6"/>
      <c r="BL323" s="8"/>
      <c r="BM323" s="8"/>
      <c r="BN323" s="6"/>
      <c r="BO323" s="8"/>
      <c r="BP323" s="8"/>
      <c r="BQ323" s="6"/>
      <c r="BR323" s="8"/>
    </row>
    <row r="324">
      <c r="A324" s="6"/>
      <c r="B324" s="6" t="s">
        <v>324</v>
      </c>
      <c r="C324" s="3" t="str">
        <f t="shared" si="1"/>
        <v>_faded crimson</v>
      </c>
      <c r="D324" s="3" t="str">
        <f t="shared" si="5"/>
        <v>#N/A</v>
      </c>
      <c r="E324" s="3" t="b">
        <f t="shared" si="2"/>
        <v>0</v>
      </c>
      <c r="G324" s="3" t="str">
        <f t="shared" si="3"/>
        <v>#N/A</v>
      </c>
      <c r="AU324" s="8"/>
      <c r="AV324" s="6"/>
      <c r="AW324" s="8"/>
      <c r="AX324" s="8"/>
      <c r="AY324" s="6"/>
      <c r="AZ324" s="8"/>
      <c r="BA324" s="8"/>
      <c r="BB324" s="6"/>
      <c r="BC324" s="8"/>
      <c r="BD324" s="8"/>
      <c r="BE324" s="6"/>
      <c r="BF324" s="8"/>
      <c r="BG324" s="8"/>
      <c r="BH324" s="6"/>
      <c r="BI324" s="8"/>
      <c r="BJ324" s="8"/>
      <c r="BK324" s="6"/>
      <c r="BL324" s="8"/>
      <c r="BM324" s="8"/>
      <c r="BN324" s="6"/>
      <c r="BO324" s="8"/>
      <c r="BP324" s="8"/>
      <c r="BQ324" s="6"/>
      <c r="BR324" s="8"/>
    </row>
    <row r="325">
      <c r="A325" s="6"/>
      <c r="B325" s="6" t="s">
        <v>325</v>
      </c>
      <c r="C325" s="3" t="str">
        <f t="shared" si="1"/>
        <v>_light teal</v>
      </c>
      <c r="D325" s="3" t="str">
        <f t="shared" si="5"/>
        <v>#N/A</v>
      </c>
      <c r="E325" s="3" t="b">
        <f t="shared" si="2"/>
        <v>0</v>
      </c>
      <c r="G325" s="3" t="str">
        <f t="shared" si="3"/>
        <v>#N/A</v>
      </c>
      <c r="AU325" s="8"/>
      <c r="AV325" s="6"/>
      <c r="AW325" s="8"/>
      <c r="AX325" s="8"/>
      <c r="AY325" s="6"/>
      <c r="AZ325" s="8"/>
      <c r="BA325" s="8"/>
      <c r="BB325" s="6"/>
      <c r="BC325" s="8"/>
      <c r="BD325" s="8"/>
      <c r="BE325" s="6"/>
      <c r="BF325" s="8"/>
      <c r="BG325" s="8"/>
      <c r="BH325" s="6"/>
      <c r="BI325" s="8"/>
      <c r="BJ325" s="8"/>
      <c r="BK325" s="6"/>
      <c r="BL325" s="8"/>
      <c r="BM325" s="8"/>
      <c r="BN325" s="6"/>
      <c r="BO325" s="8"/>
      <c r="BP325" s="8"/>
      <c r="BQ325" s="6"/>
      <c r="BR325" s="8"/>
    </row>
    <row r="326">
      <c r="A326" s="6"/>
      <c r="B326" s="6" t="s">
        <v>326</v>
      </c>
      <c r="C326" s="3" t="str">
        <f t="shared" si="1"/>
        <v>_mirrored coral</v>
      </c>
      <c r="D326" s="3" t="str">
        <f t="shared" si="5"/>
        <v>#N/A</v>
      </c>
      <c r="E326" s="3" t="b">
        <f t="shared" si="2"/>
        <v>0</v>
      </c>
      <c r="G326" s="3" t="str">
        <f t="shared" si="3"/>
        <v>#N/A</v>
      </c>
      <c r="AU326" s="8"/>
      <c r="AV326" s="6"/>
      <c r="AW326" s="8"/>
      <c r="AX326" s="8"/>
      <c r="AY326" s="6"/>
      <c r="AZ326" s="8"/>
      <c r="BA326" s="8"/>
      <c r="BB326" s="6"/>
      <c r="BC326" s="8"/>
      <c r="BD326" s="8"/>
      <c r="BE326" s="6"/>
      <c r="BF326" s="8"/>
      <c r="BG326" s="8"/>
      <c r="BH326" s="6"/>
      <c r="BI326" s="8"/>
      <c r="BJ326" s="8"/>
      <c r="BK326" s="6"/>
      <c r="BL326" s="8"/>
      <c r="BM326" s="8"/>
      <c r="BN326" s="6"/>
      <c r="BO326" s="8"/>
      <c r="BP326" s="8"/>
      <c r="BQ326" s="6"/>
      <c r="BR326" s="8"/>
    </row>
    <row r="327">
      <c r="A327" s="6"/>
      <c r="B327" s="6" t="s">
        <v>327</v>
      </c>
      <c r="C327" s="3" t="str">
        <f t="shared" si="1"/>
        <v>_muted black</v>
      </c>
      <c r="D327" s="3" t="str">
        <f t="shared" si="5"/>
        <v>#N/A</v>
      </c>
      <c r="E327" s="3" t="b">
        <f t="shared" si="2"/>
        <v>0</v>
      </c>
      <c r="G327" s="3" t="str">
        <f t="shared" si="3"/>
        <v>#N/A</v>
      </c>
      <c r="AU327" s="8"/>
      <c r="AV327" s="6"/>
      <c r="AW327" s="8"/>
      <c r="AX327" s="8"/>
      <c r="AY327" s="6"/>
      <c r="AZ327" s="8"/>
      <c r="BA327" s="8"/>
      <c r="BB327" s="6"/>
      <c r="BC327" s="8"/>
      <c r="BD327" s="8"/>
      <c r="BE327" s="6"/>
      <c r="BF327" s="8"/>
      <c r="BG327" s="8"/>
      <c r="BH327" s="6"/>
      <c r="BI327" s="8"/>
      <c r="BJ327" s="8"/>
      <c r="BK327" s="6"/>
      <c r="BL327" s="8"/>
      <c r="BM327" s="8"/>
      <c r="BN327" s="6"/>
      <c r="BO327" s="8"/>
      <c r="BP327" s="8"/>
      <c r="BQ327" s="6"/>
      <c r="BR327" s="8"/>
    </row>
    <row r="328">
      <c r="A328" s="6"/>
      <c r="B328" s="6" t="s">
        <v>328</v>
      </c>
      <c r="C328" s="3" t="str">
        <f t="shared" si="1"/>
        <v>_striped gold</v>
      </c>
      <c r="D328" s="3" t="str">
        <f t="shared" si="5"/>
        <v>#N/A</v>
      </c>
      <c r="E328" s="3" t="b">
        <f t="shared" si="2"/>
        <v>0</v>
      </c>
      <c r="G328" s="3" t="str">
        <f t="shared" si="3"/>
        <v>#N/A</v>
      </c>
      <c r="AU328" s="8"/>
      <c r="AV328" s="6"/>
      <c r="AW328" s="8"/>
      <c r="AX328" s="8"/>
      <c r="AY328" s="6"/>
      <c r="AZ328" s="8"/>
      <c r="BA328" s="8"/>
      <c r="BB328" s="6"/>
      <c r="BC328" s="8"/>
      <c r="BD328" s="8"/>
      <c r="BE328" s="6"/>
      <c r="BF328" s="8"/>
      <c r="BG328" s="8"/>
      <c r="BH328" s="6"/>
      <c r="BI328" s="8"/>
      <c r="BJ328" s="8"/>
      <c r="BK328" s="6"/>
      <c r="BL328" s="8"/>
      <c r="BM328" s="8"/>
      <c r="BN328" s="6"/>
      <c r="BO328" s="8"/>
      <c r="BP328" s="8"/>
      <c r="BQ328" s="6"/>
      <c r="BR328" s="8"/>
    </row>
    <row r="329">
      <c r="A329" s="6"/>
      <c r="B329" s="6" t="s">
        <v>329</v>
      </c>
      <c r="C329" s="3" t="str">
        <f t="shared" si="1"/>
        <v>_light purple</v>
      </c>
      <c r="D329" s="3" t="str">
        <f t="shared" si="5"/>
        <v>#N/A</v>
      </c>
      <c r="E329" s="3" t="b">
        <f t="shared" si="2"/>
        <v>0</v>
      </c>
      <c r="G329" s="3" t="str">
        <f t="shared" si="3"/>
        <v>#N/A</v>
      </c>
      <c r="AU329" s="8"/>
      <c r="AV329" s="6"/>
      <c r="AW329" s="8"/>
      <c r="AX329" s="8"/>
      <c r="AY329" s="6"/>
      <c r="AZ329" s="8"/>
      <c r="BA329" s="8"/>
      <c r="BB329" s="6"/>
      <c r="BC329" s="8"/>
      <c r="BD329" s="8"/>
      <c r="BE329" s="6"/>
      <c r="BF329" s="8"/>
      <c r="BG329" s="8"/>
      <c r="BH329" s="6"/>
      <c r="BI329" s="8"/>
      <c r="BJ329" s="8"/>
      <c r="BK329" s="6"/>
      <c r="BL329" s="8"/>
      <c r="BM329" s="8"/>
      <c r="BN329" s="6"/>
      <c r="BO329" s="8"/>
      <c r="BP329" s="8"/>
      <c r="BQ329" s="6"/>
      <c r="BR329" s="8"/>
    </row>
    <row r="330">
      <c r="A330" s="6"/>
      <c r="B330" s="6" t="s">
        <v>330</v>
      </c>
      <c r="C330" s="3" t="str">
        <f t="shared" si="1"/>
        <v>_dull silver</v>
      </c>
      <c r="D330" s="3" t="str">
        <f t="shared" si="5"/>
        <v>#N/A</v>
      </c>
      <c r="E330" s="3" t="b">
        <f t="shared" si="2"/>
        <v>0</v>
      </c>
      <c r="G330" s="3" t="str">
        <f t="shared" si="3"/>
        <v>#N/A</v>
      </c>
      <c r="AU330" s="8"/>
      <c r="AV330" s="6"/>
      <c r="AW330" s="8"/>
      <c r="AX330" s="8"/>
      <c r="AY330" s="6"/>
      <c r="AZ330" s="8"/>
      <c r="BA330" s="8"/>
      <c r="BB330" s="6"/>
      <c r="BC330" s="8"/>
      <c r="BD330" s="8"/>
      <c r="BE330" s="6"/>
      <c r="BF330" s="8"/>
      <c r="BG330" s="8"/>
      <c r="BH330" s="6"/>
      <c r="BI330" s="8"/>
      <c r="BJ330" s="8"/>
      <c r="BK330" s="6"/>
      <c r="BL330" s="8"/>
      <c r="BM330" s="8"/>
      <c r="BN330" s="6"/>
      <c r="BO330" s="8"/>
      <c r="BP330" s="8"/>
      <c r="BQ330" s="6"/>
      <c r="BR330" s="8"/>
    </row>
    <row r="331">
      <c r="A331" s="6"/>
      <c r="B331" s="6" t="s">
        <v>331</v>
      </c>
      <c r="C331" s="3" t="str">
        <f t="shared" si="1"/>
        <v>_clear bronze</v>
      </c>
      <c r="D331" s="3" t="str">
        <f t="shared" si="5"/>
        <v>#N/A</v>
      </c>
      <c r="E331" s="3" t="b">
        <f t="shared" si="2"/>
        <v>0</v>
      </c>
      <c r="G331" s="3" t="str">
        <f t="shared" si="3"/>
        <v>#N/A</v>
      </c>
      <c r="AU331" s="8"/>
      <c r="AV331" s="6"/>
      <c r="AW331" s="8"/>
      <c r="AX331" s="8"/>
      <c r="AY331" s="6"/>
      <c r="AZ331" s="8"/>
      <c r="BA331" s="8"/>
      <c r="BB331" s="6"/>
      <c r="BC331" s="8"/>
      <c r="BD331" s="8"/>
      <c r="BE331" s="6"/>
      <c r="BF331" s="8"/>
      <c r="BG331" s="8"/>
      <c r="BH331" s="6"/>
      <c r="BI331" s="8"/>
      <c r="BJ331" s="8"/>
      <c r="BK331" s="6"/>
      <c r="BL331" s="8"/>
      <c r="BM331" s="8"/>
      <c r="BN331" s="6"/>
      <c r="BO331" s="8"/>
      <c r="BP331" s="8"/>
      <c r="BQ331" s="6"/>
      <c r="BR331" s="8"/>
    </row>
    <row r="332">
      <c r="A332" s="6"/>
      <c r="B332" s="6" t="s">
        <v>332</v>
      </c>
      <c r="C332" s="3" t="str">
        <f t="shared" si="1"/>
        <v>_wavy yellow</v>
      </c>
      <c r="D332" s="3" t="str">
        <f t="shared" si="5"/>
        <v>#N/A</v>
      </c>
      <c r="E332" s="3" t="b">
        <f t="shared" si="2"/>
        <v>0</v>
      </c>
      <c r="G332" s="3" t="str">
        <f t="shared" si="3"/>
        <v>#N/A</v>
      </c>
      <c r="AU332" s="8"/>
      <c r="AV332" s="6"/>
      <c r="AW332" s="8"/>
      <c r="AX332" s="8"/>
      <c r="AY332" s="6"/>
      <c r="AZ332" s="8"/>
      <c r="BA332" s="8"/>
      <c r="BB332" s="6"/>
      <c r="BC332" s="8"/>
      <c r="BD332" s="8"/>
      <c r="BE332" s="6"/>
      <c r="BF332" s="8"/>
      <c r="BG332" s="8"/>
      <c r="BH332" s="6"/>
      <c r="BI332" s="8"/>
      <c r="BJ332" s="8"/>
      <c r="BK332" s="6"/>
      <c r="BL332" s="8"/>
      <c r="BM332" s="8"/>
      <c r="BN332" s="6"/>
      <c r="BO332" s="8"/>
      <c r="BP332" s="8"/>
      <c r="BQ332" s="6"/>
      <c r="BR332" s="8"/>
    </row>
    <row r="333">
      <c r="A333" s="6"/>
      <c r="B333" s="6" t="s">
        <v>333</v>
      </c>
      <c r="C333" s="3" t="str">
        <f t="shared" si="1"/>
        <v>_muted purple</v>
      </c>
      <c r="D333" s="3" t="str">
        <f t="shared" si="5"/>
        <v>#N/A</v>
      </c>
      <c r="E333" s="3" t="b">
        <f t="shared" si="2"/>
        <v>0</v>
      </c>
      <c r="G333" s="3" t="str">
        <f t="shared" si="3"/>
        <v>#N/A</v>
      </c>
      <c r="AU333" s="8"/>
      <c r="AV333" s="6"/>
      <c r="AW333" s="8"/>
      <c r="AX333" s="8"/>
      <c r="AY333" s="6"/>
      <c r="AZ333" s="8"/>
      <c r="BA333" s="8"/>
      <c r="BB333" s="6"/>
      <c r="BC333" s="8"/>
      <c r="BD333" s="8"/>
      <c r="BE333" s="6"/>
      <c r="BF333" s="8"/>
      <c r="BG333" s="8"/>
      <c r="BH333" s="6"/>
      <c r="BI333" s="8"/>
      <c r="BJ333" s="8"/>
      <c r="BK333" s="6"/>
      <c r="BL333" s="8"/>
      <c r="BM333" s="8"/>
      <c r="BN333" s="6"/>
      <c r="BO333" s="8"/>
      <c r="BP333" s="8"/>
      <c r="BQ333" s="6"/>
      <c r="BR333" s="8"/>
    </row>
    <row r="334">
      <c r="A334" s="6"/>
      <c r="B334" s="6" t="s">
        <v>334</v>
      </c>
      <c r="C334" s="3" t="str">
        <f t="shared" si="1"/>
        <v>_plaid aqua</v>
      </c>
      <c r="D334" s="3" t="str">
        <f t="shared" si="5"/>
        <v>#N/A</v>
      </c>
      <c r="E334" s="3" t="b">
        <f t="shared" si="2"/>
        <v>0</v>
      </c>
      <c r="G334" s="3" t="str">
        <f t="shared" si="3"/>
        <v>#N/A</v>
      </c>
      <c r="AU334" s="8"/>
      <c r="AV334" s="6"/>
      <c r="AW334" s="8"/>
      <c r="AX334" s="8"/>
      <c r="AY334" s="6"/>
      <c r="AZ334" s="8"/>
      <c r="BA334" s="8"/>
      <c r="BB334" s="6"/>
      <c r="BC334" s="8"/>
      <c r="BD334" s="8"/>
      <c r="BE334" s="6"/>
      <c r="BF334" s="8"/>
      <c r="BG334" s="8"/>
      <c r="BH334" s="6"/>
      <c r="BI334" s="8"/>
      <c r="BJ334" s="8"/>
      <c r="BK334" s="6"/>
      <c r="BL334" s="8"/>
      <c r="BM334" s="8"/>
      <c r="BN334" s="6"/>
      <c r="BO334" s="8"/>
      <c r="BP334" s="8"/>
      <c r="BQ334" s="6"/>
      <c r="BR334" s="8"/>
    </row>
    <row r="335">
      <c r="A335" s="6"/>
      <c r="B335" s="6" t="s">
        <v>335</v>
      </c>
      <c r="C335" s="3" t="str">
        <f t="shared" si="1"/>
        <v>_drab plum</v>
      </c>
      <c r="D335" s="3" t="str">
        <f t="shared" si="5"/>
        <v>#N/A</v>
      </c>
      <c r="E335" s="3" t="b">
        <f t="shared" si="2"/>
        <v>0</v>
      </c>
      <c r="G335" s="3" t="str">
        <f t="shared" si="3"/>
        <v>#N/A</v>
      </c>
      <c r="AU335" s="8"/>
      <c r="AV335" s="6"/>
      <c r="AW335" s="8"/>
      <c r="AX335" s="8"/>
      <c r="AY335" s="6"/>
      <c r="AZ335" s="8"/>
      <c r="BA335" s="8"/>
      <c r="BB335" s="6"/>
      <c r="BC335" s="8"/>
      <c r="BD335" s="8"/>
      <c r="BE335" s="6"/>
      <c r="BF335" s="8"/>
      <c r="BG335" s="8"/>
      <c r="BH335" s="6"/>
      <c r="BI335" s="8"/>
      <c r="BJ335" s="8"/>
      <c r="BK335" s="6"/>
      <c r="BL335" s="8"/>
      <c r="BM335" s="8"/>
      <c r="BN335" s="6"/>
      <c r="BO335" s="8"/>
      <c r="BP335" s="8"/>
      <c r="BQ335" s="6"/>
      <c r="BR335" s="8"/>
    </row>
    <row r="336">
      <c r="A336" s="6"/>
      <c r="B336" s="6" t="s">
        <v>336</v>
      </c>
      <c r="C336" s="3" t="str">
        <f t="shared" si="1"/>
        <v>_muted orange</v>
      </c>
      <c r="D336" s="3" t="str">
        <f t="shared" si="5"/>
        <v>#N/A</v>
      </c>
      <c r="E336" s="3" t="b">
        <f t="shared" si="2"/>
        <v>0</v>
      </c>
      <c r="G336" s="3" t="str">
        <f t="shared" si="3"/>
        <v>#N/A</v>
      </c>
      <c r="AU336" s="8"/>
      <c r="AV336" s="6"/>
      <c r="AW336" s="8"/>
      <c r="AX336" s="8"/>
      <c r="AY336" s="6"/>
      <c r="AZ336" s="8"/>
      <c r="BA336" s="8"/>
      <c r="BB336" s="6"/>
      <c r="BC336" s="8"/>
      <c r="BD336" s="8"/>
      <c r="BE336" s="6"/>
      <c r="BF336" s="8"/>
      <c r="BG336" s="8"/>
      <c r="BH336" s="6"/>
      <c r="BI336" s="8"/>
      <c r="BJ336" s="8"/>
      <c r="BK336" s="6"/>
      <c r="BL336" s="8"/>
      <c r="BM336" s="8"/>
      <c r="BN336" s="6"/>
      <c r="BO336" s="8"/>
      <c r="BP336" s="8"/>
      <c r="BQ336" s="6"/>
      <c r="BR336" s="8"/>
    </row>
    <row r="337">
      <c r="A337" s="6"/>
      <c r="B337" s="6" t="s">
        <v>337</v>
      </c>
      <c r="C337" s="3" t="str">
        <f t="shared" si="1"/>
        <v>_dim silver</v>
      </c>
      <c r="D337" s="3" t="str">
        <f t="shared" si="5"/>
        <v>#N/A</v>
      </c>
      <c r="E337" s="3" t="b">
        <f t="shared" si="2"/>
        <v>0</v>
      </c>
      <c r="G337" s="3" t="str">
        <f t="shared" si="3"/>
        <v>#N/A</v>
      </c>
      <c r="AU337" s="8"/>
      <c r="AV337" s="6"/>
      <c r="AW337" s="8"/>
      <c r="AX337" s="8"/>
      <c r="AY337" s="6"/>
      <c r="AZ337" s="8"/>
      <c r="BA337" s="8"/>
      <c r="BB337" s="6"/>
      <c r="BC337" s="8"/>
      <c r="BD337" s="8"/>
      <c r="BE337" s="6"/>
      <c r="BF337" s="8"/>
      <c r="BG337" s="8"/>
      <c r="BH337" s="6"/>
      <c r="BI337" s="8"/>
      <c r="BJ337" s="8"/>
      <c r="BK337" s="6"/>
      <c r="BL337" s="8"/>
      <c r="BM337" s="8"/>
      <c r="BN337" s="6"/>
      <c r="BO337" s="8"/>
      <c r="BP337" s="8"/>
      <c r="BQ337" s="6"/>
      <c r="BR337" s="8"/>
    </row>
    <row r="338">
      <c r="A338" s="6"/>
      <c r="B338" s="6" t="s">
        <v>338</v>
      </c>
      <c r="C338" s="3" t="str">
        <f t="shared" si="1"/>
        <v>_pale tan</v>
      </c>
      <c r="D338" s="3" t="str">
        <f t="shared" si="5"/>
        <v>#N/A</v>
      </c>
      <c r="E338" s="3" t="b">
        <f t="shared" si="2"/>
        <v>0</v>
      </c>
      <c r="G338" s="3" t="str">
        <f t="shared" si="3"/>
        <v>#N/A</v>
      </c>
      <c r="AU338" s="8"/>
      <c r="AV338" s="6"/>
      <c r="AW338" s="8"/>
      <c r="AX338" s="8"/>
      <c r="AY338" s="6"/>
      <c r="AZ338" s="8"/>
      <c r="BA338" s="8"/>
      <c r="BB338" s="6"/>
      <c r="BC338" s="8"/>
      <c r="BD338" s="8"/>
      <c r="BE338" s="6"/>
      <c r="BF338" s="8"/>
      <c r="BG338" s="8"/>
      <c r="BH338" s="6"/>
      <c r="BI338" s="8"/>
      <c r="BJ338" s="8"/>
      <c r="BK338" s="6"/>
      <c r="BL338" s="8"/>
      <c r="BM338" s="8"/>
      <c r="BN338" s="6"/>
      <c r="BO338" s="8"/>
      <c r="BP338" s="8"/>
      <c r="BQ338" s="6"/>
      <c r="BR338" s="8"/>
    </row>
    <row r="339">
      <c r="A339" s="6"/>
      <c r="B339" s="6" t="s">
        <v>339</v>
      </c>
      <c r="C339" s="3" t="str">
        <f t="shared" si="1"/>
        <v>_wavy tomato</v>
      </c>
      <c r="D339" s="3" t="str">
        <f t="shared" si="5"/>
        <v>#N/A</v>
      </c>
      <c r="E339" s="3" t="b">
        <f t="shared" si="2"/>
        <v>0</v>
      </c>
      <c r="G339" s="3" t="str">
        <f t="shared" si="3"/>
        <v>#N/A</v>
      </c>
      <c r="AU339" s="8"/>
      <c r="AV339" s="6"/>
      <c r="AW339" s="8"/>
      <c r="AX339" s="8"/>
      <c r="AY339" s="6"/>
      <c r="AZ339" s="8"/>
      <c r="BA339" s="8"/>
      <c r="BB339" s="6"/>
      <c r="BC339" s="8"/>
      <c r="BD339" s="8"/>
      <c r="BE339" s="6"/>
      <c r="BF339" s="8"/>
      <c r="BG339" s="8"/>
      <c r="BH339" s="6"/>
      <c r="BI339" s="8"/>
      <c r="BJ339" s="8"/>
      <c r="BK339" s="6"/>
      <c r="BL339" s="8"/>
      <c r="BM339" s="8"/>
      <c r="BN339" s="6"/>
      <c r="BO339" s="8"/>
      <c r="BP339" s="8"/>
      <c r="BQ339" s="6"/>
      <c r="BR339" s="8"/>
    </row>
    <row r="340">
      <c r="A340" s="6"/>
      <c r="B340" s="6" t="s">
        <v>340</v>
      </c>
      <c r="C340" s="3" t="str">
        <f t="shared" si="1"/>
        <v>_posh bronze</v>
      </c>
      <c r="D340" s="3" t="str">
        <f t="shared" si="5"/>
        <v>#N/A</v>
      </c>
      <c r="E340" s="3" t="b">
        <f t="shared" si="2"/>
        <v>0</v>
      </c>
      <c r="G340" s="3" t="str">
        <f t="shared" si="3"/>
        <v>#N/A</v>
      </c>
      <c r="AU340" s="8"/>
      <c r="AV340" s="6"/>
      <c r="AW340" s="8"/>
      <c r="AX340" s="8"/>
      <c r="AY340" s="6"/>
      <c r="AZ340" s="8"/>
      <c r="BA340" s="8"/>
      <c r="BB340" s="6"/>
      <c r="BC340" s="8"/>
      <c r="BD340" s="8"/>
      <c r="BE340" s="6"/>
      <c r="BF340" s="8"/>
      <c r="BG340" s="8"/>
      <c r="BH340" s="6"/>
      <c r="BI340" s="8"/>
      <c r="BJ340" s="8"/>
      <c r="BK340" s="6"/>
      <c r="BL340" s="8"/>
      <c r="BM340" s="8"/>
      <c r="BN340" s="6"/>
      <c r="BO340" s="8"/>
      <c r="BP340" s="8"/>
      <c r="BQ340" s="6"/>
      <c r="BR340" s="8"/>
    </row>
    <row r="341">
      <c r="A341" s="6"/>
      <c r="B341" s="6" t="s">
        <v>341</v>
      </c>
      <c r="C341" s="3" t="str">
        <f t="shared" si="1"/>
        <v>_clear blue</v>
      </c>
      <c r="D341" s="3" t="str">
        <f t="shared" si="5"/>
        <v>#N/A</v>
      </c>
      <c r="E341" s="3" t="b">
        <f t="shared" si="2"/>
        <v>0</v>
      </c>
      <c r="G341" s="3" t="str">
        <f t="shared" si="3"/>
        <v>#N/A</v>
      </c>
      <c r="AU341" s="8"/>
      <c r="AV341" s="6"/>
      <c r="AW341" s="8"/>
      <c r="AX341" s="8"/>
      <c r="AY341" s="6"/>
      <c r="AZ341" s="8"/>
      <c r="BA341" s="8"/>
      <c r="BB341" s="6"/>
      <c r="BC341" s="8"/>
      <c r="BD341" s="8"/>
      <c r="BE341" s="6"/>
      <c r="BF341" s="8"/>
      <c r="BG341" s="8"/>
      <c r="BH341" s="6"/>
      <c r="BI341" s="8"/>
      <c r="BJ341" s="8"/>
      <c r="BK341" s="6"/>
      <c r="BL341" s="8"/>
      <c r="BM341" s="8"/>
      <c r="BN341" s="6"/>
      <c r="BO341" s="8"/>
      <c r="BP341" s="8"/>
      <c r="BQ341" s="6"/>
      <c r="BR341" s="8"/>
    </row>
    <row r="342">
      <c r="A342" s="6"/>
      <c r="B342" s="6" t="s">
        <v>342</v>
      </c>
      <c r="C342" s="3" t="str">
        <f t="shared" si="1"/>
        <v>_striped plum</v>
      </c>
      <c r="D342" s="3" t="str">
        <f t="shared" si="5"/>
        <v>#N/A</v>
      </c>
      <c r="E342" s="3" t="b">
        <f t="shared" si="2"/>
        <v>0</v>
      </c>
      <c r="G342" s="3" t="str">
        <f t="shared" si="3"/>
        <v>#N/A</v>
      </c>
      <c r="AU342" s="8"/>
      <c r="AV342" s="6"/>
      <c r="AW342" s="8"/>
      <c r="AX342" s="8"/>
      <c r="AY342" s="6"/>
      <c r="AZ342" s="8"/>
      <c r="BA342" s="8"/>
      <c r="BB342" s="6"/>
      <c r="BC342" s="8"/>
      <c r="BD342" s="8"/>
      <c r="BE342" s="6"/>
      <c r="BF342" s="8"/>
      <c r="BG342" s="8"/>
      <c r="BH342" s="6"/>
      <c r="BI342" s="8"/>
      <c r="BJ342" s="8"/>
      <c r="BK342" s="6"/>
      <c r="BL342" s="8"/>
      <c r="BM342" s="8"/>
      <c r="BN342" s="6"/>
      <c r="BO342" s="8"/>
      <c r="BP342" s="8"/>
      <c r="BQ342" s="6"/>
      <c r="BR342" s="8"/>
    </row>
    <row r="343">
      <c r="A343" s="6"/>
      <c r="B343" s="6" t="s">
        <v>343</v>
      </c>
      <c r="C343" s="3" t="str">
        <f t="shared" si="1"/>
        <v>_muted salmon</v>
      </c>
      <c r="D343" s="3" t="str">
        <f t="shared" si="5"/>
        <v>#N/A</v>
      </c>
      <c r="E343" s="3" t="b">
        <f t="shared" si="2"/>
        <v>0</v>
      </c>
      <c r="G343" s="3" t="str">
        <f t="shared" si="3"/>
        <v>#N/A</v>
      </c>
      <c r="AU343" s="8"/>
      <c r="AV343" s="6"/>
      <c r="AW343" s="8"/>
      <c r="AX343" s="8"/>
      <c r="AY343" s="6"/>
      <c r="AZ343" s="8"/>
      <c r="BA343" s="8"/>
      <c r="BB343" s="6"/>
      <c r="BC343" s="8"/>
      <c r="BD343" s="8"/>
      <c r="BE343" s="6"/>
      <c r="BF343" s="8"/>
      <c r="BG343" s="8"/>
      <c r="BH343" s="6"/>
      <c r="BI343" s="8"/>
      <c r="BJ343" s="8"/>
      <c r="BK343" s="6"/>
      <c r="BL343" s="8"/>
      <c r="BM343" s="8"/>
      <c r="BN343" s="6"/>
      <c r="BO343" s="8"/>
      <c r="BP343" s="8"/>
      <c r="BQ343" s="6"/>
      <c r="BR343" s="8"/>
    </row>
    <row r="344">
      <c r="A344" s="6"/>
      <c r="B344" s="6" t="s">
        <v>344</v>
      </c>
      <c r="C344" s="3" t="str">
        <f t="shared" si="1"/>
        <v>_light aqua</v>
      </c>
      <c r="D344" s="3" t="str">
        <f t="shared" si="5"/>
        <v>#N/A</v>
      </c>
      <c r="E344" s="3" t="b">
        <f t="shared" si="2"/>
        <v>0</v>
      </c>
      <c r="G344" s="3" t="str">
        <f t="shared" si="3"/>
        <v>#N/A</v>
      </c>
      <c r="AU344" s="8"/>
      <c r="AV344" s="6"/>
      <c r="AW344" s="8"/>
      <c r="AX344" s="8"/>
      <c r="AY344" s="6"/>
      <c r="AZ344" s="8"/>
      <c r="BA344" s="8"/>
      <c r="BB344" s="6"/>
      <c r="BC344" s="8"/>
      <c r="BD344" s="8"/>
      <c r="BE344" s="6"/>
      <c r="BF344" s="8"/>
      <c r="BG344" s="8"/>
      <c r="BH344" s="6"/>
      <c r="BI344" s="8"/>
      <c r="BJ344" s="8"/>
      <c r="BK344" s="6"/>
      <c r="BL344" s="8"/>
      <c r="BM344" s="8"/>
      <c r="BN344" s="6"/>
      <c r="BO344" s="8"/>
      <c r="BP344" s="8"/>
      <c r="BQ344" s="6"/>
      <c r="BR344" s="8"/>
    </row>
    <row r="345">
      <c r="A345" s="6"/>
      <c r="B345" s="6" t="s">
        <v>345</v>
      </c>
      <c r="C345" s="3" t="str">
        <f t="shared" si="1"/>
        <v>_bright blue</v>
      </c>
      <c r="D345" s="3" t="str">
        <f t="shared" si="5"/>
        <v>#N/A</v>
      </c>
      <c r="E345" s="3" t="b">
        <f t="shared" si="2"/>
        <v>0</v>
      </c>
      <c r="G345" s="3" t="str">
        <f t="shared" si="3"/>
        <v>#N/A</v>
      </c>
      <c r="AU345" s="8"/>
      <c r="AV345" s="6"/>
      <c r="AW345" s="8"/>
      <c r="AX345" s="8"/>
      <c r="AY345" s="6"/>
      <c r="AZ345" s="8"/>
      <c r="BA345" s="8"/>
      <c r="BB345" s="6"/>
      <c r="BC345" s="8"/>
      <c r="BD345" s="8"/>
      <c r="BE345" s="6"/>
      <c r="BF345" s="8"/>
      <c r="BG345" s="8"/>
      <c r="BH345" s="6"/>
      <c r="BI345" s="8"/>
      <c r="BJ345" s="8"/>
      <c r="BK345" s="6"/>
      <c r="BL345" s="8"/>
      <c r="BM345" s="8"/>
      <c r="BN345" s="6"/>
      <c r="BO345" s="8"/>
      <c r="BP345" s="8"/>
      <c r="BQ345" s="6"/>
      <c r="BR345" s="8"/>
    </row>
    <row r="346">
      <c r="A346" s="6"/>
      <c r="B346" s="6" t="s">
        <v>346</v>
      </c>
      <c r="C346" s="3" t="str">
        <f t="shared" si="1"/>
        <v>_light brown</v>
      </c>
      <c r="D346" s="3" t="str">
        <f t="shared" si="5"/>
        <v>#N/A</v>
      </c>
      <c r="E346" s="3" t="b">
        <f t="shared" si="2"/>
        <v>0</v>
      </c>
      <c r="G346" s="3" t="str">
        <f t="shared" si="3"/>
        <v>#N/A</v>
      </c>
      <c r="AU346" s="8"/>
      <c r="AV346" s="6"/>
      <c r="AW346" s="8"/>
      <c r="AX346" s="8"/>
      <c r="AY346" s="6"/>
      <c r="AZ346" s="8"/>
      <c r="BA346" s="8"/>
      <c r="BB346" s="6"/>
      <c r="BC346" s="8"/>
      <c r="BD346" s="8"/>
      <c r="BE346" s="6"/>
      <c r="BF346" s="8"/>
      <c r="BG346" s="8"/>
      <c r="BH346" s="6"/>
      <c r="BI346" s="8"/>
      <c r="BJ346" s="8"/>
      <c r="BK346" s="6"/>
      <c r="BL346" s="8"/>
      <c r="BM346" s="8"/>
      <c r="BN346" s="6"/>
      <c r="BO346" s="8"/>
      <c r="BP346" s="8"/>
      <c r="BQ346" s="6"/>
      <c r="BR346" s="8"/>
    </row>
    <row r="347">
      <c r="A347" s="6"/>
      <c r="B347" s="6" t="s">
        <v>347</v>
      </c>
      <c r="C347" s="3" t="str">
        <f t="shared" si="1"/>
        <v>_light salmon</v>
      </c>
      <c r="D347" s="3" t="str">
        <f t="shared" si="5"/>
        <v>#N/A</v>
      </c>
      <c r="E347" s="3" t="b">
        <f t="shared" si="2"/>
        <v>0</v>
      </c>
      <c r="G347" s="3" t="str">
        <f t="shared" si="3"/>
        <v>#N/A</v>
      </c>
      <c r="AU347" s="8"/>
      <c r="AV347" s="6"/>
      <c r="AW347" s="8"/>
      <c r="AX347" s="8"/>
      <c r="AY347" s="6"/>
      <c r="AZ347" s="8"/>
      <c r="BA347" s="8"/>
      <c r="BB347" s="6"/>
      <c r="BC347" s="8"/>
      <c r="BD347" s="8"/>
      <c r="BE347" s="6"/>
      <c r="BF347" s="8"/>
      <c r="BG347" s="8"/>
      <c r="BH347" s="6"/>
      <c r="BI347" s="8"/>
      <c r="BJ347" s="8"/>
      <c r="BK347" s="6"/>
      <c r="BL347" s="8"/>
      <c r="BM347" s="8"/>
      <c r="BN347" s="6"/>
      <c r="BO347" s="8"/>
      <c r="BP347" s="8"/>
      <c r="BQ347" s="6"/>
      <c r="BR347" s="8"/>
    </row>
    <row r="348">
      <c r="A348" s="6"/>
      <c r="B348" s="6" t="s">
        <v>348</v>
      </c>
      <c r="C348" s="3" t="str">
        <f t="shared" si="1"/>
        <v>_posh beige</v>
      </c>
      <c r="D348" s="3" t="str">
        <f t="shared" si="5"/>
        <v>#N/A</v>
      </c>
      <c r="E348" s="3" t="b">
        <f t="shared" si="2"/>
        <v>0</v>
      </c>
      <c r="G348" s="3" t="str">
        <f t="shared" si="3"/>
        <v>#N/A</v>
      </c>
      <c r="AU348" s="8"/>
      <c r="AV348" s="6"/>
      <c r="AW348" s="8"/>
      <c r="AX348" s="8"/>
      <c r="AY348" s="6"/>
      <c r="AZ348" s="8"/>
      <c r="BA348" s="8"/>
      <c r="BB348" s="6"/>
      <c r="BC348" s="8"/>
      <c r="BD348" s="8"/>
      <c r="BE348" s="6"/>
      <c r="BF348" s="8"/>
      <c r="BG348" s="8"/>
      <c r="BH348" s="6"/>
      <c r="BI348" s="8"/>
      <c r="BJ348" s="8"/>
      <c r="BK348" s="6"/>
      <c r="BL348" s="8"/>
      <c r="BM348" s="8"/>
      <c r="BN348" s="6"/>
      <c r="BO348" s="8"/>
      <c r="BP348" s="8"/>
      <c r="BQ348" s="6"/>
      <c r="BR348" s="8"/>
    </row>
    <row r="349">
      <c r="A349" s="6"/>
      <c r="B349" s="6" t="s">
        <v>349</v>
      </c>
      <c r="C349" s="3" t="str">
        <f t="shared" si="1"/>
        <v>_dotted orange</v>
      </c>
      <c r="D349" s="3" t="str">
        <f t="shared" si="5"/>
        <v>#N/A</v>
      </c>
      <c r="E349" s="3" t="b">
        <f t="shared" si="2"/>
        <v>0</v>
      </c>
      <c r="G349" s="3" t="str">
        <f t="shared" si="3"/>
        <v>#N/A</v>
      </c>
      <c r="AU349" s="8"/>
      <c r="AV349" s="6"/>
      <c r="AW349" s="8"/>
      <c r="AX349" s="8"/>
      <c r="AY349" s="6"/>
      <c r="AZ349" s="8"/>
      <c r="BA349" s="8"/>
      <c r="BB349" s="6"/>
      <c r="BC349" s="8"/>
      <c r="BD349" s="8"/>
      <c r="BE349" s="6"/>
      <c r="BF349" s="8"/>
      <c r="BG349" s="8"/>
      <c r="BH349" s="6"/>
      <c r="BI349" s="8"/>
      <c r="BJ349" s="8"/>
      <c r="BK349" s="6"/>
      <c r="BL349" s="8"/>
      <c r="BM349" s="8"/>
      <c r="BN349" s="6"/>
      <c r="BO349" s="8"/>
      <c r="BP349" s="8"/>
      <c r="BQ349" s="6"/>
      <c r="BR349" s="8"/>
    </row>
    <row r="350">
      <c r="A350" s="6"/>
      <c r="B350" s="6" t="s">
        <v>350</v>
      </c>
      <c r="C350" s="3" t="str">
        <f t="shared" si="1"/>
        <v>_wavy purple</v>
      </c>
      <c r="D350" s="3" t="str">
        <f t="shared" si="5"/>
        <v>#N/A</v>
      </c>
      <c r="E350" s="3" t="b">
        <f t="shared" si="2"/>
        <v>0</v>
      </c>
      <c r="G350" s="3" t="str">
        <f t="shared" si="3"/>
        <v>#N/A</v>
      </c>
      <c r="AU350" s="8"/>
      <c r="AV350" s="6"/>
      <c r="AW350" s="8"/>
      <c r="AX350" s="8"/>
      <c r="AY350" s="6"/>
      <c r="AZ350" s="8"/>
      <c r="BA350" s="8"/>
      <c r="BB350" s="6"/>
      <c r="BC350" s="8"/>
      <c r="BD350" s="8"/>
      <c r="BE350" s="6"/>
      <c r="BF350" s="8"/>
      <c r="BG350" s="8"/>
      <c r="BH350" s="6"/>
      <c r="BI350" s="8"/>
      <c r="BJ350" s="8"/>
      <c r="BK350" s="6"/>
      <c r="BL350" s="8"/>
      <c r="BM350" s="8"/>
      <c r="BN350" s="6"/>
      <c r="BO350" s="8"/>
      <c r="BP350" s="8"/>
      <c r="BQ350" s="6"/>
      <c r="BR350" s="8"/>
    </row>
    <row r="351">
      <c r="A351" s="6"/>
      <c r="B351" s="6" t="s">
        <v>351</v>
      </c>
      <c r="C351" s="3" t="str">
        <f t="shared" si="1"/>
        <v>_dark coral</v>
      </c>
      <c r="D351" s="3" t="str">
        <f t="shared" si="5"/>
        <v>#N/A</v>
      </c>
      <c r="E351" s="3" t="b">
        <f t="shared" si="2"/>
        <v>0</v>
      </c>
      <c r="G351" s="3" t="str">
        <f t="shared" si="3"/>
        <v>#N/A</v>
      </c>
      <c r="AU351" s="8"/>
      <c r="AV351" s="6"/>
      <c r="AW351" s="8"/>
      <c r="AX351" s="8"/>
      <c r="AY351" s="6"/>
      <c r="AZ351" s="8"/>
      <c r="BA351" s="8"/>
      <c r="BB351" s="6"/>
      <c r="BC351" s="8"/>
      <c r="BD351" s="8"/>
      <c r="BE351" s="6"/>
      <c r="BF351" s="8"/>
      <c r="BG351" s="8"/>
      <c r="BH351" s="6"/>
      <c r="BI351" s="8"/>
      <c r="BJ351" s="8"/>
      <c r="BK351" s="6"/>
      <c r="BL351" s="8"/>
      <c r="BM351" s="8"/>
      <c r="BN351" s="6"/>
      <c r="BO351" s="8"/>
      <c r="BP351" s="8"/>
      <c r="BQ351" s="6"/>
      <c r="BR351" s="8"/>
    </row>
    <row r="352">
      <c r="A352" s="6"/>
      <c r="B352" s="6" t="s">
        <v>352</v>
      </c>
      <c r="C352" s="3" t="str">
        <f t="shared" si="1"/>
        <v>_dim lime</v>
      </c>
      <c r="D352" s="3" t="str">
        <f t="shared" si="5"/>
        <v>#N/A</v>
      </c>
      <c r="E352" s="3" t="b">
        <f t="shared" si="2"/>
        <v>0</v>
      </c>
      <c r="G352" s="3" t="str">
        <f t="shared" si="3"/>
        <v>#N/A</v>
      </c>
      <c r="AU352" s="8"/>
      <c r="AV352" s="6"/>
      <c r="AW352" s="8"/>
      <c r="AX352" s="8"/>
      <c r="AY352" s="6"/>
      <c r="AZ352" s="8"/>
      <c r="BA352" s="8"/>
      <c r="BB352" s="6"/>
      <c r="BC352" s="8"/>
      <c r="BD352" s="8"/>
      <c r="BE352" s="6"/>
      <c r="BF352" s="8"/>
      <c r="BG352" s="8"/>
      <c r="BH352" s="6"/>
      <c r="BI352" s="8"/>
      <c r="BJ352" s="8"/>
      <c r="BK352" s="6"/>
      <c r="BL352" s="8"/>
      <c r="BM352" s="8"/>
      <c r="BN352" s="6"/>
      <c r="BO352" s="8"/>
      <c r="BP352" s="8"/>
      <c r="BQ352" s="6"/>
      <c r="BR352" s="8"/>
    </row>
    <row r="353">
      <c r="A353" s="6"/>
      <c r="B353" s="6" t="s">
        <v>353</v>
      </c>
      <c r="C353" s="3" t="str">
        <f t="shared" si="1"/>
        <v>_pale plum</v>
      </c>
      <c r="D353" s="3" t="str">
        <f t="shared" si="5"/>
        <v>#N/A</v>
      </c>
      <c r="E353" s="3" t="b">
        <f t="shared" si="2"/>
        <v>0</v>
      </c>
      <c r="G353" s="3" t="str">
        <f t="shared" si="3"/>
        <v>#N/A</v>
      </c>
      <c r="AU353" s="8"/>
      <c r="AV353" s="6"/>
      <c r="AW353" s="8"/>
      <c r="AX353" s="8"/>
      <c r="AY353" s="6"/>
      <c r="AZ353" s="8"/>
      <c r="BA353" s="8"/>
      <c r="BB353" s="6"/>
      <c r="BC353" s="8"/>
      <c r="BD353" s="8"/>
      <c r="BE353" s="6"/>
      <c r="BF353" s="8"/>
      <c r="BG353" s="8"/>
      <c r="BH353" s="6"/>
      <c r="BI353" s="8"/>
      <c r="BJ353" s="8"/>
      <c r="BK353" s="6"/>
      <c r="BL353" s="8"/>
      <c r="BM353" s="8"/>
      <c r="BN353" s="6"/>
      <c r="BO353" s="8"/>
      <c r="BP353" s="8"/>
      <c r="BQ353" s="6"/>
      <c r="BR353" s="8"/>
    </row>
    <row r="354">
      <c r="A354" s="6"/>
      <c r="B354" s="6" t="s">
        <v>354</v>
      </c>
      <c r="C354" s="3" t="str">
        <f t="shared" si="1"/>
        <v>_dim beige</v>
      </c>
      <c r="D354" s="3" t="str">
        <f t="shared" si="5"/>
        <v>#N/A</v>
      </c>
      <c r="E354" s="3" t="b">
        <f t="shared" si="2"/>
        <v>0</v>
      </c>
      <c r="G354" s="3" t="str">
        <f t="shared" si="3"/>
        <v>#N/A</v>
      </c>
      <c r="AU354" s="8"/>
      <c r="AV354" s="6"/>
      <c r="AW354" s="8"/>
      <c r="AX354" s="8"/>
      <c r="AY354" s="6"/>
      <c r="AZ354" s="8"/>
      <c r="BA354" s="8"/>
      <c r="BB354" s="6"/>
      <c r="BC354" s="8"/>
      <c r="BD354" s="8"/>
      <c r="BE354" s="6"/>
      <c r="BF354" s="8"/>
      <c r="BG354" s="8"/>
      <c r="BH354" s="6"/>
      <c r="BI354" s="8"/>
      <c r="BJ354" s="8"/>
      <c r="BK354" s="6"/>
      <c r="BL354" s="8"/>
      <c r="BM354" s="8"/>
      <c r="BN354" s="6"/>
      <c r="BO354" s="8"/>
      <c r="BP354" s="8"/>
      <c r="BQ354" s="6"/>
      <c r="BR354" s="8"/>
    </row>
    <row r="355">
      <c r="A355" s="6"/>
      <c r="B355" s="6" t="s">
        <v>355</v>
      </c>
      <c r="C355" s="3" t="str">
        <f t="shared" si="1"/>
        <v>_drab tan</v>
      </c>
      <c r="D355" s="3" t="str">
        <f t="shared" si="5"/>
        <v>#N/A</v>
      </c>
      <c r="E355" s="3" t="b">
        <f t="shared" si="2"/>
        <v>0</v>
      </c>
      <c r="G355" s="3" t="str">
        <f t="shared" si="3"/>
        <v>#N/A</v>
      </c>
      <c r="AU355" s="8"/>
      <c r="AV355" s="6"/>
      <c r="AW355" s="8"/>
      <c r="AX355" s="8"/>
      <c r="AY355" s="6"/>
      <c r="AZ355" s="8"/>
      <c r="BA355" s="8"/>
      <c r="BB355" s="6"/>
      <c r="BC355" s="8"/>
      <c r="BD355" s="8"/>
      <c r="BE355" s="6"/>
      <c r="BF355" s="8"/>
      <c r="BG355" s="8"/>
      <c r="BH355" s="6"/>
      <c r="BI355" s="8"/>
      <c r="BJ355" s="8"/>
      <c r="BK355" s="6"/>
      <c r="BL355" s="8"/>
      <c r="BM355" s="8"/>
      <c r="BN355" s="6"/>
      <c r="BO355" s="8"/>
      <c r="BP355" s="8"/>
      <c r="BQ355" s="6"/>
      <c r="BR355" s="8"/>
    </row>
    <row r="356">
      <c r="A356" s="6"/>
      <c r="B356" s="6" t="s">
        <v>356</v>
      </c>
      <c r="C356" s="3" t="str">
        <f t="shared" si="1"/>
        <v>_posh blue</v>
      </c>
      <c r="D356" s="3" t="str">
        <f t="shared" si="5"/>
        <v>#N/A</v>
      </c>
      <c r="E356" s="3" t="b">
        <f t="shared" si="2"/>
        <v>0</v>
      </c>
      <c r="G356" s="3" t="str">
        <f t="shared" si="3"/>
        <v>#N/A</v>
      </c>
      <c r="AU356" s="8"/>
      <c r="AV356" s="6"/>
      <c r="AW356" s="8"/>
      <c r="AX356" s="8"/>
      <c r="AY356" s="6"/>
      <c r="AZ356" s="8"/>
      <c r="BA356" s="8"/>
      <c r="BB356" s="6"/>
      <c r="BC356" s="8"/>
      <c r="BD356" s="8"/>
      <c r="BE356" s="6"/>
      <c r="BF356" s="8"/>
      <c r="BG356" s="8"/>
      <c r="BH356" s="6"/>
      <c r="BI356" s="8"/>
      <c r="BJ356" s="8"/>
      <c r="BK356" s="6"/>
      <c r="BL356" s="8"/>
      <c r="BM356" s="8"/>
      <c r="BN356" s="6"/>
      <c r="BO356" s="8"/>
      <c r="BP356" s="8"/>
      <c r="BQ356" s="6"/>
      <c r="BR356" s="8"/>
    </row>
    <row r="357">
      <c r="A357" s="6"/>
      <c r="B357" s="6" t="s">
        <v>357</v>
      </c>
      <c r="C357" s="3" t="str">
        <f t="shared" si="1"/>
        <v>_drab violet</v>
      </c>
      <c r="D357" s="3" t="str">
        <f t="shared" si="5"/>
        <v>#N/A</v>
      </c>
      <c r="E357" s="3" t="b">
        <f t="shared" si="2"/>
        <v>0</v>
      </c>
      <c r="G357" s="3" t="str">
        <f t="shared" si="3"/>
        <v>#N/A</v>
      </c>
      <c r="AU357" s="8"/>
      <c r="AV357" s="6"/>
      <c r="AW357" s="8"/>
      <c r="AX357" s="8"/>
      <c r="AY357" s="6"/>
      <c r="AZ357" s="8"/>
      <c r="BA357" s="8"/>
      <c r="BB357" s="6"/>
      <c r="BC357" s="8"/>
      <c r="BD357" s="8"/>
      <c r="BE357" s="6"/>
      <c r="BF357" s="8"/>
      <c r="BG357" s="8"/>
      <c r="BH357" s="6"/>
      <c r="BI357" s="8"/>
      <c r="BJ357" s="8"/>
      <c r="BK357" s="6"/>
      <c r="BL357" s="8"/>
      <c r="BM357" s="8"/>
      <c r="BN357" s="6"/>
      <c r="BO357" s="8"/>
      <c r="BP357" s="8"/>
      <c r="BQ357" s="6"/>
      <c r="BR357" s="8"/>
    </row>
    <row r="358">
      <c r="A358" s="6"/>
      <c r="B358" s="6" t="s">
        <v>358</v>
      </c>
      <c r="C358" s="3" t="str">
        <f t="shared" si="1"/>
        <v>_shiny plum</v>
      </c>
      <c r="D358" s="3" t="str">
        <f t="shared" si="5"/>
        <v>#N/A</v>
      </c>
      <c r="E358" s="3" t="b">
        <f t="shared" si="2"/>
        <v>0</v>
      </c>
      <c r="G358" s="3" t="str">
        <f t="shared" si="3"/>
        <v>#N/A</v>
      </c>
      <c r="AU358" s="8"/>
      <c r="AV358" s="6"/>
      <c r="AW358" s="8"/>
      <c r="AX358" s="8"/>
      <c r="AY358" s="6"/>
      <c r="AZ358" s="8"/>
      <c r="BA358" s="8"/>
      <c r="BB358" s="6"/>
      <c r="BC358" s="8"/>
      <c r="BD358" s="8"/>
      <c r="BE358" s="6"/>
      <c r="BF358" s="8"/>
      <c r="BG358" s="8"/>
      <c r="BH358" s="6"/>
      <c r="BI358" s="8"/>
      <c r="BJ358" s="8"/>
      <c r="BK358" s="6"/>
      <c r="BL358" s="8"/>
      <c r="BM358" s="8"/>
      <c r="BN358" s="6"/>
      <c r="BO358" s="8"/>
      <c r="BP358" s="8"/>
      <c r="BQ358" s="6"/>
      <c r="BR358" s="8"/>
    </row>
    <row r="359">
      <c r="A359" s="6"/>
      <c r="B359" s="6" t="s">
        <v>359</v>
      </c>
      <c r="C359" s="3" t="str">
        <f t="shared" si="1"/>
        <v>_pale fuchsia</v>
      </c>
      <c r="D359" s="3" t="str">
        <f t="shared" si="5"/>
        <v>#N/A</v>
      </c>
      <c r="E359" s="3" t="b">
        <f t="shared" si="2"/>
        <v>0</v>
      </c>
      <c r="G359" s="3" t="str">
        <f t="shared" si="3"/>
        <v>#N/A</v>
      </c>
      <c r="AU359" s="8"/>
      <c r="AV359" s="6"/>
      <c r="AW359" s="8"/>
      <c r="AX359" s="8"/>
      <c r="AY359" s="6"/>
      <c r="AZ359" s="8"/>
      <c r="BA359" s="8"/>
      <c r="BB359" s="6"/>
      <c r="BC359" s="8"/>
      <c r="BD359" s="8"/>
      <c r="BE359" s="6"/>
      <c r="BF359" s="8"/>
      <c r="BG359" s="8"/>
      <c r="BH359" s="6"/>
      <c r="BI359" s="8"/>
      <c r="BJ359" s="8"/>
      <c r="BK359" s="6"/>
      <c r="BL359" s="8"/>
      <c r="BM359" s="8"/>
      <c r="BN359" s="6"/>
      <c r="BO359" s="8"/>
      <c r="BP359" s="8"/>
      <c r="BQ359" s="6"/>
      <c r="BR359" s="8"/>
    </row>
    <row r="360">
      <c r="A360" s="6"/>
      <c r="B360" s="6" t="s">
        <v>360</v>
      </c>
      <c r="C360" s="3" t="str">
        <f t="shared" si="1"/>
        <v>_clear fuchsia</v>
      </c>
      <c r="D360" s="3" t="str">
        <f t="shared" si="5"/>
        <v>#N/A</v>
      </c>
      <c r="E360" s="3" t="b">
        <f t="shared" si="2"/>
        <v>0</v>
      </c>
      <c r="G360" s="3" t="str">
        <f t="shared" si="3"/>
        <v>#N/A</v>
      </c>
      <c r="AU360" s="8"/>
      <c r="AV360" s="6"/>
      <c r="AW360" s="8"/>
      <c r="AX360" s="8"/>
      <c r="AY360" s="6"/>
      <c r="AZ360" s="8"/>
      <c r="BA360" s="8"/>
      <c r="BB360" s="6"/>
      <c r="BC360" s="8"/>
      <c r="BD360" s="8"/>
      <c r="BE360" s="6"/>
      <c r="BF360" s="8"/>
      <c r="BG360" s="8"/>
      <c r="BH360" s="6"/>
      <c r="BI360" s="8"/>
      <c r="BJ360" s="8"/>
      <c r="BK360" s="6"/>
      <c r="BL360" s="8"/>
      <c r="BM360" s="8"/>
      <c r="BN360" s="6"/>
      <c r="BO360" s="8"/>
      <c r="BP360" s="8"/>
      <c r="BQ360" s="6"/>
      <c r="BR360" s="8"/>
    </row>
    <row r="361">
      <c r="A361" s="6"/>
      <c r="B361" s="6" t="s">
        <v>361</v>
      </c>
      <c r="C361" s="3" t="str">
        <f t="shared" si="1"/>
        <v>_mirrored lime</v>
      </c>
      <c r="D361" s="3" t="str">
        <f t="shared" si="5"/>
        <v>#N/A</v>
      </c>
      <c r="E361" s="3" t="b">
        <f t="shared" si="2"/>
        <v>0</v>
      </c>
      <c r="G361" s="3" t="str">
        <f t="shared" si="3"/>
        <v>#N/A</v>
      </c>
      <c r="AU361" s="8"/>
      <c r="AV361" s="6"/>
      <c r="AW361" s="8"/>
      <c r="AX361" s="8"/>
      <c r="AY361" s="6"/>
      <c r="AZ361" s="8"/>
      <c r="BA361" s="8"/>
      <c r="BB361" s="6"/>
      <c r="BC361" s="8"/>
      <c r="BD361" s="8"/>
      <c r="BE361" s="6"/>
      <c r="BF361" s="8"/>
      <c r="BG361" s="8"/>
      <c r="BH361" s="6"/>
      <c r="BI361" s="8"/>
      <c r="BJ361" s="8"/>
      <c r="BK361" s="6"/>
      <c r="BL361" s="8"/>
      <c r="BM361" s="8"/>
      <c r="BN361" s="6"/>
      <c r="BO361" s="8"/>
      <c r="BP361" s="8"/>
      <c r="BQ361" s="6"/>
      <c r="BR361" s="8"/>
    </row>
    <row r="362">
      <c r="A362" s="6"/>
      <c r="B362" s="6" t="s">
        <v>362</v>
      </c>
      <c r="C362" s="3" t="str">
        <f t="shared" si="1"/>
        <v>_plaid white</v>
      </c>
      <c r="D362" s="3" t="str">
        <f t="shared" si="5"/>
        <v>#N/A</v>
      </c>
      <c r="E362" s="3" t="b">
        <f t="shared" si="2"/>
        <v>0</v>
      </c>
      <c r="G362" s="3" t="str">
        <f t="shared" si="3"/>
        <v>#N/A</v>
      </c>
      <c r="AU362" s="8"/>
      <c r="AV362" s="6"/>
      <c r="AW362" s="8"/>
      <c r="AX362" s="8"/>
      <c r="AY362" s="6"/>
      <c r="AZ362" s="8"/>
      <c r="BA362" s="8"/>
      <c r="BB362" s="6"/>
      <c r="BC362" s="8"/>
      <c r="BD362" s="8"/>
      <c r="BE362" s="6"/>
      <c r="BF362" s="8"/>
      <c r="BG362" s="8"/>
      <c r="BH362" s="6"/>
      <c r="BI362" s="8"/>
      <c r="BJ362" s="8"/>
      <c r="BK362" s="6"/>
      <c r="BL362" s="8"/>
      <c r="BM362" s="8"/>
      <c r="BN362" s="6"/>
      <c r="BO362" s="8"/>
      <c r="BP362" s="8"/>
      <c r="BQ362" s="6"/>
      <c r="BR362" s="8"/>
    </row>
    <row r="363">
      <c r="A363" s="6"/>
      <c r="B363" s="6" t="s">
        <v>363</v>
      </c>
      <c r="C363" s="3" t="str">
        <f t="shared" si="1"/>
        <v>_striped violet</v>
      </c>
      <c r="D363" s="3" t="str">
        <f t="shared" si="5"/>
        <v>#N/A</v>
      </c>
      <c r="E363" s="3" t="b">
        <f t="shared" si="2"/>
        <v>0</v>
      </c>
      <c r="G363" s="3" t="str">
        <f t="shared" si="3"/>
        <v>#N/A</v>
      </c>
      <c r="AU363" s="8"/>
      <c r="AV363" s="6"/>
      <c r="AW363" s="8"/>
      <c r="AX363" s="8"/>
      <c r="AY363" s="6"/>
      <c r="AZ363" s="8"/>
      <c r="BA363" s="8"/>
      <c r="BB363" s="6"/>
      <c r="BC363" s="8"/>
      <c r="BD363" s="8"/>
      <c r="BE363" s="6"/>
      <c r="BF363" s="8"/>
      <c r="BG363" s="8"/>
      <c r="BH363" s="6"/>
      <c r="BI363" s="8"/>
      <c r="BJ363" s="8"/>
      <c r="BK363" s="6"/>
      <c r="BL363" s="8"/>
      <c r="BM363" s="8"/>
      <c r="BN363" s="6"/>
      <c r="BO363" s="8"/>
      <c r="BP363" s="8"/>
      <c r="BQ363" s="6"/>
      <c r="BR363" s="8"/>
    </row>
    <row r="364">
      <c r="A364" s="6"/>
      <c r="B364" s="6" t="s">
        <v>364</v>
      </c>
      <c r="C364" s="3" t="str">
        <f t="shared" si="1"/>
        <v>_dark purple</v>
      </c>
      <c r="D364" s="3" t="str">
        <f t="shared" si="5"/>
        <v>#N/A</v>
      </c>
      <c r="E364" s="3" t="b">
        <f t="shared" si="2"/>
        <v>1</v>
      </c>
      <c r="G364" s="3" t="str">
        <f t="shared" si="3"/>
        <v>#N/A</v>
      </c>
      <c r="AU364" s="8"/>
      <c r="AV364" s="6"/>
      <c r="AW364" s="8"/>
      <c r="AX364" s="8"/>
      <c r="AY364" s="6"/>
      <c r="AZ364" s="8"/>
      <c r="BA364" s="8"/>
      <c r="BB364" s="6"/>
      <c r="BC364" s="8"/>
      <c r="BD364" s="8"/>
      <c r="BE364" s="6"/>
      <c r="BF364" s="8"/>
      <c r="BG364" s="8"/>
      <c r="BH364" s="6"/>
      <c r="BI364" s="8"/>
      <c r="BJ364" s="8"/>
      <c r="BK364" s="6"/>
      <c r="BL364" s="8"/>
      <c r="BM364" s="8"/>
      <c r="BN364" s="6"/>
      <c r="BO364" s="8"/>
      <c r="BP364" s="8"/>
      <c r="BQ364" s="6"/>
      <c r="BR364" s="8"/>
    </row>
    <row r="365">
      <c r="A365" s="6"/>
      <c r="B365" s="6" t="s">
        <v>365</v>
      </c>
      <c r="C365" s="3" t="str">
        <f t="shared" si="1"/>
        <v>_mirrored blue</v>
      </c>
      <c r="D365" s="3" t="str">
        <f t="shared" si="5"/>
        <v>#N/A</v>
      </c>
      <c r="E365" s="3" t="b">
        <f t="shared" si="2"/>
        <v>0</v>
      </c>
      <c r="G365" s="3" t="str">
        <f t="shared" si="3"/>
        <v>#N/A</v>
      </c>
      <c r="AU365" s="8"/>
      <c r="AV365" s="6"/>
      <c r="AW365" s="8"/>
      <c r="AX365" s="8"/>
      <c r="AY365" s="6"/>
      <c r="AZ365" s="8"/>
      <c r="BA365" s="8"/>
      <c r="BB365" s="6"/>
      <c r="BC365" s="8"/>
      <c r="BD365" s="8"/>
      <c r="BE365" s="6"/>
      <c r="BF365" s="8"/>
      <c r="BG365" s="8"/>
      <c r="BH365" s="6"/>
      <c r="BI365" s="8"/>
      <c r="BJ365" s="8"/>
      <c r="BK365" s="6"/>
      <c r="BL365" s="8"/>
      <c r="BM365" s="8"/>
      <c r="BN365" s="6"/>
      <c r="BO365" s="8"/>
      <c r="BP365" s="8"/>
      <c r="BQ365" s="6"/>
      <c r="BR365" s="8"/>
    </row>
    <row r="366">
      <c r="A366" s="6"/>
      <c r="B366" s="6" t="s">
        <v>366</v>
      </c>
      <c r="C366" s="3" t="str">
        <f t="shared" si="1"/>
        <v>_pale black</v>
      </c>
      <c r="D366" s="3" t="str">
        <f t="shared" si="5"/>
        <v>#N/A</v>
      </c>
      <c r="E366" s="3" t="b">
        <f t="shared" si="2"/>
        <v>0</v>
      </c>
      <c r="G366" s="3" t="str">
        <f t="shared" si="3"/>
        <v>#N/A</v>
      </c>
      <c r="AU366" s="8"/>
      <c r="AV366" s="6"/>
      <c r="AW366" s="8"/>
      <c r="AX366" s="8"/>
      <c r="AY366" s="6"/>
      <c r="AZ366" s="8"/>
      <c r="BA366" s="8"/>
      <c r="BB366" s="6"/>
      <c r="BC366" s="8"/>
      <c r="BD366" s="8"/>
      <c r="BE366" s="6"/>
      <c r="BF366" s="8"/>
      <c r="BG366" s="8"/>
      <c r="BH366" s="6"/>
      <c r="BI366" s="8"/>
      <c r="BJ366" s="8"/>
      <c r="BK366" s="6"/>
      <c r="BL366" s="8"/>
      <c r="BM366" s="8"/>
      <c r="BN366" s="6"/>
      <c r="BO366" s="8"/>
      <c r="BP366" s="8"/>
      <c r="BQ366" s="6"/>
      <c r="BR366" s="8"/>
    </row>
    <row r="367">
      <c r="A367" s="6"/>
      <c r="B367" s="6" t="s">
        <v>367</v>
      </c>
      <c r="C367" s="3" t="str">
        <f t="shared" si="1"/>
        <v>_dark brown</v>
      </c>
      <c r="D367" s="3" t="str">
        <f t="shared" si="5"/>
        <v>#N/A</v>
      </c>
      <c r="E367" s="3" t="b">
        <f t="shared" si="2"/>
        <v>0</v>
      </c>
      <c r="G367" s="3" t="str">
        <f t="shared" si="3"/>
        <v>#N/A</v>
      </c>
      <c r="AU367" s="8"/>
      <c r="AV367" s="6"/>
      <c r="AW367" s="8"/>
      <c r="AX367" s="8"/>
      <c r="AY367" s="6"/>
      <c r="AZ367" s="8"/>
      <c r="BA367" s="8"/>
      <c r="BB367" s="6"/>
      <c r="BC367" s="8"/>
      <c r="BD367" s="8"/>
      <c r="BE367" s="6"/>
      <c r="BF367" s="8"/>
      <c r="BG367" s="8"/>
      <c r="BH367" s="6"/>
      <c r="BI367" s="8"/>
      <c r="BJ367" s="8"/>
      <c r="BK367" s="6"/>
      <c r="BL367" s="8"/>
      <c r="BM367" s="8"/>
      <c r="BN367" s="6"/>
      <c r="BO367" s="8"/>
      <c r="BP367" s="8"/>
      <c r="BQ367" s="6"/>
      <c r="BR367" s="8"/>
    </row>
    <row r="368">
      <c r="A368" s="6"/>
      <c r="B368" s="6" t="s">
        <v>368</v>
      </c>
      <c r="C368" s="3" t="str">
        <f t="shared" si="1"/>
        <v>_muted lavender</v>
      </c>
      <c r="D368" s="3" t="str">
        <f t="shared" si="5"/>
        <v>#N/A</v>
      </c>
      <c r="E368" s="3" t="b">
        <f t="shared" si="2"/>
        <v>0</v>
      </c>
      <c r="G368" s="3" t="str">
        <f t="shared" si="3"/>
        <v>#N/A</v>
      </c>
      <c r="AU368" s="8"/>
      <c r="AV368" s="6"/>
      <c r="AW368" s="8"/>
      <c r="AX368" s="8"/>
      <c r="AY368" s="6"/>
      <c r="AZ368" s="8"/>
      <c r="BA368" s="8"/>
      <c r="BB368" s="6"/>
      <c r="BC368" s="8"/>
      <c r="BD368" s="8"/>
      <c r="BE368" s="6"/>
      <c r="BF368" s="8"/>
      <c r="BG368" s="8"/>
      <c r="BH368" s="6"/>
      <c r="BI368" s="8"/>
      <c r="BJ368" s="8"/>
      <c r="BK368" s="6"/>
      <c r="BL368" s="8"/>
      <c r="BM368" s="8"/>
      <c r="BN368" s="6"/>
      <c r="BO368" s="8"/>
      <c r="BP368" s="8"/>
      <c r="BQ368" s="6"/>
      <c r="BR368" s="8"/>
    </row>
    <row r="369">
      <c r="A369" s="6"/>
      <c r="B369" s="6" t="s">
        <v>369</v>
      </c>
      <c r="C369" s="3" t="str">
        <f t="shared" si="1"/>
        <v>_muted bronze</v>
      </c>
      <c r="D369" s="3" t="str">
        <f t="shared" si="5"/>
        <v>#N/A</v>
      </c>
      <c r="E369" s="3" t="b">
        <f t="shared" si="2"/>
        <v>0</v>
      </c>
      <c r="G369" s="3" t="str">
        <f t="shared" si="3"/>
        <v>#N/A</v>
      </c>
      <c r="AU369" s="8"/>
      <c r="AV369" s="6"/>
      <c r="AW369" s="8"/>
      <c r="AX369" s="8"/>
      <c r="AY369" s="6"/>
      <c r="AZ369" s="8"/>
      <c r="BA369" s="8"/>
      <c r="BB369" s="6"/>
      <c r="BC369" s="8"/>
      <c r="BD369" s="8"/>
      <c r="BE369" s="6"/>
      <c r="BF369" s="8"/>
      <c r="BG369" s="8"/>
      <c r="BH369" s="6"/>
      <c r="BI369" s="8"/>
      <c r="BJ369" s="8"/>
      <c r="BK369" s="6"/>
      <c r="BL369" s="8"/>
      <c r="BM369" s="8"/>
      <c r="BN369" s="6"/>
      <c r="BO369" s="8"/>
      <c r="BP369" s="8"/>
      <c r="BQ369" s="6"/>
      <c r="BR369" s="8"/>
    </row>
    <row r="370">
      <c r="A370" s="6"/>
      <c r="B370" s="6" t="s">
        <v>370</v>
      </c>
      <c r="C370" s="3" t="str">
        <f t="shared" si="1"/>
        <v>_posh violet</v>
      </c>
      <c r="D370" s="3" t="str">
        <f t="shared" si="5"/>
        <v>#N/A</v>
      </c>
      <c r="E370" s="3" t="b">
        <f t="shared" si="2"/>
        <v>0</v>
      </c>
      <c r="G370" s="3" t="str">
        <f t="shared" si="3"/>
        <v>#N/A</v>
      </c>
      <c r="AU370" s="8"/>
      <c r="AV370" s="6"/>
      <c r="AW370" s="8"/>
      <c r="AX370" s="8"/>
      <c r="AY370" s="6"/>
      <c r="AZ370" s="8"/>
      <c r="BA370" s="8"/>
      <c r="BB370" s="6"/>
      <c r="BC370" s="8"/>
      <c r="BD370" s="8"/>
      <c r="BE370" s="6"/>
      <c r="BF370" s="8"/>
      <c r="BG370" s="8"/>
      <c r="BH370" s="6"/>
      <c r="BI370" s="8"/>
      <c r="BJ370" s="8"/>
      <c r="BK370" s="6"/>
      <c r="BL370" s="8"/>
      <c r="BM370" s="8"/>
      <c r="BN370" s="6"/>
      <c r="BO370" s="8"/>
      <c r="BP370" s="8"/>
      <c r="BQ370" s="6"/>
      <c r="BR370" s="8"/>
    </row>
    <row r="371">
      <c r="A371" s="6"/>
      <c r="B371" s="6" t="s">
        <v>371</v>
      </c>
      <c r="C371" s="3" t="str">
        <f t="shared" si="1"/>
        <v>_clear green</v>
      </c>
      <c r="D371" s="3" t="str">
        <f t="shared" si="5"/>
        <v>#N/A</v>
      </c>
      <c r="E371" s="3" t="b">
        <f t="shared" si="2"/>
        <v>0</v>
      </c>
      <c r="G371" s="3" t="str">
        <f t="shared" si="3"/>
        <v>#N/A</v>
      </c>
      <c r="AU371" s="8"/>
      <c r="AV371" s="6"/>
      <c r="AW371" s="8"/>
      <c r="AX371" s="8"/>
      <c r="AY371" s="6"/>
      <c r="AZ371" s="8"/>
      <c r="BA371" s="8"/>
      <c r="BB371" s="6"/>
      <c r="BC371" s="8"/>
      <c r="BD371" s="8"/>
      <c r="BE371" s="6"/>
      <c r="BF371" s="8"/>
      <c r="BG371" s="8"/>
      <c r="BH371" s="6"/>
      <c r="BI371" s="8"/>
      <c r="BJ371" s="8"/>
      <c r="BK371" s="6"/>
      <c r="BL371" s="8"/>
      <c r="BM371" s="8"/>
      <c r="BN371" s="6"/>
      <c r="BO371" s="8"/>
      <c r="BP371" s="8"/>
      <c r="BQ371" s="6"/>
      <c r="BR371" s="8"/>
    </row>
    <row r="372">
      <c r="A372" s="6"/>
      <c r="B372" s="6" t="s">
        <v>372</v>
      </c>
      <c r="C372" s="3" t="str">
        <f t="shared" si="1"/>
        <v>_dotted plum</v>
      </c>
      <c r="D372" s="3" t="str">
        <f t="shared" si="5"/>
        <v>#N/A</v>
      </c>
      <c r="E372" s="3" t="b">
        <f t="shared" si="2"/>
        <v>0</v>
      </c>
      <c r="G372" s="3" t="str">
        <f t="shared" si="3"/>
        <v>#N/A</v>
      </c>
      <c r="AU372" s="8"/>
      <c r="AV372" s="6"/>
      <c r="AW372" s="8"/>
      <c r="AX372" s="8"/>
      <c r="AY372" s="6"/>
      <c r="AZ372" s="8"/>
      <c r="BA372" s="8"/>
      <c r="BB372" s="6"/>
      <c r="BC372" s="8"/>
      <c r="BD372" s="8"/>
      <c r="BE372" s="6"/>
      <c r="BF372" s="8"/>
      <c r="BG372" s="8"/>
      <c r="BH372" s="6"/>
      <c r="BI372" s="8"/>
      <c r="BJ372" s="8"/>
      <c r="BK372" s="6"/>
      <c r="BL372" s="8"/>
      <c r="BM372" s="8"/>
      <c r="BN372" s="6"/>
      <c r="BO372" s="8"/>
      <c r="BP372" s="8"/>
      <c r="BQ372" s="6"/>
      <c r="BR372" s="8"/>
    </row>
    <row r="373">
      <c r="A373" s="6"/>
      <c r="B373" s="6" t="s">
        <v>373</v>
      </c>
      <c r="C373" s="3" t="str">
        <f t="shared" si="1"/>
        <v>_drab olive</v>
      </c>
      <c r="D373" s="3" t="str">
        <f t="shared" si="5"/>
        <v>#N/A</v>
      </c>
      <c r="E373" s="3" t="b">
        <f t="shared" si="2"/>
        <v>0</v>
      </c>
      <c r="G373" s="3" t="str">
        <f t="shared" si="3"/>
        <v>#N/A</v>
      </c>
      <c r="AU373" s="8"/>
      <c r="AV373" s="6"/>
      <c r="AW373" s="8"/>
      <c r="AX373" s="8"/>
      <c r="AY373" s="6"/>
      <c r="AZ373" s="8"/>
      <c r="BA373" s="8"/>
      <c r="BB373" s="6"/>
      <c r="BC373" s="8"/>
      <c r="BD373" s="8"/>
      <c r="BE373" s="6"/>
      <c r="BF373" s="8"/>
      <c r="BG373" s="8"/>
      <c r="BH373" s="6"/>
      <c r="BI373" s="8"/>
      <c r="BJ373" s="8"/>
      <c r="BK373" s="6"/>
      <c r="BL373" s="8"/>
      <c r="BM373" s="8"/>
      <c r="BN373" s="6"/>
      <c r="BO373" s="8"/>
      <c r="BP373" s="8"/>
      <c r="BQ373" s="6"/>
      <c r="BR373" s="8"/>
    </row>
    <row r="374">
      <c r="A374" s="6"/>
      <c r="B374" s="6" t="s">
        <v>374</v>
      </c>
      <c r="C374" s="3" t="str">
        <f t="shared" si="1"/>
        <v>_wavy turquoise</v>
      </c>
      <c r="D374" s="3" t="str">
        <f t="shared" si="5"/>
        <v>#N/A</v>
      </c>
      <c r="E374" s="3" t="b">
        <f t="shared" si="2"/>
        <v>0</v>
      </c>
      <c r="G374" s="3" t="str">
        <f t="shared" si="3"/>
        <v>#N/A</v>
      </c>
      <c r="AU374" s="8"/>
      <c r="AV374" s="6"/>
      <c r="AW374" s="8"/>
      <c r="AX374" s="8"/>
      <c r="AY374" s="6"/>
      <c r="AZ374" s="8"/>
      <c r="BA374" s="8"/>
      <c r="BB374" s="6"/>
      <c r="BC374" s="8"/>
      <c r="BD374" s="8"/>
      <c r="BE374" s="6"/>
      <c r="BF374" s="8"/>
      <c r="BG374" s="8"/>
      <c r="BH374" s="6"/>
      <c r="BI374" s="8"/>
      <c r="BJ374" s="8"/>
      <c r="BK374" s="6"/>
      <c r="BL374" s="8"/>
      <c r="BM374" s="8"/>
      <c r="BN374" s="6"/>
      <c r="BO374" s="8"/>
      <c r="BP374" s="8"/>
      <c r="BQ374" s="6"/>
      <c r="BR374" s="8"/>
    </row>
    <row r="375">
      <c r="A375" s="6"/>
      <c r="B375" s="6" t="s">
        <v>375</v>
      </c>
      <c r="C375" s="3" t="str">
        <f t="shared" si="1"/>
        <v>_dark violet</v>
      </c>
      <c r="D375" s="3" t="str">
        <f t="shared" si="5"/>
        <v>#N/A</v>
      </c>
      <c r="E375" s="3" t="b">
        <f t="shared" si="2"/>
        <v>0</v>
      </c>
      <c r="G375" s="3" t="str">
        <f t="shared" si="3"/>
        <v>#N/A</v>
      </c>
      <c r="AU375" s="8"/>
      <c r="AV375" s="6"/>
      <c r="AW375" s="8"/>
      <c r="AX375" s="8"/>
      <c r="AY375" s="6"/>
      <c r="AZ375" s="8"/>
      <c r="BA375" s="8"/>
      <c r="BB375" s="6"/>
      <c r="BC375" s="8"/>
      <c r="BD375" s="8"/>
      <c r="BE375" s="6"/>
      <c r="BF375" s="8"/>
      <c r="BG375" s="8"/>
      <c r="BH375" s="6"/>
      <c r="BI375" s="8"/>
      <c r="BJ375" s="8"/>
      <c r="BK375" s="6"/>
      <c r="BL375" s="8"/>
      <c r="BM375" s="8"/>
      <c r="BN375" s="6"/>
      <c r="BO375" s="8"/>
      <c r="BP375" s="8"/>
      <c r="BQ375" s="6"/>
      <c r="BR375" s="8"/>
    </row>
    <row r="376">
      <c r="A376" s="6"/>
      <c r="B376" s="6" t="s">
        <v>376</v>
      </c>
      <c r="C376" s="3" t="str">
        <f t="shared" si="1"/>
        <v>_posh gold</v>
      </c>
      <c r="D376" s="3" t="str">
        <f t="shared" si="5"/>
        <v>#N/A</v>
      </c>
      <c r="E376" s="3" t="b">
        <f t="shared" si="2"/>
        <v>0</v>
      </c>
      <c r="G376" s="3" t="str">
        <f t="shared" si="3"/>
        <v>#N/A</v>
      </c>
      <c r="AU376" s="8"/>
      <c r="AV376" s="6"/>
      <c r="AW376" s="8"/>
      <c r="AX376" s="8"/>
      <c r="AY376" s="6"/>
      <c r="AZ376" s="8"/>
      <c r="BA376" s="8"/>
      <c r="BB376" s="6"/>
      <c r="BC376" s="8"/>
      <c r="BD376" s="8"/>
      <c r="BE376" s="6"/>
      <c r="BF376" s="8"/>
      <c r="BG376" s="8"/>
      <c r="BH376" s="6"/>
      <c r="BI376" s="8"/>
      <c r="BJ376" s="8"/>
      <c r="BK376" s="6"/>
      <c r="BL376" s="8"/>
      <c r="BM376" s="8"/>
      <c r="BN376" s="6"/>
      <c r="BO376" s="8"/>
      <c r="BP376" s="8"/>
      <c r="BQ376" s="6"/>
      <c r="BR376" s="8"/>
    </row>
    <row r="377">
      <c r="A377" s="6"/>
      <c r="B377" s="6" t="s">
        <v>377</v>
      </c>
      <c r="C377" s="3" t="str">
        <f t="shared" si="1"/>
        <v>_dim cyan</v>
      </c>
      <c r="D377" s="3" t="str">
        <f t="shared" si="5"/>
        <v>#N/A</v>
      </c>
      <c r="E377" s="3" t="b">
        <f t="shared" si="2"/>
        <v>0</v>
      </c>
      <c r="G377" s="3" t="str">
        <f t="shared" si="3"/>
        <v>#N/A</v>
      </c>
      <c r="AU377" s="8"/>
      <c r="AV377" s="6"/>
      <c r="AW377" s="8"/>
      <c r="AX377" s="8"/>
      <c r="AY377" s="6"/>
      <c r="AZ377" s="8"/>
      <c r="BA377" s="8"/>
      <c r="BB377" s="6"/>
      <c r="BC377" s="8"/>
      <c r="BD377" s="8"/>
      <c r="BE377" s="6"/>
      <c r="BF377" s="8"/>
      <c r="BG377" s="8"/>
      <c r="BH377" s="6"/>
      <c r="BI377" s="8"/>
      <c r="BJ377" s="8"/>
      <c r="BK377" s="6"/>
      <c r="BL377" s="8"/>
      <c r="BM377" s="8"/>
      <c r="BN377" s="6"/>
      <c r="BO377" s="8"/>
      <c r="BP377" s="8"/>
      <c r="BQ377" s="6"/>
      <c r="BR377" s="8"/>
    </row>
    <row r="378">
      <c r="A378" s="6"/>
      <c r="B378" s="6" t="s">
        <v>378</v>
      </c>
      <c r="C378" s="3" t="str">
        <f t="shared" si="1"/>
        <v>_posh red</v>
      </c>
      <c r="D378" s="3" t="str">
        <f t="shared" si="5"/>
        <v>#N/A</v>
      </c>
      <c r="E378" s="3" t="b">
        <f t="shared" si="2"/>
        <v>0</v>
      </c>
      <c r="G378" s="3" t="str">
        <f t="shared" si="3"/>
        <v>#N/A</v>
      </c>
      <c r="AU378" s="8"/>
      <c r="AV378" s="6"/>
      <c r="AW378" s="8"/>
      <c r="AX378" s="8"/>
      <c r="AY378" s="6"/>
      <c r="AZ378" s="8"/>
      <c r="BA378" s="8"/>
      <c r="BB378" s="6"/>
      <c r="BC378" s="8"/>
      <c r="BD378" s="8"/>
      <c r="BE378" s="6"/>
      <c r="BF378" s="8"/>
      <c r="BG378" s="8"/>
      <c r="BH378" s="6"/>
      <c r="BI378" s="8"/>
      <c r="BJ378" s="8"/>
      <c r="BK378" s="6"/>
      <c r="BL378" s="8"/>
      <c r="BM378" s="8"/>
      <c r="BN378" s="6"/>
      <c r="BO378" s="8"/>
      <c r="BP378" s="8"/>
      <c r="BQ378" s="6"/>
      <c r="BR378" s="8"/>
    </row>
    <row r="379">
      <c r="A379" s="6"/>
      <c r="B379" s="6" t="s">
        <v>379</v>
      </c>
      <c r="C379" s="3" t="str">
        <f t="shared" si="1"/>
        <v>_dull tan</v>
      </c>
      <c r="D379" s="3" t="str">
        <f t="shared" si="5"/>
        <v>#N/A</v>
      </c>
      <c r="E379" s="3" t="b">
        <f t="shared" si="2"/>
        <v>0</v>
      </c>
      <c r="G379" s="3" t="str">
        <f t="shared" si="3"/>
        <v>#N/A</v>
      </c>
      <c r="AU379" s="8"/>
      <c r="AV379" s="6"/>
      <c r="AW379" s="8"/>
      <c r="AX379" s="8"/>
      <c r="AY379" s="6"/>
      <c r="AZ379" s="8"/>
      <c r="BA379" s="8"/>
      <c r="BB379" s="6"/>
      <c r="BC379" s="8"/>
      <c r="BD379" s="8"/>
      <c r="BE379" s="6"/>
      <c r="BF379" s="8"/>
      <c r="BG379" s="8"/>
      <c r="BH379" s="6"/>
      <c r="BI379" s="8"/>
      <c r="BJ379" s="8"/>
      <c r="BK379" s="6"/>
      <c r="BL379" s="8"/>
      <c r="BM379" s="8"/>
      <c r="BN379" s="6"/>
      <c r="BO379" s="8"/>
      <c r="BP379" s="8"/>
      <c r="BQ379" s="6"/>
      <c r="BR379" s="8"/>
    </row>
    <row r="380">
      <c r="A380" s="6"/>
      <c r="B380" s="6" t="s">
        <v>380</v>
      </c>
      <c r="C380" s="3" t="str">
        <f t="shared" si="1"/>
        <v>_faded indigo</v>
      </c>
      <c r="D380" s="3" t="str">
        <f t="shared" si="5"/>
        <v>#N/A</v>
      </c>
      <c r="E380" s="3" t="b">
        <f t="shared" si="2"/>
        <v>0</v>
      </c>
      <c r="G380" s="3" t="str">
        <f t="shared" si="3"/>
        <v>#N/A</v>
      </c>
      <c r="AU380" s="8"/>
      <c r="AV380" s="6"/>
      <c r="AW380" s="8"/>
      <c r="AX380" s="8"/>
      <c r="AY380" s="6"/>
      <c r="AZ380" s="8"/>
      <c r="BA380" s="8"/>
      <c r="BB380" s="6"/>
      <c r="BC380" s="8"/>
      <c r="BD380" s="8"/>
      <c r="BE380" s="6"/>
      <c r="BF380" s="8"/>
      <c r="BG380" s="8"/>
      <c r="BH380" s="6"/>
      <c r="BI380" s="8"/>
      <c r="BJ380" s="8"/>
      <c r="BK380" s="6"/>
      <c r="BL380" s="8"/>
      <c r="BM380" s="8"/>
      <c r="BN380" s="6"/>
      <c r="BO380" s="8"/>
      <c r="BP380" s="8"/>
      <c r="BQ380" s="6"/>
      <c r="BR380" s="8"/>
    </row>
    <row r="381">
      <c r="A381" s="6"/>
      <c r="B381" s="6" t="s">
        <v>381</v>
      </c>
      <c r="C381" s="3" t="str">
        <f t="shared" si="1"/>
        <v>_clear violet</v>
      </c>
      <c r="D381" s="3" t="str">
        <f t="shared" si="5"/>
        <v>#N/A</v>
      </c>
      <c r="E381" s="3" t="b">
        <f t="shared" si="2"/>
        <v>0</v>
      </c>
      <c r="G381" s="3" t="str">
        <f t="shared" si="3"/>
        <v>#N/A</v>
      </c>
      <c r="AU381" s="8"/>
      <c r="AV381" s="6"/>
      <c r="AW381" s="8"/>
      <c r="AX381" s="8"/>
      <c r="AY381" s="6"/>
      <c r="AZ381" s="8"/>
      <c r="BA381" s="8"/>
      <c r="BB381" s="6"/>
      <c r="BC381" s="8"/>
      <c r="BD381" s="8"/>
      <c r="BE381" s="6"/>
      <c r="BF381" s="8"/>
      <c r="BG381" s="8"/>
      <c r="BH381" s="6"/>
      <c r="BI381" s="8"/>
      <c r="BJ381" s="8"/>
      <c r="BK381" s="6"/>
      <c r="BL381" s="8"/>
      <c r="BM381" s="8"/>
      <c r="BN381" s="6"/>
      <c r="BO381" s="8"/>
      <c r="BP381" s="8"/>
      <c r="BQ381" s="6"/>
      <c r="BR381" s="8"/>
    </row>
    <row r="382">
      <c r="A382" s="6"/>
      <c r="B382" s="6" t="s">
        <v>382</v>
      </c>
      <c r="C382" s="3" t="str">
        <f t="shared" si="1"/>
        <v>_clear indigo</v>
      </c>
      <c r="D382" s="3" t="str">
        <f t="shared" si="5"/>
        <v>#N/A</v>
      </c>
      <c r="E382" s="3" t="b">
        <f t="shared" si="2"/>
        <v>0</v>
      </c>
      <c r="G382" s="3" t="str">
        <f t="shared" si="3"/>
        <v>#N/A</v>
      </c>
      <c r="AU382" s="8"/>
      <c r="AV382" s="6"/>
      <c r="AW382" s="8"/>
      <c r="AX382" s="8"/>
      <c r="AY382" s="6"/>
      <c r="AZ382" s="8"/>
      <c r="BA382" s="8"/>
      <c r="BB382" s="6"/>
      <c r="BC382" s="8"/>
      <c r="BD382" s="8"/>
      <c r="BE382" s="6"/>
      <c r="BF382" s="8"/>
      <c r="BG382" s="8"/>
      <c r="BH382" s="6"/>
      <c r="BI382" s="8"/>
      <c r="BJ382" s="8"/>
      <c r="BK382" s="6"/>
      <c r="BL382" s="8"/>
      <c r="BM382" s="8"/>
      <c r="BN382" s="6"/>
      <c r="BO382" s="8"/>
      <c r="BP382" s="8"/>
      <c r="BQ382" s="6"/>
      <c r="BR382" s="8"/>
    </row>
    <row r="383">
      <c r="A383" s="6"/>
      <c r="B383" s="6" t="s">
        <v>383</v>
      </c>
      <c r="C383" s="3" t="str">
        <f t="shared" si="1"/>
        <v>_bright turquoise</v>
      </c>
      <c r="D383" s="3" t="str">
        <f t="shared" si="5"/>
        <v>#N/A</v>
      </c>
      <c r="E383" s="3" t="b">
        <f t="shared" si="2"/>
        <v>0</v>
      </c>
      <c r="G383" s="3" t="str">
        <f t="shared" si="3"/>
        <v>#N/A</v>
      </c>
      <c r="AU383" s="8"/>
      <c r="AV383" s="6"/>
      <c r="AW383" s="8"/>
      <c r="AX383" s="8"/>
      <c r="AY383" s="6"/>
      <c r="AZ383" s="8"/>
      <c r="BA383" s="8"/>
      <c r="BB383" s="6"/>
      <c r="BC383" s="8"/>
      <c r="BD383" s="8"/>
      <c r="BE383" s="6"/>
      <c r="BF383" s="8"/>
      <c r="BG383" s="8"/>
      <c r="BH383" s="6"/>
      <c r="BI383" s="8"/>
      <c r="BJ383" s="8"/>
      <c r="BK383" s="6"/>
      <c r="BL383" s="8"/>
      <c r="BM383" s="8"/>
      <c r="BN383" s="6"/>
      <c r="BO383" s="8"/>
      <c r="BP383" s="8"/>
      <c r="BQ383" s="6"/>
      <c r="BR383" s="8"/>
    </row>
    <row r="384">
      <c r="A384" s="6"/>
      <c r="B384" s="6" t="s">
        <v>384</v>
      </c>
      <c r="C384" s="3" t="str">
        <f t="shared" si="1"/>
        <v>_muted tomato</v>
      </c>
      <c r="D384" s="3" t="str">
        <f t="shared" si="5"/>
        <v>#N/A</v>
      </c>
      <c r="E384" s="3" t="b">
        <f t="shared" si="2"/>
        <v>0</v>
      </c>
      <c r="G384" s="3" t="str">
        <f t="shared" si="3"/>
        <v>#N/A</v>
      </c>
      <c r="AU384" s="8"/>
      <c r="AV384" s="6"/>
      <c r="AW384" s="8"/>
      <c r="AX384" s="8"/>
      <c r="AY384" s="6"/>
      <c r="AZ384" s="8"/>
      <c r="BA384" s="8"/>
      <c r="BB384" s="6"/>
      <c r="BC384" s="8"/>
      <c r="BD384" s="8"/>
      <c r="BE384" s="6"/>
      <c r="BF384" s="8"/>
      <c r="BG384" s="8"/>
      <c r="BH384" s="6"/>
      <c r="BI384" s="8"/>
      <c r="BJ384" s="8"/>
      <c r="BK384" s="6"/>
      <c r="BL384" s="8"/>
      <c r="BM384" s="8"/>
      <c r="BN384" s="6"/>
      <c r="BO384" s="8"/>
      <c r="BP384" s="8"/>
      <c r="BQ384" s="6"/>
      <c r="BR384" s="8"/>
    </row>
    <row r="385">
      <c r="A385" s="6"/>
      <c r="B385" s="6" t="s">
        <v>385</v>
      </c>
      <c r="C385" s="3" t="str">
        <f t="shared" si="1"/>
        <v>_posh silver</v>
      </c>
      <c r="D385" s="3" t="str">
        <f t="shared" si="5"/>
        <v>#N/A</v>
      </c>
      <c r="E385" s="3" t="b">
        <f t="shared" si="2"/>
        <v>0</v>
      </c>
      <c r="G385" s="3" t="str">
        <f t="shared" si="3"/>
        <v>#N/A</v>
      </c>
      <c r="AU385" s="8"/>
      <c r="AV385" s="6"/>
      <c r="AW385" s="8"/>
      <c r="AX385" s="8"/>
      <c r="AY385" s="6"/>
      <c r="AZ385" s="8"/>
      <c r="BA385" s="8"/>
      <c r="BB385" s="6"/>
      <c r="BC385" s="8"/>
      <c r="BD385" s="8"/>
      <c r="BE385" s="6"/>
      <c r="BF385" s="8"/>
      <c r="BG385" s="8"/>
      <c r="BH385" s="6"/>
      <c r="BI385" s="8"/>
      <c r="BJ385" s="8"/>
      <c r="BK385" s="6"/>
      <c r="BL385" s="8"/>
      <c r="BM385" s="8"/>
      <c r="BN385" s="6"/>
      <c r="BO385" s="8"/>
      <c r="BP385" s="8"/>
      <c r="BQ385" s="6"/>
      <c r="BR385" s="8"/>
    </row>
    <row r="386">
      <c r="A386" s="6"/>
      <c r="B386" s="6" t="s">
        <v>386</v>
      </c>
      <c r="C386" s="3" t="str">
        <f t="shared" si="1"/>
        <v>_mirrored olive</v>
      </c>
      <c r="D386" s="3" t="str">
        <f t="shared" si="5"/>
        <v>#N/A</v>
      </c>
      <c r="E386" s="3" t="b">
        <f t="shared" si="2"/>
        <v>0</v>
      </c>
      <c r="G386" s="3" t="str">
        <f t="shared" si="3"/>
        <v>#N/A</v>
      </c>
      <c r="AU386" s="8"/>
      <c r="AV386" s="6"/>
      <c r="AW386" s="8"/>
      <c r="AX386" s="8"/>
      <c r="AY386" s="6"/>
      <c r="AZ386" s="8"/>
      <c r="BA386" s="8"/>
      <c r="BB386" s="6"/>
      <c r="BC386" s="8"/>
      <c r="BD386" s="8"/>
      <c r="BE386" s="6"/>
      <c r="BF386" s="8"/>
      <c r="BG386" s="8"/>
      <c r="BH386" s="6"/>
      <c r="BI386" s="8"/>
      <c r="BJ386" s="8"/>
      <c r="BK386" s="6"/>
      <c r="BL386" s="8"/>
      <c r="BM386" s="8"/>
      <c r="BN386" s="6"/>
      <c r="BO386" s="8"/>
      <c r="BP386" s="8"/>
      <c r="BQ386" s="6"/>
      <c r="BR386" s="8"/>
    </row>
    <row r="387">
      <c r="A387" s="6"/>
      <c r="B387" s="6" t="s">
        <v>387</v>
      </c>
      <c r="C387" s="3" t="str">
        <f t="shared" si="1"/>
        <v>_shiny tomato</v>
      </c>
      <c r="D387" s="3" t="str">
        <f t="shared" si="5"/>
        <v>#N/A</v>
      </c>
      <c r="E387" s="3" t="b">
        <f t="shared" si="2"/>
        <v>0</v>
      </c>
      <c r="G387" s="3" t="str">
        <f t="shared" si="3"/>
        <v>#N/A</v>
      </c>
      <c r="AU387" s="8"/>
      <c r="AV387" s="6"/>
      <c r="AW387" s="8"/>
      <c r="AX387" s="8"/>
      <c r="AY387" s="6"/>
      <c r="AZ387" s="8"/>
      <c r="BA387" s="8"/>
      <c r="BB387" s="6"/>
      <c r="BC387" s="8"/>
      <c r="BD387" s="8"/>
      <c r="BE387" s="6"/>
      <c r="BF387" s="8"/>
      <c r="BG387" s="8"/>
      <c r="BH387" s="6"/>
      <c r="BI387" s="8"/>
      <c r="BJ387" s="8"/>
      <c r="BK387" s="6"/>
      <c r="BL387" s="8"/>
      <c r="BM387" s="8"/>
      <c r="BN387" s="6"/>
      <c r="BO387" s="8"/>
      <c r="BP387" s="8"/>
      <c r="BQ387" s="6"/>
      <c r="BR387" s="8"/>
    </row>
    <row r="388">
      <c r="A388" s="6"/>
      <c r="B388" s="6" t="s">
        <v>388</v>
      </c>
      <c r="C388" s="3" t="str">
        <f t="shared" si="1"/>
        <v>_striped coral</v>
      </c>
      <c r="D388" s="3" t="str">
        <f t="shared" si="5"/>
        <v>#N/A</v>
      </c>
      <c r="E388" s="3" t="b">
        <f t="shared" si="2"/>
        <v>0</v>
      </c>
      <c r="G388" s="3" t="str">
        <f t="shared" si="3"/>
        <v>#N/A</v>
      </c>
      <c r="AU388" s="8"/>
      <c r="AV388" s="6"/>
      <c r="AW388" s="8"/>
      <c r="AX388" s="8"/>
      <c r="AY388" s="6"/>
      <c r="AZ388" s="8"/>
      <c r="BA388" s="8"/>
      <c r="BB388" s="6"/>
      <c r="BC388" s="8"/>
      <c r="BD388" s="8"/>
      <c r="BE388" s="6"/>
      <c r="BF388" s="8"/>
      <c r="BG388" s="8"/>
      <c r="BH388" s="6"/>
      <c r="BI388" s="8"/>
      <c r="BJ388" s="8"/>
      <c r="BK388" s="6"/>
      <c r="BL388" s="8"/>
      <c r="BM388" s="8"/>
      <c r="BN388" s="6"/>
      <c r="BO388" s="8"/>
      <c r="BP388" s="8"/>
      <c r="BQ388" s="6"/>
      <c r="BR388" s="8"/>
    </row>
    <row r="389">
      <c r="A389" s="6"/>
      <c r="B389" s="6" t="s">
        <v>389</v>
      </c>
      <c r="C389" s="3" t="str">
        <f t="shared" si="1"/>
        <v>_mirrored chartreuse</v>
      </c>
      <c r="D389" s="3" t="str">
        <f t="shared" si="5"/>
        <v>#N/A</v>
      </c>
      <c r="E389" s="3" t="b">
        <f t="shared" si="2"/>
        <v>0</v>
      </c>
      <c r="G389" s="3" t="str">
        <f t="shared" si="3"/>
        <v>#N/A</v>
      </c>
      <c r="AU389" s="8"/>
      <c r="AV389" s="6"/>
      <c r="AW389" s="8"/>
      <c r="AX389" s="8"/>
      <c r="AY389" s="6"/>
      <c r="AZ389" s="8"/>
      <c r="BA389" s="8"/>
      <c r="BB389" s="6"/>
      <c r="BC389" s="8"/>
      <c r="BD389" s="8"/>
      <c r="BE389" s="6"/>
      <c r="BF389" s="8"/>
      <c r="BG389" s="8"/>
      <c r="BH389" s="6"/>
      <c r="BI389" s="8"/>
      <c r="BJ389" s="8"/>
      <c r="BK389" s="6"/>
      <c r="BL389" s="8"/>
      <c r="BM389" s="8"/>
      <c r="BN389" s="6"/>
      <c r="BO389" s="8"/>
      <c r="BP389" s="8"/>
      <c r="BQ389" s="6"/>
      <c r="BR389" s="8"/>
    </row>
    <row r="390">
      <c r="A390" s="6"/>
      <c r="B390" s="6" t="s">
        <v>390</v>
      </c>
      <c r="C390" s="3" t="str">
        <f t="shared" si="1"/>
        <v>_pale maroon</v>
      </c>
      <c r="D390" s="3" t="str">
        <f t="shared" si="5"/>
        <v>#N/A</v>
      </c>
      <c r="E390" s="3" t="b">
        <f t="shared" si="2"/>
        <v>0</v>
      </c>
      <c r="G390" s="3" t="str">
        <f t="shared" si="3"/>
        <v>#N/A</v>
      </c>
      <c r="AU390" s="8"/>
      <c r="AV390" s="6"/>
      <c r="AW390" s="8"/>
      <c r="AX390" s="8"/>
      <c r="AY390" s="6"/>
      <c r="AZ390" s="8"/>
      <c r="BA390" s="8"/>
      <c r="BB390" s="6"/>
      <c r="BC390" s="8"/>
      <c r="BD390" s="8"/>
      <c r="BE390" s="6"/>
      <c r="BF390" s="8"/>
      <c r="BG390" s="8"/>
      <c r="BH390" s="6"/>
      <c r="BI390" s="8"/>
      <c r="BJ390" s="8"/>
      <c r="BK390" s="6"/>
      <c r="BL390" s="8"/>
      <c r="BM390" s="8"/>
      <c r="BN390" s="6"/>
      <c r="BO390" s="8"/>
      <c r="BP390" s="8"/>
      <c r="BQ390" s="6"/>
      <c r="BR390" s="8"/>
    </row>
    <row r="391">
      <c r="A391" s="6"/>
      <c r="B391" s="6" t="s">
        <v>391</v>
      </c>
      <c r="C391" s="3" t="str">
        <f t="shared" si="1"/>
        <v>_striped black</v>
      </c>
      <c r="D391" s="3" t="str">
        <f t="shared" si="5"/>
        <v>#N/A</v>
      </c>
      <c r="E391" s="3" t="b">
        <f t="shared" si="2"/>
        <v>0</v>
      </c>
      <c r="G391" s="3" t="str">
        <f t="shared" si="3"/>
        <v>#N/A</v>
      </c>
      <c r="AU391" s="8"/>
      <c r="AV391" s="6"/>
      <c r="AW391" s="8"/>
      <c r="AX391" s="8"/>
      <c r="AY391" s="6"/>
      <c r="AZ391" s="8"/>
      <c r="BA391" s="8"/>
      <c r="BB391" s="6"/>
      <c r="BC391" s="8"/>
      <c r="BD391" s="8"/>
      <c r="BE391" s="6"/>
      <c r="BF391" s="8"/>
      <c r="BG391" s="8"/>
      <c r="BH391" s="6"/>
      <c r="BI391" s="8"/>
      <c r="BJ391" s="8"/>
      <c r="BK391" s="6"/>
      <c r="BL391" s="8"/>
      <c r="BM391" s="8"/>
      <c r="BN391" s="6"/>
      <c r="BO391" s="8"/>
      <c r="BP391" s="8"/>
      <c r="BQ391" s="6"/>
      <c r="BR391" s="8"/>
    </row>
    <row r="392">
      <c r="A392" s="6"/>
      <c r="B392" s="6" t="s">
        <v>392</v>
      </c>
      <c r="C392" s="3" t="str">
        <f t="shared" si="1"/>
        <v>_dim maroon</v>
      </c>
      <c r="D392" s="3" t="str">
        <f t="shared" si="5"/>
        <v>#N/A</v>
      </c>
      <c r="E392" s="3" t="b">
        <f t="shared" si="2"/>
        <v>0</v>
      </c>
      <c r="G392" s="3" t="str">
        <f t="shared" si="3"/>
        <v>#N/A</v>
      </c>
      <c r="AU392" s="8"/>
      <c r="AV392" s="6"/>
      <c r="AW392" s="8"/>
      <c r="AX392" s="8"/>
      <c r="AY392" s="6"/>
      <c r="AZ392" s="8"/>
      <c r="BA392" s="8"/>
      <c r="BB392" s="6"/>
      <c r="BC392" s="8"/>
      <c r="BD392" s="8"/>
      <c r="BE392" s="6"/>
      <c r="BF392" s="8"/>
      <c r="BG392" s="8"/>
      <c r="BH392" s="6"/>
      <c r="BI392" s="8"/>
      <c r="BJ392" s="8"/>
      <c r="BK392" s="6"/>
      <c r="BL392" s="8"/>
      <c r="BM392" s="8"/>
      <c r="BN392" s="6"/>
      <c r="BO392" s="8"/>
      <c r="BP392" s="8"/>
      <c r="BQ392" s="6"/>
      <c r="BR392" s="8"/>
    </row>
    <row r="393">
      <c r="A393" s="6"/>
      <c r="B393" s="6" t="s">
        <v>393</v>
      </c>
      <c r="C393" s="3" t="str">
        <f t="shared" si="1"/>
        <v>_bright beige</v>
      </c>
      <c r="D393" s="3" t="str">
        <f t="shared" si="5"/>
        <v>#N/A</v>
      </c>
      <c r="E393" s="3" t="b">
        <f t="shared" si="2"/>
        <v>0</v>
      </c>
      <c r="G393" s="3" t="str">
        <f t="shared" si="3"/>
        <v>#N/A</v>
      </c>
      <c r="AU393" s="8"/>
      <c r="AV393" s="6"/>
      <c r="AW393" s="8"/>
      <c r="AX393" s="8"/>
      <c r="AY393" s="6"/>
      <c r="AZ393" s="8"/>
      <c r="BA393" s="8"/>
      <c r="BB393" s="6"/>
      <c r="BC393" s="8"/>
      <c r="BD393" s="8"/>
      <c r="BE393" s="6"/>
      <c r="BF393" s="8"/>
      <c r="BG393" s="8"/>
      <c r="BH393" s="6"/>
      <c r="BI393" s="8"/>
      <c r="BJ393" s="8"/>
      <c r="BK393" s="6"/>
      <c r="BL393" s="8"/>
      <c r="BM393" s="8"/>
      <c r="BN393" s="6"/>
      <c r="BO393" s="8"/>
      <c r="BP393" s="8"/>
      <c r="BQ393" s="6"/>
      <c r="BR393" s="8"/>
    </row>
    <row r="394">
      <c r="A394" s="6"/>
      <c r="B394" s="6" t="s">
        <v>394</v>
      </c>
      <c r="C394" s="3" t="str">
        <f t="shared" si="1"/>
        <v>_shiny gray</v>
      </c>
      <c r="D394" s="3" t="str">
        <f t="shared" si="5"/>
        <v>#N/A</v>
      </c>
      <c r="E394" s="3" t="b">
        <f t="shared" si="2"/>
        <v>0</v>
      </c>
      <c r="G394" s="3" t="str">
        <f t="shared" si="3"/>
        <v>#N/A</v>
      </c>
      <c r="AU394" s="8"/>
      <c r="AV394" s="6"/>
      <c r="AW394" s="8"/>
      <c r="AX394" s="8"/>
      <c r="AY394" s="6"/>
      <c r="AZ394" s="8"/>
      <c r="BA394" s="8"/>
      <c r="BB394" s="6"/>
      <c r="BC394" s="8"/>
      <c r="BD394" s="8"/>
      <c r="BE394" s="6"/>
      <c r="BF394" s="8"/>
      <c r="BG394" s="8"/>
      <c r="BH394" s="6"/>
      <c r="BI394" s="8"/>
      <c r="BJ394" s="8"/>
      <c r="BK394" s="6"/>
      <c r="BL394" s="8"/>
      <c r="BM394" s="8"/>
      <c r="BN394" s="6"/>
      <c r="BO394" s="8"/>
      <c r="BP394" s="8"/>
      <c r="BQ394" s="6"/>
      <c r="BR394" s="8"/>
    </row>
    <row r="395">
      <c r="A395" s="6"/>
      <c r="B395" s="6" t="s">
        <v>395</v>
      </c>
      <c r="C395" s="3" t="str">
        <f t="shared" si="1"/>
        <v>_drab lime</v>
      </c>
      <c r="D395" s="3" t="str">
        <f t="shared" si="5"/>
        <v>#N/A</v>
      </c>
      <c r="E395" s="3" t="b">
        <f t="shared" si="2"/>
        <v>0</v>
      </c>
      <c r="G395" s="3" t="str">
        <f t="shared" si="3"/>
        <v>#N/A</v>
      </c>
      <c r="AU395" s="8"/>
      <c r="AV395" s="6"/>
      <c r="AW395" s="8"/>
      <c r="AX395" s="8"/>
      <c r="AY395" s="6"/>
      <c r="AZ395" s="8"/>
      <c r="BA395" s="8"/>
      <c r="BB395" s="6"/>
      <c r="BC395" s="8"/>
      <c r="BD395" s="8"/>
      <c r="BE395" s="6"/>
      <c r="BF395" s="8"/>
      <c r="BG395" s="8"/>
      <c r="BH395" s="6"/>
      <c r="BI395" s="8"/>
      <c r="BJ395" s="8"/>
      <c r="BK395" s="6"/>
      <c r="BL395" s="8"/>
      <c r="BM395" s="8"/>
      <c r="BN395" s="6"/>
      <c r="BO395" s="8"/>
      <c r="BP395" s="8"/>
      <c r="BQ395" s="6"/>
      <c r="BR395" s="8"/>
    </row>
    <row r="396">
      <c r="A396" s="6"/>
      <c r="B396" s="6" t="s">
        <v>396</v>
      </c>
      <c r="C396" s="3" t="str">
        <f t="shared" si="1"/>
        <v>_dull gray</v>
      </c>
      <c r="D396" s="3" t="str">
        <f t="shared" si="5"/>
        <v>#N/A</v>
      </c>
      <c r="E396" s="3" t="b">
        <f t="shared" si="2"/>
        <v>0</v>
      </c>
      <c r="G396" s="3" t="str">
        <f t="shared" si="3"/>
        <v>#N/A</v>
      </c>
      <c r="AU396" s="8"/>
      <c r="AV396" s="6"/>
      <c r="AW396" s="8"/>
      <c r="AX396" s="8"/>
      <c r="AY396" s="6"/>
      <c r="AZ396" s="8"/>
      <c r="BA396" s="8"/>
      <c r="BB396" s="6"/>
      <c r="BC396" s="8"/>
      <c r="BD396" s="8"/>
      <c r="BE396" s="6"/>
      <c r="BF396" s="8"/>
      <c r="BG396" s="8"/>
      <c r="BH396" s="6"/>
      <c r="BI396" s="8"/>
      <c r="BJ396" s="8"/>
      <c r="BK396" s="6"/>
      <c r="BL396" s="8"/>
      <c r="BM396" s="8"/>
      <c r="BN396" s="6"/>
      <c r="BO396" s="8"/>
      <c r="BP396" s="8"/>
      <c r="BQ396" s="6"/>
      <c r="BR396" s="8"/>
    </row>
    <row r="397">
      <c r="A397" s="6"/>
      <c r="B397" s="6" t="s">
        <v>397</v>
      </c>
      <c r="C397" s="3" t="str">
        <f t="shared" si="1"/>
        <v>_light olive</v>
      </c>
      <c r="D397" s="3" t="str">
        <f t="shared" si="5"/>
        <v>#N/A</v>
      </c>
      <c r="E397" s="3" t="b">
        <f t="shared" si="2"/>
        <v>0</v>
      </c>
      <c r="G397" s="3" t="str">
        <f t="shared" si="3"/>
        <v>#N/A</v>
      </c>
      <c r="AU397" s="8"/>
      <c r="AV397" s="6"/>
      <c r="AW397" s="8"/>
      <c r="AX397" s="8"/>
      <c r="AY397" s="6"/>
      <c r="AZ397" s="8"/>
      <c r="BA397" s="8"/>
      <c r="BB397" s="6"/>
      <c r="BC397" s="8"/>
      <c r="BD397" s="8"/>
      <c r="BE397" s="6"/>
      <c r="BF397" s="8"/>
      <c r="BG397" s="8"/>
      <c r="BH397" s="6"/>
      <c r="BI397" s="8"/>
      <c r="BJ397" s="8"/>
      <c r="BK397" s="6"/>
      <c r="BL397" s="8"/>
      <c r="BM397" s="8"/>
      <c r="BN397" s="6"/>
      <c r="BO397" s="8"/>
      <c r="BP397" s="8"/>
      <c r="BQ397" s="6"/>
      <c r="BR397" s="8"/>
    </row>
    <row r="398">
      <c r="A398" s="6"/>
      <c r="B398" s="6" t="s">
        <v>398</v>
      </c>
      <c r="C398" s="3" t="str">
        <f t="shared" si="1"/>
        <v>_vibrant violet</v>
      </c>
      <c r="D398" s="3" t="str">
        <f t="shared" si="5"/>
        <v>#N/A</v>
      </c>
      <c r="E398" s="3" t="b">
        <f t="shared" si="2"/>
        <v>0</v>
      </c>
      <c r="G398" s="3" t="str">
        <f t="shared" si="3"/>
        <v>#N/A</v>
      </c>
      <c r="AU398" s="8"/>
      <c r="AV398" s="6"/>
      <c r="AW398" s="8"/>
      <c r="AX398" s="8"/>
      <c r="AY398" s="6"/>
      <c r="AZ398" s="8"/>
      <c r="BA398" s="8"/>
      <c r="BB398" s="6"/>
      <c r="BC398" s="8"/>
      <c r="BD398" s="8"/>
      <c r="BE398" s="6"/>
      <c r="BF398" s="8"/>
      <c r="BG398" s="8"/>
      <c r="BH398" s="6"/>
      <c r="BI398" s="8"/>
      <c r="BJ398" s="8"/>
      <c r="BK398" s="6"/>
      <c r="BL398" s="8"/>
      <c r="BM398" s="8"/>
      <c r="BN398" s="6"/>
      <c r="BO398" s="8"/>
      <c r="BP398" s="8"/>
      <c r="BQ398" s="6"/>
      <c r="BR398" s="8"/>
    </row>
    <row r="399">
      <c r="A399" s="6"/>
      <c r="B399" s="6" t="s">
        <v>399</v>
      </c>
      <c r="C399" s="3" t="str">
        <f t="shared" si="1"/>
        <v>_posh lavender</v>
      </c>
      <c r="D399" s="3" t="str">
        <f t="shared" si="5"/>
        <v>#N/A</v>
      </c>
      <c r="E399" s="3" t="b">
        <f t="shared" si="2"/>
        <v>0</v>
      </c>
      <c r="G399" s="3" t="str">
        <f t="shared" si="3"/>
        <v>#N/A</v>
      </c>
      <c r="AU399" s="8"/>
      <c r="AV399" s="6"/>
      <c r="AW399" s="8"/>
      <c r="AX399" s="8"/>
      <c r="AY399" s="6"/>
      <c r="AZ399" s="8"/>
      <c r="BA399" s="8"/>
      <c r="BB399" s="6"/>
      <c r="BC399" s="8"/>
      <c r="BD399" s="8"/>
      <c r="BE399" s="6"/>
      <c r="BF399" s="8"/>
      <c r="BG399" s="8"/>
      <c r="BH399" s="6"/>
      <c r="BI399" s="8"/>
      <c r="BJ399" s="8"/>
      <c r="BK399" s="6"/>
      <c r="BL399" s="8"/>
      <c r="BM399" s="8"/>
      <c r="BN399" s="6"/>
      <c r="BO399" s="8"/>
      <c r="BP399" s="8"/>
      <c r="BQ399" s="6"/>
      <c r="BR399" s="8"/>
    </row>
    <row r="400">
      <c r="A400" s="6"/>
      <c r="B400" s="6" t="s">
        <v>400</v>
      </c>
      <c r="C400" s="3" t="str">
        <f t="shared" si="1"/>
        <v>_plaid coral</v>
      </c>
      <c r="D400" s="3" t="str">
        <f t="shared" si="5"/>
        <v>#N/A</v>
      </c>
      <c r="E400" s="3" t="b">
        <f t="shared" si="2"/>
        <v>0</v>
      </c>
      <c r="G400" s="3" t="str">
        <f t="shared" si="3"/>
        <v>#N/A</v>
      </c>
      <c r="AU400" s="8"/>
      <c r="AV400" s="6"/>
      <c r="AW400" s="8"/>
      <c r="AX400" s="8"/>
      <c r="AY400" s="6"/>
      <c r="AZ400" s="8"/>
      <c r="BA400" s="8"/>
      <c r="BB400" s="6"/>
      <c r="BC400" s="8"/>
      <c r="BD400" s="8"/>
      <c r="BE400" s="6"/>
      <c r="BF400" s="8"/>
      <c r="BG400" s="8"/>
      <c r="BH400" s="6"/>
      <c r="BI400" s="8"/>
      <c r="BJ400" s="8"/>
      <c r="BK400" s="6"/>
      <c r="BL400" s="8"/>
      <c r="BM400" s="8"/>
      <c r="BN400" s="6"/>
      <c r="BO400" s="8"/>
      <c r="BP400" s="8"/>
      <c r="BQ400" s="6"/>
      <c r="BR400" s="8"/>
    </row>
    <row r="401">
      <c r="A401" s="6"/>
      <c r="B401" s="6" t="s">
        <v>401</v>
      </c>
      <c r="C401" s="3" t="str">
        <f t="shared" si="1"/>
        <v>_vibrant blue</v>
      </c>
      <c r="D401" s="3" t="str">
        <f t="shared" si="5"/>
        <v>#N/A</v>
      </c>
      <c r="E401" s="3" t="b">
        <f t="shared" si="2"/>
        <v>0</v>
      </c>
      <c r="G401" s="3" t="str">
        <f t="shared" si="3"/>
        <v>#N/A</v>
      </c>
      <c r="AU401" s="8"/>
      <c r="AV401" s="6"/>
      <c r="AW401" s="8"/>
      <c r="AX401" s="8"/>
      <c r="AY401" s="6"/>
      <c r="AZ401" s="8"/>
      <c r="BA401" s="8"/>
      <c r="BB401" s="6"/>
      <c r="BC401" s="8"/>
      <c r="BD401" s="8"/>
      <c r="BE401" s="6"/>
      <c r="BF401" s="8"/>
      <c r="BG401" s="8"/>
      <c r="BH401" s="6"/>
      <c r="BI401" s="8"/>
      <c r="BJ401" s="8"/>
      <c r="BK401" s="6"/>
      <c r="BL401" s="8"/>
      <c r="BM401" s="8"/>
      <c r="BN401" s="6"/>
      <c r="BO401" s="8"/>
      <c r="BP401" s="8"/>
      <c r="BQ401" s="6"/>
      <c r="BR401" s="8"/>
    </row>
    <row r="402">
      <c r="A402" s="6"/>
      <c r="B402" s="6" t="s">
        <v>402</v>
      </c>
      <c r="C402" s="3" t="str">
        <f t="shared" si="1"/>
        <v>_dim aqua</v>
      </c>
      <c r="D402" s="3" t="str">
        <f t="shared" si="5"/>
        <v>#N/A</v>
      </c>
      <c r="E402" s="3" t="b">
        <f t="shared" si="2"/>
        <v>0</v>
      </c>
      <c r="G402" s="3" t="str">
        <f t="shared" si="3"/>
        <v>#N/A</v>
      </c>
      <c r="AU402" s="8"/>
      <c r="AV402" s="6"/>
      <c r="AW402" s="8"/>
      <c r="AX402" s="8"/>
      <c r="AY402" s="6"/>
      <c r="AZ402" s="8"/>
      <c r="BA402" s="8"/>
      <c r="BB402" s="6"/>
      <c r="BC402" s="8"/>
      <c r="BD402" s="8"/>
      <c r="BE402" s="6"/>
      <c r="BF402" s="8"/>
      <c r="BG402" s="8"/>
      <c r="BH402" s="6"/>
      <c r="BI402" s="8"/>
      <c r="BJ402" s="8"/>
      <c r="BK402" s="6"/>
      <c r="BL402" s="8"/>
      <c r="BM402" s="8"/>
      <c r="BN402" s="6"/>
      <c r="BO402" s="8"/>
      <c r="BP402" s="8"/>
      <c r="BQ402" s="6"/>
      <c r="BR402" s="8"/>
    </row>
    <row r="403">
      <c r="A403" s="6"/>
      <c r="B403" s="6" t="s">
        <v>403</v>
      </c>
      <c r="C403" s="3" t="str">
        <f t="shared" si="1"/>
        <v>_wavy bronze</v>
      </c>
      <c r="D403" s="3" t="str">
        <f t="shared" si="5"/>
        <v>#N/A</v>
      </c>
      <c r="E403" s="3" t="b">
        <f t="shared" si="2"/>
        <v>0</v>
      </c>
      <c r="G403" s="3" t="str">
        <f t="shared" si="3"/>
        <v>#N/A</v>
      </c>
      <c r="AU403" s="8"/>
      <c r="AV403" s="6"/>
      <c r="AW403" s="8"/>
      <c r="AX403" s="8"/>
      <c r="AY403" s="6"/>
      <c r="AZ403" s="8"/>
      <c r="BA403" s="8"/>
      <c r="BB403" s="6"/>
      <c r="BC403" s="8"/>
      <c r="BD403" s="8"/>
      <c r="BE403" s="6"/>
      <c r="BF403" s="8"/>
      <c r="BG403" s="8"/>
      <c r="BH403" s="6"/>
      <c r="BI403" s="8"/>
      <c r="BJ403" s="8"/>
      <c r="BK403" s="6"/>
      <c r="BL403" s="8"/>
      <c r="BM403" s="8"/>
      <c r="BN403" s="6"/>
      <c r="BO403" s="8"/>
      <c r="BP403" s="8"/>
      <c r="BQ403" s="6"/>
      <c r="BR403" s="8"/>
    </row>
    <row r="404">
      <c r="A404" s="6"/>
      <c r="B404" s="6" t="s">
        <v>404</v>
      </c>
      <c r="C404" s="3" t="str">
        <f t="shared" si="1"/>
        <v>_muted plum</v>
      </c>
      <c r="D404" s="3" t="str">
        <f t="shared" si="5"/>
        <v>#N/A</v>
      </c>
      <c r="E404" s="3" t="b">
        <f t="shared" si="2"/>
        <v>0</v>
      </c>
      <c r="G404" s="3" t="str">
        <f t="shared" si="3"/>
        <v>#N/A</v>
      </c>
      <c r="AU404" s="8"/>
      <c r="AV404" s="6"/>
      <c r="AW404" s="8"/>
      <c r="AX404" s="8"/>
      <c r="AY404" s="6"/>
      <c r="AZ404" s="8"/>
      <c r="BA404" s="8"/>
      <c r="BB404" s="6"/>
      <c r="BC404" s="8"/>
      <c r="BD404" s="8"/>
      <c r="BE404" s="6"/>
      <c r="BF404" s="8"/>
      <c r="BG404" s="8"/>
      <c r="BH404" s="6"/>
      <c r="BI404" s="8"/>
      <c r="BJ404" s="8"/>
      <c r="BK404" s="6"/>
      <c r="BL404" s="8"/>
      <c r="BM404" s="8"/>
      <c r="BN404" s="6"/>
      <c r="BO404" s="8"/>
      <c r="BP404" s="8"/>
      <c r="BQ404" s="6"/>
      <c r="BR404" s="8"/>
    </row>
    <row r="405">
      <c r="A405" s="6"/>
      <c r="B405" s="6" t="s">
        <v>405</v>
      </c>
      <c r="C405" s="3" t="str">
        <f t="shared" si="1"/>
        <v>_dull turquoise</v>
      </c>
      <c r="D405" s="3" t="str">
        <f t="shared" si="5"/>
        <v>#N/A</v>
      </c>
      <c r="E405" s="3" t="b">
        <f t="shared" si="2"/>
        <v>0</v>
      </c>
      <c r="G405" s="3" t="str">
        <f t="shared" si="3"/>
        <v>#N/A</v>
      </c>
      <c r="AU405" s="8"/>
      <c r="AV405" s="6"/>
      <c r="AW405" s="8"/>
      <c r="AX405" s="8"/>
      <c r="AY405" s="6"/>
      <c r="AZ405" s="8"/>
      <c r="BA405" s="8"/>
      <c r="BB405" s="6"/>
      <c r="BC405" s="8"/>
      <c r="BD405" s="8"/>
      <c r="BE405" s="6"/>
      <c r="BF405" s="8"/>
      <c r="BG405" s="8"/>
      <c r="BH405" s="6"/>
      <c r="BI405" s="8"/>
      <c r="BJ405" s="8"/>
      <c r="BK405" s="6"/>
      <c r="BL405" s="8"/>
      <c r="BM405" s="8"/>
      <c r="BN405" s="6"/>
      <c r="BO405" s="8"/>
      <c r="BP405" s="8"/>
      <c r="BQ405" s="6"/>
      <c r="BR405" s="8"/>
    </row>
    <row r="406">
      <c r="A406" s="6"/>
      <c r="B406" s="6" t="s">
        <v>406</v>
      </c>
      <c r="C406" s="3" t="str">
        <f t="shared" si="1"/>
        <v>_plaid blue</v>
      </c>
      <c r="D406" s="3" t="str">
        <f t="shared" si="5"/>
        <v>#N/A</v>
      </c>
      <c r="E406" s="3" t="b">
        <f t="shared" si="2"/>
        <v>0</v>
      </c>
      <c r="G406" s="3" t="str">
        <f t="shared" si="3"/>
        <v>#N/A</v>
      </c>
      <c r="AU406" s="8"/>
      <c r="AV406" s="6"/>
      <c r="AW406" s="8"/>
      <c r="AX406" s="8"/>
      <c r="AY406" s="6"/>
      <c r="AZ406" s="8"/>
      <c r="BA406" s="8"/>
      <c r="BB406" s="6"/>
      <c r="BC406" s="8"/>
      <c r="BD406" s="8"/>
      <c r="BE406" s="6"/>
      <c r="BF406" s="8"/>
      <c r="BG406" s="8"/>
      <c r="BH406" s="6"/>
      <c r="BI406" s="8"/>
      <c r="BJ406" s="8"/>
      <c r="BK406" s="6"/>
      <c r="BL406" s="8"/>
      <c r="BM406" s="8"/>
      <c r="BN406" s="6"/>
      <c r="BO406" s="8"/>
      <c r="BP406" s="8"/>
      <c r="BQ406" s="6"/>
      <c r="BR406" s="8"/>
    </row>
    <row r="407">
      <c r="A407" s="6"/>
      <c r="B407" s="6" t="s">
        <v>407</v>
      </c>
      <c r="C407" s="3" t="str">
        <f t="shared" si="1"/>
        <v>_dotted tan</v>
      </c>
      <c r="D407" s="3" t="str">
        <f t="shared" si="5"/>
        <v>#N/A</v>
      </c>
      <c r="E407" s="3" t="b">
        <f t="shared" si="2"/>
        <v>0</v>
      </c>
      <c r="G407" s="3" t="str">
        <f t="shared" si="3"/>
        <v>#N/A</v>
      </c>
      <c r="AU407" s="8"/>
      <c r="AV407" s="6"/>
      <c r="AW407" s="8"/>
      <c r="AX407" s="8"/>
      <c r="AY407" s="6"/>
      <c r="AZ407" s="8"/>
      <c r="BA407" s="8"/>
      <c r="BB407" s="6"/>
      <c r="BC407" s="8"/>
      <c r="BD407" s="8"/>
      <c r="BE407" s="6"/>
      <c r="BF407" s="8"/>
      <c r="BG407" s="8"/>
      <c r="BH407" s="6"/>
      <c r="BI407" s="8"/>
      <c r="BJ407" s="8"/>
      <c r="BK407" s="6"/>
      <c r="BL407" s="8"/>
      <c r="BM407" s="8"/>
      <c r="BN407" s="6"/>
      <c r="BO407" s="8"/>
      <c r="BP407" s="8"/>
      <c r="BQ407" s="6"/>
      <c r="BR407" s="8"/>
    </row>
    <row r="408">
      <c r="A408" s="6"/>
      <c r="B408" s="6" t="s">
        <v>408</v>
      </c>
      <c r="C408" s="3" t="str">
        <f t="shared" si="1"/>
        <v>_plaid black</v>
      </c>
      <c r="D408" s="3" t="str">
        <f t="shared" si="5"/>
        <v>#N/A</v>
      </c>
      <c r="E408" s="3" t="b">
        <f t="shared" si="2"/>
        <v>0</v>
      </c>
      <c r="G408" s="3" t="str">
        <f t="shared" si="3"/>
        <v>#N/A</v>
      </c>
      <c r="AU408" s="8"/>
      <c r="AV408" s="6"/>
      <c r="AW408" s="8"/>
      <c r="AX408" s="8"/>
      <c r="AY408" s="6"/>
      <c r="AZ408" s="8"/>
      <c r="BA408" s="8"/>
      <c r="BB408" s="6"/>
      <c r="BC408" s="8"/>
      <c r="BD408" s="8"/>
      <c r="BE408" s="6"/>
      <c r="BF408" s="8"/>
      <c r="BG408" s="8"/>
      <c r="BH408" s="6"/>
      <c r="BI408" s="8"/>
      <c r="BJ408" s="8"/>
      <c r="BK408" s="6"/>
      <c r="BL408" s="8"/>
      <c r="BM408" s="8"/>
      <c r="BN408" s="6"/>
      <c r="BO408" s="8"/>
      <c r="BP408" s="8"/>
      <c r="BQ408" s="6"/>
      <c r="BR408" s="8"/>
    </row>
    <row r="409">
      <c r="A409" s="6"/>
      <c r="B409" s="6" t="s">
        <v>409</v>
      </c>
      <c r="C409" s="3" t="str">
        <f t="shared" si="1"/>
        <v>_light cyan</v>
      </c>
      <c r="D409" s="3" t="str">
        <f t="shared" si="5"/>
        <v>#N/A</v>
      </c>
      <c r="E409" s="3" t="b">
        <f t="shared" si="2"/>
        <v>0</v>
      </c>
      <c r="G409" s="3" t="str">
        <f t="shared" si="3"/>
        <v>#N/A</v>
      </c>
      <c r="AU409" s="8"/>
      <c r="AV409" s="6"/>
      <c r="AW409" s="8"/>
      <c r="AX409" s="8"/>
      <c r="AY409" s="6"/>
      <c r="AZ409" s="8"/>
      <c r="BA409" s="8"/>
      <c r="BB409" s="6"/>
      <c r="BC409" s="8"/>
      <c r="BD409" s="8"/>
      <c r="BE409" s="6"/>
      <c r="BF409" s="8"/>
      <c r="BG409" s="8"/>
      <c r="BH409" s="6"/>
      <c r="BI409" s="8"/>
      <c r="BJ409" s="8"/>
      <c r="BK409" s="6"/>
      <c r="BL409" s="8"/>
      <c r="BM409" s="8"/>
      <c r="BN409" s="6"/>
      <c r="BO409" s="8"/>
      <c r="BP409" s="8"/>
      <c r="BQ409" s="6"/>
      <c r="BR409" s="8"/>
    </row>
    <row r="410">
      <c r="A410" s="6"/>
      <c r="B410" s="6" t="s">
        <v>410</v>
      </c>
      <c r="C410" s="3" t="str">
        <f t="shared" si="1"/>
        <v>_dull fuchsia</v>
      </c>
      <c r="D410" s="3" t="str">
        <f t="shared" si="5"/>
        <v>#N/A</v>
      </c>
      <c r="E410" s="3" t="b">
        <f t="shared" si="2"/>
        <v>0</v>
      </c>
      <c r="G410" s="3" t="str">
        <f t="shared" si="3"/>
        <v>#N/A</v>
      </c>
      <c r="AU410" s="8"/>
      <c r="AV410" s="6"/>
      <c r="AW410" s="8"/>
      <c r="AX410" s="8"/>
      <c r="AY410" s="6"/>
      <c r="AZ410" s="8"/>
      <c r="BA410" s="8"/>
      <c r="BB410" s="6"/>
      <c r="BC410" s="8"/>
      <c r="BD410" s="8"/>
      <c r="BE410" s="6"/>
      <c r="BF410" s="8"/>
      <c r="BG410" s="8"/>
      <c r="BH410" s="6"/>
      <c r="BI410" s="8"/>
      <c r="BJ410" s="8"/>
      <c r="BK410" s="6"/>
      <c r="BL410" s="8"/>
      <c r="BM410" s="8"/>
      <c r="BN410" s="6"/>
      <c r="BO410" s="8"/>
      <c r="BP410" s="8"/>
      <c r="BQ410" s="6"/>
      <c r="BR410" s="8"/>
    </row>
    <row r="411">
      <c r="A411" s="6"/>
      <c r="B411" s="6" t="s">
        <v>411</v>
      </c>
      <c r="C411" s="3" t="str">
        <f t="shared" si="1"/>
        <v>_dark turquoise</v>
      </c>
      <c r="D411" s="3" t="str">
        <f t="shared" si="5"/>
        <v>#N/A</v>
      </c>
      <c r="E411" s="3" t="b">
        <f t="shared" si="2"/>
        <v>0</v>
      </c>
      <c r="G411" s="3" t="str">
        <f t="shared" si="3"/>
        <v>#N/A</v>
      </c>
      <c r="AU411" s="8"/>
      <c r="AV411" s="6"/>
      <c r="AW411" s="8"/>
      <c r="AX411" s="8"/>
      <c r="AY411" s="6"/>
      <c r="AZ411" s="8"/>
      <c r="BA411" s="8"/>
      <c r="BB411" s="6"/>
      <c r="BC411" s="8"/>
      <c r="BD411" s="8"/>
      <c r="BE411" s="6"/>
      <c r="BF411" s="8"/>
      <c r="BG411" s="8"/>
      <c r="BH411" s="6"/>
      <c r="BI411" s="8"/>
      <c r="BJ411" s="8"/>
      <c r="BK411" s="6"/>
      <c r="BL411" s="8"/>
      <c r="BM411" s="8"/>
      <c r="BN411" s="6"/>
      <c r="BO411" s="8"/>
      <c r="BP411" s="8"/>
      <c r="BQ411" s="6"/>
      <c r="BR411" s="8"/>
    </row>
    <row r="412">
      <c r="A412" s="6"/>
      <c r="B412" s="6" t="s">
        <v>412</v>
      </c>
      <c r="C412" s="3" t="str">
        <f t="shared" si="1"/>
        <v>_vibrant silver</v>
      </c>
      <c r="D412" s="3" t="str">
        <f t="shared" si="5"/>
        <v>#N/A</v>
      </c>
      <c r="E412" s="3" t="b">
        <f t="shared" si="2"/>
        <v>0</v>
      </c>
      <c r="G412" s="3" t="str">
        <f t="shared" si="3"/>
        <v>#N/A</v>
      </c>
      <c r="AU412" s="8"/>
      <c r="AV412" s="6"/>
      <c r="AW412" s="8"/>
      <c r="AX412" s="8"/>
      <c r="AY412" s="6"/>
      <c r="AZ412" s="8"/>
      <c r="BA412" s="8"/>
      <c r="BB412" s="6"/>
      <c r="BC412" s="8"/>
      <c r="BD412" s="8"/>
      <c r="BE412" s="6"/>
      <c r="BF412" s="8"/>
      <c r="BG412" s="8"/>
      <c r="BH412" s="6"/>
      <c r="BI412" s="8"/>
      <c r="BJ412" s="8"/>
      <c r="BK412" s="6"/>
      <c r="BL412" s="8"/>
      <c r="BM412" s="8"/>
      <c r="BN412" s="6"/>
      <c r="BO412" s="8"/>
      <c r="BP412" s="8"/>
      <c r="BQ412" s="6"/>
      <c r="BR412" s="8"/>
    </row>
    <row r="413">
      <c r="A413" s="6"/>
      <c r="B413" s="6" t="s">
        <v>413</v>
      </c>
      <c r="C413" s="3" t="str">
        <f t="shared" si="1"/>
        <v>_dotted tomato</v>
      </c>
      <c r="D413" s="3" t="str">
        <f t="shared" si="5"/>
        <v>#N/A</v>
      </c>
      <c r="E413" s="3" t="b">
        <f t="shared" si="2"/>
        <v>0</v>
      </c>
      <c r="G413" s="3" t="str">
        <f t="shared" si="3"/>
        <v>#N/A</v>
      </c>
      <c r="AU413" s="8"/>
      <c r="AV413" s="6"/>
      <c r="AW413" s="8"/>
      <c r="AX413" s="8"/>
      <c r="AY413" s="6"/>
      <c r="AZ413" s="8"/>
      <c r="BA413" s="8"/>
      <c r="BB413" s="6"/>
      <c r="BC413" s="8"/>
      <c r="BD413" s="8"/>
      <c r="BE413" s="6"/>
      <c r="BF413" s="8"/>
      <c r="BG413" s="8"/>
      <c r="BH413" s="6"/>
      <c r="BI413" s="8"/>
      <c r="BJ413" s="8"/>
      <c r="BK413" s="6"/>
      <c r="BL413" s="8"/>
      <c r="BM413" s="8"/>
      <c r="BN413" s="6"/>
      <c r="BO413" s="8"/>
      <c r="BP413" s="8"/>
      <c r="BQ413" s="6"/>
      <c r="BR413" s="8"/>
    </row>
    <row r="414">
      <c r="A414" s="6"/>
      <c r="B414" s="6" t="s">
        <v>414</v>
      </c>
      <c r="C414" s="3" t="str">
        <f t="shared" si="1"/>
        <v>_vibrant white</v>
      </c>
      <c r="D414" s="3" t="str">
        <f t="shared" si="5"/>
        <v>#N/A</v>
      </c>
      <c r="E414" s="3" t="b">
        <f t="shared" si="2"/>
        <v>0</v>
      </c>
      <c r="G414" s="3" t="str">
        <f t="shared" si="3"/>
        <v>#N/A</v>
      </c>
      <c r="AU414" s="8"/>
      <c r="AV414" s="6"/>
      <c r="AW414" s="8"/>
      <c r="AX414" s="8"/>
      <c r="AY414" s="6"/>
      <c r="AZ414" s="8"/>
      <c r="BA414" s="8"/>
      <c r="BB414" s="6"/>
      <c r="BC414" s="8"/>
      <c r="BD414" s="8"/>
      <c r="BE414" s="6"/>
      <c r="BF414" s="8"/>
      <c r="BG414" s="8"/>
      <c r="BH414" s="6"/>
      <c r="BI414" s="8"/>
      <c r="BJ414" s="8"/>
      <c r="BK414" s="6"/>
      <c r="BL414" s="8"/>
      <c r="BM414" s="8"/>
      <c r="BN414" s="6"/>
      <c r="BO414" s="8"/>
      <c r="BP414" s="8"/>
      <c r="BQ414" s="6"/>
      <c r="BR414" s="8"/>
    </row>
    <row r="415">
      <c r="A415" s="6"/>
      <c r="B415" s="6" t="s">
        <v>415</v>
      </c>
      <c r="C415" s="3" t="str">
        <f t="shared" si="1"/>
        <v>_shiny fuchsia</v>
      </c>
      <c r="D415" s="3" t="str">
        <f t="shared" si="5"/>
        <v>#N/A</v>
      </c>
      <c r="E415" s="3" t="b">
        <f t="shared" si="2"/>
        <v>0</v>
      </c>
      <c r="G415" s="3" t="str">
        <f t="shared" si="3"/>
        <v>#N/A</v>
      </c>
      <c r="AU415" s="8"/>
      <c r="AV415" s="6"/>
      <c r="AW415" s="8"/>
      <c r="AX415" s="8"/>
      <c r="AY415" s="6"/>
      <c r="AZ415" s="8"/>
      <c r="BA415" s="8"/>
      <c r="BB415" s="6"/>
      <c r="BC415" s="8"/>
      <c r="BD415" s="8"/>
      <c r="BE415" s="6"/>
      <c r="BF415" s="8"/>
      <c r="BG415" s="8"/>
      <c r="BH415" s="6"/>
      <c r="BI415" s="8"/>
      <c r="BJ415" s="8"/>
      <c r="BK415" s="6"/>
      <c r="BL415" s="8"/>
      <c r="BM415" s="8"/>
      <c r="BN415" s="6"/>
      <c r="BO415" s="8"/>
      <c r="BP415" s="8"/>
      <c r="BQ415" s="6"/>
      <c r="BR415" s="8"/>
    </row>
    <row r="416">
      <c r="A416" s="6"/>
      <c r="B416" s="6" t="s">
        <v>416</v>
      </c>
      <c r="C416" s="3" t="str">
        <f t="shared" si="1"/>
        <v>_wavy fuchsia</v>
      </c>
      <c r="D416" s="3" t="str">
        <f t="shared" si="5"/>
        <v>#N/A</v>
      </c>
      <c r="E416" s="3" t="b">
        <f t="shared" si="2"/>
        <v>0</v>
      </c>
      <c r="G416" s="3" t="str">
        <f t="shared" si="3"/>
        <v>#N/A</v>
      </c>
      <c r="AU416" s="8"/>
      <c r="AV416" s="6"/>
      <c r="AW416" s="8"/>
      <c r="AX416" s="8"/>
      <c r="AY416" s="6"/>
      <c r="AZ416" s="8"/>
      <c r="BA416" s="8"/>
      <c r="BB416" s="6"/>
      <c r="BC416" s="8"/>
      <c r="BD416" s="8"/>
      <c r="BE416" s="6"/>
      <c r="BF416" s="8"/>
      <c r="BG416" s="8"/>
      <c r="BH416" s="6"/>
      <c r="BI416" s="8"/>
      <c r="BJ416" s="8"/>
      <c r="BK416" s="6"/>
      <c r="BL416" s="8"/>
      <c r="BM416" s="8"/>
      <c r="BN416" s="6"/>
      <c r="BO416" s="8"/>
      <c r="BP416" s="8"/>
      <c r="BQ416" s="6"/>
      <c r="BR416" s="8"/>
    </row>
    <row r="417">
      <c r="A417" s="6"/>
      <c r="B417" s="6" t="s">
        <v>417</v>
      </c>
      <c r="C417" s="3" t="str">
        <f t="shared" si="1"/>
        <v>_dotted gray</v>
      </c>
      <c r="D417" s="3" t="str">
        <f t="shared" si="5"/>
        <v>#N/A</v>
      </c>
      <c r="E417" s="3" t="b">
        <f t="shared" si="2"/>
        <v>0</v>
      </c>
      <c r="G417" s="3" t="str">
        <f t="shared" si="3"/>
        <v>#N/A</v>
      </c>
      <c r="AU417" s="8"/>
      <c r="AV417" s="6"/>
      <c r="AW417" s="8"/>
      <c r="AX417" s="8"/>
      <c r="AY417" s="6"/>
      <c r="AZ417" s="8"/>
      <c r="BA417" s="8"/>
      <c r="BB417" s="6"/>
      <c r="BC417" s="8"/>
      <c r="BD417" s="8"/>
      <c r="BE417" s="6"/>
      <c r="BF417" s="8"/>
      <c r="BG417" s="8"/>
      <c r="BH417" s="6"/>
      <c r="BI417" s="8"/>
      <c r="BJ417" s="8"/>
      <c r="BK417" s="6"/>
      <c r="BL417" s="8"/>
      <c r="BM417" s="8"/>
      <c r="BN417" s="6"/>
      <c r="BO417" s="8"/>
      <c r="BP417" s="8"/>
      <c r="BQ417" s="6"/>
      <c r="BR417" s="8"/>
    </row>
    <row r="418">
      <c r="A418" s="6"/>
      <c r="B418" s="6" t="s">
        <v>418</v>
      </c>
      <c r="C418" s="3" t="str">
        <f t="shared" si="1"/>
        <v>_bright tomato</v>
      </c>
      <c r="D418" s="3" t="str">
        <f t="shared" si="5"/>
        <v>#N/A</v>
      </c>
      <c r="E418" s="3" t="b">
        <f t="shared" si="2"/>
        <v>0</v>
      </c>
      <c r="G418" s="3" t="str">
        <f t="shared" si="3"/>
        <v>#N/A</v>
      </c>
      <c r="AU418" s="8"/>
      <c r="AV418" s="6"/>
      <c r="AW418" s="8"/>
      <c r="AX418" s="8"/>
      <c r="AY418" s="6"/>
      <c r="AZ418" s="8"/>
      <c r="BA418" s="8"/>
      <c r="BB418" s="6"/>
      <c r="BC418" s="8"/>
      <c r="BD418" s="8"/>
      <c r="BE418" s="6"/>
      <c r="BF418" s="8"/>
      <c r="BG418" s="8"/>
      <c r="BH418" s="6"/>
      <c r="BI418" s="8"/>
      <c r="BJ418" s="8"/>
      <c r="BK418" s="6"/>
      <c r="BL418" s="8"/>
      <c r="BM418" s="8"/>
      <c r="BN418" s="6"/>
      <c r="BO418" s="8"/>
      <c r="BP418" s="8"/>
      <c r="BQ418" s="6"/>
      <c r="BR418" s="8"/>
    </row>
    <row r="419">
      <c r="A419" s="6"/>
      <c r="B419" s="6" t="s">
        <v>419</v>
      </c>
      <c r="C419" s="3" t="str">
        <f t="shared" si="1"/>
        <v>_clear chartreuse</v>
      </c>
      <c r="D419" s="3" t="str">
        <f t="shared" si="5"/>
        <v>#N/A</v>
      </c>
      <c r="E419" s="3" t="b">
        <f t="shared" si="2"/>
        <v>0</v>
      </c>
      <c r="G419" s="3" t="str">
        <f t="shared" si="3"/>
        <v>#N/A</v>
      </c>
      <c r="AU419" s="8"/>
      <c r="AV419" s="6"/>
      <c r="AW419" s="8"/>
      <c r="AX419" s="8"/>
      <c r="AY419" s="6"/>
      <c r="AZ419" s="8"/>
      <c r="BA419" s="8"/>
      <c r="BB419" s="6"/>
      <c r="BC419" s="8"/>
      <c r="BD419" s="8"/>
      <c r="BE419" s="6"/>
      <c r="BF419" s="8"/>
      <c r="BG419" s="8"/>
      <c r="BH419" s="6"/>
      <c r="BI419" s="8"/>
      <c r="BJ419" s="8"/>
      <c r="BK419" s="6"/>
      <c r="BL419" s="8"/>
      <c r="BM419" s="8"/>
      <c r="BN419" s="6"/>
      <c r="BO419" s="8"/>
      <c r="BP419" s="8"/>
      <c r="BQ419" s="6"/>
      <c r="BR419" s="8"/>
    </row>
    <row r="420">
      <c r="A420" s="6"/>
      <c r="B420" s="6" t="s">
        <v>420</v>
      </c>
      <c r="C420" s="3" t="str">
        <f t="shared" si="1"/>
        <v>_dim teal</v>
      </c>
      <c r="D420" s="3" t="str">
        <f t="shared" si="5"/>
        <v>#N/A</v>
      </c>
      <c r="E420" s="3" t="b">
        <f t="shared" si="2"/>
        <v>0</v>
      </c>
      <c r="G420" s="3" t="str">
        <f t="shared" si="3"/>
        <v>#N/A</v>
      </c>
      <c r="AU420" s="8"/>
      <c r="AV420" s="6"/>
      <c r="AW420" s="8"/>
      <c r="AX420" s="8"/>
      <c r="AY420" s="6"/>
      <c r="AZ420" s="8"/>
      <c r="BA420" s="8"/>
      <c r="BB420" s="6"/>
      <c r="BC420" s="8"/>
      <c r="BD420" s="8"/>
      <c r="BE420" s="6"/>
      <c r="BF420" s="8"/>
      <c r="BG420" s="8"/>
      <c r="BH420" s="6"/>
      <c r="BI420" s="8"/>
      <c r="BJ420" s="8"/>
      <c r="BK420" s="6"/>
      <c r="BL420" s="8"/>
      <c r="BM420" s="8"/>
      <c r="BN420" s="6"/>
      <c r="BO420" s="8"/>
      <c r="BP420" s="8"/>
      <c r="BQ420" s="6"/>
      <c r="BR420" s="8"/>
    </row>
    <row r="421">
      <c r="A421" s="6"/>
      <c r="B421" s="6" t="s">
        <v>421</v>
      </c>
      <c r="C421" s="3" t="str">
        <f t="shared" si="1"/>
        <v>_dotted yellow</v>
      </c>
      <c r="D421" s="3" t="str">
        <f t="shared" si="5"/>
        <v>#N/A</v>
      </c>
      <c r="E421" s="3" t="b">
        <f t="shared" si="2"/>
        <v>0</v>
      </c>
      <c r="G421" s="3" t="str">
        <f t="shared" si="3"/>
        <v>#N/A</v>
      </c>
      <c r="AU421" s="8"/>
      <c r="AV421" s="6"/>
      <c r="AW421" s="8"/>
      <c r="AX421" s="8"/>
      <c r="AY421" s="6"/>
      <c r="AZ421" s="8"/>
      <c r="BA421" s="8"/>
      <c r="BB421" s="6"/>
      <c r="BC421" s="8"/>
      <c r="BD421" s="8"/>
      <c r="BE421" s="6"/>
      <c r="BF421" s="8"/>
      <c r="BG421" s="8"/>
      <c r="BH421" s="6"/>
      <c r="BI421" s="8"/>
      <c r="BJ421" s="8"/>
      <c r="BK421" s="6"/>
      <c r="BL421" s="8"/>
      <c r="BM421" s="8"/>
      <c r="BN421" s="6"/>
      <c r="BO421" s="8"/>
      <c r="BP421" s="8"/>
      <c r="BQ421" s="6"/>
      <c r="BR421" s="8"/>
    </row>
    <row r="422">
      <c r="A422" s="6"/>
      <c r="B422" s="6" t="s">
        <v>422</v>
      </c>
      <c r="C422" s="3" t="str">
        <f t="shared" si="1"/>
        <v>_dark indigo</v>
      </c>
      <c r="D422" s="3" t="str">
        <f t="shared" si="5"/>
        <v>#N/A</v>
      </c>
      <c r="E422" s="3" t="b">
        <f t="shared" si="2"/>
        <v>0</v>
      </c>
      <c r="G422" s="3" t="str">
        <f t="shared" si="3"/>
        <v>#N/A</v>
      </c>
      <c r="AU422" s="8"/>
      <c r="AV422" s="6"/>
      <c r="AW422" s="8"/>
      <c r="AX422" s="8"/>
      <c r="AY422" s="6"/>
      <c r="AZ422" s="8"/>
      <c r="BA422" s="8"/>
      <c r="BB422" s="6"/>
      <c r="BC422" s="8"/>
      <c r="BD422" s="8"/>
      <c r="BE422" s="6"/>
      <c r="BF422" s="8"/>
      <c r="BG422" s="8"/>
      <c r="BH422" s="6"/>
      <c r="BI422" s="8"/>
      <c r="BJ422" s="8"/>
      <c r="BK422" s="6"/>
      <c r="BL422" s="8"/>
      <c r="BM422" s="8"/>
      <c r="BN422" s="6"/>
      <c r="BO422" s="8"/>
      <c r="BP422" s="8"/>
      <c r="BQ422" s="6"/>
      <c r="BR422" s="8"/>
    </row>
    <row r="423">
      <c r="A423" s="6"/>
      <c r="B423" s="6" t="s">
        <v>423</v>
      </c>
      <c r="C423" s="3" t="str">
        <f t="shared" si="1"/>
        <v>_wavy black</v>
      </c>
      <c r="D423" s="3" t="str">
        <f t="shared" si="5"/>
        <v>#N/A</v>
      </c>
      <c r="E423" s="3" t="b">
        <f t="shared" si="2"/>
        <v>0</v>
      </c>
      <c r="G423" s="3" t="str">
        <f t="shared" si="3"/>
        <v>#N/A</v>
      </c>
      <c r="AU423" s="8"/>
      <c r="AV423" s="6"/>
      <c r="AW423" s="8"/>
      <c r="AX423" s="8"/>
      <c r="AY423" s="6"/>
      <c r="AZ423" s="8"/>
      <c r="BA423" s="8"/>
      <c r="BB423" s="6"/>
      <c r="BC423" s="8"/>
      <c r="BD423" s="8"/>
      <c r="BE423" s="6"/>
      <c r="BF423" s="8"/>
      <c r="BG423" s="8"/>
      <c r="BH423" s="6"/>
      <c r="BI423" s="8"/>
      <c r="BJ423" s="8"/>
      <c r="BK423" s="6"/>
      <c r="BL423" s="8"/>
      <c r="BM423" s="8"/>
      <c r="BN423" s="6"/>
      <c r="BO423" s="8"/>
      <c r="BP423" s="8"/>
      <c r="BQ423" s="6"/>
      <c r="BR423" s="8"/>
    </row>
    <row r="424">
      <c r="A424" s="6"/>
      <c r="B424" s="6" t="s">
        <v>424</v>
      </c>
      <c r="C424" s="3" t="str">
        <f t="shared" si="1"/>
        <v>_striped green</v>
      </c>
      <c r="D424" s="3" t="str">
        <f t="shared" si="5"/>
        <v>#N/A</v>
      </c>
      <c r="E424" s="3" t="b">
        <f t="shared" si="2"/>
        <v>0</v>
      </c>
      <c r="G424" s="3" t="str">
        <f t="shared" si="3"/>
        <v>#N/A</v>
      </c>
      <c r="AU424" s="8"/>
      <c r="AV424" s="6"/>
      <c r="AW424" s="8"/>
      <c r="AX424" s="8"/>
      <c r="AY424" s="6"/>
      <c r="AZ424" s="8"/>
      <c r="BA424" s="8"/>
      <c r="BB424" s="6"/>
      <c r="BC424" s="8"/>
      <c r="BD424" s="8"/>
      <c r="BE424" s="6"/>
      <c r="BF424" s="8"/>
      <c r="BG424" s="8"/>
      <c r="BH424" s="6"/>
      <c r="BI424" s="8"/>
      <c r="BJ424" s="8"/>
      <c r="BK424" s="6"/>
      <c r="BL424" s="8"/>
      <c r="BM424" s="8"/>
      <c r="BN424" s="6"/>
      <c r="BO424" s="8"/>
      <c r="BP424" s="8"/>
      <c r="BQ424" s="6"/>
      <c r="BR424" s="8"/>
    </row>
    <row r="425">
      <c r="A425" s="6"/>
      <c r="B425" s="6" t="s">
        <v>425</v>
      </c>
      <c r="C425" s="3" t="str">
        <f t="shared" si="1"/>
        <v>_dull lime</v>
      </c>
      <c r="D425" s="3" t="str">
        <f t="shared" si="5"/>
        <v>#N/A</v>
      </c>
      <c r="E425" s="3" t="b">
        <f t="shared" si="2"/>
        <v>0</v>
      </c>
      <c r="G425" s="3" t="str">
        <f t="shared" si="3"/>
        <v>#N/A</v>
      </c>
      <c r="AU425" s="8"/>
      <c r="AV425" s="6"/>
      <c r="AW425" s="8"/>
      <c r="AX425" s="8"/>
      <c r="AY425" s="6"/>
      <c r="AZ425" s="8"/>
      <c r="BA425" s="8"/>
      <c r="BB425" s="6"/>
      <c r="BC425" s="8"/>
      <c r="BD425" s="8"/>
      <c r="BE425" s="6"/>
      <c r="BF425" s="8"/>
      <c r="BG425" s="8"/>
      <c r="BH425" s="6"/>
      <c r="BI425" s="8"/>
      <c r="BJ425" s="8"/>
      <c r="BK425" s="6"/>
      <c r="BL425" s="8"/>
      <c r="BM425" s="8"/>
      <c r="BN425" s="6"/>
      <c r="BO425" s="8"/>
      <c r="BP425" s="8"/>
      <c r="BQ425" s="6"/>
      <c r="BR425" s="8"/>
    </row>
    <row r="426">
      <c r="A426" s="6"/>
      <c r="B426" s="6" t="s">
        <v>426</v>
      </c>
      <c r="C426" s="3" t="str">
        <f t="shared" si="1"/>
        <v>_faded chartreuse</v>
      </c>
      <c r="D426" s="3" t="str">
        <f t="shared" si="5"/>
        <v>#N/A</v>
      </c>
      <c r="E426" s="3" t="b">
        <f t="shared" si="2"/>
        <v>0</v>
      </c>
      <c r="G426" s="3" t="str">
        <f t="shared" si="3"/>
        <v>#N/A</v>
      </c>
      <c r="AU426" s="8"/>
      <c r="AV426" s="6"/>
      <c r="AW426" s="8"/>
      <c r="AX426" s="8"/>
      <c r="AY426" s="6"/>
      <c r="AZ426" s="8"/>
      <c r="BA426" s="8"/>
      <c r="BB426" s="6"/>
      <c r="BC426" s="8"/>
      <c r="BD426" s="8"/>
      <c r="BE426" s="6"/>
      <c r="BF426" s="8"/>
      <c r="BG426" s="8"/>
      <c r="BH426" s="6"/>
      <c r="BI426" s="8"/>
      <c r="BJ426" s="8"/>
      <c r="BK426" s="6"/>
      <c r="BL426" s="8"/>
      <c r="BM426" s="8"/>
      <c r="BN426" s="6"/>
      <c r="BO426" s="8"/>
      <c r="BP426" s="8"/>
      <c r="BQ426" s="6"/>
      <c r="BR426" s="8"/>
    </row>
    <row r="427">
      <c r="A427" s="6"/>
      <c r="B427" s="6" t="s">
        <v>427</v>
      </c>
      <c r="C427" s="3" t="str">
        <f t="shared" si="1"/>
        <v>_dark yellow</v>
      </c>
      <c r="D427" s="3" t="str">
        <f t="shared" si="5"/>
        <v>#N/A</v>
      </c>
      <c r="E427" s="3" t="b">
        <f t="shared" si="2"/>
        <v>0</v>
      </c>
      <c r="G427" s="3" t="str">
        <f t="shared" si="3"/>
        <v>#N/A</v>
      </c>
      <c r="AU427" s="8"/>
      <c r="AV427" s="6"/>
      <c r="AW427" s="8"/>
      <c r="AX427" s="8"/>
      <c r="AY427" s="6"/>
      <c r="AZ427" s="8"/>
      <c r="BA427" s="8"/>
      <c r="BB427" s="6"/>
      <c r="BC427" s="8"/>
      <c r="BD427" s="8"/>
      <c r="BE427" s="6"/>
      <c r="BF427" s="8"/>
      <c r="BG427" s="8"/>
      <c r="BH427" s="6"/>
      <c r="BI427" s="8"/>
      <c r="BJ427" s="8"/>
      <c r="BK427" s="6"/>
      <c r="BL427" s="8"/>
      <c r="BM427" s="8"/>
      <c r="BN427" s="6"/>
      <c r="BO427" s="8"/>
      <c r="BP427" s="8"/>
      <c r="BQ427" s="6"/>
      <c r="BR427" s="8"/>
    </row>
    <row r="428">
      <c r="A428" s="6"/>
      <c r="B428" s="6" t="s">
        <v>428</v>
      </c>
      <c r="C428" s="3" t="str">
        <f t="shared" si="1"/>
        <v>_plaid beige</v>
      </c>
      <c r="D428" s="3" t="str">
        <f t="shared" si="5"/>
        <v>#N/A</v>
      </c>
      <c r="E428" s="3" t="b">
        <f t="shared" si="2"/>
        <v>0</v>
      </c>
      <c r="G428" s="3" t="str">
        <f t="shared" si="3"/>
        <v>#N/A</v>
      </c>
      <c r="AU428" s="8"/>
      <c r="AV428" s="6"/>
      <c r="AW428" s="8"/>
      <c r="AX428" s="8"/>
      <c r="AY428" s="6"/>
      <c r="AZ428" s="8"/>
      <c r="BA428" s="8"/>
      <c r="BB428" s="6"/>
      <c r="BC428" s="8"/>
      <c r="BD428" s="8"/>
      <c r="BE428" s="6"/>
      <c r="BF428" s="8"/>
      <c r="BG428" s="8"/>
      <c r="BH428" s="6"/>
      <c r="BI428" s="8"/>
      <c r="BJ428" s="8"/>
      <c r="BK428" s="6"/>
      <c r="BL428" s="8"/>
      <c r="BM428" s="8"/>
      <c r="BN428" s="6"/>
      <c r="BO428" s="8"/>
      <c r="BP428" s="8"/>
      <c r="BQ428" s="6"/>
      <c r="BR428" s="8"/>
    </row>
    <row r="429">
      <c r="A429" s="6"/>
      <c r="B429" s="6" t="s">
        <v>429</v>
      </c>
      <c r="C429" s="3" t="str">
        <f t="shared" si="1"/>
        <v>_faded maroon</v>
      </c>
      <c r="D429" s="3" t="str">
        <f t="shared" si="5"/>
        <v>#N/A</v>
      </c>
      <c r="E429" s="3" t="b">
        <f t="shared" si="2"/>
        <v>0</v>
      </c>
      <c r="G429" s="3" t="str">
        <f t="shared" si="3"/>
        <v>#N/A</v>
      </c>
      <c r="AU429" s="8"/>
      <c r="AV429" s="6"/>
      <c r="AW429" s="8"/>
      <c r="AX429" s="8"/>
      <c r="AY429" s="6"/>
      <c r="AZ429" s="8"/>
      <c r="BA429" s="8"/>
      <c r="BB429" s="6"/>
      <c r="BC429" s="8"/>
      <c r="BD429" s="8"/>
      <c r="BE429" s="6"/>
      <c r="BF429" s="8"/>
      <c r="BG429" s="8"/>
      <c r="BH429" s="6"/>
      <c r="BI429" s="8"/>
      <c r="BJ429" s="8"/>
      <c r="BK429" s="6"/>
      <c r="BL429" s="8"/>
      <c r="BM429" s="8"/>
      <c r="BN429" s="6"/>
      <c r="BO429" s="8"/>
      <c r="BP429" s="8"/>
      <c r="BQ429" s="6"/>
      <c r="BR429" s="8"/>
    </row>
    <row r="430">
      <c r="A430" s="6"/>
      <c r="B430" s="6" t="s">
        <v>430</v>
      </c>
      <c r="C430" s="3" t="str">
        <f t="shared" si="1"/>
        <v>_muted silver</v>
      </c>
      <c r="D430" s="3" t="str">
        <f t="shared" si="5"/>
        <v>#N/A</v>
      </c>
      <c r="E430" s="3" t="b">
        <f t="shared" si="2"/>
        <v>0</v>
      </c>
      <c r="G430" s="3" t="str">
        <f t="shared" si="3"/>
        <v>#N/A</v>
      </c>
      <c r="AU430" s="8"/>
      <c r="AV430" s="6"/>
      <c r="AW430" s="8"/>
      <c r="AX430" s="8"/>
      <c r="AY430" s="6"/>
      <c r="AZ430" s="8"/>
      <c r="BA430" s="8"/>
      <c r="BB430" s="6"/>
      <c r="BC430" s="8"/>
      <c r="BD430" s="8"/>
      <c r="BE430" s="6"/>
      <c r="BF430" s="8"/>
      <c r="BG430" s="8"/>
      <c r="BH430" s="6"/>
      <c r="BI430" s="8"/>
      <c r="BJ430" s="8"/>
      <c r="BK430" s="6"/>
      <c r="BL430" s="8"/>
      <c r="BM430" s="8"/>
      <c r="BN430" s="6"/>
      <c r="BO430" s="8"/>
      <c r="BP430" s="8"/>
      <c r="BQ430" s="6"/>
      <c r="BR430" s="8"/>
    </row>
    <row r="431">
      <c r="A431" s="6"/>
      <c r="B431" s="6" t="s">
        <v>431</v>
      </c>
      <c r="C431" s="3" t="str">
        <f t="shared" si="1"/>
        <v>_pale violet</v>
      </c>
      <c r="D431" s="3" t="str">
        <f t="shared" si="5"/>
        <v>#N/A</v>
      </c>
      <c r="E431" s="3" t="b">
        <f t="shared" si="2"/>
        <v>0</v>
      </c>
      <c r="G431" s="3" t="str">
        <f t="shared" si="3"/>
        <v>#N/A</v>
      </c>
      <c r="AU431" s="8"/>
      <c r="AV431" s="6"/>
      <c r="AW431" s="8"/>
      <c r="AX431" s="8"/>
      <c r="AY431" s="6"/>
      <c r="AZ431" s="8"/>
      <c r="BA431" s="8"/>
      <c r="BB431" s="6"/>
      <c r="BC431" s="8"/>
      <c r="BD431" s="8"/>
      <c r="BE431" s="6"/>
      <c r="BF431" s="8"/>
      <c r="BG431" s="8"/>
      <c r="BH431" s="6"/>
      <c r="BI431" s="8"/>
      <c r="BJ431" s="8"/>
      <c r="BK431" s="6"/>
      <c r="BL431" s="8"/>
      <c r="BM431" s="8"/>
      <c r="BN431" s="6"/>
      <c r="BO431" s="8"/>
      <c r="BP431" s="8"/>
      <c r="BQ431" s="6"/>
      <c r="BR431" s="8"/>
    </row>
    <row r="432">
      <c r="A432" s="6"/>
      <c r="B432" s="6" t="s">
        <v>432</v>
      </c>
      <c r="C432" s="3" t="str">
        <f t="shared" si="1"/>
        <v>_dim olive</v>
      </c>
      <c r="D432" s="3" t="str">
        <f t="shared" si="5"/>
        <v>#N/A</v>
      </c>
      <c r="E432" s="3" t="b">
        <f t="shared" si="2"/>
        <v>0</v>
      </c>
      <c r="G432" s="3" t="str">
        <f t="shared" si="3"/>
        <v>#N/A</v>
      </c>
      <c r="AU432" s="8"/>
      <c r="AV432" s="6"/>
      <c r="AW432" s="8"/>
      <c r="AX432" s="8"/>
      <c r="AY432" s="6"/>
      <c r="AZ432" s="8"/>
      <c r="BA432" s="8"/>
      <c r="BB432" s="6"/>
      <c r="BC432" s="8"/>
      <c r="BD432" s="8"/>
      <c r="BE432" s="6"/>
      <c r="BF432" s="8"/>
      <c r="BG432" s="8"/>
      <c r="BH432" s="6"/>
      <c r="BI432" s="8"/>
      <c r="BJ432" s="8"/>
      <c r="BK432" s="6"/>
      <c r="BL432" s="8"/>
      <c r="BM432" s="8"/>
      <c r="BN432" s="6"/>
      <c r="BO432" s="8"/>
      <c r="BP432" s="8"/>
      <c r="BQ432" s="6"/>
      <c r="BR432" s="8"/>
    </row>
    <row r="433">
      <c r="A433" s="6"/>
      <c r="B433" s="6" t="s">
        <v>433</v>
      </c>
      <c r="C433" s="3" t="str">
        <f t="shared" si="1"/>
        <v>_mirrored bronze</v>
      </c>
      <c r="D433" s="3" t="str">
        <f t="shared" si="5"/>
        <v>#N/A</v>
      </c>
      <c r="E433" s="3" t="b">
        <f t="shared" si="2"/>
        <v>0</v>
      </c>
      <c r="G433" s="3" t="str">
        <f t="shared" si="3"/>
        <v>#N/A</v>
      </c>
      <c r="AU433" s="8"/>
      <c r="AV433" s="6"/>
      <c r="AW433" s="8"/>
      <c r="AX433" s="8"/>
      <c r="AY433" s="6"/>
      <c r="AZ433" s="8"/>
      <c r="BA433" s="8"/>
      <c r="BB433" s="6"/>
      <c r="BC433" s="8"/>
      <c r="BD433" s="8"/>
      <c r="BE433" s="6"/>
      <c r="BF433" s="8"/>
      <c r="BG433" s="8"/>
      <c r="BH433" s="6"/>
      <c r="BI433" s="8"/>
      <c r="BJ433" s="8"/>
      <c r="BK433" s="6"/>
      <c r="BL433" s="8"/>
      <c r="BM433" s="8"/>
      <c r="BN433" s="6"/>
      <c r="BO433" s="8"/>
      <c r="BP433" s="8"/>
      <c r="BQ433" s="6"/>
      <c r="BR433" s="8"/>
    </row>
    <row r="434">
      <c r="A434" s="6"/>
      <c r="B434" s="6" t="s">
        <v>434</v>
      </c>
      <c r="C434" s="3" t="str">
        <f t="shared" si="1"/>
        <v>_dull green</v>
      </c>
      <c r="D434" s="3" t="str">
        <f t="shared" si="5"/>
        <v>#N/A</v>
      </c>
      <c r="E434" s="3" t="b">
        <f t="shared" si="2"/>
        <v>0</v>
      </c>
      <c r="G434" s="3" t="str">
        <f t="shared" si="3"/>
        <v>#N/A</v>
      </c>
      <c r="AU434" s="8"/>
      <c r="AV434" s="6"/>
      <c r="AW434" s="8"/>
      <c r="AX434" s="8"/>
      <c r="AY434" s="6"/>
      <c r="AZ434" s="8"/>
      <c r="BA434" s="8"/>
      <c r="BB434" s="6"/>
      <c r="BC434" s="8"/>
      <c r="BD434" s="8"/>
      <c r="BE434" s="6"/>
      <c r="BF434" s="8"/>
      <c r="BG434" s="8"/>
      <c r="BH434" s="6"/>
      <c r="BI434" s="8"/>
      <c r="BJ434" s="8"/>
      <c r="BK434" s="6"/>
      <c r="BL434" s="8"/>
      <c r="BM434" s="8"/>
      <c r="BN434" s="6"/>
      <c r="BO434" s="8"/>
      <c r="BP434" s="8"/>
      <c r="BQ434" s="6"/>
      <c r="BR434" s="8"/>
    </row>
    <row r="435">
      <c r="A435" s="6"/>
      <c r="B435" s="6" t="s">
        <v>435</v>
      </c>
      <c r="C435" s="3" t="str">
        <f t="shared" si="1"/>
        <v>_bright gray</v>
      </c>
      <c r="D435" s="3" t="str">
        <f t="shared" si="5"/>
        <v>#N/A</v>
      </c>
      <c r="E435" s="3" t="b">
        <f t="shared" si="2"/>
        <v>0</v>
      </c>
      <c r="G435" s="3" t="str">
        <f t="shared" si="3"/>
        <v>#N/A</v>
      </c>
      <c r="AU435" s="8"/>
      <c r="AV435" s="6"/>
      <c r="AW435" s="8"/>
      <c r="AX435" s="8"/>
      <c r="AY435" s="6"/>
      <c r="AZ435" s="8"/>
      <c r="BA435" s="8"/>
      <c r="BB435" s="6"/>
      <c r="BC435" s="8"/>
      <c r="BD435" s="8"/>
      <c r="BE435" s="6"/>
      <c r="BF435" s="8"/>
      <c r="BG435" s="8"/>
      <c r="BH435" s="6"/>
      <c r="BI435" s="8"/>
      <c r="BJ435" s="8"/>
      <c r="BK435" s="6"/>
      <c r="BL435" s="8"/>
      <c r="BM435" s="8"/>
      <c r="BN435" s="6"/>
      <c r="BO435" s="8"/>
      <c r="BP435" s="8"/>
      <c r="BQ435" s="6"/>
      <c r="BR435" s="8"/>
    </row>
    <row r="436">
      <c r="A436" s="6"/>
      <c r="B436" s="6" t="s">
        <v>436</v>
      </c>
      <c r="C436" s="3" t="str">
        <f t="shared" si="1"/>
        <v>_light indigo</v>
      </c>
      <c r="D436" s="3" t="str">
        <f t="shared" si="5"/>
        <v>#N/A</v>
      </c>
      <c r="E436" s="3" t="b">
        <f t="shared" si="2"/>
        <v>0</v>
      </c>
      <c r="G436" s="3" t="str">
        <f t="shared" si="3"/>
        <v>#N/A</v>
      </c>
      <c r="AU436" s="8"/>
      <c r="AV436" s="6"/>
      <c r="AW436" s="8"/>
      <c r="AX436" s="8"/>
      <c r="AY436" s="6"/>
      <c r="AZ436" s="8"/>
      <c r="BA436" s="8"/>
      <c r="BB436" s="6"/>
      <c r="BC436" s="8"/>
      <c r="BD436" s="8"/>
      <c r="BE436" s="6"/>
      <c r="BF436" s="8"/>
      <c r="BG436" s="8"/>
      <c r="BH436" s="6"/>
      <c r="BI436" s="8"/>
      <c r="BJ436" s="8"/>
      <c r="BK436" s="6"/>
      <c r="BL436" s="8"/>
      <c r="BM436" s="8"/>
      <c r="BN436" s="6"/>
      <c r="BO436" s="8"/>
      <c r="BP436" s="8"/>
      <c r="BQ436" s="6"/>
      <c r="BR436" s="8"/>
    </row>
    <row r="437">
      <c r="A437" s="6"/>
      <c r="B437" s="6" t="s">
        <v>437</v>
      </c>
      <c r="C437" s="3" t="str">
        <f t="shared" si="1"/>
        <v>_bright magenta</v>
      </c>
      <c r="D437" s="3" t="str">
        <f t="shared" si="5"/>
        <v>#N/A</v>
      </c>
      <c r="E437" s="3" t="b">
        <f t="shared" si="2"/>
        <v>0</v>
      </c>
      <c r="G437" s="3" t="str">
        <f t="shared" si="3"/>
        <v>#N/A</v>
      </c>
      <c r="AU437" s="8"/>
      <c r="AV437" s="6"/>
      <c r="AW437" s="8"/>
      <c r="AX437" s="8"/>
      <c r="AY437" s="6"/>
      <c r="AZ437" s="8"/>
      <c r="BA437" s="8"/>
      <c r="BB437" s="6"/>
      <c r="BC437" s="8"/>
      <c r="BD437" s="8"/>
      <c r="BE437" s="6"/>
      <c r="BF437" s="8"/>
      <c r="BG437" s="8"/>
      <c r="BH437" s="6"/>
      <c r="BI437" s="8"/>
      <c r="BJ437" s="8"/>
      <c r="BK437" s="6"/>
      <c r="BL437" s="8"/>
      <c r="BM437" s="8"/>
      <c r="BN437" s="6"/>
      <c r="BO437" s="8"/>
      <c r="BP437" s="8"/>
      <c r="BQ437" s="6"/>
      <c r="BR437" s="8"/>
    </row>
    <row r="438">
      <c r="A438" s="6"/>
      <c r="B438" s="6" t="s">
        <v>438</v>
      </c>
      <c r="C438" s="3" t="str">
        <f t="shared" si="1"/>
        <v>_posh crimson</v>
      </c>
      <c r="D438" s="3" t="str">
        <f t="shared" si="5"/>
        <v>#N/A</v>
      </c>
      <c r="E438" s="3" t="b">
        <f t="shared" si="2"/>
        <v>0</v>
      </c>
      <c r="G438" s="3" t="str">
        <f t="shared" si="3"/>
        <v>#N/A</v>
      </c>
      <c r="AU438" s="8"/>
      <c r="AV438" s="6"/>
      <c r="AW438" s="8"/>
      <c r="AX438" s="8"/>
      <c r="AY438" s="6"/>
      <c r="AZ438" s="8"/>
      <c r="BA438" s="8"/>
      <c r="BB438" s="6"/>
      <c r="BC438" s="8"/>
      <c r="BD438" s="8"/>
      <c r="BE438" s="6"/>
      <c r="BF438" s="8"/>
      <c r="BG438" s="8"/>
      <c r="BH438" s="6"/>
      <c r="BI438" s="8"/>
      <c r="BJ438" s="8"/>
      <c r="BK438" s="6"/>
      <c r="BL438" s="8"/>
      <c r="BM438" s="8"/>
      <c r="BN438" s="6"/>
      <c r="BO438" s="8"/>
      <c r="BP438" s="8"/>
      <c r="BQ438" s="6"/>
      <c r="BR438" s="8"/>
    </row>
    <row r="439">
      <c r="A439" s="6"/>
      <c r="B439" s="6" t="s">
        <v>439</v>
      </c>
      <c r="C439" s="3" t="str">
        <f t="shared" si="1"/>
        <v>_vibrant plum</v>
      </c>
      <c r="D439" s="3" t="str">
        <f t="shared" si="5"/>
        <v>#N/A</v>
      </c>
      <c r="E439" s="3" t="b">
        <f t="shared" si="2"/>
        <v>0</v>
      </c>
      <c r="G439" s="3" t="str">
        <f t="shared" si="3"/>
        <v>#N/A</v>
      </c>
      <c r="AU439" s="8"/>
      <c r="AV439" s="6"/>
      <c r="AW439" s="8"/>
      <c r="AX439" s="8"/>
      <c r="AY439" s="6"/>
      <c r="AZ439" s="8"/>
      <c r="BA439" s="8"/>
      <c r="BB439" s="6"/>
      <c r="BC439" s="8"/>
      <c r="BD439" s="8"/>
      <c r="BE439" s="6"/>
      <c r="BF439" s="8"/>
      <c r="BG439" s="8"/>
      <c r="BH439" s="6"/>
      <c r="BI439" s="8"/>
      <c r="BJ439" s="8"/>
      <c r="BK439" s="6"/>
      <c r="BL439" s="8"/>
      <c r="BM439" s="8"/>
      <c r="BN439" s="6"/>
      <c r="BO439" s="8"/>
      <c r="BP439" s="8"/>
      <c r="BQ439" s="6"/>
      <c r="BR439" s="8"/>
    </row>
    <row r="440">
      <c r="A440" s="6"/>
      <c r="B440" s="6" t="s">
        <v>440</v>
      </c>
      <c r="C440" s="3" t="str">
        <f t="shared" si="1"/>
        <v>_wavy lime</v>
      </c>
      <c r="D440" s="3" t="str">
        <f t="shared" si="5"/>
        <v>#N/A</v>
      </c>
      <c r="E440" s="3" t="b">
        <f t="shared" si="2"/>
        <v>0</v>
      </c>
      <c r="G440" s="3" t="str">
        <f t="shared" si="3"/>
        <v>#N/A</v>
      </c>
      <c r="AU440" s="8"/>
      <c r="AV440" s="6"/>
      <c r="AW440" s="8"/>
      <c r="AX440" s="8"/>
      <c r="AY440" s="6"/>
      <c r="AZ440" s="8"/>
      <c r="BA440" s="8"/>
      <c r="BB440" s="6"/>
      <c r="BC440" s="8"/>
      <c r="BD440" s="8"/>
      <c r="BE440" s="6"/>
      <c r="BF440" s="8"/>
      <c r="BG440" s="8"/>
      <c r="BH440" s="6"/>
      <c r="BI440" s="8"/>
      <c r="BJ440" s="8"/>
      <c r="BK440" s="6"/>
      <c r="BL440" s="8"/>
      <c r="BM440" s="8"/>
      <c r="BN440" s="6"/>
      <c r="BO440" s="8"/>
      <c r="BP440" s="8"/>
      <c r="BQ440" s="6"/>
      <c r="BR440" s="8"/>
    </row>
    <row r="441">
      <c r="A441" s="6"/>
      <c r="B441" s="6" t="s">
        <v>441</v>
      </c>
      <c r="C441" s="3" t="str">
        <f t="shared" si="1"/>
        <v>_shiny silver</v>
      </c>
      <c r="D441" s="3" t="str">
        <f t="shared" si="5"/>
        <v>#N/A</v>
      </c>
      <c r="E441" s="3" t="b">
        <f t="shared" si="2"/>
        <v>0</v>
      </c>
      <c r="G441" s="3" t="str">
        <f t="shared" si="3"/>
        <v>#N/A</v>
      </c>
      <c r="AU441" s="8"/>
      <c r="AV441" s="6"/>
      <c r="AW441" s="8"/>
      <c r="AX441" s="8"/>
      <c r="AY441" s="6"/>
      <c r="AZ441" s="8"/>
      <c r="BA441" s="8"/>
      <c r="BB441" s="6"/>
      <c r="BC441" s="8"/>
      <c r="BD441" s="8"/>
      <c r="BE441" s="6"/>
      <c r="BF441" s="8"/>
      <c r="BG441" s="8"/>
      <c r="BH441" s="6"/>
      <c r="BI441" s="8"/>
      <c r="BJ441" s="8"/>
      <c r="BK441" s="6"/>
      <c r="BL441" s="8"/>
      <c r="BM441" s="8"/>
      <c r="BN441" s="6"/>
      <c r="BO441" s="8"/>
      <c r="BP441" s="8"/>
      <c r="BQ441" s="6"/>
      <c r="BR441" s="8"/>
    </row>
    <row r="442">
      <c r="A442" s="6"/>
      <c r="B442" s="6" t="s">
        <v>442</v>
      </c>
      <c r="C442" s="3" t="str">
        <f t="shared" si="1"/>
        <v>_dark tan</v>
      </c>
      <c r="D442" s="3" t="str">
        <f t="shared" si="5"/>
        <v>#N/A</v>
      </c>
      <c r="E442" s="3" t="b">
        <f t="shared" si="2"/>
        <v>0</v>
      </c>
      <c r="G442" s="3" t="str">
        <f t="shared" si="3"/>
        <v>#N/A</v>
      </c>
      <c r="AU442" s="8"/>
      <c r="AV442" s="6"/>
      <c r="AW442" s="8"/>
      <c r="AX442" s="8"/>
      <c r="AY442" s="6"/>
      <c r="AZ442" s="8"/>
      <c r="BA442" s="8"/>
      <c r="BB442" s="6"/>
      <c r="BC442" s="8"/>
      <c r="BD442" s="8"/>
      <c r="BE442" s="6"/>
      <c r="BF442" s="8"/>
      <c r="BG442" s="8"/>
      <c r="BH442" s="6"/>
      <c r="BI442" s="8"/>
      <c r="BJ442" s="8"/>
      <c r="BK442" s="6"/>
      <c r="BL442" s="8"/>
      <c r="BM442" s="8"/>
      <c r="BN442" s="6"/>
      <c r="BO442" s="8"/>
      <c r="BP442" s="8"/>
      <c r="BQ442" s="6"/>
      <c r="BR442" s="8"/>
    </row>
    <row r="443">
      <c r="A443" s="6"/>
      <c r="B443" s="6" t="s">
        <v>443</v>
      </c>
      <c r="C443" s="3" t="str">
        <f t="shared" si="1"/>
        <v>_mirrored brown</v>
      </c>
      <c r="D443" s="3" t="str">
        <f t="shared" si="5"/>
        <v>#N/A</v>
      </c>
      <c r="E443" s="3" t="b">
        <f t="shared" si="2"/>
        <v>0</v>
      </c>
      <c r="G443" s="3" t="str">
        <f t="shared" si="3"/>
        <v>#N/A</v>
      </c>
      <c r="AU443" s="8"/>
      <c r="AV443" s="6"/>
      <c r="AW443" s="8"/>
      <c r="AX443" s="8"/>
      <c r="AY443" s="6"/>
      <c r="AZ443" s="8"/>
      <c r="BA443" s="8"/>
      <c r="BB443" s="6"/>
      <c r="BC443" s="8"/>
      <c r="BD443" s="8"/>
      <c r="BE443" s="6"/>
      <c r="BF443" s="8"/>
      <c r="BG443" s="8"/>
      <c r="BH443" s="6"/>
      <c r="BI443" s="8"/>
      <c r="BJ443" s="8"/>
      <c r="BK443" s="6"/>
      <c r="BL443" s="8"/>
      <c r="BM443" s="8"/>
      <c r="BN443" s="6"/>
      <c r="BO443" s="8"/>
      <c r="BP443" s="8"/>
      <c r="BQ443" s="6"/>
      <c r="BR443" s="8"/>
    </row>
    <row r="444">
      <c r="A444" s="6"/>
      <c r="B444" s="6" t="s">
        <v>444</v>
      </c>
      <c r="C444" s="3" t="str">
        <f t="shared" si="1"/>
        <v>_muted brown</v>
      </c>
      <c r="D444" s="3" t="str">
        <f t="shared" si="5"/>
        <v>#N/A</v>
      </c>
      <c r="E444" s="3" t="b">
        <f t="shared" si="2"/>
        <v>0</v>
      </c>
      <c r="G444" s="3" t="str">
        <f t="shared" si="3"/>
        <v>#N/A</v>
      </c>
      <c r="AU444" s="8"/>
      <c r="AV444" s="6"/>
      <c r="AW444" s="8"/>
      <c r="AX444" s="8"/>
      <c r="AY444" s="6"/>
      <c r="AZ444" s="8"/>
      <c r="BA444" s="8"/>
      <c r="BB444" s="6"/>
      <c r="BC444" s="8"/>
      <c r="BD444" s="8"/>
      <c r="BE444" s="6"/>
      <c r="BF444" s="8"/>
      <c r="BG444" s="8"/>
      <c r="BH444" s="6"/>
      <c r="BI444" s="8"/>
      <c r="BJ444" s="8"/>
      <c r="BK444" s="6"/>
      <c r="BL444" s="8"/>
      <c r="BM444" s="8"/>
      <c r="BN444" s="6"/>
      <c r="BO444" s="8"/>
      <c r="BP444" s="8"/>
      <c r="BQ444" s="6"/>
      <c r="BR444" s="8"/>
    </row>
    <row r="445">
      <c r="A445" s="6"/>
      <c r="B445" s="6" t="s">
        <v>445</v>
      </c>
      <c r="C445" s="3" t="str">
        <f t="shared" si="1"/>
        <v>_posh black</v>
      </c>
      <c r="D445" s="3" t="str">
        <f t="shared" si="5"/>
        <v>#N/A</v>
      </c>
      <c r="E445" s="3" t="b">
        <f t="shared" si="2"/>
        <v>0</v>
      </c>
      <c r="G445" s="3" t="str">
        <f t="shared" si="3"/>
        <v>#N/A</v>
      </c>
      <c r="AU445" s="8"/>
      <c r="AV445" s="6"/>
      <c r="AW445" s="8"/>
      <c r="AX445" s="8"/>
      <c r="AY445" s="6"/>
      <c r="AZ445" s="8"/>
      <c r="BA445" s="8"/>
      <c r="BB445" s="6"/>
      <c r="BC445" s="8"/>
      <c r="BD445" s="8"/>
      <c r="BE445" s="6"/>
      <c r="BF445" s="8"/>
      <c r="BG445" s="8"/>
      <c r="BH445" s="6"/>
      <c r="BI445" s="8"/>
      <c r="BJ445" s="8"/>
      <c r="BK445" s="6"/>
      <c r="BL445" s="8"/>
      <c r="BM445" s="8"/>
      <c r="BN445" s="6"/>
      <c r="BO445" s="8"/>
      <c r="BP445" s="8"/>
      <c r="BQ445" s="6"/>
      <c r="BR445" s="8"/>
    </row>
    <row r="446">
      <c r="A446" s="6"/>
      <c r="B446" s="6" t="s">
        <v>446</v>
      </c>
      <c r="C446" s="3" t="str">
        <f t="shared" si="1"/>
        <v>_wavy aqua</v>
      </c>
      <c r="D446" s="3" t="str">
        <f t="shared" si="5"/>
        <v>#N/A</v>
      </c>
      <c r="E446" s="3" t="b">
        <f t="shared" si="2"/>
        <v>0</v>
      </c>
      <c r="G446" s="3" t="str">
        <f t="shared" si="3"/>
        <v>#N/A</v>
      </c>
      <c r="AU446" s="8"/>
      <c r="AV446" s="6"/>
      <c r="AW446" s="8"/>
      <c r="AX446" s="8"/>
      <c r="AY446" s="6"/>
      <c r="AZ446" s="8"/>
      <c r="BA446" s="8"/>
      <c r="BB446" s="6"/>
      <c r="BC446" s="8"/>
      <c r="BD446" s="8"/>
      <c r="BE446" s="6"/>
      <c r="BF446" s="8"/>
      <c r="BG446" s="8"/>
      <c r="BH446" s="6"/>
      <c r="BI446" s="8"/>
      <c r="BJ446" s="8"/>
      <c r="BK446" s="6"/>
      <c r="BL446" s="8"/>
      <c r="BM446" s="8"/>
      <c r="BN446" s="6"/>
      <c r="BO446" s="8"/>
      <c r="BP446" s="8"/>
      <c r="BQ446" s="6"/>
      <c r="BR446" s="8"/>
    </row>
    <row r="447">
      <c r="A447" s="6"/>
      <c r="B447" s="6" t="s">
        <v>447</v>
      </c>
      <c r="C447" s="3" t="str">
        <f t="shared" si="1"/>
        <v>_vibrant chartreuse</v>
      </c>
      <c r="D447" s="3" t="str">
        <f t="shared" si="5"/>
        <v>#N/A</v>
      </c>
      <c r="E447" s="3" t="b">
        <f t="shared" si="2"/>
        <v>0</v>
      </c>
      <c r="G447" s="3" t="str">
        <f t="shared" si="3"/>
        <v>#N/A</v>
      </c>
      <c r="AU447" s="8"/>
      <c r="AV447" s="6"/>
      <c r="AW447" s="8"/>
      <c r="AX447" s="8"/>
      <c r="AY447" s="6"/>
      <c r="AZ447" s="8"/>
      <c r="BA447" s="8"/>
      <c r="BB447" s="6"/>
      <c r="BC447" s="8"/>
      <c r="BD447" s="8"/>
      <c r="BE447" s="6"/>
      <c r="BF447" s="8"/>
      <c r="BG447" s="8"/>
      <c r="BH447" s="6"/>
      <c r="BI447" s="8"/>
      <c r="BJ447" s="8"/>
      <c r="BK447" s="6"/>
      <c r="BL447" s="8"/>
      <c r="BM447" s="8"/>
      <c r="BN447" s="6"/>
      <c r="BO447" s="8"/>
      <c r="BP447" s="8"/>
      <c r="BQ447" s="6"/>
      <c r="BR447" s="8"/>
    </row>
    <row r="448">
      <c r="A448" s="6"/>
      <c r="B448" s="6" t="s">
        <v>448</v>
      </c>
      <c r="C448" s="3" t="str">
        <f t="shared" si="1"/>
        <v>_wavy silver</v>
      </c>
      <c r="D448" s="3" t="str">
        <f t="shared" si="5"/>
        <v>#N/A</v>
      </c>
      <c r="E448" s="3" t="b">
        <f t="shared" si="2"/>
        <v>0</v>
      </c>
      <c r="G448" s="3" t="str">
        <f t="shared" si="3"/>
        <v>#N/A</v>
      </c>
      <c r="AU448" s="8"/>
      <c r="AV448" s="6"/>
      <c r="AW448" s="8"/>
      <c r="AX448" s="8"/>
      <c r="AY448" s="6"/>
      <c r="AZ448" s="8"/>
      <c r="BA448" s="8"/>
      <c r="BB448" s="6"/>
      <c r="BC448" s="8"/>
      <c r="BD448" s="8"/>
      <c r="BE448" s="6"/>
      <c r="BF448" s="8"/>
      <c r="BG448" s="8"/>
      <c r="BH448" s="6"/>
      <c r="BI448" s="8"/>
      <c r="BJ448" s="8"/>
      <c r="BK448" s="6"/>
      <c r="BL448" s="8"/>
      <c r="BM448" s="8"/>
      <c r="BN448" s="6"/>
      <c r="BO448" s="8"/>
      <c r="BP448" s="8"/>
      <c r="BQ448" s="6"/>
      <c r="BR448" s="8"/>
    </row>
    <row r="449">
      <c r="A449" s="6"/>
      <c r="B449" s="6" t="s">
        <v>449</v>
      </c>
      <c r="C449" s="3" t="str">
        <f t="shared" si="1"/>
        <v>_shiny salmon</v>
      </c>
      <c r="D449" s="3" t="str">
        <f t="shared" si="5"/>
        <v>#N/A</v>
      </c>
      <c r="E449" s="3" t="b">
        <f t="shared" si="2"/>
        <v>0</v>
      </c>
      <c r="G449" s="3" t="str">
        <f t="shared" si="3"/>
        <v>#N/A</v>
      </c>
      <c r="AU449" s="8"/>
      <c r="AV449" s="6"/>
      <c r="AW449" s="8"/>
      <c r="AX449" s="8"/>
      <c r="AY449" s="6"/>
      <c r="AZ449" s="8"/>
      <c r="BA449" s="8"/>
      <c r="BB449" s="6"/>
      <c r="BC449" s="8"/>
      <c r="BD449" s="8"/>
      <c r="BE449" s="6"/>
      <c r="BF449" s="8"/>
      <c r="BG449" s="8"/>
      <c r="BH449" s="6"/>
      <c r="BI449" s="8"/>
      <c r="BJ449" s="8"/>
      <c r="BK449" s="6"/>
      <c r="BL449" s="8"/>
      <c r="BM449" s="8"/>
      <c r="BN449" s="6"/>
      <c r="BO449" s="8"/>
      <c r="BP449" s="8"/>
      <c r="BQ449" s="6"/>
      <c r="BR449" s="8"/>
    </row>
    <row r="450">
      <c r="A450" s="6"/>
      <c r="B450" s="6" t="s">
        <v>450</v>
      </c>
      <c r="C450" s="3" t="str">
        <f t="shared" si="1"/>
        <v>_clear purple</v>
      </c>
      <c r="D450" s="3" t="str">
        <f t="shared" si="5"/>
        <v>#N/A</v>
      </c>
      <c r="E450" s="3" t="b">
        <f t="shared" si="2"/>
        <v>0</v>
      </c>
      <c r="G450" s="3" t="str">
        <f t="shared" si="3"/>
        <v>#N/A</v>
      </c>
      <c r="AU450" s="8"/>
      <c r="AV450" s="6"/>
      <c r="AW450" s="8"/>
      <c r="AX450" s="8"/>
      <c r="AY450" s="6"/>
      <c r="AZ450" s="8"/>
      <c r="BA450" s="8"/>
      <c r="BB450" s="6"/>
      <c r="BC450" s="8"/>
      <c r="BD450" s="8"/>
      <c r="BE450" s="6"/>
      <c r="BF450" s="8"/>
      <c r="BG450" s="8"/>
      <c r="BH450" s="6"/>
      <c r="BI450" s="8"/>
      <c r="BJ450" s="8"/>
      <c r="BK450" s="6"/>
      <c r="BL450" s="8"/>
      <c r="BM450" s="8"/>
      <c r="BN450" s="6"/>
      <c r="BO450" s="8"/>
      <c r="BP450" s="8"/>
      <c r="BQ450" s="6"/>
      <c r="BR450" s="8"/>
    </row>
    <row r="451">
      <c r="A451" s="6"/>
      <c r="B451" s="6" t="s">
        <v>451</v>
      </c>
      <c r="C451" s="3" t="str">
        <f t="shared" si="1"/>
        <v>_clear cyan</v>
      </c>
      <c r="D451" s="3" t="str">
        <f t="shared" si="5"/>
        <v>#N/A</v>
      </c>
      <c r="E451" s="3" t="b">
        <f t="shared" si="2"/>
        <v>0</v>
      </c>
      <c r="G451" s="3" t="str">
        <f t="shared" si="3"/>
        <v>#N/A</v>
      </c>
      <c r="AU451" s="8"/>
      <c r="AV451" s="6"/>
      <c r="AW451" s="8"/>
      <c r="AX451" s="8"/>
      <c r="AY451" s="6"/>
      <c r="AZ451" s="8"/>
      <c r="BA451" s="8"/>
      <c r="BB451" s="6"/>
      <c r="BC451" s="8"/>
      <c r="BD451" s="8"/>
      <c r="BE451" s="6"/>
      <c r="BF451" s="8"/>
      <c r="BG451" s="8"/>
      <c r="BH451" s="6"/>
      <c r="BI451" s="8"/>
      <c r="BJ451" s="8"/>
      <c r="BK451" s="6"/>
      <c r="BL451" s="8"/>
      <c r="BM451" s="8"/>
      <c r="BN451" s="6"/>
      <c r="BO451" s="8"/>
      <c r="BP451" s="8"/>
      <c r="BQ451" s="6"/>
      <c r="BR451" s="8"/>
    </row>
    <row r="452">
      <c r="A452" s="6"/>
      <c r="B452" s="6" t="s">
        <v>452</v>
      </c>
      <c r="C452" s="3" t="str">
        <f t="shared" si="1"/>
        <v>_wavy coral</v>
      </c>
      <c r="D452" s="3" t="str">
        <f t="shared" si="5"/>
        <v>#N/A</v>
      </c>
      <c r="E452" s="3" t="b">
        <f t="shared" si="2"/>
        <v>0</v>
      </c>
      <c r="G452" s="3" t="str">
        <f t="shared" si="3"/>
        <v>#N/A</v>
      </c>
      <c r="AU452" s="8"/>
      <c r="AV452" s="6"/>
      <c r="AW452" s="8"/>
      <c r="AX452" s="8"/>
      <c r="AY452" s="6"/>
      <c r="AZ452" s="8"/>
      <c r="BA452" s="8"/>
      <c r="BB452" s="6"/>
      <c r="BC452" s="8"/>
      <c r="BD452" s="8"/>
      <c r="BE452" s="6"/>
      <c r="BF452" s="8"/>
      <c r="BG452" s="8"/>
      <c r="BH452" s="6"/>
      <c r="BI452" s="8"/>
      <c r="BJ452" s="8"/>
      <c r="BK452" s="6"/>
      <c r="BL452" s="8"/>
      <c r="BM452" s="8"/>
      <c r="BN452" s="6"/>
      <c r="BO452" s="8"/>
      <c r="BP452" s="8"/>
      <c r="BQ452" s="6"/>
      <c r="BR452" s="8"/>
    </row>
    <row r="453">
      <c r="A453" s="6"/>
      <c r="B453" s="6" t="s">
        <v>453</v>
      </c>
      <c r="C453" s="3" t="str">
        <f t="shared" si="1"/>
        <v>_wavy green</v>
      </c>
      <c r="D453" s="3" t="str">
        <f t="shared" si="5"/>
        <v>#N/A</v>
      </c>
      <c r="E453" s="3" t="b">
        <f t="shared" si="2"/>
        <v>0</v>
      </c>
      <c r="G453" s="3" t="str">
        <f t="shared" si="3"/>
        <v>#N/A</v>
      </c>
      <c r="AU453" s="8"/>
      <c r="AV453" s="6"/>
      <c r="AW453" s="8"/>
      <c r="AX453" s="8"/>
      <c r="AY453" s="6"/>
      <c r="AZ453" s="8"/>
      <c r="BA453" s="8"/>
      <c r="BB453" s="6"/>
      <c r="BC453" s="8"/>
      <c r="BD453" s="8"/>
      <c r="BE453" s="6"/>
      <c r="BF453" s="8"/>
      <c r="BG453" s="8"/>
      <c r="BH453" s="6"/>
      <c r="BI453" s="8"/>
      <c r="BJ453" s="8"/>
      <c r="BK453" s="6"/>
      <c r="BL453" s="8"/>
      <c r="BM453" s="8"/>
      <c r="BN453" s="6"/>
      <c r="BO453" s="8"/>
      <c r="BP453" s="8"/>
      <c r="BQ453" s="6"/>
      <c r="BR453" s="8"/>
    </row>
    <row r="454">
      <c r="A454" s="6"/>
      <c r="B454" s="6" t="s">
        <v>454</v>
      </c>
      <c r="C454" s="3" t="str">
        <f t="shared" si="1"/>
        <v>_mirrored gold</v>
      </c>
      <c r="D454" s="3" t="str">
        <f t="shared" si="5"/>
        <v>#N/A</v>
      </c>
      <c r="E454" s="3" t="b">
        <f t="shared" si="2"/>
        <v>0</v>
      </c>
      <c r="G454" s="3" t="str">
        <f t="shared" si="3"/>
        <v>#N/A</v>
      </c>
      <c r="AU454" s="8"/>
      <c r="AV454" s="6"/>
      <c r="AW454" s="8"/>
      <c r="AX454" s="8"/>
      <c r="AY454" s="6"/>
      <c r="AZ454" s="8"/>
      <c r="BA454" s="8"/>
      <c r="BB454" s="6"/>
      <c r="BC454" s="8"/>
      <c r="BD454" s="8"/>
      <c r="BE454" s="6"/>
      <c r="BF454" s="8"/>
      <c r="BG454" s="8"/>
      <c r="BH454" s="6"/>
      <c r="BI454" s="8"/>
      <c r="BJ454" s="8"/>
      <c r="BK454" s="6"/>
      <c r="BL454" s="8"/>
      <c r="BM454" s="8"/>
      <c r="BN454" s="6"/>
      <c r="BO454" s="8"/>
      <c r="BP454" s="8"/>
      <c r="BQ454" s="6"/>
      <c r="BR454" s="8"/>
    </row>
    <row r="455">
      <c r="A455" s="6"/>
      <c r="B455" s="6" t="s">
        <v>455</v>
      </c>
      <c r="C455" s="3" t="str">
        <f t="shared" si="1"/>
        <v>_muted fuchsia</v>
      </c>
      <c r="D455" s="3" t="str">
        <f t="shared" si="5"/>
        <v>#N/A</v>
      </c>
      <c r="E455" s="3" t="b">
        <f t="shared" si="2"/>
        <v>0</v>
      </c>
      <c r="G455" s="3" t="str">
        <f t="shared" si="3"/>
        <v>#N/A</v>
      </c>
      <c r="AU455" s="8"/>
      <c r="AV455" s="6"/>
      <c r="AW455" s="8"/>
      <c r="AX455" s="8"/>
      <c r="AY455" s="6"/>
      <c r="AZ455" s="8"/>
      <c r="BA455" s="8"/>
      <c r="BB455" s="6"/>
      <c r="BC455" s="8"/>
      <c r="BD455" s="8"/>
      <c r="BE455" s="6"/>
      <c r="BF455" s="8"/>
      <c r="BG455" s="8"/>
      <c r="BH455" s="6"/>
      <c r="BI455" s="8"/>
      <c r="BJ455" s="8"/>
      <c r="BK455" s="6"/>
      <c r="BL455" s="8"/>
      <c r="BM455" s="8"/>
      <c r="BN455" s="6"/>
      <c r="BO455" s="8"/>
      <c r="BP455" s="8"/>
      <c r="BQ455" s="6"/>
      <c r="BR455" s="8"/>
    </row>
    <row r="456">
      <c r="A456" s="6"/>
      <c r="B456" s="6" t="s">
        <v>456</v>
      </c>
      <c r="C456" s="3" t="str">
        <f t="shared" si="1"/>
        <v>_clear maroon</v>
      </c>
      <c r="D456" s="3" t="str">
        <f t="shared" si="5"/>
        <v>#N/A</v>
      </c>
      <c r="E456" s="3" t="b">
        <f t="shared" si="2"/>
        <v>0</v>
      </c>
      <c r="G456" s="3" t="str">
        <f t="shared" si="3"/>
        <v>#N/A</v>
      </c>
      <c r="AU456" s="8"/>
      <c r="AV456" s="6"/>
      <c r="AW456" s="8"/>
      <c r="AX456" s="8"/>
      <c r="AY456" s="6"/>
      <c r="AZ456" s="8"/>
      <c r="BA456" s="8"/>
      <c r="BB456" s="6"/>
      <c r="BC456" s="8"/>
      <c r="BD456" s="8"/>
      <c r="BE456" s="6"/>
      <c r="BF456" s="8"/>
      <c r="BG456" s="8"/>
      <c r="BH456" s="6"/>
      <c r="BI456" s="8"/>
      <c r="BJ456" s="8"/>
      <c r="BK456" s="6"/>
      <c r="BL456" s="8"/>
      <c r="BM456" s="8"/>
      <c r="BN456" s="6"/>
      <c r="BO456" s="8"/>
      <c r="BP456" s="8"/>
      <c r="BQ456" s="6"/>
      <c r="BR456" s="8"/>
    </row>
    <row r="457">
      <c r="A457" s="6"/>
      <c r="B457" s="6" t="s">
        <v>457</v>
      </c>
      <c r="C457" s="3" t="str">
        <f t="shared" si="1"/>
        <v>_faded salmon</v>
      </c>
      <c r="D457" s="3" t="str">
        <f t="shared" si="5"/>
        <v>#N/A</v>
      </c>
      <c r="E457" s="3" t="b">
        <f t="shared" si="2"/>
        <v>0</v>
      </c>
      <c r="G457" s="3" t="str">
        <f t="shared" si="3"/>
        <v>#N/A</v>
      </c>
      <c r="AU457" s="8"/>
      <c r="AV457" s="6"/>
      <c r="AW457" s="8"/>
      <c r="AX457" s="8"/>
      <c r="AY457" s="6"/>
      <c r="AZ457" s="8"/>
      <c r="BA457" s="8"/>
      <c r="BB457" s="6"/>
      <c r="BC457" s="8"/>
      <c r="BD457" s="8"/>
      <c r="BE457" s="6"/>
      <c r="BF457" s="8"/>
      <c r="BG457" s="8"/>
      <c r="BH457" s="6"/>
      <c r="BI457" s="8"/>
      <c r="BJ457" s="8"/>
      <c r="BK457" s="6"/>
      <c r="BL457" s="8"/>
      <c r="BM457" s="8"/>
      <c r="BN457" s="6"/>
      <c r="BO457" s="8"/>
      <c r="BP457" s="8"/>
      <c r="BQ457" s="6"/>
      <c r="BR457" s="8"/>
    </row>
    <row r="458">
      <c r="A458" s="6"/>
      <c r="B458" s="6" t="s">
        <v>458</v>
      </c>
      <c r="C458" s="3" t="str">
        <f t="shared" si="1"/>
        <v>_striped aqua</v>
      </c>
      <c r="D458" s="3" t="str">
        <f t="shared" si="5"/>
        <v>#N/A</v>
      </c>
      <c r="E458" s="3" t="b">
        <f t="shared" si="2"/>
        <v>0</v>
      </c>
      <c r="G458" s="3" t="str">
        <f t="shared" si="3"/>
        <v>#N/A</v>
      </c>
      <c r="AU458" s="8"/>
      <c r="AV458" s="6"/>
      <c r="AW458" s="8"/>
      <c r="AX458" s="8"/>
      <c r="AY458" s="6"/>
      <c r="AZ458" s="8"/>
      <c r="BA458" s="8"/>
      <c r="BB458" s="6"/>
      <c r="BC458" s="8"/>
      <c r="BD458" s="8"/>
      <c r="BE458" s="6"/>
      <c r="BF458" s="8"/>
      <c r="BG458" s="8"/>
      <c r="BH458" s="6"/>
      <c r="BI458" s="8"/>
      <c r="BJ458" s="8"/>
      <c r="BK458" s="6"/>
      <c r="BL458" s="8"/>
      <c r="BM458" s="8"/>
      <c r="BN458" s="6"/>
      <c r="BO458" s="8"/>
      <c r="BP458" s="8"/>
      <c r="BQ458" s="6"/>
      <c r="BR458" s="8"/>
    </row>
    <row r="459">
      <c r="A459" s="6"/>
      <c r="B459" s="6" t="s">
        <v>459</v>
      </c>
      <c r="C459" s="3" t="str">
        <f t="shared" si="1"/>
        <v>_plaid fuchsia</v>
      </c>
      <c r="D459" s="3" t="str">
        <f t="shared" si="5"/>
        <v>#N/A</v>
      </c>
      <c r="E459" s="3" t="b">
        <f t="shared" si="2"/>
        <v>0</v>
      </c>
      <c r="G459" s="3" t="str">
        <f t="shared" si="3"/>
        <v>#N/A</v>
      </c>
      <c r="AU459" s="8"/>
      <c r="AV459" s="6"/>
      <c r="AW459" s="8"/>
      <c r="AX459" s="8"/>
      <c r="AY459" s="6"/>
      <c r="AZ459" s="8"/>
      <c r="BA459" s="8"/>
      <c r="BB459" s="6"/>
      <c r="BC459" s="8"/>
      <c r="BD459" s="8"/>
      <c r="BE459" s="6"/>
      <c r="BF459" s="8"/>
      <c r="BG459" s="8"/>
      <c r="BH459" s="6"/>
      <c r="BI459" s="8"/>
      <c r="BJ459" s="8"/>
      <c r="BK459" s="6"/>
      <c r="BL459" s="8"/>
      <c r="BM459" s="8"/>
      <c r="BN459" s="6"/>
      <c r="BO459" s="8"/>
      <c r="BP459" s="8"/>
      <c r="BQ459" s="6"/>
      <c r="BR459" s="8"/>
    </row>
    <row r="460">
      <c r="A460" s="6"/>
      <c r="B460" s="6" t="s">
        <v>460</v>
      </c>
      <c r="C460" s="3" t="str">
        <f t="shared" si="1"/>
        <v>_pale chartreuse</v>
      </c>
      <c r="D460" s="3" t="str">
        <f t="shared" si="5"/>
        <v>#N/A</v>
      </c>
      <c r="E460" s="3" t="b">
        <f t="shared" si="2"/>
        <v>0</v>
      </c>
      <c r="G460" s="3" t="str">
        <f t="shared" si="3"/>
        <v>#N/A</v>
      </c>
      <c r="AU460" s="8"/>
      <c r="AV460" s="6"/>
      <c r="AW460" s="8"/>
      <c r="AX460" s="8"/>
      <c r="AY460" s="6"/>
      <c r="AZ460" s="8"/>
      <c r="BA460" s="8"/>
      <c r="BB460" s="6"/>
      <c r="BC460" s="8"/>
      <c r="BD460" s="8"/>
      <c r="BE460" s="6"/>
      <c r="BF460" s="8"/>
      <c r="BG460" s="8"/>
      <c r="BH460" s="6"/>
      <c r="BI460" s="8"/>
      <c r="BJ460" s="8"/>
      <c r="BK460" s="6"/>
      <c r="BL460" s="8"/>
      <c r="BM460" s="8"/>
      <c r="BN460" s="6"/>
      <c r="BO460" s="8"/>
      <c r="BP460" s="8"/>
      <c r="BQ460" s="6"/>
      <c r="BR460" s="8"/>
    </row>
    <row r="461">
      <c r="A461" s="6"/>
      <c r="B461" s="6" t="s">
        <v>461</v>
      </c>
      <c r="C461" s="3" t="str">
        <f t="shared" si="1"/>
        <v>_shiny beige</v>
      </c>
      <c r="D461" s="3" t="str">
        <f t="shared" si="5"/>
        <v>#N/A</v>
      </c>
      <c r="E461" s="3" t="b">
        <f t="shared" si="2"/>
        <v>0</v>
      </c>
      <c r="G461" s="3" t="str">
        <f t="shared" si="3"/>
        <v>#N/A</v>
      </c>
      <c r="AU461" s="8"/>
      <c r="AV461" s="6"/>
      <c r="AW461" s="8"/>
      <c r="AX461" s="8"/>
      <c r="AY461" s="6"/>
      <c r="AZ461" s="8"/>
      <c r="BA461" s="8"/>
      <c r="BB461" s="6"/>
      <c r="BC461" s="8"/>
      <c r="BD461" s="8"/>
      <c r="BE461" s="6"/>
      <c r="BF461" s="8"/>
      <c r="BG461" s="8"/>
      <c r="BH461" s="6"/>
      <c r="BI461" s="8"/>
      <c r="BJ461" s="8"/>
      <c r="BK461" s="6"/>
      <c r="BL461" s="8"/>
      <c r="BM461" s="8"/>
      <c r="BN461" s="6"/>
      <c r="BO461" s="8"/>
      <c r="BP461" s="8"/>
      <c r="BQ461" s="6"/>
      <c r="BR461" s="8"/>
    </row>
    <row r="462">
      <c r="A462" s="6"/>
      <c r="B462" s="6" t="s">
        <v>462</v>
      </c>
      <c r="C462" s="3" t="str">
        <f t="shared" si="1"/>
        <v>_posh aqua</v>
      </c>
      <c r="D462" s="3" t="str">
        <f t="shared" si="5"/>
        <v>#N/A</v>
      </c>
      <c r="E462" s="3" t="b">
        <f t="shared" si="2"/>
        <v>0</v>
      </c>
      <c r="G462" s="3" t="str">
        <f t="shared" si="3"/>
        <v>#N/A</v>
      </c>
      <c r="AU462" s="8"/>
      <c r="AV462" s="6"/>
      <c r="AW462" s="8"/>
      <c r="AX462" s="8"/>
      <c r="AY462" s="6"/>
      <c r="AZ462" s="8"/>
      <c r="BA462" s="8"/>
      <c r="BB462" s="6"/>
      <c r="BC462" s="8"/>
      <c r="BD462" s="8"/>
      <c r="BE462" s="6"/>
      <c r="BF462" s="8"/>
      <c r="BG462" s="8"/>
      <c r="BH462" s="6"/>
      <c r="BI462" s="8"/>
      <c r="BJ462" s="8"/>
      <c r="BK462" s="6"/>
      <c r="BL462" s="8"/>
      <c r="BM462" s="8"/>
      <c r="BN462" s="6"/>
      <c r="BO462" s="8"/>
      <c r="BP462" s="8"/>
      <c r="BQ462" s="6"/>
      <c r="BR462" s="8"/>
    </row>
    <row r="463">
      <c r="A463" s="6"/>
      <c r="B463" s="6" t="s">
        <v>463</v>
      </c>
      <c r="C463" s="3" t="str">
        <f t="shared" si="1"/>
        <v>_dull magenta</v>
      </c>
      <c r="D463" s="3" t="str">
        <f t="shared" si="5"/>
        <v>#N/A</v>
      </c>
      <c r="E463" s="3" t="b">
        <f t="shared" si="2"/>
        <v>0</v>
      </c>
      <c r="G463" s="3" t="str">
        <f t="shared" si="3"/>
        <v>#N/A</v>
      </c>
      <c r="AU463" s="8"/>
      <c r="AV463" s="6"/>
      <c r="AW463" s="8"/>
      <c r="AX463" s="8"/>
      <c r="AY463" s="6"/>
      <c r="AZ463" s="8"/>
      <c r="BA463" s="8"/>
      <c r="BB463" s="6"/>
      <c r="BC463" s="8"/>
      <c r="BD463" s="8"/>
      <c r="BE463" s="6"/>
      <c r="BF463" s="8"/>
      <c r="BG463" s="8"/>
      <c r="BH463" s="6"/>
      <c r="BI463" s="8"/>
      <c r="BJ463" s="8"/>
      <c r="BK463" s="6"/>
      <c r="BL463" s="8"/>
      <c r="BM463" s="8"/>
      <c r="BN463" s="6"/>
      <c r="BO463" s="8"/>
      <c r="BP463" s="8"/>
      <c r="BQ463" s="6"/>
      <c r="BR463" s="8"/>
    </row>
    <row r="464">
      <c r="A464" s="6"/>
      <c r="B464" s="6" t="s">
        <v>464</v>
      </c>
      <c r="C464" s="3" t="str">
        <f t="shared" si="1"/>
        <v>_posh tomato</v>
      </c>
      <c r="D464" s="3" t="str">
        <f t="shared" si="5"/>
        <v>#N/A</v>
      </c>
      <c r="E464" s="3" t="b">
        <f t="shared" si="2"/>
        <v>0</v>
      </c>
      <c r="G464" s="3" t="str">
        <f t="shared" si="3"/>
        <v>#N/A</v>
      </c>
      <c r="AU464" s="8"/>
      <c r="AV464" s="6"/>
      <c r="AW464" s="8"/>
      <c r="AX464" s="8"/>
      <c r="AY464" s="6"/>
      <c r="AZ464" s="8"/>
      <c r="BA464" s="8"/>
      <c r="BB464" s="6"/>
      <c r="BC464" s="8"/>
      <c r="BD464" s="8"/>
      <c r="BE464" s="6"/>
      <c r="BF464" s="8"/>
      <c r="BG464" s="8"/>
      <c r="BH464" s="6"/>
      <c r="BI464" s="8"/>
      <c r="BJ464" s="8"/>
      <c r="BK464" s="6"/>
      <c r="BL464" s="8"/>
      <c r="BM464" s="8"/>
      <c r="BN464" s="6"/>
      <c r="BO464" s="8"/>
      <c r="BP464" s="8"/>
      <c r="BQ464" s="6"/>
      <c r="BR464" s="8"/>
    </row>
    <row r="465">
      <c r="A465" s="6"/>
      <c r="B465" s="6" t="s">
        <v>465</v>
      </c>
      <c r="C465" s="3" t="str">
        <f t="shared" si="1"/>
        <v>_clear red</v>
      </c>
      <c r="D465" s="3" t="str">
        <f t="shared" si="5"/>
        <v>#N/A</v>
      </c>
      <c r="E465" s="3" t="b">
        <f t="shared" si="2"/>
        <v>0</v>
      </c>
      <c r="G465" s="3" t="str">
        <f t="shared" si="3"/>
        <v>#N/A</v>
      </c>
      <c r="AU465" s="8"/>
      <c r="AV465" s="6"/>
      <c r="AW465" s="8"/>
      <c r="AX465" s="8"/>
      <c r="AY465" s="6"/>
      <c r="AZ465" s="8"/>
      <c r="BA465" s="8"/>
      <c r="BB465" s="6"/>
      <c r="BC465" s="8"/>
      <c r="BD465" s="8"/>
      <c r="BE465" s="6"/>
      <c r="BF465" s="8"/>
      <c r="BG465" s="8"/>
      <c r="BH465" s="6"/>
      <c r="BI465" s="8"/>
      <c r="BJ465" s="8"/>
      <c r="BK465" s="6"/>
      <c r="BL465" s="8"/>
      <c r="BM465" s="8"/>
      <c r="BN465" s="6"/>
      <c r="BO465" s="8"/>
      <c r="BP465" s="8"/>
      <c r="BQ465" s="6"/>
      <c r="BR465" s="8"/>
    </row>
    <row r="466">
      <c r="A466" s="6"/>
      <c r="B466" s="6" t="s">
        <v>466</v>
      </c>
      <c r="C466" s="3" t="str">
        <f t="shared" si="1"/>
        <v>_dotted aqua</v>
      </c>
      <c r="D466" s="3" t="str">
        <f t="shared" si="5"/>
        <v>#N/A</v>
      </c>
      <c r="E466" s="3" t="b">
        <f t="shared" si="2"/>
        <v>0</v>
      </c>
      <c r="G466" s="3" t="str">
        <f t="shared" si="3"/>
        <v>#N/A</v>
      </c>
      <c r="AU466" s="8"/>
      <c r="AV466" s="6"/>
      <c r="AW466" s="8"/>
      <c r="AX466" s="8"/>
      <c r="AY466" s="6"/>
      <c r="AZ466" s="8"/>
      <c r="BA466" s="8"/>
      <c r="BB466" s="6"/>
      <c r="BC466" s="8"/>
      <c r="BD466" s="8"/>
      <c r="BE466" s="6"/>
      <c r="BF466" s="8"/>
      <c r="BG466" s="8"/>
      <c r="BH466" s="6"/>
      <c r="BI466" s="8"/>
      <c r="BJ466" s="8"/>
      <c r="BK466" s="6"/>
      <c r="BL466" s="8"/>
      <c r="BM466" s="8"/>
      <c r="BN466" s="6"/>
      <c r="BO466" s="8"/>
      <c r="BP466" s="8"/>
      <c r="BQ466" s="6"/>
      <c r="BR466" s="8"/>
    </row>
    <row r="467">
      <c r="A467" s="6"/>
      <c r="B467" s="6" t="s">
        <v>467</v>
      </c>
      <c r="C467" s="3" t="str">
        <f t="shared" si="1"/>
        <v>_clear olive</v>
      </c>
      <c r="D467" s="3" t="str">
        <f t="shared" si="5"/>
        <v>#N/A</v>
      </c>
      <c r="E467" s="3" t="b">
        <f t="shared" si="2"/>
        <v>0</v>
      </c>
      <c r="G467" s="3" t="str">
        <f t="shared" si="3"/>
        <v>#N/A</v>
      </c>
      <c r="AU467" s="8"/>
      <c r="AV467" s="6"/>
      <c r="AW467" s="8"/>
      <c r="AX467" s="8"/>
      <c r="AY467" s="6"/>
      <c r="AZ467" s="8"/>
      <c r="BA467" s="8"/>
      <c r="BB467" s="6"/>
      <c r="BC467" s="8"/>
      <c r="BD467" s="8"/>
      <c r="BE467" s="6"/>
      <c r="BF467" s="8"/>
      <c r="BG467" s="8"/>
      <c r="BH467" s="6"/>
      <c r="BI467" s="8"/>
      <c r="BJ467" s="8"/>
      <c r="BK467" s="6"/>
      <c r="BL467" s="8"/>
      <c r="BM467" s="8"/>
      <c r="BN467" s="6"/>
      <c r="BO467" s="8"/>
      <c r="BP467" s="8"/>
      <c r="BQ467" s="6"/>
      <c r="BR467" s="8"/>
    </row>
    <row r="468">
      <c r="A468" s="6"/>
      <c r="B468" s="6" t="s">
        <v>468</v>
      </c>
      <c r="C468" s="3" t="str">
        <f t="shared" si="1"/>
        <v>_dotted green</v>
      </c>
      <c r="D468" s="3" t="str">
        <f t="shared" si="5"/>
        <v>#N/A</v>
      </c>
      <c r="E468" s="3" t="b">
        <f t="shared" si="2"/>
        <v>0</v>
      </c>
      <c r="G468" s="3" t="str">
        <f t="shared" si="3"/>
        <v>#N/A</v>
      </c>
      <c r="AU468" s="8"/>
      <c r="AV468" s="6"/>
      <c r="AW468" s="8"/>
      <c r="AX468" s="8"/>
      <c r="AY468" s="6"/>
      <c r="AZ468" s="8"/>
      <c r="BA468" s="8"/>
      <c r="BB468" s="6"/>
      <c r="BC468" s="8"/>
      <c r="BD468" s="8"/>
      <c r="BE468" s="6"/>
      <c r="BF468" s="8"/>
      <c r="BG468" s="8"/>
      <c r="BH468" s="6"/>
      <c r="BI468" s="8"/>
      <c r="BJ468" s="8"/>
      <c r="BK468" s="6"/>
      <c r="BL468" s="8"/>
      <c r="BM468" s="8"/>
      <c r="BN468" s="6"/>
      <c r="BO468" s="8"/>
      <c r="BP468" s="8"/>
      <c r="BQ468" s="6"/>
      <c r="BR468" s="8"/>
    </row>
    <row r="469">
      <c r="A469" s="6"/>
      <c r="B469" s="6" t="s">
        <v>469</v>
      </c>
      <c r="C469" s="3" t="str">
        <f t="shared" si="1"/>
        <v>_clear teal</v>
      </c>
      <c r="D469" s="3" t="str">
        <f t="shared" si="5"/>
        <v>#N/A</v>
      </c>
      <c r="E469" s="3" t="b">
        <f t="shared" si="2"/>
        <v>0</v>
      </c>
      <c r="G469" s="3" t="str">
        <f t="shared" si="3"/>
        <v>#N/A</v>
      </c>
      <c r="AU469" s="8"/>
      <c r="AV469" s="6"/>
      <c r="AW469" s="8"/>
      <c r="AX469" s="8"/>
      <c r="AY469" s="6"/>
      <c r="AZ469" s="8"/>
      <c r="BA469" s="8"/>
      <c r="BB469" s="6"/>
      <c r="BC469" s="8"/>
      <c r="BD469" s="8"/>
      <c r="BE469" s="6"/>
      <c r="BF469" s="8"/>
      <c r="BG469" s="8"/>
      <c r="BH469" s="6"/>
      <c r="BI469" s="8"/>
      <c r="BJ469" s="8"/>
      <c r="BK469" s="6"/>
      <c r="BL469" s="8"/>
      <c r="BM469" s="8"/>
      <c r="BN469" s="6"/>
      <c r="BO469" s="8"/>
      <c r="BP469" s="8"/>
      <c r="BQ469" s="6"/>
      <c r="BR469" s="8"/>
    </row>
    <row r="470">
      <c r="A470" s="6"/>
      <c r="B470" s="6" t="s">
        <v>470</v>
      </c>
      <c r="C470" s="3" t="str">
        <f t="shared" si="1"/>
        <v>_plaid orange</v>
      </c>
      <c r="D470" s="3" t="str">
        <f t="shared" si="5"/>
        <v>#N/A</v>
      </c>
      <c r="E470" s="3" t="b">
        <f t="shared" si="2"/>
        <v>0</v>
      </c>
      <c r="G470" s="3" t="str">
        <f t="shared" si="3"/>
        <v>#N/A</v>
      </c>
      <c r="AU470" s="8"/>
      <c r="AV470" s="6"/>
      <c r="AW470" s="8"/>
      <c r="AX470" s="8"/>
      <c r="AY470" s="6"/>
      <c r="AZ470" s="8"/>
      <c r="BA470" s="8"/>
      <c r="BB470" s="6"/>
      <c r="BC470" s="8"/>
      <c r="BD470" s="8"/>
      <c r="BE470" s="6"/>
      <c r="BF470" s="8"/>
      <c r="BG470" s="8"/>
      <c r="BH470" s="6"/>
      <c r="BI470" s="8"/>
      <c r="BJ470" s="8"/>
      <c r="BK470" s="6"/>
      <c r="BL470" s="8"/>
      <c r="BM470" s="8"/>
      <c r="BN470" s="6"/>
      <c r="BO470" s="8"/>
      <c r="BP470" s="8"/>
      <c r="BQ470" s="6"/>
      <c r="BR470" s="8"/>
    </row>
    <row r="471">
      <c r="A471" s="6"/>
      <c r="B471" s="6" t="s">
        <v>471</v>
      </c>
      <c r="C471" s="3" t="str">
        <f t="shared" si="1"/>
        <v>_pale teal</v>
      </c>
      <c r="D471" s="3" t="str">
        <f t="shared" si="5"/>
        <v>#N/A</v>
      </c>
      <c r="E471" s="3" t="b">
        <f t="shared" si="2"/>
        <v>0</v>
      </c>
      <c r="G471" s="3" t="str">
        <f t="shared" si="3"/>
        <v>#N/A</v>
      </c>
      <c r="AU471" s="8"/>
      <c r="AV471" s="6"/>
      <c r="AW471" s="8"/>
      <c r="AX471" s="8"/>
      <c r="AY471" s="6"/>
      <c r="AZ471" s="8"/>
      <c r="BA471" s="8"/>
      <c r="BB471" s="6"/>
      <c r="BC471" s="8"/>
      <c r="BD471" s="8"/>
      <c r="BE471" s="6"/>
      <c r="BF471" s="8"/>
      <c r="BG471" s="8"/>
      <c r="BH471" s="6"/>
      <c r="BI471" s="8"/>
      <c r="BJ471" s="8"/>
      <c r="BK471" s="6"/>
      <c r="BL471" s="8"/>
      <c r="BM471" s="8"/>
      <c r="BN471" s="6"/>
      <c r="BO471" s="8"/>
      <c r="BP471" s="8"/>
      <c r="BQ471" s="6"/>
      <c r="BR471" s="8"/>
    </row>
    <row r="472">
      <c r="A472" s="6"/>
      <c r="B472" s="6" t="s">
        <v>472</v>
      </c>
      <c r="C472" s="3" t="str">
        <f t="shared" si="1"/>
        <v>_posh chartreuse</v>
      </c>
      <c r="D472" s="3" t="str">
        <f t="shared" si="5"/>
        <v>#N/A</v>
      </c>
      <c r="E472" s="3" t="b">
        <f t="shared" si="2"/>
        <v>0</v>
      </c>
      <c r="G472" s="3" t="str">
        <f t="shared" si="3"/>
        <v>#N/A</v>
      </c>
      <c r="AU472" s="8"/>
      <c r="AV472" s="6"/>
      <c r="AW472" s="8"/>
      <c r="AX472" s="8"/>
      <c r="AY472" s="6"/>
      <c r="AZ472" s="8"/>
      <c r="BA472" s="8"/>
      <c r="BB472" s="6"/>
      <c r="BC472" s="8"/>
      <c r="BD472" s="8"/>
      <c r="BE472" s="6"/>
      <c r="BF472" s="8"/>
      <c r="BG472" s="8"/>
      <c r="BH472" s="6"/>
      <c r="BI472" s="8"/>
      <c r="BJ472" s="8"/>
      <c r="BK472" s="6"/>
      <c r="BL472" s="8"/>
      <c r="BM472" s="8"/>
      <c r="BN472" s="6"/>
      <c r="BO472" s="8"/>
      <c r="BP472" s="8"/>
      <c r="BQ472" s="6"/>
      <c r="BR472" s="8"/>
    </row>
    <row r="473">
      <c r="A473" s="6"/>
      <c r="B473" s="6" t="s">
        <v>473</v>
      </c>
      <c r="C473" s="3" t="str">
        <f t="shared" si="1"/>
        <v>_pale red</v>
      </c>
      <c r="D473" s="3" t="str">
        <f t="shared" si="5"/>
        <v>#N/A</v>
      </c>
      <c r="E473" s="3" t="b">
        <f t="shared" si="2"/>
        <v>0</v>
      </c>
      <c r="G473" s="3" t="str">
        <f t="shared" si="3"/>
        <v>#N/A</v>
      </c>
      <c r="AU473" s="8"/>
      <c r="AV473" s="6"/>
      <c r="AW473" s="8"/>
      <c r="AX473" s="8"/>
      <c r="AY473" s="6"/>
      <c r="AZ473" s="8"/>
      <c r="BA473" s="8"/>
      <c r="BB473" s="6"/>
      <c r="BC473" s="8"/>
      <c r="BD473" s="8"/>
      <c r="BE473" s="6"/>
      <c r="BF473" s="8"/>
      <c r="BG473" s="8"/>
      <c r="BH473" s="6"/>
      <c r="BI473" s="8"/>
      <c r="BJ473" s="8"/>
      <c r="BK473" s="6"/>
      <c r="BL473" s="8"/>
      <c r="BM473" s="8"/>
      <c r="BN473" s="6"/>
      <c r="BO473" s="8"/>
      <c r="BP473" s="8"/>
      <c r="BQ473" s="6"/>
      <c r="BR473" s="8"/>
    </row>
    <row r="474">
      <c r="A474" s="6"/>
      <c r="B474" s="6" t="s">
        <v>474</v>
      </c>
      <c r="C474" s="3" t="str">
        <f t="shared" si="1"/>
        <v>_faded violet</v>
      </c>
      <c r="D474" s="3" t="str">
        <f t="shared" si="5"/>
        <v>#N/A</v>
      </c>
      <c r="E474" s="3" t="b">
        <f t="shared" si="2"/>
        <v>0</v>
      </c>
      <c r="G474" s="3" t="str">
        <f t="shared" si="3"/>
        <v>#N/A</v>
      </c>
      <c r="AU474" s="8"/>
      <c r="AV474" s="6"/>
      <c r="AW474" s="8"/>
      <c r="AX474" s="8"/>
      <c r="AY474" s="6"/>
      <c r="AZ474" s="8"/>
      <c r="BA474" s="8"/>
      <c r="BB474" s="6"/>
      <c r="BC474" s="8"/>
      <c r="BD474" s="8"/>
      <c r="BE474" s="6"/>
      <c r="BF474" s="8"/>
      <c r="BG474" s="8"/>
      <c r="BH474" s="6"/>
      <c r="BI474" s="8"/>
      <c r="BJ474" s="8"/>
      <c r="BK474" s="6"/>
      <c r="BL474" s="8"/>
      <c r="BM474" s="8"/>
      <c r="BN474" s="6"/>
      <c r="BO474" s="8"/>
      <c r="BP474" s="8"/>
      <c r="BQ474" s="6"/>
      <c r="BR474" s="8"/>
    </row>
    <row r="475">
      <c r="A475" s="6"/>
      <c r="B475" s="6" t="s">
        <v>475</v>
      </c>
      <c r="C475" s="3" t="str">
        <f t="shared" si="1"/>
        <v>_faded fuchsia</v>
      </c>
      <c r="D475" s="3" t="str">
        <f t="shared" si="5"/>
        <v>#N/A</v>
      </c>
      <c r="E475" s="3" t="b">
        <f t="shared" si="2"/>
        <v>0</v>
      </c>
      <c r="G475" s="3" t="str">
        <f t="shared" si="3"/>
        <v>#N/A</v>
      </c>
      <c r="AU475" s="8"/>
      <c r="AV475" s="6"/>
      <c r="AW475" s="8"/>
      <c r="AX475" s="8"/>
      <c r="AY475" s="6"/>
      <c r="AZ475" s="8"/>
      <c r="BA475" s="8"/>
      <c r="BB475" s="6"/>
      <c r="BC475" s="8"/>
      <c r="BD475" s="8"/>
      <c r="BE475" s="6"/>
      <c r="BF475" s="8"/>
      <c r="BG475" s="8"/>
      <c r="BH475" s="6"/>
      <c r="BI475" s="8"/>
      <c r="BJ475" s="8"/>
      <c r="BK475" s="6"/>
      <c r="BL475" s="8"/>
      <c r="BM475" s="8"/>
      <c r="BN475" s="6"/>
      <c r="BO475" s="8"/>
      <c r="BP475" s="8"/>
      <c r="BQ475" s="6"/>
      <c r="BR475" s="8"/>
    </row>
    <row r="476">
      <c r="A476" s="6"/>
      <c r="B476" s="6" t="s">
        <v>476</v>
      </c>
      <c r="C476" s="3" t="str">
        <f t="shared" si="1"/>
        <v>_dotted brown</v>
      </c>
      <c r="D476" s="3" t="str">
        <f t="shared" si="5"/>
        <v>#N/A</v>
      </c>
      <c r="E476" s="3" t="b">
        <f t="shared" si="2"/>
        <v>0</v>
      </c>
      <c r="G476" s="3" t="str">
        <f t="shared" si="3"/>
        <v>#N/A</v>
      </c>
      <c r="AU476" s="8"/>
      <c r="AV476" s="6"/>
      <c r="AW476" s="8"/>
      <c r="AX476" s="8"/>
      <c r="AY476" s="6"/>
      <c r="AZ476" s="8"/>
      <c r="BA476" s="8"/>
      <c r="BB476" s="6"/>
      <c r="BC476" s="8"/>
      <c r="BD476" s="8"/>
      <c r="BE476" s="6"/>
      <c r="BF476" s="8"/>
      <c r="BG476" s="8"/>
      <c r="BH476" s="6"/>
      <c r="BI476" s="8"/>
      <c r="BJ476" s="8"/>
      <c r="BK476" s="6"/>
      <c r="BL476" s="8"/>
      <c r="BM476" s="8"/>
      <c r="BN476" s="6"/>
      <c r="BO476" s="8"/>
      <c r="BP476" s="8"/>
      <c r="BQ476" s="6"/>
      <c r="BR476" s="8"/>
    </row>
    <row r="477">
      <c r="A477" s="6"/>
      <c r="B477" s="6" t="s">
        <v>477</v>
      </c>
      <c r="C477" s="3" t="str">
        <f t="shared" si="1"/>
        <v>_dark teal</v>
      </c>
      <c r="D477" s="3" t="str">
        <f t="shared" si="5"/>
        <v>#N/A</v>
      </c>
      <c r="E477" s="3" t="b">
        <f t="shared" si="2"/>
        <v>0</v>
      </c>
      <c r="G477" s="3" t="str">
        <f t="shared" si="3"/>
        <v>#N/A</v>
      </c>
      <c r="AU477" s="8"/>
      <c r="AV477" s="6"/>
      <c r="AW477" s="8"/>
      <c r="AX477" s="8"/>
      <c r="AY477" s="6"/>
      <c r="AZ477" s="8"/>
      <c r="BA477" s="8"/>
      <c r="BB477" s="6"/>
      <c r="BC477" s="8"/>
      <c r="BD477" s="8"/>
      <c r="BE477" s="6"/>
      <c r="BF477" s="8"/>
      <c r="BG477" s="8"/>
      <c r="BH477" s="6"/>
      <c r="BI477" s="8"/>
      <c r="BJ477" s="8"/>
      <c r="BK477" s="6"/>
      <c r="BL477" s="8"/>
      <c r="BM477" s="8"/>
      <c r="BN477" s="6"/>
      <c r="BO477" s="8"/>
      <c r="BP477" s="8"/>
      <c r="BQ477" s="6"/>
      <c r="BR477" s="8"/>
    </row>
    <row r="478">
      <c r="A478" s="6"/>
      <c r="B478" s="6" t="s">
        <v>478</v>
      </c>
      <c r="C478" s="3" t="str">
        <f t="shared" si="1"/>
        <v>_bright salmon</v>
      </c>
      <c r="D478" s="3" t="str">
        <f t="shared" si="5"/>
        <v>#N/A</v>
      </c>
      <c r="E478" s="3" t="b">
        <f t="shared" si="2"/>
        <v>0</v>
      </c>
      <c r="G478" s="3" t="str">
        <f t="shared" si="3"/>
        <v>#N/A</v>
      </c>
      <c r="AU478" s="8"/>
      <c r="AV478" s="6"/>
      <c r="AW478" s="8"/>
      <c r="AX478" s="8"/>
      <c r="AY478" s="6"/>
      <c r="AZ478" s="8"/>
      <c r="BA478" s="8"/>
      <c r="BB478" s="6"/>
      <c r="BC478" s="8"/>
      <c r="BD478" s="8"/>
      <c r="BE478" s="6"/>
      <c r="BF478" s="8"/>
      <c r="BG478" s="8"/>
      <c r="BH478" s="6"/>
      <c r="BI478" s="8"/>
      <c r="BJ478" s="8"/>
      <c r="BK478" s="6"/>
      <c r="BL478" s="8"/>
      <c r="BM478" s="8"/>
      <c r="BN478" s="6"/>
      <c r="BO478" s="8"/>
      <c r="BP478" s="8"/>
      <c r="BQ478" s="6"/>
      <c r="BR478" s="8"/>
    </row>
    <row r="479">
      <c r="A479" s="6"/>
      <c r="B479" s="6" t="s">
        <v>479</v>
      </c>
      <c r="C479" s="3" t="str">
        <f t="shared" si="1"/>
        <v>_pale blue</v>
      </c>
      <c r="D479" s="3" t="str">
        <f t="shared" si="5"/>
        <v>#N/A</v>
      </c>
      <c r="E479" s="3" t="b">
        <f t="shared" si="2"/>
        <v>1</v>
      </c>
      <c r="G479" s="3" t="str">
        <f t="shared" si="3"/>
        <v>#N/A</v>
      </c>
      <c r="AU479" s="8"/>
      <c r="AV479" s="6"/>
      <c r="AW479" s="8"/>
      <c r="AX479" s="8"/>
      <c r="AY479" s="6"/>
      <c r="AZ479" s="8"/>
      <c r="BA479" s="8"/>
      <c r="BB479" s="6"/>
      <c r="BC479" s="8"/>
      <c r="BD479" s="8"/>
      <c r="BE479" s="6"/>
      <c r="BF479" s="8"/>
      <c r="BG479" s="8"/>
      <c r="BH479" s="6"/>
      <c r="BI479" s="8"/>
      <c r="BJ479" s="8"/>
      <c r="BK479" s="6"/>
      <c r="BL479" s="8"/>
      <c r="BM479" s="8"/>
      <c r="BN479" s="6"/>
      <c r="BO479" s="8"/>
      <c r="BP479" s="8"/>
      <c r="BQ479" s="6"/>
      <c r="BR479" s="8"/>
    </row>
    <row r="480">
      <c r="A480" s="6"/>
      <c r="B480" s="6" t="s">
        <v>480</v>
      </c>
      <c r="C480" s="3" t="str">
        <f t="shared" si="1"/>
        <v>_dim tan</v>
      </c>
      <c r="D480" s="3" t="str">
        <f t="shared" si="5"/>
        <v>#N/A</v>
      </c>
      <c r="E480" s="3" t="b">
        <f t="shared" si="2"/>
        <v>0</v>
      </c>
      <c r="G480" s="3" t="str">
        <f t="shared" si="3"/>
        <v>#N/A</v>
      </c>
      <c r="AU480" s="8"/>
      <c r="AV480" s="6"/>
      <c r="AW480" s="8"/>
      <c r="AX480" s="8"/>
      <c r="AY480" s="6"/>
      <c r="AZ480" s="8"/>
      <c r="BA480" s="8"/>
      <c r="BB480" s="6"/>
      <c r="BC480" s="8"/>
      <c r="BD480" s="8"/>
      <c r="BE480" s="6"/>
      <c r="BF480" s="8"/>
      <c r="BG480" s="8"/>
      <c r="BH480" s="6"/>
      <c r="BI480" s="8"/>
      <c r="BJ480" s="8"/>
      <c r="BK480" s="6"/>
      <c r="BL480" s="8"/>
      <c r="BM480" s="8"/>
      <c r="BN480" s="6"/>
      <c r="BO480" s="8"/>
      <c r="BP480" s="8"/>
      <c r="BQ480" s="6"/>
      <c r="BR480" s="8"/>
    </row>
    <row r="481">
      <c r="A481" s="6"/>
      <c r="B481" s="6" t="s">
        <v>481</v>
      </c>
      <c r="C481" s="3" t="str">
        <f t="shared" si="1"/>
        <v>_dull beige</v>
      </c>
      <c r="D481" s="3" t="str">
        <f t="shared" si="5"/>
        <v>#N/A</v>
      </c>
      <c r="E481" s="3" t="b">
        <f t="shared" si="2"/>
        <v>0</v>
      </c>
      <c r="G481" s="3" t="str">
        <f t="shared" si="3"/>
        <v>#N/A</v>
      </c>
      <c r="AU481" s="8"/>
      <c r="AV481" s="6"/>
      <c r="AW481" s="8"/>
      <c r="AX481" s="8"/>
      <c r="AY481" s="6"/>
      <c r="AZ481" s="8"/>
      <c r="BA481" s="8"/>
      <c r="BB481" s="6"/>
      <c r="BC481" s="8"/>
      <c r="BD481" s="8"/>
      <c r="BE481" s="6"/>
      <c r="BF481" s="8"/>
      <c r="BG481" s="8"/>
      <c r="BH481" s="6"/>
      <c r="BI481" s="8"/>
      <c r="BJ481" s="8"/>
      <c r="BK481" s="6"/>
      <c r="BL481" s="8"/>
      <c r="BM481" s="8"/>
      <c r="BN481" s="6"/>
      <c r="BO481" s="8"/>
      <c r="BP481" s="8"/>
      <c r="BQ481" s="6"/>
      <c r="BR481" s="8"/>
    </row>
    <row r="482">
      <c r="A482" s="6"/>
      <c r="B482" s="6" t="s">
        <v>482</v>
      </c>
      <c r="C482" s="3" t="str">
        <f t="shared" si="1"/>
        <v>_clear magenta</v>
      </c>
      <c r="D482" s="3" t="str">
        <f t="shared" si="5"/>
        <v>#N/A</v>
      </c>
      <c r="E482" s="3" t="b">
        <f t="shared" si="2"/>
        <v>0</v>
      </c>
      <c r="G482" s="3" t="str">
        <f t="shared" si="3"/>
        <v>#N/A</v>
      </c>
      <c r="AU482" s="8"/>
      <c r="AV482" s="6"/>
      <c r="AW482" s="8"/>
      <c r="AX482" s="8"/>
      <c r="AY482" s="6"/>
      <c r="AZ482" s="8"/>
      <c r="BA482" s="8"/>
      <c r="BB482" s="6"/>
      <c r="BC482" s="8"/>
      <c r="BD482" s="8"/>
      <c r="BE482" s="6"/>
      <c r="BF482" s="8"/>
      <c r="BG482" s="8"/>
      <c r="BH482" s="6"/>
      <c r="BI482" s="8"/>
      <c r="BJ482" s="8"/>
      <c r="BK482" s="6"/>
      <c r="BL482" s="8"/>
      <c r="BM482" s="8"/>
      <c r="BN482" s="6"/>
      <c r="BO482" s="8"/>
      <c r="BP482" s="8"/>
      <c r="BQ482" s="6"/>
      <c r="BR482" s="8"/>
    </row>
    <row r="483">
      <c r="A483" s="6"/>
      <c r="B483" s="6" t="s">
        <v>483</v>
      </c>
      <c r="C483" s="3" t="str">
        <f t="shared" si="1"/>
        <v>_bright black</v>
      </c>
      <c r="D483" s="3" t="str">
        <f t="shared" si="5"/>
        <v>#N/A</v>
      </c>
      <c r="E483" s="3" t="b">
        <f t="shared" si="2"/>
        <v>0</v>
      </c>
      <c r="G483" s="3" t="str">
        <f t="shared" si="3"/>
        <v>#N/A</v>
      </c>
      <c r="AU483" s="8"/>
      <c r="AV483" s="6"/>
      <c r="AW483" s="8"/>
      <c r="AX483" s="8"/>
      <c r="AY483" s="6"/>
      <c r="AZ483" s="8"/>
      <c r="BA483" s="8"/>
      <c r="BB483" s="6"/>
      <c r="BC483" s="8"/>
      <c r="BD483" s="8"/>
      <c r="BE483" s="6"/>
      <c r="BF483" s="8"/>
      <c r="BG483" s="8"/>
      <c r="BH483" s="6"/>
      <c r="BI483" s="8"/>
      <c r="BJ483" s="8"/>
      <c r="BK483" s="6"/>
      <c r="BL483" s="8"/>
      <c r="BM483" s="8"/>
      <c r="BN483" s="6"/>
      <c r="BO483" s="8"/>
      <c r="BP483" s="8"/>
      <c r="BQ483" s="6"/>
      <c r="BR483" s="8"/>
    </row>
    <row r="484">
      <c r="A484" s="6"/>
      <c r="B484" s="6" t="s">
        <v>484</v>
      </c>
      <c r="C484" s="3" t="str">
        <f t="shared" si="1"/>
        <v>_muted aqua</v>
      </c>
      <c r="D484" s="3" t="str">
        <f t="shared" si="5"/>
        <v>#N/A</v>
      </c>
      <c r="E484" s="3" t="b">
        <f t="shared" si="2"/>
        <v>0</v>
      </c>
      <c r="G484" s="3" t="str">
        <f t="shared" si="3"/>
        <v>#N/A</v>
      </c>
      <c r="AU484" s="8"/>
      <c r="AV484" s="6"/>
      <c r="AW484" s="8"/>
      <c r="AX484" s="8"/>
      <c r="AY484" s="6"/>
      <c r="AZ484" s="8"/>
      <c r="BA484" s="8"/>
      <c r="BB484" s="6"/>
      <c r="BC484" s="8"/>
      <c r="BD484" s="8"/>
      <c r="BE484" s="6"/>
      <c r="BF484" s="8"/>
      <c r="BG484" s="8"/>
      <c r="BH484" s="6"/>
      <c r="BI484" s="8"/>
      <c r="BJ484" s="8"/>
      <c r="BK484" s="6"/>
      <c r="BL484" s="8"/>
      <c r="BM484" s="8"/>
      <c r="BN484" s="6"/>
      <c r="BO484" s="8"/>
      <c r="BP484" s="8"/>
      <c r="BQ484" s="6"/>
      <c r="BR484" s="8"/>
    </row>
    <row r="485">
      <c r="A485" s="6"/>
      <c r="B485" s="6" t="s">
        <v>485</v>
      </c>
      <c r="C485" s="3" t="str">
        <f t="shared" si="1"/>
        <v>_faded blue</v>
      </c>
      <c r="D485" s="3" t="str">
        <f t="shared" si="5"/>
        <v>#N/A</v>
      </c>
      <c r="E485" s="3" t="b">
        <f t="shared" si="2"/>
        <v>0</v>
      </c>
      <c r="G485" s="3" t="str">
        <f t="shared" si="3"/>
        <v>#N/A</v>
      </c>
      <c r="AU485" s="8"/>
      <c r="AV485" s="6"/>
      <c r="AW485" s="8"/>
      <c r="AX485" s="8"/>
      <c r="AY485" s="6"/>
      <c r="AZ485" s="8"/>
      <c r="BA485" s="8"/>
      <c r="BB485" s="6"/>
      <c r="BC485" s="8"/>
      <c r="BD485" s="8"/>
      <c r="BE485" s="6"/>
      <c r="BF485" s="8"/>
      <c r="BG485" s="8"/>
      <c r="BH485" s="6"/>
      <c r="BI485" s="8"/>
      <c r="BJ485" s="8"/>
      <c r="BK485" s="6"/>
      <c r="BL485" s="8"/>
      <c r="BM485" s="8"/>
      <c r="BN485" s="6"/>
      <c r="BO485" s="8"/>
      <c r="BP485" s="8"/>
      <c r="BQ485" s="6"/>
      <c r="BR485" s="8"/>
    </row>
    <row r="486">
      <c r="A486" s="6"/>
      <c r="B486" s="6" t="s">
        <v>486</v>
      </c>
      <c r="C486" s="3" t="str">
        <f t="shared" si="1"/>
        <v>_dotted indigo</v>
      </c>
      <c r="D486" s="3" t="str">
        <f t="shared" si="5"/>
        <v>#N/A</v>
      </c>
      <c r="E486" s="3" t="b">
        <f t="shared" si="2"/>
        <v>0</v>
      </c>
      <c r="G486" s="3" t="str">
        <f t="shared" si="3"/>
        <v>#N/A</v>
      </c>
      <c r="AU486" s="8"/>
      <c r="AV486" s="6"/>
      <c r="AW486" s="8"/>
      <c r="AX486" s="8"/>
      <c r="AY486" s="6"/>
      <c r="AZ486" s="8"/>
      <c r="BA486" s="8"/>
      <c r="BB486" s="6"/>
      <c r="BC486" s="8"/>
      <c r="BD486" s="8"/>
      <c r="BE486" s="6"/>
      <c r="BF486" s="8"/>
      <c r="BG486" s="8"/>
      <c r="BH486" s="6"/>
      <c r="BI486" s="8"/>
      <c r="BJ486" s="8"/>
      <c r="BK486" s="6"/>
      <c r="BL486" s="8"/>
      <c r="BM486" s="8"/>
      <c r="BN486" s="6"/>
      <c r="BO486" s="8"/>
      <c r="BP486" s="8"/>
      <c r="BQ486" s="6"/>
      <c r="BR486" s="8"/>
    </row>
    <row r="487">
      <c r="A487" s="6"/>
      <c r="B487" s="6" t="s">
        <v>487</v>
      </c>
      <c r="C487" s="3" t="str">
        <f t="shared" si="1"/>
        <v>_striped chartreuse</v>
      </c>
      <c r="D487" s="3" t="str">
        <f t="shared" si="5"/>
        <v>#N/A</v>
      </c>
      <c r="E487" s="3" t="b">
        <f t="shared" si="2"/>
        <v>0</v>
      </c>
      <c r="G487" s="3" t="str">
        <f t="shared" si="3"/>
        <v>#N/A</v>
      </c>
      <c r="AU487" s="8"/>
      <c r="AV487" s="6"/>
      <c r="AW487" s="8"/>
      <c r="AX487" s="8"/>
      <c r="AY487" s="6"/>
      <c r="AZ487" s="8"/>
      <c r="BA487" s="8"/>
      <c r="BB487" s="6"/>
      <c r="BC487" s="8"/>
      <c r="BD487" s="8"/>
      <c r="BE487" s="6"/>
      <c r="BF487" s="8"/>
      <c r="BG487" s="8"/>
      <c r="BH487" s="6"/>
      <c r="BI487" s="8"/>
      <c r="BJ487" s="8"/>
      <c r="BK487" s="6"/>
      <c r="BL487" s="8"/>
      <c r="BM487" s="8"/>
      <c r="BN487" s="6"/>
      <c r="BO487" s="8"/>
      <c r="BP487" s="8"/>
      <c r="BQ487" s="6"/>
      <c r="BR487" s="8"/>
    </row>
    <row r="488">
      <c r="A488" s="6"/>
      <c r="B488" s="6" t="s">
        <v>488</v>
      </c>
      <c r="C488" s="3" t="str">
        <f t="shared" si="1"/>
        <v>_dim indigo</v>
      </c>
      <c r="D488" s="3" t="str">
        <f t="shared" si="5"/>
        <v>#N/A</v>
      </c>
      <c r="E488" s="3" t="b">
        <f t="shared" si="2"/>
        <v>0</v>
      </c>
      <c r="G488" s="3" t="str">
        <f t="shared" si="3"/>
        <v>#N/A</v>
      </c>
      <c r="AU488" s="8"/>
      <c r="AV488" s="6"/>
      <c r="AW488" s="8"/>
      <c r="AX488" s="8"/>
      <c r="AY488" s="6"/>
      <c r="AZ488" s="8"/>
      <c r="BA488" s="8"/>
      <c r="BB488" s="6"/>
      <c r="BC488" s="8"/>
      <c r="BD488" s="8"/>
      <c r="BE488" s="6"/>
      <c r="BF488" s="8"/>
      <c r="BG488" s="8"/>
      <c r="BH488" s="6"/>
      <c r="BI488" s="8"/>
      <c r="BJ488" s="8"/>
      <c r="BK488" s="6"/>
      <c r="BL488" s="8"/>
      <c r="BM488" s="8"/>
      <c r="BN488" s="6"/>
      <c r="BO488" s="8"/>
      <c r="BP488" s="8"/>
      <c r="BQ488" s="6"/>
      <c r="BR488" s="8"/>
    </row>
    <row r="489">
      <c r="A489" s="6"/>
      <c r="B489" s="6" t="s">
        <v>489</v>
      </c>
      <c r="C489" s="3" t="str">
        <f t="shared" si="1"/>
        <v>_dotted purple</v>
      </c>
      <c r="D489" s="3" t="str">
        <f t="shared" si="5"/>
        <v>#N/A</v>
      </c>
      <c r="E489" s="3" t="b">
        <f t="shared" si="2"/>
        <v>0</v>
      </c>
      <c r="G489" s="3" t="str">
        <f t="shared" si="3"/>
        <v>#N/A</v>
      </c>
      <c r="AU489" s="8"/>
      <c r="AV489" s="6"/>
      <c r="AW489" s="8"/>
      <c r="AX489" s="8"/>
      <c r="AY489" s="6"/>
      <c r="AZ489" s="8"/>
      <c r="BA489" s="8"/>
      <c r="BB489" s="6"/>
      <c r="BC489" s="8"/>
      <c r="BD489" s="8"/>
      <c r="BE489" s="6"/>
      <c r="BF489" s="8"/>
      <c r="BG489" s="8"/>
      <c r="BH489" s="6"/>
      <c r="BI489" s="8"/>
      <c r="BJ489" s="8"/>
      <c r="BK489" s="6"/>
      <c r="BL489" s="8"/>
      <c r="BM489" s="8"/>
      <c r="BN489" s="6"/>
      <c r="BO489" s="8"/>
      <c r="BP489" s="8"/>
      <c r="BQ489" s="6"/>
      <c r="BR489" s="8"/>
    </row>
    <row r="490">
      <c r="A490" s="6"/>
      <c r="B490" s="6" t="s">
        <v>490</v>
      </c>
      <c r="C490" s="3" t="str">
        <f t="shared" si="1"/>
        <v>_muted chartreuse</v>
      </c>
      <c r="D490" s="3" t="str">
        <f t="shared" si="5"/>
        <v>#N/A</v>
      </c>
      <c r="E490" s="3" t="b">
        <f t="shared" si="2"/>
        <v>0</v>
      </c>
      <c r="G490" s="3" t="str">
        <f t="shared" si="3"/>
        <v>#N/A</v>
      </c>
      <c r="AU490" s="8"/>
      <c r="AV490" s="6"/>
      <c r="AW490" s="8"/>
      <c r="AX490" s="8"/>
      <c r="AY490" s="6"/>
      <c r="AZ490" s="8"/>
      <c r="BA490" s="8"/>
      <c r="BB490" s="6"/>
      <c r="BC490" s="8"/>
      <c r="BD490" s="8"/>
      <c r="BE490" s="6"/>
      <c r="BF490" s="8"/>
      <c r="BG490" s="8"/>
      <c r="BH490" s="6"/>
      <c r="BI490" s="8"/>
      <c r="BJ490" s="8"/>
      <c r="BK490" s="6"/>
      <c r="BL490" s="8"/>
      <c r="BM490" s="8"/>
      <c r="BN490" s="6"/>
      <c r="BO490" s="8"/>
      <c r="BP490" s="8"/>
      <c r="BQ490" s="6"/>
      <c r="BR490" s="8"/>
    </row>
    <row r="491">
      <c r="A491" s="6"/>
      <c r="B491" s="6" t="s">
        <v>491</v>
      </c>
      <c r="C491" s="3" t="str">
        <f t="shared" si="1"/>
        <v>_shiny purple</v>
      </c>
      <c r="D491" s="3" t="str">
        <f t="shared" si="5"/>
        <v>#N/A</v>
      </c>
      <c r="E491" s="3" t="b">
        <f t="shared" si="2"/>
        <v>0</v>
      </c>
      <c r="G491" s="3" t="str">
        <f t="shared" si="3"/>
        <v>#N/A</v>
      </c>
      <c r="AU491" s="8"/>
      <c r="AV491" s="6"/>
      <c r="AW491" s="8"/>
      <c r="AX491" s="8"/>
      <c r="AY491" s="6"/>
      <c r="AZ491" s="8"/>
      <c r="BA491" s="8"/>
      <c r="BB491" s="6"/>
      <c r="BC491" s="8"/>
      <c r="BD491" s="8"/>
      <c r="BE491" s="6"/>
      <c r="BF491" s="8"/>
      <c r="BG491" s="8"/>
      <c r="BH491" s="6"/>
      <c r="BI491" s="8"/>
      <c r="BJ491" s="8"/>
      <c r="BK491" s="6"/>
      <c r="BL491" s="8"/>
      <c r="BM491" s="8"/>
      <c r="BN491" s="6"/>
      <c r="BO491" s="8"/>
      <c r="BP491" s="8"/>
      <c r="BQ491" s="6"/>
      <c r="BR491" s="8"/>
    </row>
    <row r="492">
      <c r="A492" s="6"/>
      <c r="B492" s="6" t="s">
        <v>492</v>
      </c>
      <c r="C492" s="3" t="str">
        <f t="shared" si="1"/>
        <v>_faded white</v>
      </c>
      <c r="D492" s="3" t="str">
        <f t="shared" si="5"/>
        <v>#N/A</v>
      </c>
      <c r="E492" s="3" t="b">
        <f t="shared" si="2"/>
        <v>0</v>
      </c>
      <c r="G492" s="3" t="str">
        <f t="shared" si="3"/>
        <v>#N/A</v>
      </c>
      <c r="AU492" s="8"/>
      <c r="AV492" s="6"/>
      <c r="AW492" s="8"/>
      <c r="AX492" s="8"/>
      <c r="AY492" s="6"/>
      <c r="AZ492" s="8"/>
      <c r="BA492" s="8"/>
      <c r="BB492" s="6"/>
      <c r="BC492" s="8"/>
      <c r="BD492" s="8"/>
      <c r="BE492" s="6"/>
      <c r="BF492" s="8"/>
      <c r="BG492" s="8"/>
      <c r="BH492" s="6"/>
      <c r="BI492" s="8"/>
      <c r="BJ492" s="8"/>
      <c r="BK492" s="6"/>
      <c r="BL492" s="8"/>
      <c r="BM492" s="8"/>
      <c r="BN492" s="6"/>
      <c r="BO492" s="8"/>
      <c r="BP492" s="8"/>
      <c r="BQ492" s="6"/>
      <c r="BR492" s="8"/>
    </row>
    <row r="493">
      <c r="A493" s="6"/>
      <c r="B493" s="6" t="s">
        <v>493</v>
      </c>
      <c r="C493" s="3" t="str">
        <f t="shared" si="1"/>
        <v>_muted red</v>
      </c>
      <c r="D493" s="3" t="str">
        <f t="shared" si="5"/>
        <v>#N/A</v>
      </c>
      <c r="E493" s="3" t="b">
        <f t="shared" si="2"/>
        <v>0</v>
      </c>
      <c r="G493" s="3" t="str">
        <f t="shared" si="3"/>
        <v>#N/A</v>
      </c>
      <c r="AU493" s="8"/>
      <c r="AV493" s="6"/>
      <c r="AW493" s="8"/>
      <c r="AX493" s="8"/>
      <c r="AY493" s="6"/>
      <c r="AZ493" s="8"/>
      <c r="BA493" s="8"/>
      <c r="BB493" s="6"/>
      <c r="BC493" s="8"/>
      <c r="BD493" s="8"/>
      <c r="BE493" s="6"/>
      <c r="BF493" s="8"/>
      <c r="BG493" s="8"/>
      <c r="BH493" s="6"/>
      <c r="BI493" s="8"/>
      <c r="BJ493" s="8"/>
      <c r="BK493" s="6"/>
      <c r="BL493" s="8"/>
      <c r="BM493" s="8"/>
      <c r="BN493" s="6"/>
      <c r="BO493" s="8"/>
      <c r="BP493" s="8"/>
      <c r="BQ493" s="6"/>
      <c r="BR493" s="8"/>
    </row>
    <row r="494">
      <c r="A494" s="6"/>
      <c r="B494" s="6" t="s">
        <v>494</v>
      </c>
      <c r="C494" s="3" t="str">
        <f t="shared" si="1"/>
        <v>_mirrored tan</v>
      </c>
      <c r="D494" s="3" t="str">
        <f t="shared" si="5"/>
        <v>#N/A</v>
      </c>
      <c r="E494" s="3" t="b">
        <f t="shared" si="2"/>
        <v>0</v>
      </c>
      <c r="G494" s="3" t="str">
        <f t="shared" si="3"/>
        <v>#N/A</v>
      </c>
      <c r="AU494" s="8"/>
      <c r="AV494" s="6"/>
      <c r="AW494" s="8"/>
      <c r="AX494" s="8"/>
      <c r="AY494" s="6"/>
      <c r="AZ494" s="8"/>
      <c r="BA494" s="8"/>
      <c r="BB494" s="6"/>
      <c r="BC494" s="8"/>
      <c r="BD494" s="8"/>
      <c r="BE494" s="6"/>
      <c r="BF494" s="8"/>
      <c r="BG494" s="8"/>
      <c r="BH494" s="6"/>
      <c r="BI494" s="8"/>
      <c r="BJ494" s="8"/>
      <c r="BK494" s="6"/>
      <c r="BL494" s="8"/>
      <c r="BM494" s="8"/>
      <c r="BN494" s="6"/>
      <c r="BO494" s="8"/>
      <c r="BP494" s="8"/>
      <c r="BQ494" s="6"/>
      <c r="BR494" s="8"/>
    </row>
    <row r="495">
      <c r="A495" s="6"/>
      <c r="B495" s="6" t="s">
        <v>495</v>
      </c>
      <c r="C495" s="3" t="str">
        <f t="shared" si="1"/>
        <v>_dim blue</v>
      </c>
      <c r="D495" s="3" t="str">
        <f t="shared" si="5"/>
        <v>#N/A</v>
      </c>
      <c r="E495" s="3" t="b">
        <f t="shared" si="2"/>
        <v>0</v>
      </c>
      <c r="G495" s="3" t="str">
        <f t="shared" si="3"/>
        <v>#N/A</v>
      </c>
      <c r="AU495" s="8"/>
      <c r="AV495" s="6"/>
      <c r="AW495" s="8"/>
      <c r="AX495" s="8"/>
      <c r="AY495" s="6"/>
      <c r="AZ495" s="8"/>
      <c r="BA495" s="8"/>
      <c r="BB495" s="6"/>
      <c r="BC495" s="8"/>
      <c r="BD495" s="8"/>
      <c r="BE495" s="6"/>
      <c r="BF495" s="8"/>
      <c r="BG495" s="8"/>
      <c r="BH495" s="6"/>
      <c r="BI495" s="8"/>
      <c r="BJ495" s="8"/>
      <c r="BK495" s="6"/>
      <c r="BL495" s="8"/>
      <c r="BM495" s="8"/>
      <c r="BN495" s="6"/>
      <c r="BO495" s="8"/>
      <c r="BP495" s="8"/>
      <c r="BQ495" s="6"/>
      <c r="BR495" s="8"/>
    </row>
    <row r="496">
      <c r="A496" s="6"/>
      <c r="B496" s="6" t="s">
        <v>496</v>
      </c>
      <c r="C496" s="3" t="str">
        <f t="shared" si="1"/>
        <v>_bright indigo</v>
      </c>
      <c r="D496" s="3" t="str">
        <f t="shared" si="5"/>
        <v>#N/A</v>
      </c>
      <c r="E496" s="3" t="b">
        <f t="shared" si="2"/>
        <v>0</v>
      </c>
      <c r="G496" s="3" t="str">
        <f t="shared" si="3"/>
        <v>#N/A</v>
      </c>
      <c r="AU496" s="8"/>
      <c r="AV496" s="6"/>
      <c r="AW496" s="8"/>
      <c r="AX496" s="8"/>
      <c r="AY496" s="6"/>
      <c r="AZ496" s="8"/>
      <c r="BA496" s="8"/>
      <c r="BB496" s="6"/>
      <c r="BC496" s="8"/>
      <c r="BD496" s="8"/>
      <c r="BE496" s="6"/>
      <c r="BF496" s="8"/>
      <c r="BG496" s="8"/>
      <c r="BH496" s="6"/>
      <c r="BI496" s="8"/>
      <c r="BJ496" s="8"/>
      <c r="BK496" s="6"/>
      <c r="BL496" s="8"/>
      <c r="BM496" s="8"/>
      <c r="BN496" s="6"/>
      <c r="BO496" s="8"/>
      <c r="BP496" s="8"/>
      <c r="BQ496" s="6"/>
      <c r="BR496" s="8"/>
    </row>
    <row r="497">
      <c r="A497" s="6"/>
      <c r="B497" s="6" t="s">
        <v>497</v>
      </c>
      <c r="C497" s="3" t="str">
        <f t="shared" si="1"/>
        <v>_striped crimson</v>
      </c>
      <c r="D497" s="3" t="str">
        <f t="shared" si="5"/>
        <v>#N/A</v>
      </c>
      <c r="E497" s="3" t="b">
        <f t="shared" si="2"/>
        <v>0</v>
      </c>
      <c r="G497" s="3" t="str">
        <f t="shared" si="3"/>
        <v>#N/A</v>
      </c>
      <c r="AU497" s="8"/>
      <c r="AV497" s="6"/>
      <c r="AW497" s="8"/>
      <c r="AX497" s="8"/>
      <c r="AY497" s="6"/>
      <c r="AZ497" s="8"/>
      <c r="BA497" s="8"/>
      <c r="BB497" s="6"/>
      <c r="BC497" s="8"/>
      <c r="BD497" s="8"/>
      <c r="BE497" s="6"/>
      <c r="BF497" s="8"/>
      <c r="BG497" s="8"/>
      <c r="BH497" s="6"/>
      <c r="BI497" s="8"/>
      <c r="BJ497" s="8"/>
      <c r="BK497" s="6"/>
      <c r="BL497" s="8"/>
      <c r="BM497" s="8"/>
      <c r="BN497" s="6"/>
      <c r="BO497" s="8"/>
      <c r="BP497" s="8"/>
      <c r="BQ497" s="6"/>
      <c r="BR497" s="8"/>
    </row>
    <row r="498">
      <c r="A498" s="6"/>
      <c r="B498" s="6" t="s">
        <v>498</v>
      </c>
      <c r="C498" s="3" t="str">
        <f t="shared" si="1"/>
        <v>_light orange</v>
      </c>
      <c r="D498" s="3" t="str">
        <f t="shared" si="5"/>
        <v>#N/A</v>
      </c>
      <c r="E498" s="3" t="b">
        <f t="shared" si="2"/>
        <v>0</v>
      </c>
      <c r="G498" s="3" t="str">
        <f t="shared" si="3"/>
        <v>#N/A</v>
      </c>
      <c r="AU498" s="8"/>
      <c r="AV498" s="6"/>
      <c r="AW498" s="8"/>
      <c r="AX498" s="8"/>
      <c r="AY498" s="6"/>
      <c r="AZ498" s="8"/>
      <c r="BA498" s="8"/>
      <c r="BB498" s="6"/>
      <c r="BC498" s="8"/>
      <c r="BD498" s="8"/>
      <c r="BE498" s="6"/>
      <c r="BF498" s="8"/>
      <c r="BG498" s="8"/>
      <c r="BH498" s="6"/>
      <c r="BI498" s="8"/>
      <c r="BJ498" s="8"/>
      <c r="BK498" s="6"/>
      <c r="BL498" s="8"/>
      <c r="BM498" s="8"/>
      <c r="BN498" s="6"/>
      <c r="BO498" s="8"/>
      <c r="BP498" s="8"/>
      <c r="BQ498" s="6"/>
      <c r="BR498" s="8"/>
    </row>
    <row r="499">
      <c r="A499" s="6"/>
      <c r="B499" s="6" t="s">
        <v>499</v>
      </c>
      <c r="C499" s="3" t="str">
        <f t="shared" si="1"/>
        <v>_posh yellow</v>
      </c>
      <c r="D499" s="3" t="str">
        <f t="shared" si="5"/>
        <v>#N/A</v>
      </c>
      <c r="E499" s="3" t="b">
        <f t="shared" si="2"/>
        <v>0</v>
      </c>
      <c r="G499" s="3" t="str">
        <f t="shared" si="3"/>
        <v>#N/A</v>
      </c>
      <c r="AU499" s="8"/>
      <c r="AV499" s="6"/>
      <c r="AW499" s="8"/>
      <c r="AX499" s="8"/>
      <c r="AY499" s="6"/>
      <c r="AZ499" s="8"/>
      <c r="BA499" s="8"/>
      <c r="BB499" s="6"/>
      <c r="BC499" s="8"/>
      <c r="BD499" s="8"/>
      <c r="BE499" s="6"/>
      <c r="BF499" s="8"/>
      <c r="BG499" s="8"/>
      <c r="BH499" s="6"/>
      <c r="BI499" s="8"/>
      <c r="BJ499" s="8"/>
      <c r="BK499" s="6"/>
      <c r="BL499" s="8"/>
      <c r="BM499" s="8"/>
      <c r="BN499" s="6"/>
      <c r="BO499" s="8"/>
      <c r="BP499" s="8"/>
      <c r="BQ499" s="6"/>
      <c r="BR499" s="8"/>
    </row>
    <row r="500">
      <c r="A500" s="6"/>
      <c r="B500" s="6" t="s">
        <v>500</v>
      </c>
      <c r="C500" s="3" t="str">
        <f t="shared" si="1"/>
        <v>_dotted beige</v>
      </c>
      <c r="D500" s="3" t="str">
        <f t="shared" si="5"/>
        <v>#N/A</v>
      </c>
      <c r="E500" s="3" t="b">
        <f t="shared" si="2"/>
        <v>0</v>
      </c>
      <c r="G500" s="3" t="str">
        <f t="shared" si="3"/>
        <v>#N/A</v>
      </c>
      <c r="AU500" s="8"/>
      <c r="AV500" s="6"/>
      <c r="AW500" s="8"/>
      <c r="AX500" s="8"/>
      <c r="AY500" s="6"/>
      <c r="AZ500" s="8"/>
      <c r="BA500" s="8"/>
      <c r="BB500" s="6"/>
      <c r="BC500" s="8"/>
      <c r="BD500" s="8"/>
      <c r="BE500" s="6"/>
      <c r="BF500" s="8"/>
      <c r="BG500" s="8"/>
      <c r="BH500" s="6"/>
      <c r="BI500" s="8"/>
      <c r="BJ500" s="8"/>
      <c r="BK500" s="6"/>
      <c r="BL500" s="8"/>
      <c r="BM500" s="8"/>
      <c r="BN500" s="6"/>
      <c r="BO500" s="8"/>
      <c r="BP500" s="8"/>
      <c r="BQ500" s="6"/>
      <c r="BR500" s="8"/>
    </row>
    <row r="501">
      <c r="A501" s="6"/>
      <c r="B501" s="6" t="s">
        <v>501</v>
      </c>
      <c r="C501" s="3" t="str">
        <f t="shared" si="1"/>
        <v>_faded aqua</v>
      </c>
      <c r="D501" s="3" t="str">
        <f t="shared" si="5"/>
        <v>#N/A</v>
      </c>
      <c r="E501" s="3" t="b">
        <f t="shared" si="2"/>
        <v>0</v>
      </c>
      <c r="G501" s="3" t="str">
        <f t="shared" si="3"/>
        <v>#N/A</v>
      </c>
      <c r="AU501" s="8"/>
      <c r="AV501" s="6"/>
      <c r="AW501" s="8"/>
      <c r="AX501" s="8"/>
      <c r="AY501" s="6"/>
      <c r="AZ501" s="8"/>
      <c r="BA501" s="8"/>
      <c r="BB501" s="6"/>
      <c r="BC501" s="8"/>
      <c r="BD501" s="8"/>
      <c r="BE501" s="6"/>
      <c r="BF501" s="8"/>
      <c r="BG501" s="8"/>
      <c r="BH501" s="6"/>
      <c r="BI501" s="8"/>
      <c r="BJ501" s="8"/>
      <c r="BK501" s="6"/>
      <c r="BL501" s="8"/>
      <c r="BM501" s="8"/>
      <c r="BN501" s="6"/>
      <c r="BO501" s="8"/>
      <c r="BP501" s="8"/>
      <c r="BQ501" s="6"/>
      <c r="BR501" s="8"/>
    </row>
    <row r="502">
      <c r="A502" s="6"/>
      <c r="B502" s="6" t="s">
        <v>502</v>
      </c>
      <c r="C502" s="3" t="str">
        <f t="shared" si="1"/>
        <v>_shiny red</v>
      </c>
      <c r="D502" s="3" t="str">
        <f t="shared" si="5"/>
        <v>#N/A</v>
      </c>
      <c r="E502" s="3" t="b">
        <f t="shared" si="2"/>
        <v>0</v>
      </c>
      <c r="G502" s="3" t="str">
        <f t="shared" si="3"/>
        <v>#N/A</v>
      </c>
      <c r="AU502" s="8"/>
      <c r="AV502" s="6"/>
      <c r="AW502" s="8"/>
      <c r="AX502" s="8"/>
      <c r="AY502" s="6"/>
      <c r="AZ502" s="8"/>
      <c r="BA502" s="8"/>
      <c r="BB502" s="6"/>
      <c r="BC502" s="8"/>
      <c r="BD502" s="8"/>
      <c r="BE502" s="6"/>
      <c r="BF502" s="8"/>
      <c r="BG502" s="8"/>
      <c r="BH502" s="6"/>
      <c r="BI502" s="8"/>
      <c r="BJ502" s="8"/>
      <c r="BK502" s="6"/>
      <c r="BL502" s="8"/>
      <c r="BM502" s="8"/>
      <c r="BN502" s="6"/>
      <c r="BO502" s="8"/>
      <c r="BP502" s="8"/>
      <c r="BQ502" s="6"/>
      <c r="BR502" s="8"/>
    </row>
    <row r="503">
      <c r="A503" s="6"/>
      <c r="B503" s="6" t="s">
        <v>503</v>
      </c>
      <c r="C503" s="3" t="str">
        <f t="shared" si="1"/>
        <v>_light tomato</v>
      </c>
      <c r="D503" s="3" t="str">
        <f t="shared" si="5"/>
        <v>#N/A</v>
      </c>
      <c r="E503" s="3" t="b">
        <f t="shared" si="2"/>
        <v>0</v>
      </c>
      <c r="G503" s="3" t="str">
        <f t="shared" si="3"/>
        <v>#N/A</v>
      </c>
      <c r="AU503" s="8"/>
      <c r="AV503" s="6"/>
      <c r="AW503" s="8"/>
      <c r="AX503" s="8"/>
      <c r="AY503" s="6"/>
      <c r="AZ503" s="8"/>
      <c r="BA503" s="8"/>
      <c r="BB503" s="6"/>
      <c r="BC503" s="8"/>
      <c r="BD503" s="8"/>
      <c r="BE503" s="6"/>
      <c r="BF503" s="8"/>
      <c r="BG503" s="8"/>
      <c r="BH503" s="6"/>
      <c r="BI503" s="8"/>
      <c r="BJ503" s="8"/>
      <c r="BK503" s="6"/>
      <c r="BL503" s="8"/>
      <c r="BM503" s="8"/>
      <c r="BN503" s="6"/>
      <c r="BO503" s="8"/>
      <c r="BP503" s="8"/>
      <c r="BQ503" s="6"/>
      <c r="BR503" s="8"/>
    </row>
    <row r="504">
      <c r="A504" s="6"/>
      <c r="B504" s="6" t="s">
        <v>504</v>
      </c>
      <c r="C504" s="3" t="str">
        <f t="shared" si="1"/>
        <v>_bright olive</v>
      </c>
      <c r="D504" s="3" t="str">
        <f t="shared" si="5"/>
        <v>#N/A</v>
      </c>
      <c r="E504" s="3" t="b">
        <f t="shared" si="2"/>
        <v>0</v>
      </c>
      <c r="G504" s="3" t="str">
        <f t="shared" si="3"/>
        <v>#N/A</v>
      </c>
      <c r="AU504" s="8"/>
      <c r="AV504" s="6"/>
      <c r="AW504" s="8"/>
      <c r="AX504" s="8"/>
      <c r="AY504" s="6"/>
      <c r="AZ504" s="8"/>
      <c r="BA504" s="8"/>
      <c r="BB504" s="6"/>
      <c r="BC504" s="8"/>
      <c r="BD504" s="8"/>
      <c r="BE504" s="6"/>
      <c r="BF504" s="8"/>
      <c r="BG504" s="8"/>
      <c r="BH504" s="6"/>
      <c r="BI504" s="8"/>
      <c r="BJ504" s="8"/>
      <c r="BK504" s="6"/>
      <c r="BL504" s="8"/>
      <c r="BM504" s="8"/>
      <c r="BN504" s="6"/>
      <c r="BO504" s="8"/>
      <c r="BP504" s="8"/>
      <c r="BQ504" s="6"/>
      <c r="BR504" s="8"/>
    </row>
    <row r="505">
      <c r="A505" s="6"/>
      <c r="B505" s="6" t="s">
        <v>505</v>
      </c>
      <c r="C505" s="3" t="str">
        <f t="shared" si="1"/>
        <v>_mirrored white</v>
      </c>
      <c r="D505" s="3" t="str">
        <f t="shared" si="5"/>
        <v>#N/A</v>
      </c>
      <c r="E505" s="3" t="b">
        <f t="shared" si="2"/>
        <v>0</v>
      </c>
      <c r="G505" s="3" t="str">
        <f t="shared" si="3"/>
        <v>#N/A</v>
      </c>
      <c r="AU505" s="8"/>
      <c r="AV505" s="6"/>
      <c r="AW505" s="8"/>
      <c r="AX505" s="8"/>
      <c r="AY505" s="6"/>
      <c r="AZ505" s="8"/>
      <c r="BA505" s="8"/>
      <c r="BB505" s="6"/>
      <c r="BC505" s="8"/>
      <c r="BD505" s="8"/>
      <c r="BE505" s="6"/>
      <c r="BF505" s="8"/>
      <c r="BG505" s="8"/>
      <c r="BH505" s="6"/>
      <c r="BI505" s="8"/>
      <c r="BJ505" s="8"/>
      <c r="BK505" s="6"/>
      <c r="BL505" s="8"/>
      <c r="BM505" s="8"/>
      <c r="BN505" s="6"/>
      <c r="BO505" s="8"/>
      <c r="BP505" s="8"/>
      <c r="BQ505" s="6"/>
      <c r="BR505" s="8"/>
    </row>
    <row r="506">
      <c r="A506" s="6"/>
      <c r="B506" s="6" t="s">
        <v>506</v>
      </c>
      <c r="C506" s="3" t="str">
        <f t="shared" si="1"/>
        <v>_posh olive</v>
      </c>
      <c r="D506" s="3" t="str">
        <f t="shared" si="5"/>
        <v>#N/A</v>
      </c>
      <c r="E506" s="3" t="b">
        <f t="shared" si="2"/>
        <v>0</v>
      </c>
      <c r="G506" s="3" t="str">
        <f t="shared" si="3"/>
        <v>#N/A</v>
      </c>
      <c r="AU506" s="8"/>
      <c r="AV506" s="6"/>
      <c r="AW506" s="8"/>
      <c r="AX506" s="8"/>
      <c r="AY506" s="6"/>
      <c r="AZ506" s="8"/>
      <c r="BA506" s="8"/>
      <c r="BB506" s="6"/>
      <c r="BC506" s="8"/>
      <c r="BD506" s="8"/>
      <c r="BE506" s="6"/>
      <c r="BF506" s="8"/>
      <c r="BG506" s="8"/>
      <c r="BH506" s="6"/>
      <c r="BI506" s="8"/>
      <c r="BJ506" s="8"/>
      <c r="BK506" s="6"/>
      <c r="BL506" s="8"/>
      <c r="BM506" s="8"/>
      <c r="BN506" s="6"/>
      <c r="BO506" s="8"/>
      <c r="BP506" s="8"/>
      <c r="BQ506" s="6"/>
      <c r="BR506" s="8"/>
    </row>
    <row r="507">
      <c r="A507" s="6"/>
      <c r="B507" s="6" t="s">
        <v>507</v>
      </c>
      <c r="C507" s="3" t="str">
        <f t="shared" si="1"/>
        <v>_vibrant lime</v>
      </c>
      <c r="D507" s="3" t="str">
        <f t="shared" si="5"/>
        <v>#N/A</v>
      </c>
      <c r="E507" s="3" t="b">
        <f t="shared" si="2"/>
        <v>0</v>
      </c>
      <c r="G507" s="3" t="str">
        <f t="shared" si="3"/>
        <v>#N/A</v>
      </c>
      <c r="AU507" s="8"/>
      <c r="AV507" s="6"/>
      <c r="AW507" s="8"/>
      <c r="AX507" s="8"/>
      <c r="AY507" s="6"/>
      <c r="AZ507" s="8"/>
      <c r="BA507" s="8"/>
      <c r="BB507" s="6"/>
      <c r="BC507" s="8"/>
      <c r="BD507" s="8"/>
      <c r="BE507" s="6"/>
      <c r="BF507" s="8"/>
      <c r="BG507" s="8"/>
      <c r="BH507" s="6"/>
      <c r="BI507" s="8"/>
      <c r="BJ507" s="8"/>
      <c r="BK507" s="6"/>
      <c r="BL507" s="8"/>
      <c r="BM507" s="8"/>
      <c r="BN507" s="6"/>
      <c r="BO507" s="8"/>
      <c r="BP507" s="8"/>
      <c r="BQ507" s="6"/>
      <c r="BR507" s="8"/>
    </row>
    <row r="508">
      <c r="A508" s="6"/>
      <c r="B508" s="6" t="s">
        <v>508</v>
      </c>
      <c r="C508" s="3" t="str">
        <f t="shared" si="1"/>
        <v>_striped brown</v>
      </c>
      <c r="D508" s="3" t="str">
        <f t="shared" si="5"/>
        <v>#N/A</v>
      </c>
      <c r="E508" s="3" t="b">
        <f t="shared" si="2"/>
        <v>0</v>
      </c>
      <c r="G508" s="3" t="str">
        <f t="shared" si="3"/>
        <v>#N/A</v>
      </c>
      <c r="AU508" s="8"/>
      <c r="AV508" s="6"/>
      <c r="AW508" s="8"/>
      <c r="AX508" s="8"/>
      <c r="AY508" s="6"/>
      <c r="AZ508" s="8"/>
      <c r="BA508" s="8"/>
      <c r="BB508" s="6"/>
      <c r="BC508" s="8"/>
      <c r="BD508" s="8"/>
      <c r="BE508" s="6"/>
      <c r="BF508" s="8"/>
      <c r="BG508" s="8"/>
      <c r="BH508" s="6"/>
      <c r="BI508" s="8"/>
      <c r="BJ508" s="8"/>
      <c r="BK508" s="6"/>
      <c r="BL508" s="8"/>
      <c r="BM508" s="8"/>
      <c r="BN508" s="6"/>
      <c r="BO508" s="8"/>
      <c r="BP508" s="8"/>
      <c r="BQ508" s="6"/>
      <c r="BR508" s="8"/>
    </row>
    <row r="509">
      <c r="A509" s="6"/>
      <c r="B509" s="6" t="s">
        <v>509</v>
      </c>
      <c r="C509" s="3" t="str">
        <f t="shared" si="1"/>
        <v>_striped lavender</v>
      </c>
      <c r="D509" s="3" t="str">
        <f t="shared" si="5"/>
        <v>#N/A</v>
      </c>
      <c r="E509" s="3" t="b">
        <f t="shared" si="2"/>
        <v>0</v>
      </c>
      <c r="G509" s="3" t="str">
        <f t="shared" si="3"/>
        <v>#N/A</v>
      </c>
      <c r="AU509" s="8"/>
      <c r="AV509" s="6"/>
      <c r="AW509" s="8"/>
      <c r="AX509" s="8"/>
      <c r="AY509" s="6"/>
      <c r="AZ509" s="8"/>
      <c r="BA509" s="8"/>
      <c r="BB509" s="6"/>
      <c r="BC509" s="8"/>
      <c r="BD509" s="8"/>
      <c r="BE509" s="6"/>
      <c r="BF509" s="8"/>
      <c r="BG509" s="8"/>
      <c r="BH509" s="6"/>
      <c r="BI509" s="8"/>
      <c r="BJ509" s="8"/>
      <c r="BK509" s="6"/>
      <c r="BL509" s="8"/>
      <c r="BM509" s="8"/>
      <c r="BN509" s="6"/>
      <c r="BO509" s="8"/>
      <c r="BP509" s="8"/>
      <c r="BQ509" s="6"/>
      <c r="BR509" s="8"/>
    </row>
    <row r="510">
      <c r="A510" s="6"/>
      <c r="B510" s="6" t="s">
        <v>510</v>
      </c>
      <c r="C510" s="3" t="str">
        <f t="shared" si="1"/>
        <v>_wavy white</v>
      </c>
      <c r="D510" s="3" t="str">
        <f t="shared" si="5"/>
        <v>#N/A</v>
      </c>
      <c r="E510" s="3" t="b">
        <f t="shared" si="2"/>
        <v>0</v>
      </c>
      <c r="G510" s="3" t="str">
        <f t="shared" si="3"/>
        <v>#N/A</v>
      </c>
      <c r="AU510" s="8"/>
      <c r="AV510" s="6"/>
      <c r="AW510" s="8"/>
      <c r="AX510" s="8"/>
      <c r="AY510" s="6"/>
      <c r="AZ510" s="8"/>
      <c r="BA510" s="8"/>
      <c r="BB510" s="6"/>
      <c r="BC510" s="8"/>
      <c r="BD510" s="8"/>
      <c r="BE510" s="6"/>
      <c r="BF510" s="8"/>
      <c r="BG510" s="8"/>
      <c r="BH510" s="6"/>
      <c r="BI510" s="8"/>
      <c r="BJ510" s="8"/>
      <c r="BK510" s="6"/>
      <c r="BL510" s="8"/>
      <c r="BM510" s="8"/>
      <c r="BN510" s="6"/>
      <c r="BO510" s="8"/>
      <c r="BP510" s="8"/>
      <c r="BQ510" s="6"/>
      <c r="BR510" s="8"/>
    </row>
    <row r="511">
      <c r="A511" s="6"/>
      <c r="B511" s="6" t="s">
        <v>511</v>
      </c>
      <c r="C511" s="3" t="str">
        <f t="shared" si="1"/>
        <v>_dark bronze</v>
      </c>
      <c r="D511" s="3" t="str">
        <f t="shared" si="5"/>
        <v>#N/A</v>
      </c>
      <c r="E511" s="3" t="b">
        <f t="shared" si="2"/>
        <v>0</v>
      </c>
      <c r="G511" s="3" t="str">
        <f t="shared" si="3"/>
        <v>#N/A</v>
      </c>
      <c r="AU511" s="8"/>
      <c r="AV511" s="6"/>
      <c r="AW511" s="8"/>
      <c r="AX511" s="8"/>
      <c r="AY511" s="6"/>
      <c r="AZ511" s="8"/>
      <c r="BA511" s="8"/>
      <c r="BB511" s="6"/>
      <c r="BC511" s="8"/>
      <c r="BD511" s="8"/>
      <c r="BE511" s="6"/>
      <c r="BF511" s="8"/>
      <c r="BG511" s="8"/>
      <c r="BH511" s="6"/>
      <c r="BI511" s="8"/>
      <c r="BJ511" s="8"/>
      <c r="BK511" s="6"/>
      <c r="BL511" s="8"/>
      <c r="BM511" s="8"/>
      <c r="BN511" s="6"/>
      <c r="BO511" s="8"/>
      <c r="BP511" s="8"/>
      <c r="BQ511" s="6"/>
      <c r="BR511" s="8"/>
    </row>
    <row r="512">
      <c r="A512" s="6"/>
      <c r="B512" s="6" t="s">
        <v>512</v>
      </c>
      <c r="C512" s="3" t="str">
        <f t="shared" si="1"/>
        <v>_mirrored black</v>
      </c>
      <c r="D512" s="3" t="str">
        <f t="shared" si="5"/>
        <v>#N/A</v>
      </c>
      <c r="E512" s="3" t="b">
        <f t="shared" si="2"/>
        <v>0</v>
      </c>
      <c r="G512" s="3" t="str">
        <f t="shared" si="3"/>
        <v>#N/A</v>
      </c>
      <c r="AU512" s="8"/>
      <c r="AV512" s="6"/>
      <c r="AW512" s="8"/>
      <c r="AX512" s="8"/>
      <c r="AY512" s="6"/>
      <c r="AZ512" s="8"/>
      <c r="BA512" s="8"/>
      <c r="BB512" s="6"/>
      <c r="BC512" s="8"/>
      <c r="BD512" s="8"/>
      <c r="BE512" s="6"/>
      <c r="BF512" s="8"/>
      <c r="BG512" s="8"/>
      <c r="BH512" s="6"/>
      <c r="BI512" s="8"/>
      <c r="BJ512" s="8"/>
      <c r="BK512" s="6"/>
      <c r="BL512" s="8"/>
      <c r="BM512" s="8"/>
      <c r="BN512" s="6"/>
      <c r="BO512" s="8"/>
      <c r="BP512" s="8"/>
      <c r="BQ512" s="6"/>
      <c r="BR512" s="8"/>
    </row>
    <row r="513">
      <c r="A513" s="6"/>
      <c r="B513" s="6" t="s">
        <v>513</v>
      </c>
      <c r="C513" s="3" t="str">
        <f t="shared" si="1"/>
        <v>_shiny magenta</v>
      </c>
      <c r="D513" s="3" t="str">
        <f t="shared" si="5"/>
        <v>#N/A</v>
      </c>
      <c r="E513" s="3" t="b">
        <f t="shared" si="2"/>
        <v>0</v>
      </c>
      <c r="G513" s="3" t="str">
        <f t="shared" si="3"/>
        <v>#N/A</v>
      </c>
      <c r="AU513" s="8"/>
      <c r="AV513" s="6"/>
      <c r="AW513" s="8"/>
      <c r="AX513" s="8"/>
      <c r="AY513" s="6"/>
      <c r="AZ513" s="8"/>
      <c r="BA513" s="8"/>
      <c r="BB513" s="6"/>
      <c r="BC513" s="8"/>
      <c r="BD513" s="8"/>
      <c r="BE513" s="6"/>
      <c r="BF513" s="8"/>
      <c r="BG513" s="8"/>
      <c r="BH513" s="6"/>
      <c r="BI513" s="8"/>
      <c r="BJ513" s="8"/>
      <c r="BK513" s="6"/>
      <c r="BL513" s="8"/>
      <c r="BM513" s="8"/>
      <c r="BN513" s="6"/>
      <c r="BO513" s="8"/>
      <c r="BP513" s="8"/>
      <c r="BQ513" s="6"/>
      <c r="BR513" s="8"/>
    </row>
    <row r="514">
      <c r="A514" s="6"/>
      <c r="B514" s="6" t="s">
        <v>514</v>
      </c>
      <c r="C514" s="3" t="str">
        <f t="shared" si="1"/>
        <v>_light bronze</v>
      </c>
      <c r="D514" s="3" t="str">
        <f t="shared" si="5"/>
        <v>#N/A</v>
      </c>
      <c r="E514" s="3" t="b">
        <f t="shared" si="2"/>
        <v>0</v>
      </c>
      <c r="G514" s="3" t="str">
        <f t="shared" si="3"/>
        <v>#N/A</v>
      </c>
      <c r="AU514" s="8"/>
      <c r="AV514" s="6"/>
      <c r="AW514" s="8"/>
      <c r="AX514" s="8"/>
      <c r="AY514" s="6"/>
      <c r="AZ514" s="8"/>
      <c r="BA514" s="8"/>
      <c r="BB514" s="6"/>
      <c r="BC514" s="8"/>
      <c r="BD514" s="8"/>
      <c r="BE514" s="6"/>
      <c r="BF514" s="8"/>
      <c r="BG514" s="8"/>
      <c r="BH514" s="6"/>
      <c r="BI514" s="8"/>
      <c r="BJ514" s="8"/>
      <c r="BK514" s="6"/>
      <c r="BL514" s="8"/>
      <c r="BM514" s="8"/>
      <c r="BN514" s="6"/>
      <c r="BO514" s="8"/>
      <c r="BP514" s="8"/>
      <c r="BQ514" s="6"/>
      <c r="BR514" s="8"/>
    </row>
    <row r="515">
      <c r="A515" s="6"/>
      <c r="B515" s="6" t="s">
        <v>515</v>
      </c>
      <c r="C515" s="3" t="str">
        <f t="shared" si="1"/>
        <v>_mirrored gray</v>
      </c>
      <c r="D515" s="3" t="str">
        <f t="shared" si="5"/>
        <v>#N/A</v>
      </c>
      <c r="E515" s="3" t="b">
        <f t="shared" si="2"/>
        <v>0</v>
      </c>
      <c r="G515" s="3" t="str">
        <f t="shared" si="3"/>
        <v>#N/A</v>
      </c>
      <c r="AU515" s="8"/>
      <c r="AV515" s="6"/>
      <c r="AW515" s="8"/>
      <c r="AX515" s="8"/>
      <c r="AY515" s="6"/>
      <c r="AZ515" s="8"/>
      <c r="BA515" s="8"/>
      <c r="BB515" s="6"/>
      <c r="BC515" s="8"/>
      <c r="BD515" s="8"/>
      <c r="BE515" s="6"/>
      <c r="BF515" s="8"/>
      <c r="BG515" s="8"/>
      <c r="BH515" s="6"/>
      <c r="BI515" s="8"/>
      <c r="BJ515" s="8"/>
      <c r="BK515" s="6"/>
      <c r="BL515" s="8"/>
      <c r="BM515" s="8"/>
      <c r="BN515" s="6"/>
      <c r="BO515" s="8"/>
      <c r="BP515" s="8"/>
      <c r="BQ515" s="6"/>
      <c r="BR515" s="8"/>
    </row>
    <row r="516">
      <c r="A516" s="6"/>
      <c r="B516" s="6" t="s">
        <v>516</v>
      </c>
      <c r="C516" s="3" t="str">
        <f t="shared" si="1"/>
        <v>_bright lavender</v>
      </c>
      <c r="D516" s="3" t="str">
        <f t="shared" si="5"/>
        <v>#N/A</v>
      </c>
      <c r="E516" s="3" t="b">
        <f t="shared" si="2"/>
        <v>0</v>
      </c>
      <c r="G516" s="3" t="str">
        <f t="shared" si="3"/>
        <v>#N/A</v>
      </c>
      <c r="AU516" s="8"/>
      <c r="AV516" s="6"/>
      <c r="AW516" s="8"/>
      <c r="AX516" s="8"/>
      <c r="AY516" s="6"/>
      <c r="AZ516" s="8"/>
      <c r="BA516" s="8"/>
      <c r="BB516" s="6"/>
      <c r="BC516" s="8"/>
      <c r="BD516" s="8"/>
      <c r="BE516" s="6"/>
      <c r="BF516" s="8"/>
      <c r="BG516" s="8"/>
      <c r="BH516" s="6"/>
      <c r="BI516" s="8"/>
      <c r="BJ516" s="8"/>
      <c r="BK516" s="6"/>
      <c r="BL516" s="8"/>
      <c r="BM516" s="8"/>
      <c r="BN516" s="6"/>
      <c r="BO516" s="8"/>
      <c r="BP516" s="8"/>
      <c r="BQ516" s="6"/>
      <c r="BR516" s="8"/>
    </row>
    <row r="517">
      <c r="A517" s="6"/>
      <c r="B517" s="6" t="s">
        <v>517</v>
      </c>
      <c r="C517" s="3" t="str">
        <f t="shared" si="1"/>
        <v>_drab yellow</v>
      </c>
      <c r="D517" s="3" t="str">
        <f t="shared" si="5"/>
        <v>#N/A</v>
      </c>
      <c r="E517" s="3" t="b">
        <f t="shared" si="2"/>
        <v>0</v>
      </c>
      <c r="G517" s="3" t="str">
        <f t="shared" si="3"/>
        <v>#N/A</v>
      </c>
      <c r="AU517" s="8"/>
      <c r="AV517" s="6"/>
      <c r="AW517" s="8"/>
      <c r="AX517" s="8"/>
      <c r="AY517" s="6"/>
      <c r="AZ517" s="8"/>
      <c r="BA517" s="8"/>
      <c r="BB517" s="6"/>
      <c r="BC517" s="8"/>
      <c r="BD517" s="8"/>
      <c r="BE517" s="6"/>
      <c r="BF517" s="8"/>
      <c r="BG517" s="8"/>
      <c r="BH517" s="6"/>
      <c r="BI517" s="8"/>
      <c r="BJ517" s="8"/>
      <c r="BK517" s="6"/>
      <c r="BL517" s="8"/>
      <c r="BM517" s="8"/>
      <c r="BN517" s="6"/>
      <c r="BO517" s="8"/>
      <c r="BP517" s="8"/>
      <c r="BQ517" s="6"/>
      <c r="BR517" s="8"/>
    </row>
    <row r="518">
      <c r="A518" s="6"/>
      <c r="B518" s="6" t="s">
        <v>518</v>
      </c>
      <c r="C518" s="3" t="str">
        <f t="shared" si="1"/>
        <v>_dark chartreuse</v>
      </c>
      <c r="D518" s="3" t="str">
        <f t="shared" si="5"/>
        <v>#N/A</v>
      </c>
      <c r="E518" s="3" t="b">
        <f t="shared" si="2"/>
        <v>0</v>
      </c>
      <c r="G518" s="3" t="str">
        <f t="shared" si="3"/>
        <v>#N/A</v>
      </c>
      <c r="AU518" s="8"/>
      <c r="AV518" s="6"/>
      <c r="AW518" s="8"/>
      <c r="AX518" s="8"/>
      <c r="AY518" s="6"/>
      <c r="AZ518" s="8"/>
      <c r="BA518" s="8"/>
      <c r="BB518" s="6"/>
      <c r="BC518" s="8"/>
      <c r="BD518" s="8"/>
      <c r="BE518" s="6"/>
      <c r="BF518" s="8"/>
      <c r="BG518" s="8"/>
      <c r="BH518" s="6"/>
      <c r="BI518" s="8"/>
      <c r="BJ518" s="8"/>
      <c r="BK518" s="6"/>
      <c r="BL518" s="8"/>
      <c r="BM518" s="8"/>
      <c r="BN518" s="6"/>
      <c r="BO518" s="8"/>
      <c r="BP518" s="8"/>
      <c r="BQ518" s="6"/>
      <c r="BR518" s="8"/>
    </row>
    <row r="519">
      <c r="A519" s="6"/>
      <c r="B519" s="6" t="s">
        <v>519</v>
      </c>
      <c r="C519" s="3" t="str">
        <f t="shared" si="1"/>
        <v>_vibrant indigo</v>
      </c>
      <c r="D519" s="3" t="str">
        <f t="shared" si="5"/>
        <v>#N/A</v>
      </c>
      <c r="E519" s="3" t="b">
        <f t="shared" si="2"/>
        <v>0</v>
      </c>
      <c r="G519" s="3" t="str">
        <f t="shared" si="3"/>
        <v>#N/A</v>
      </c>
      <c r="AU519" s="8"/>
      <c r="AV519" s="6"/>
      <c r="AW519" s="8"/>
      <c r="AX519" s="8"/>
      <c r="AY519" s="6"/>
      <c r="AZ519" s="8"/>
      <c r="BA519" s="8"/>
      <c r="BB519" s="6"/>
      <c r="BC519" s="8"/>
      <c r="BD519" s="8"/>
      <c r="BE519" s="6"/>
      <c r="BF519" s="8"/>
      <c r="BG519" s="8"/>
      <c r="BH519" s="6"/>
      <c r="BI519" s="8"/>
      <c r="BJ519" s="8"/>
      <c r="BK519" s="6"/>
      <c r="BL519" s="8"/>
      <c r="BM519" s="8"/>
      <c r="BN519" s="6"/>
      <c r="BO519" s="8"/>
      <c r="BP519" s="8"/>
      <c r="BQ519" s="6"/>
      <c r="BR519" s="8"/>
    </row>
    <row r="520">
      <c r="A520" s="6"/>
      <c r="B520" s="6" t="s">
        <v>520</v>
      </c>
      <c r="C520" s="3" t="str">
        <f t="shared" si="1"/>
        <v>_plaid green</v>
      </c>
      <c r="D520" s="3" t="str">
        <f t="shared" si="5"/>
        <v>#N/A</v>
      </c>
      <c r="E520" s="3" t="b">
        <f t="shared" si="2"/>
        <v>0</v>
      </c>
      <c r="G520" s="3" t="str">
        <f t="shared" si="3"/>
        <v>#N/A</v>
      </c>
      <c r="AU520" s="8"/>
      <c r="AV520" s="6"/>
      <c r="AW520" s="8"/>
      <c r="AX520" s="8"/>
      <c r="AY520" s="6"/>
      <c r="AZ520" s="8"/>
      <c r="BA520" s="8"/>
      <c r="BB520" s="6"/>
      <c r="BC520" s="8"/>
      <c r="BD520" s="8"/>
      <c r="BE520" s="6"/>
      <c r="BF520" s="8"/>
      <c r="BG520" s="8"/>
      <c r="BH520" s="6"/>
      <c r="BI520" s="8"/>
      <c r="BJ520" s="8"/>
      <c r="BK520" s="6"/>
      <c r="BL520" s="8"/>
      <c r="BM520" s="8"/>
      <c r="BN520" s="6"/>
      <c r="BO520" s="8"/>
      <c r="BP520" s="8"/>
      <c r="BQ520" s="6"/>
      <c r="BR520" s="8"/>
    </row>
    <row r="521">
      <c r="A521" s="6"/>
      <c r="B521" s="6" t="s">
        <v>521</v>
      </c>
      <c r="C521" s="3" t="str">
        <f t="shared" si="1"/>
        <v>_mirrored purple</v>
      </c>
      <c r="D521" s="3" t="str">
        <f t="shared" si="5"/>
        <v>#N/A</v>
      </c>
      <c r="E521" s="3" t="b">
        <f t="shared" si="2"/>
        <v>0</v>
      </c>
      <c r="G521" s="3" t="str">
        <f t="shared" si="3"/>
        <v>#N/A</v>
      </c>
      <c r="AU521" s="8"/>
      <c r="AV521" s="6"/>
      <c r="AW521" s="8"/>
      <c r="AX521" s="8"/>
      <c r="AY521" s="6"/>
      <c r="AZ521" s="8"/>
      <c r="BA521" s="8"/>
      <c r="BB521" s="6"/>
      <c r="BC521" s="8"/>
      <c r="BD521" s="8"/>
      <c r="BE521" s="6"/>
      <c r="BF521" s="8"/>
      <c r="BG521" s="8"/>
      <c r="BH521" s="6"/>
      <c r="BI521" s="8"/>
      <c r="BJ521" s="8"/>
      <c r="BK521" s="6"/>
      <c r="BL521" s="8"/>
      <c r="BM521" s="8"/>
      <c r="BN521" s="6"/>
      <c r="BO521" s="8"/>
      <c r="BP521" s="8"/>
      <c r="BQ521" s="6"/>
      <c r="BR521" s="8"/>
    </row>
    <row r="522">
      <c r="A522" s="6"/>
      <c r="B522" s="6" t="s">
        <v>522</v>
      </c>
      <c r="C522" s="3" t="str">
        <f t="shared" si="1"/>
        <v>_vibrant yellow</v>
      </c>
      <c r="D522" s="3" t="str">
        <f t="shared" si="5"/>
        <v>#N/A</v>
      </c>
      <c r="E522" s="3" t="b">
        <f t="shared" si="2"/>
        <v>0</v>
      </c>
      <c r="G522" s="3" t="str">
        <f t="shared" si="3"/>
        <v>#N/A</v>
      </c>
      <c r="AU522" s="8"/>
      <c r="AV522" s="6"/>
      <c r="AW522" s="8"/>
      <c r="AX522" s="8"/>
      <c r="AY522" s="6"/>
      <c r="AZ522" s="8"/>
      <c r="BA522" s="8"/>
      <c r="BB522" s="6"/>
      <c r="BC522" s="8"/>
      <c r="BD522" s="8"/>
      <c r="BE522" s="6"/>
      <c r="BF522" s="8"/>
      <c r="BG522" s="8"/>
      <c r="BH522" s="6"/>
      <c r="BI522" s="8"/>
      <c r="BJ522" s="8"/>
      <c r="BK522" s="6"/>
      <c r="BL522" s="8"/>
      <c r="BM522" s="8"/>
      <c r="BN522" s="6"/>
      <c r="BO522" s="8"/>
      <c r="BP522" s="8"/>
      <c r="BQ522" s="6"/>
      <c r="BR522" s="8"/>
    </row>
    <row r="523">
      <c r="A523" s="6"/>
      <c r="B523" s="6" t="s">
        <v>523</v>
      </c>
      <c r="C523" s="3" t="str">
        <f t="shared" si="1"/>
        <v>_pale gold</v>
      </c>
      <c r="D523" s="3" t="str">
        <f t="shared" si="5"/>
        <v>#N/A</v>
      </c>
      <c r="E523" s="3" t="b">
        <f t="shared" si="2"/>
        <v>0</v>
      </c>
      <c r="G523" s="3" t="str">
        <f t="shared" si="3"/>
        <v>#N/A</v>
      </c>
      <c r="AU523" s="8"/>
      <c r="AV523" s="6"/>
      <c r="AW523" s="8"/>
      <c r="AX523" s="8"/>
      <c r="AY523" s="6"/>
      <c r="AZ523" s="8"/>
      <c r="BA523" s="8"/>
      <c r="BB523" s="6"/>
      <c r="BC523" s="8"/>
      <c r="BD523" s="8"/>
      <c r="BE523" s="6"/>
      <c r="BF523" s="8"/>
      <c r="BG523" s="8"/>
      <c r="BH523" s="6"/>
      <c r="BI523" s="8"/>
      <c r="BJ523" s="8"/>
      <c r="BK523" s="6"/>
      <c r="BL523" s="8"/>
      <c r="BM523" s="8"/>
      <c r="BN523" s="6"/>
      <c r="BO523" s="8"/>
      <c r="BP523" s="8"/>
      <c r="BQ523" s="6"/>
      <c r="BR523" s="8"/>
    </row>
    <row r="524">
      <c r="A524" s="6"/>
      <c r="B524" s="6" t="s">
        <v>524</v>
      </c>
      <c r="C524" s="3" t="str">
        <f t="shared" si="1"/>
        <v>_shiny cyan</v>
      </c>
      <c r="D524" s="3" t="str">
        <f t="shared" si="5"/>
        <v>#N/A</v>
      </c>
      <c r="E524" s="3" t="b">
        <f t="shared" si="2"/>
        <v>0</v>
      </c>
      <c r="G524" s="3" t="str">
        <f t="shared" si="3"/>
        <v>#N/A</v>
      </c>
      <c r="AU524" s="8"/>
      <c r="AV524" s="6"/>
      <c r="AW524" s="8"/>
      <c r="AX524" s="8"/>
      <c r="AY524" s="6"/>
      <c r="AZ524" s="8"/>
      <c r="BA524" s="8"/>
      <c r="BB524" s="6"/>
      <c r="BC524" s="8"/>
      <c r="BD524" s="8"/>
      <c r="BE524" s="6"/>
      <c r="BF524" s="8"/>
      <c r="BG524" s="8"/>
      <c r="BH524" s="6"/>
      <c r="BI524" s="8"/>
      <c r="BJ524" s="8"/>
      <c r="BK524" s="6"/>
      <c r="BL524" s="8"/>
      <c r="BM524" s="8"/>
      <c r="BN524" s="6"/>
      <c r="BO524" s="8"/>
      <c r="BP524" s="8"/>
      <c r="BQ524" s="6"/>
      <c r="BR524" s="8"/>
    </row>
    <row r="525">
      <c r="A525" s="6"/>
      <c r="B525" s="6" t="s">
        <v>525</v>
      </c>
      <c r="C525" s="3" t="str">
        <f t="shared" si="1"/>
        <v>_dim salmon</v>
      </c>
      <c r="D525" s="3" t="str">
        <f t="shared" si="5"/>
        <v>#N/A</v>
      </c>
      <c r="E525" s="3" t="b">
        <f t="shared" si="2"/>
        <v>0</v>
      </c>
      <c r="G525" s="3" t="str">
        <f t="shared" si="3"/>
        <v>#N/A</v>
      </c>
      <c r="AU525" s="8"/>
      <c r="AV525" s="6"/>
      <c r="AW525" s="8"/>
      <c r="AX525" s="8"/>
      <c r="AY525" s="6"/>
      <c r="AZ525" s="8"/>
      <c r="BA525" s="8"/>
      <c r="BB525" s="6"/>
      <c r="BC525" s="8"/>
      <c r="BD525" s="8"/>
      <c r="BE525" s="6"/>
      <c r="BF525" s="8"/>
      <c r="BG525" s="8"/>
      <c r="BH525" s="6"/>
      <c r="BI525" s="8"/>
      <c r="BJ525" s="8"/>
      <c r="BK525" s="6"/>
      <c r="BL525" s="8"/>
      <c r="BM525" s="8"/>
      <c r="BN525" s="6"/>
      <c r="BO525" s="8"/>
      <c r="BP525" s="8"/>
      <c r="BQ525" s="6"/>
      <c r="BR525" s="8"/>
    </row>
    <row r="526">
      <c r="A526" s="6"/>
      <c r="B526" s="6" t="s">
        <v>526</v>
      </c>
      <c r="C526" s="3" t="str">
        <f t="shared" si="1"/>
        <v>_dark crimson</v>
      </c>
      <c r="D526" s="3" t="str">
        <f t="shared" si="5"/>
        <v>#N/A</v>
      </c>
      <c r="E526" s="3" t="b">
        <f t="shared" si="2"/>
        <v>0</v>
      </c>
      <c r="G526" s="3" t="str">
        <f t="shared" si="3"/>
        <v>#N/A</v>
      </c>
      <c r="AU526" s="8"/>
      <c r="AV526" s="6"/>
      <c r="AW526" s="8"/>
      <c r="AX526" s="8"/>
      <c r="AY526" s="6"/>
      <c r="AZ526" s="8"/>
      <c r="BA526" s="8"/>
      <c r="BB526" s="6"/>
      <c r="BC526" s="8"/>
      <c r="BD526" s="8"/>
      <c r="BE526" s="6"/>
      <c r="BF526" s="8"/>
      <c r="BG526" s="8"/>
      <c r="BH526" s="6"/>
      <c r="BI526" s="8"/>
      <c r="BJ526" s="8"/>
      <c r="BK526" s="6"/>
      <c r="BL526" s="8"/>
      <c r="BM526" s="8"/>
      <c r="BN526" s="6"/>
      <c r="BO526" s="8"/>
      <c r="BP526" s="8"/>
      <c r="BQ526" s="6"/>
      <c r="BR526" s="8"/>
    </row>
    <row r="527">
      <c r="A527" s="6"/>
      <c r="B527" s="6" t="s">
        <v>527</v>
      </c>
      <c r="C527" s="3" t="str">
        <f t="shared" si="1"/>
        <v>_vibrant gold</v>
      </c>
      <c r="D527" s="3" t="str">
        <f t="shared" si="5"/>
        <v>#N/A</v>
      </c>
      <c r="E527" s="3" t="b">
        <f t="shared" si="2"/>
        <v>0</v>
      </c>
      <c r="G527" s="3" t="str">
        <f t="shared" si="3"/>
        <v>#N/A</v>
      </c>
      <c r="AU527" s="8"/>
      <c r="AV527" s="6"/>
      <c r="AW527" s="8"/>
      <c r="AX527" s="8"/>
      <c r="AY527" s="6"/>
      <c r="AZ527" s="8"/>
      <c r="BA527" s="8"/>
      <c r="BB527" s="6"/>
      <c r="BC527" s="8"/>
      <c r="BD527" s="8"/>
      <c r="BE527" s="6"/>
      <c r="BF527" s="8"/>
      <c r="BG527" s="8"/>
      <c r="BH527" s="6"/>
      <c r="BI527" s="8"/>
      <c r="BJ527" s="8"/>
      <c r="BK527" s="6"/>
      <c r="BL527" s="8"/>
      <c r="BM527" s="8"/>
      <c r="BN527" s="6"/>
      <c r="BO527" s="8"/>
      <c r="BP527" s="8"/>
      <c r="BQ527" s="6"/>
      <c r="BR527" s="8"/>
    </row>
    <row r="528">
      <c r="A528" s="6"/>
      <c r="B528" s="6" t="s">
        <v>528</v>
      </c>
      <c r="C528" s="3" t="str">
        <f t="shared" si="1"/>
        <v>_faded magenta</v>
      </c>
      <c r="D528" s="3" t="str">
        <f t="shared" si="5"/>
        <v>#N/A</v>
      </c>
      <c r="E528" s="3" t="b">
        <f t="shared" si="2"/>
        <v>0</v>
      </c>
      <c r="G528" s="3" t="str">
        <f t="shared" si="3"/>
        <v>#N/A</v>
      </c>
      <c r="AU528" s="8"/>
      <c r="AV528" s="6"/>
      <c r="AW528" s="8"/>
      <c r="AX528" s="8"/>
      <c r="AY528" s="6"/>
      <c r="AZ528" s="8"/>
      <c r="BA528" s="8"/>
      <c r="BB528" s="6"/>
      <c r="BC528" s="8"/>
      <c r="BD528" s="8"/>
      <c r="BE528" s="6"/>
      <c r="BF528" s="8"/>
      <c r="BG528" s="8"/>
      <c r="BH528" s="6"/>
      <c r="BI528" s="8"/>
      <c r="BJ528" s="8"/>
      <c r="BK528" s="6"/>
      <c r="BL528" s="8"/>
      <c r="BM528" s="8"/>
      <c r="BN528" s="6"/>
      <c r="BO528" s="8"/>
      <c r="BP528" s="8"/>
      <c r="BQ528" s="6"/>
      <c r="BR528" s="8"/>
    </row>
    <row r="529">
      <c r="A529" s="6"/>
      <c r="B529" s="6" t="s">
        <v>529</v>
      </c>
      <c r="C529" s="3" t="str">
        <f t="shared" si="1"/>
        <v>_drab black</v>
      </c>
      <c r="D529" s="3" t="str">
        <f t="shared" si="5"/>
        <v>#N/A</v>
      </c>
      <c r="E529" s="3" t="b">
        <f t="shared" si="2"/>
        <v>0</v>
      </c>
      <c r="G529" s="3" t="str">
        <f t="shared" si="3"/>
        <v>#N/A</v>
      </c>
      <c r="AU529" s="8"/>
      <c r="AV529" s="6"/>
      <c r="AW529" s="8"/>
      <c r="AX529" s="8"/>
      <c r="AY529" s="6"/>
      <c r="AZ529" s="8"/>
      <c r="BA529" s="8"/>
      <c r="BB529" s="6"/>
      <c r="BC529" s="8"/>
      <c r="BD529" s="8"/>
      <c r="BE529" s="6"/>
      <c r="BF529" s="8"/>
      <c r="BG529" s="8"/>
      <c r="BH529" s="6"/>
      <c r="BI529" s="8"/>
      <c r="BJ529" s="8"/>
      <c r="BK529" s="6"/>
      <c r="BL529" s="8"/>
      <c r="BM529" s="8"/>
      <c r="BN529" s="6"/>
      <c r="BO529" s="8"/>
      <c r="BP529" s="8"/>
      <c r="BQ529" s="6"/>
      <c r="BR529" s="8"/>
    </row>
    <row r="530">
      <c r="A530" s="6"/>
      <c r="B530" s="6" t="s">
        <v>530</v>
      </c>
      <c r="C530" s="3" t="str">
        <f t="shared" si="1"/>
        <v>_bright green</v>
      </c>
      <c r="D530" s="3" t="str">
        <f t="shared" si="5"/>
        <v>#N/A</v>
      </c>
      <c r="E530" s="3" t="b">
        <f t="shared" si="2"/>
        <v>0</v>
      </c>
      <c r="G530" s="3" t="str">
        <f t="shared" si="3"/>
        <v>#N/A</v>
      </c>
      <c r="AU530" s="8"/>
      <c r="AV530" s="6"/>
      <c r="AW530" s="8"/>
      <c r="AX530" s="8"/>
      <c r="AY530" s="6"/>
      <c r="AZ530" s="8"/>
      <c r="BA530" s="8"/>
      <c r="BB530" s="6"/>
      <c r="BC530" s="8"/>
      <c r="BD530" s="8"/>
      <c r="BE530" s="6"/>
      <c r="BF530" s="8"/>
      <c r="BG530" s="8"/>
      <c r="BH530" s="6"/>
      <c r="BI530" s="8"/>
      <c r="BJ530" s="8"/>
      <c r="BK530" s="6"/>
      <c r="BL530" s="8"/>
      <c r="BM530" s="8"/>
      <c r="BN530" s="6"/>
      <c r="BO530" s="8"/>
      <c r="BP530" s="8"/>
      <c r="BQ530" s="6"/>
      <c r="BR530" s="8"/>
    </row>
    <row r="531">
      <c r="A531" s="6"/>
      <c r="B531" s="6" t="s">
        <v>531</v>
      </c>
      <c r="C531" s="3" t="str">
        <f t="shared" si="1"/>
        <v>_bright aqua</v>
      </c>
      <c r="D531" s="3" t="str">
        <f t="shared" si="5"/>
        <v>#N/A</v>
      </c>
      <c r="E531" s="3" t="b">
        <f t="shared" si="2"/>
        <v>0</v>
      </c>
      <c r="G531" s="3" t="str">
        <f t="shared" si="3"/>
        <v>#N/A</v>
      </c>
      <c r="AU531" s="8"/>
      <c r="AV531" s="6"/>
      <c r="AW531" s="8"/>
      <c r="AX531" s="8"/>
      <c r="AY531" s="6"/>
      <c r="AZ531" s="8"/>
      <c r="BA531" s="8"/>
      <c r="BB531" s="6"/>
      <c r="BC531" s="8"/>
      <c r="BD531" s="8"/>
      <c r="BE531" s="6"/>
      <c r="BF531" s="8"/>
      <c r="BG531" s="8"/>
      <c r="BH531" s="6"/>
      <c r="BI531" s="8"/>
      <c r="BJ531" s="8"/>
      <c r="BK531" s="6"/>
      <c r="BL531" s="8"/>
      <c r="BM531" s="8"/>
      <c r="BN531" s="6"/>
      <c r="BO531" s="8"/>
      <c r="BP531" s="8"/>
      <c r="BQ531" s="6"/>
      <c r="BR531" s="8"/>
    </row>
    <row r="532">
      <c r="A532" s="6"/>
      <c r="B532" s="6" t="s">
        <v>532</v>
      </c>
      <c r="C532" s="3" t="str">
        <f t="shared" si="1"/>
        <v>_pale olive</v>
      </c>
      <c r="D532" s="3" t="str">
        <f t="shared" si="5"/>
        <v>#N/A</v>
      </c>
      <c r="E532" s="3" t="b">
        <f t="shared" si="2"/>
        <v>0</v>
      </c>
      <c r="G532" s="3" t="str">
        <f t="shared" si="3"/>
        <v>#N/A</v>
      </c>
      <c r="AU532" s="8"/>
      <c r="AV532" s="6"/>
      <c r="AW532" s="8"/>
      <c r="AX532" s="8"/>
      <c r="AY532" s="6"/>
      <c r="AZ532" s="8"/>
      <c r="BA532" s="8"/>
      <c r="BB532" s="6"/>
      <c r="BC532" s="8"/>
      <c r="BD532" s="8"/>
      <c r="BE532" s="6"/>
      <c r="BF532" s="8"/>
      <c r="BG532" s="8"/>
      <c r="BH532" s="6"/>
      <c r="BI532" s="8"/>
      <c r="BJ532" s="8"/>
      <c r="BK532" s="6"/>
      <c r="BL532" s="8"/>
      <c r="BM532" s="8"/>
      <c r="BN532" s="6"/>
      <c r="BO532" s="8"/>
      <c r="BP532" s="8"/>
      <c r="BQ532" s="6"/>
      <c r="BR532" s="8"/>
    </row>
    <row r="533">
      <c r="A533" s="6"/>
      <c r="B533" s="6" t="s">
        <v>533</v>
      </c>
      <c r="C533" s="3" t="str">
        <f t="shared" si="1"/>
        <v>_mirrored fuchsia</v>
      </c>
      <c r="D533" s="3" t="str">
        <f t="shared" si="5"/>
        <v>#N/A</v>
      </c>
      <c r="E533" s="3" t="b">
        <f t="shared" si="2"/>
        <v>0</v>
      </c>
      <c r="G533" s="3" t="str">
        <f t="shared" si="3"/>
        <v>#N/A</v>
      </c>
      <c r="AU533" s="8"/>
      <c r="AV533" s="6"/>
      <c r="AW533" s="8"/>
      <c r="AX533" s="8"/>
      <c r="AY533" s="6"/>
      <c r="AZ533" s="8"/>
      <c r="BA533" s="8"/>
      <c r="BB533" s="6"/>
      <c r="BC533" s="8"/>
      <c r="BD533" s="8"/>
      <c r="BE533" s="6"/>
      <c r="BF533" s="8"/>
      <c r="BG533" s="8"/>
      <c r="BH533" s="6"/>
      <c r="BI533" s="8"/>
      <c r="BJ533" s="8"/>
      <c r="BK533" s="6"/>
      <c r="BL533" s="8"/>
      <c r="BM533" s="8"/>
      <c r="BN533" s="6"/>
      <c r="BO533" s="8"/>
      <c r="BP533" s="8"/>
      <c r="BQ533" s="6"/>
      <c r="BR533" s="8"/>
    </row>
    <row r="534">
      <c r="A534" s="6"/>
      <c r="B534" s="6" t="s">
        <v>534</v>
      </c>
      <c r="C534" s="3" t="str">
        <f t="shared" si="1"/>
        <v>_mirrored red</v>
      </c>
      <c r="D534" s="3" t="str">
        <f t="shared" si="5"/>
        <v>#N/A</v>
      </c>
      <c r="E534" s="3" t="b">
        <f t="shared" si="2"/>
        <v>0</v>
      </c>
      <c r="G534" s="3" t="str">
        <f t="shared" si="3"/>
        <v>#N/A</v>
      </c>
      <c r="AU534" s="8"/>
      <c r="AV534" s="6"/>
      <c r="AW534" s="8"/>
      <c r="AX534" s="8"/>
      <c r="AY534" s="6"/>
      <c r="AZ534" s="8"/>
      <c r="BA534" s="8"/>
      <c r="BB534" s="6"/>
      <c r="BC534" s="8"/>
      <c r="BD534" s="8"/>
      <c r="BE534" s="6"/>
      <c r="BF534" s="8"/>
      <c r="BG534" s="8"/>
      <c r="BH534" s="6"/>
      <c r="BI534" s="8"/>
      <c r="BJ534" s="8"/>
      <c r="BK534" s="6"/>
      <c r="BL534" s="8"/>
      <c r="BM534" s="8"/>
      <c r="BN534" s="6"/>
      <c r="BO534" s="8"/>
      <c r="BP534" s="8"/>
      <c r="BQ534" s="6"/>
      <c r="BR534" s="8"/>
    </row>
    <row r="535">
      <c r="A535" s="6"/>
      <c r="B535" s="6" t="s">
        <v>535</v>
      </c>
      <c r="C535" s="3" t="str">
        <f t="shared" si="1"/>
        <v>_wavy blue</v>
      </c>
      <c r="D535" s="3" t="str">
        <f t="shared" si="5"/>
        <v>#N/A</v>
      </c>
      <c r="E535" s="3" t="b">
        <f t="shared" si="2"/>
        <v>0</v>
      </c>
      <c r="G535" s="3" t="str">
        <f t="shared" si="3"/>
        <v>#N/A</v>
      </c>
      <c r="AU535" s="8"/>
      <c r="AV535" s="6"/>
      <c r="AW535" s="8"/>
      <c r="AX535" s="8"/>
      <c r="AY535" s="6"/>
      <c r="AZ535" s="8"/>
      <c r="BA535" s="8"/>
      <c r="BB535" s="6"/>
      <c r="BC535" s="8"/>
      <c r="BD535" s="8"/>
      <c r="BE535" s="6"/>
      <c r="BF535" s="8"/>
      <c r="BG535" s="8"/>
      <c r="BH535" s="6"/>
      <c r="BI535" s="8"/>
      <c r="BJ535" s="8"/>
      <c r="BK535" s="6"/>
      <c r="BL535" s="8"/>
      <c r="BM535" s="8"/>
      <c r="BN535" s="6"/>
      <c r="BO535" s="8"/>
      <c r="BP535" s="8"/>
      <c r="BQ535" s="6"/>
      <c r="BR535" s="8"/>
    </row>
    <row r="536">
      <c r="A536" s="6"/>
      <c r="B536" s="6" t="s">
        <v>536</v>
      </c>
      <c r="C536" s="3" t="str">
        <f t="shared" si="1"/>
        <v>_clear silver</v>
      </c>
      <c r="D536" s="3" t="str">
        <f t="shared" si="5"/>
        <v>#N/A</v>
      </c>
      <c r="E536" s="3" t="b">
        <f t="shared" si="2"/>
        <v>0</v>
      </c>
      <c r="G536" s="3" t="str">
        <f t="shared" si="3"/>
        <v>#N/A</v>
      </c>
      <c r="AU536" s="8"/>
      <c r="AV536" s="6"/>
      <c r="AW536" s="8"/>
      <c r="AX536" s="8"/>
      <c r="AY536" s="6"/>
      <c r="AZ536" s="8"/>
      <c r="BA536" s="8"/>
      <c r="BB536" s="6"/>
      <c r="BC536" s="8"/>
      <c r="BD536" s="8"/>
      <c r="BE536" s="6"/>
      <c r="BF536" s="8"/>
      <c r="BG536" s="8"/>
      <c r="BH536" s="6"/>
      <c r="BI536" s="8"/>
      <c r="BJ536" s="8"/>
      <c r="BK536" s="6"/>
      <c r="BL536" s="8"/>
      <c r="BM536" s="8"/>
      <c r="BN536" s="6"/>
      <c r="BO536" s="8"/>
      <c r="BP536" s="8"/>
      <c r="BQ536" s="6"/>
      <c r="BR536" s="8"/>
    </row>
    <row r="537">
      <c r="A537" s="6"/>
      <c r="B537" s="6" t="s">
        <v>537</v>
      </c>
      <c r="C537" s="3" t="str">
        <f t="shared" si="1"/>
        <v>_muted white</v>
      </c>
      <c r="D537" s="3" t="str">
        <f t="shared" si="5"/>
        <v>#N/A</v>
      </c>
      <c r="E537" s="3" t="b">
        <f t="shared" si="2"/>
        <v>0</v>
      </c>
      <c r="G537" s="3" t="str">
        <f t="shared" si="3"/>
        <v>#N/A</v>
      </c>
      <c r="AU537" s="8"/>
      <c r="AV537" s="6"/>
      <c r="AW537" s="8"/>
      <c r="AX537" s="8"/>
      <c r="AY537" s="6"/>
      <c r="AZ537" s="8"/>
      <c r="BA537" s="8"/>
      <c r="BB537" s="6"/>
      <c r="BC537" s="8"/>
      <c r="BD537" s="8"/>
      <c r="BE537" s="6"/>
      <c r="BF537" s="8"/>
      <c r="BG537" s="8"/>
      <c r="BH537" s="6"/>
      <c r="BI537" s="8"/>
      <c r="BJ537" s="8"/>
      <c r="BK537" s="6"/>
      <c r="BL537" s="8"/>
      <c r="BM537" s="8"/>
      <c r="BN537" s="6"/>
      <c r="BO537" s="8"/>
      <c r="BP537" s="8"/>
      <c r="BQ537" s="6"/>
      <c r="BR537" s="8"/>
    </row>
    <row r="538">
      <c r="A538" s="6"/>
      <c r="B538" s="6" t="s">
        <v>538</v>
      </c>
      <c r="C538" s="3" t="str">
        <f t="shared" si="1"/>
        <v>_dim tomato</v>
      </c>
      <c r="D538" s="3" t="str">
        <f t="shared" si="5"/>
        <v>#N/A</v>
      </c>
      <c r="E538" s="3" t="b">
        <f t="shared" si="2"/>
        <v>0</v>
      </c>
      <c r="G538" s="3" t="str">
        <f t="shared" si="3"/>
        <v>#N/A</v>
      </c>
      <c r="AU538" s="8"/>
      <c r="AV538" s="6"/>
      <c r="AW538" s="8"/>
      <c r="AX538" s="8"/>
      <c r="AY538" s="6"/>
      <c r="AZ538" s="8"/>
      <c r="BA538" s="8"/>
      <c r="BB538" s="6"/>
      <c r="BC538" s="8"/>
      <c r="BD538" s="8"/>
      <c r="BE538" s="6"/>
      <c r="BF538" s="8"/>
      <c r="BG538" s="8"/>
      <c r="BH538" s="6"/>
      <c r="BI538" s="8"/>
      <c r="BJ538" s="8"/>
      <c r="BK538" s="6"/>
      <c r="BL538" s="8"/>
      <c r="BM538" s="8"/>
      <c r="BN538" s="6"/>
      <c r="BO538" s="8"/>
      <c r="BP538" s="8"/>
      <c r="BQ538" s="6"/>
      <c r="BR538" s="8"/>
    </row>
    <row r="539">
      <c r="A539" s="6"/>
      <c r="B539" s="6" t="s">
        <v>539</v>
      </c>
      <c r="C539" s="3" t="str">
        <f t="shared" si="1"/>
        <v>_drab beige</v>
      </c>
      <c r="D539" s="3" t="str">
        <f t="shared" si="5"/>
        <v>#N/A</v>
      </c>
      <c r="E539" s="3" t="b">
        <f t="shared" si="2"/>
        <v>0</v>
      </c>
      <c r="G539" s="3" t="str">
        <f t="shared" si="3"/>
        <v>#N/A</v>
      </c>
      <c r="AU539" s="8"/>
      <c r="AV539" s="6"/>
      <c r="AW539" s="8"/>
      <c r="AX539" s="8"/>
      <c r="AY539" s="6"/>
      <c r="AZ539" s="8"/>
      <c r="BA539" s="8"/>
      <c r="BB539" s="6"/>
      <c r="BC539" s="8"/>
      <c r="BD539" s="8"/>
      <c r="BE539" s="6"/>
      <c r="BF539" s="8"/>
      <c r="BG539" s="8"/>
      <c r="BH539" s="6"/>
      <c r="BI539" s="8"/>
      <c r="BJ539" s="8"/>
      <c r="BK539" s="6"/>
      <c r="BL539" s="8"/>
      <c r="BM539" s="8"/>
      <c r="BN539" s="6"/>
      <c r="BO539" s="8"/>
      <c r="BP539" s="8"/>
      <c r="BQ539" s="6"/>
      <c r="BR539" s="8"/>
    </row>
    <row r="540">
      <c r="A540" s="6"/>
      <c r="B540" s="6" t="s">
        <v>540</v>
      </c>
      <c r="C540" s="3" t="str">
        <f t="shared" si="1"/>
        <v>_clear gold</v>
      </c>
      <c r="D540" s="3" t="str">
        <f t="shared" si="5"/>
        <v>#N/A</v>
      </c>
      <c r="E540" s="3" t="b">
        <f t="shared" si="2"/>
        <v>0</v>
      </c>
      <c r="G540" s="3" t="str">
        <f t="shared" si="3"/>
        <v>#N/A</v>
      </c>
      <c r="AU540" s="8"/>
      <c r="AV540" s="6"/>
      <c r="AW540" s="8"/>
      <c r="AX540" s="8"/>
      <c r="AY540" s="6"/>
      <c r="AZ540" s="8"/>
      <c r="BA540" s="8"/>
      <c r="BB540" s="6"/>
      <c r="BC540" s="8"/>
      <c r="BD540" s="8"/>
      <c r="BE540" s="6"/>
      <c r="BF540" s="8"/>
      <c r="BG540" s="8"/>
      <c r="BH540" s="6"/>
      <c r="BI540" s="8"/>
      <c r="BJ540" s="8"/>
      <c r="BK540" s="6"/>
      <c r="BL540" s="8"/>
      <c r="BM540" s="8"/>
      <c r="BN540" s="6"/>
      <c r="BO540" s="8"/>
      <c r="BP540" s="8"/>
      <c r="BQ540" s="6"/>
      <c r="BR540" s="8"/>
    </row>
    <row r="541">
      <c r="A541" s="6"/>
      <c r="B541" s="6" t="s">
        <v>541</v>
      </c>
      <c r="C541" s="3" t="str">
        <f t="shared" si="1"/>
        <v>_vibrant orange</v>
      </c>
      <c r="D541" s="3" t="str">
        <f t="shared" si="5"/>
        <v>#N/A</v>
      </c>
      <c r="E541" s="3" t="b">
        <f t="shared" si="2"/>
        <v>0</v>
      </c>
      <c r="G541" s="3" t="str">
        <f t="shared" si="3"/>
        <v>#N/A</v>
      </c>
      <c r="AU541" s="8"/>
      <c r="AV541" s="6"/>
      <c r="AW541" s="8"/>
      <c r="AX541" s="8"/>
      <c r="AY541" s="6"/>
      <c r="AZ541" s="8"/>
      <c r="BA541" s="8"/>
      <c r="BB541" s="6"/>
      <c r="BC541" s="8"/>
      <c r="BD541" s="8"/>
      <c r="BE541" s="6"/>
      <c r="BF541" s="8"/>
      <c r="BG541" s="8"/>
      <c r="BH541" s="6"/>
      <c r="BI541" s="8"/>
      <c r="BJ541" s="8"/>
      <c r="BK541" s="6"/>
      <c r="BL541" s="8"/>
      <c r="BM541" s="8"/>
      <c r="BN541" s="6"/>
      <c r="BO541" s="8"/>
      <c r="BP541" s="8"/>
      <c r="BQ541" s="6"/>
      <c r="BR541" s="8"/>
    </row>
    <row r="542">
      <c r="A542" s="6"/>
      <c r="B542" s="6" t="s">
        <v>542</v>
      </c>
      <c r="C542" s="3" t="str">
        <f t="shared" si="1"/>
        <v>_striped tan</v>
      </c>
      <c r="D542" s="3" t="str">
        <f t="shared" si="5"/>
        <v>#N/A</v>
      </c>
      <c r="E542" s="3" t="b">
        <f t="shared" si="2"/>
        <v>0</v>
      </c>
      <c r="G542" s="3" t="str">
        <f t="shared" si="3"/>
        <v>#N/A</v>
      </c>
      <c r="AU542" s="8"/>
      <c r="AV542" s="6"/>
      <c r="AW542" s="8"/>
      <c r="AX542" s="8"/>
      <c r="AY542" s="6"/>
      <c r="AZ542" s="8"/>
      <c r="BA542" s="8"/>
      <c r="BB542" s="6"/>
      <c r="BC542" s="8"/>
      <c r="BD542" s="8"/>
      <c r="BE542" s="6"/>
      <c r="BF542" s="8"/>
      <c r="BG542" s="8"/>
      <c r="BH542" s="6"/>
      <c r="BI542" s="8"/>
      <c r="BJ542" s="8"/>
      <c r="BK542" s="6"/>
      <c r="BL542" s="8"/>
      <c r="BM542" s="8"/>
      <c r="BN542" s="6"/>
      <c r="BO542" s="8"/>
      <c r="BP542" s="8"/>
      <c r="BQ542" s="6"/>
      <c r="BR542" s="8"/>
    </row>
    <row r="543">
      <c r="A543" s="6"/>
      <c r="B543" s="6" t="s">
        <v>543</v>
      </c>
      <c r="C543" s="3" t="str">
        <f t="shared" si="1"/>
        <v>_bright lime</v>
      </c>
      <c r="D543" s="3" t="str">
        <f t="shared" si="5"/>
        <v>#N/A</v>
      </c>
      <c r="E543" s="3" t="b">
        <f t="shared" si="2"/>
        <v>0</v>
      </c>
      <c r="G543" s="3" t="str">
        <f t="shared" si="3"/>
        <v>#N/A</v>
      </c>
      <c r="AU543" s="8"/>
      <c r="AV543" s="6"/>
      <c r="AW543" s="8"/>
      <c r="AX543" s="8"/>
      <c r="AY543" s="6"/>
      <c r="AZ543" s="8"/>
      <c r="BA543" s="8"/>
      <c r="BB543" s="6"/>
      <c r="BC543" s="8"/>
      <c r="BD543" s="8"/>
      <c r="BE543" s="6"/>
      <c r="BF543" s="8"/>
      <c r="BG543" s="8"/>
      <c r="BH543" s="6"/>
      <c r="BI543" s="8"/>
      <c r="BJ543" s="8"/>
      <c r="BK543" s="6"/>
      <c r="BL543" s="8"/>
      <c r="BM543" s="8"/>
      <c r="BN543" s="6"/>
      <c r="BO543" s="8"/>
      <c r="BP543" s="8"/>
      <c r="BQ543" s="6"/>
      <c r="BR543" s="8"/>
    </row>
    <row r="544">
      <c r="A544" s="6"/>
      <c r="B544" s="6" t="s">
        <v>544</v>
      </c>
      <c r="C544" s="3" t="str">
        <f t="shared" si="1"/>
        <v>_bright red</v>
      </c>
      <c r="D544" s="3" t="str">
        <f t="shared" si="5"/>
        <v>#N/A</v>
      </c>
      <c r="E544" s="3" t="b">
        <f t="shared" si="2"/>
        <v>0</v>
      </c>
      <c r="G544" s="3" t="str">
        <f t="shared" si="3"/>
        <v>#N/A</v>
      </c>
      <c r="AU544" s="8"/>
      <c r="AV544" s="6"/>
      <c r="AW544" s="8"/>
      <c r="AX544" s="8"/>
      <c r="AY544" s="6"/>
      <c r="AZ544" s="8"/>
      <c r="BA544" s="8"/>
      <c r="BB544" s="6"/>
      <c r="BC544" s="8"/>
      <c r="BD544" s="8"/>
      <c r="BE544" s="6"/>
      <c r="BF544" s="8"/>
      <c r="BG544" s="8"/>
      <c r="BH544" s="6"/>
      <c r="BI544" s="8"/>
      <c r="BJ544" s="8"/>
      <c r="BK544" s="6"/>
      <c r="BL544" s="8"/>
      <c r="BM544" s="8"/>
      <c r="BN544" s="6"/>
      <c r="BO544" s="8"/>
      <c r="BP544" s="8"/>
      <c r="BQ544" s="6"/>
      <c r="BR544" s="8"/>
    </row>
    <row r="545">
      <c r="A545" s="6"/>
      <c r="B545" s="6" t="s">
        <v>545</v>
      </c>
      <c r="C545" s="3" t="str">
        <f t="shared" si="1"/>
        <v>_vibrant green</v>
      </c>
      <c r="D545" s="3" t="str">
        <f t="shared" si="5"/>
        <v>#N/A</v>
      </c>
      <c r="E545" s="3" t="b">
        <f t="shared" si="2"/>
        <v>0</v>
      </c>
      <c r="G545" s="3" t="str">
        <f t="shared" si="3"/>
        <v>#N/A</v>
      </c>
      <c r="AU545" s="8"/>
      <c r="AV545" s="6"/>
      <c r="AW545" s="8"/>
      <c r="AX545" s="8"/>
      <c r="AY545" s="6"/>
      <c r="AZ545" s="8"/>
      <c r="BA545" s="8"/>
      <c r="BB545" s="6"/>
      <c r="BC545" s="8"/>
      <c r="BD545" s="8"/>
      <c r="BE545" s="6"/>
      <c r="BF545" s="8"/>
      <c r="BG545" s="8"/>
      <c r="BH545" s="6"/>
      <c r="BI545" s="8"/>
      <c r="BJ545" s="8"/>
      <c r="BK545" s="6"/>
      <c r="BL545" s="8"/>
      <c r="BM545" s="8"/>
      <c r="BN545" s="6"/>
      <c r="BO545" s="8"/>
      <c r="BP545" s="8"/>
      <c r="BQ545" s="6"/>
      <c r="BR545" s="8"/>
    </row>
    <row r="546">
      <c r="A546" s="6"/>
      <c r="B546" s="6" t="s">
        <v>546</v>
      </c>
      <c r="C546" s="3" t="str">
        <f t="shared" si="1"/>
        <v>_light tan</v>
      </c>
      <c r="D546" s="3" t="str">
        <f t="shared" si="5"/>
        <v>#N/A</v>
      </c>
      <c r="E546" s="3" t="b">
        <f t="shared" si="2"/>
        <v>0</v>
      </c>
      <c r="G546" s="3" t="str">
        <f t="shared" si="3"/>
        <v>#N/A</v>
      </c>
      <c r="AU546" s="8"/>
      <c r="AV546" s="6"/>
      <c r="AW546" s="8"/>
      <c r="AX546" s="8"/>
      <c r="AY546" s="6"/>
      <c r="AZ546" s="8"/>
      <c r="BA546" s="8"/>
      <c r="BB546" s="6"/>
      <c r="BC546" s="8"/>
      <c r="BD546" s="8"/>
      <c r="BE546" s="6"/>
      <c r="BF546" s="8"/>
      <c r="BG546" s="8"/>
      <c r="BH546" s="6"/>
      <c r="BI546" s="8"/>
      <c r="BJ546" s="8"/>
      <c r="BK546" s="6"/>
      <c r="BL546" s="8"/>
      <c r="BM546" s="8"/>
      <c r="BN546" s="6"/>
      <c r="BO546" s="8"/>
      <c r="BP546" s="8"/>
      <c r="BQ546" s="6"/>
      <c r="BR546" s="8"/>
    </row>
    <row r="547">
      <c r="A547" s="6"/>
      <c r="B547" s="6" t="s">
        <v>547</v>
      </c>
      <c r="C547" s="3" t="str">
        <f t="shared" si="1"/>
        <v>_striped white</v>
      </c>
      <c r="D547" s="3" t="str">
        <f t="shared" si="5"/>
        <v>#N/A</v>
      </c>
      <c r="E547" s="3" t="b">
        <f t="shared" si="2"/>
        <v>0</v>
      </c>
      <c r="G547" s="3" t="str">
        <f t="shared" si="3"/>
        <v>#N/A</v>
      </c>
      <c r="AU547" s="8"/>
      <c r="AV547" s="6"/>
      <c r="AW547" s="8"/>
      <c r="AX547" s="8"/>
      <c r="AY547" s="6"/>
      <c r="AZ547" s="8"/>
      <c r="BA547" s="8"/>
      <c r="BB547" s="6"/>
      <c r="BC547" s="8"/>
      <c r="BD547" s="8"/>
      <c r="BE547" s="6"/>
      <c r="BF547" s="8"/>
      <c r="BG547" s="8"/>
      <c r="BH547" s="6"/>
      <c r="BI547" s="8"/>
      <c r="BJ547" s="8"/>
      <c r="BK547" s="6"/>
      <c r="BL547" s="8"/>
      <c r="BM547" s="8"/>
      <c r="BN547" s="6"/>
      <c r="BO547" s="8"/>
      <c r="BP547" s="8"/>
      <c r="BQ547" s="6"/>
      <c r="BR547" s="8"/>
    </row>
    <row r="548">
      <c r="A548" s="6"/>
      <c r="B548" s="6" t="s">
        <v>548</v>
      </c>
      <c r="C548" s="3" t="str">
        <f t="shared" si="1"/>
        <v>_dull violet</v>
      </c>
      <c r="D548" s="3" t="str">
        <f t="shared" si="5"/>
        <v>#N/A</v>
      </c>
      <c r="E548" s="3" t="b">
        <f t="shared" si="2"/>
        <v>0</v>
      </c>
      <c r="G548" s="3" t="str">
        <f t="shared" si="3"/>
        <v>#N/A</v>
      </c>
      <c r="AU548" s="8"/>
      <c r="AV548" s="6"/>
      <c r="AW548" s="8"/>
      <c r="AX548" s="8"/>
      <c r="AY548" s="6"/>
      <c r="AZ548" s="8"/>
      <c r="BA548" s="8"/>
      <c r="BB548" s="6"/>
      <c r="BC548" s="8"/>
      <c r="BD548" s="8"/>
      <c r="BE548" s="6"/>
      <c r="BF548" s="8"/>
      <c r="BG548" s="8"/>
      <c r="BH548" s="6"/>
      <c r="BI548" s="8"/>
      <c r="BJ548" s="8"/>
      <c r="BK548" s="6"/>
      <c r="BL548" s="8"/>
      <c r="BM548" s="8"/>
      <c r="BN548" s="6"/>
      <c r="BO548" s="8"/>
      <c r="BP548" s="8"/>
      <c r="BQ548" s="6"/>
      <c r="BR548" s="8"/>
    </row>
    <row r="549">
      <c r="A549" s="6"/>
      <c r="B549" s="6" t="s">
        <v>549</v>
      </c>
      <c r="C549" s="3" t="str">
        <f t="shared" si="1"/>
        <v>_drab salmon</v>
      </c>
      <c r="D549" s="3" t="str">
        <f t="shared" si="5"/>
        <v>#N/A</v>
      </c>
      <c r="E549" s="3" t="b">
        <f t="shared" si="2"/>
        <v>0</v>
      </c>
      <c r="G549" s="3" t="str">
        <f t="shared" si="3"/>
        <v>#N/A</v>
      </c>
      <c r="AU549" s="8"/>
      <c r="AV549" s="6"/>
      <c r="AW549" s="8"/>
      <c r="AX549" s="8"/>
      <c r="AY549" s="6"/>
      <c r="AZ549" s="8"/>
      <c r="BA549" s="8"/>
      <c r="BB549" s="6"/>
      <c r="BC549" s="8"/>
      <c r="BD549" s="8"/>
      <c r="BE549" s="6"/>
      <c r="BF549" s="8"/>
      <c r="BG549" s="8"/>
      <c r="BH549" s="6"/>
      <c r="BI549" s="8"/>
      <c r="BJ549" s="8"/>
      <c r="BK549" s="6"/>
      <c r="BL549" s="8"/>
      <c r="BM549" s="8"/>
      <c r="BN549" s="6"/>
      <c r="BO549" s="8"/>
      <c r="BP549" s="8"/>
      <c r="BQ549" s="6"/>
      <c r="BR549" s="8"/>
    </row>
    <row r="550">
      <c r="A550" s="6"/>
      <c r="B550" s="6" t="s">
        <v>550</v>
      </c>
      <c r="C550" s="3" t="str">
        <f t="shared" si="1"/>
        <v>_mirrored cyan</v>
      </c>
      <c r="D550" s="3" t="str">
        <f t="shared" si="5"/>
        <v>#N/A</v>
      </c>
      <c r="E550" s="3" t="b">
        <f t="shared" si="2"/>
        <v>0</v>
      </c>
      <c r="G550" s="3" t="str">
        <f t="shared" si="3"/>
        <v>#N/A</v>
      </c>
      <c r="AU550" s="8"/>
      <c r="AV550" s="6"/>
      <c r="AW550" s="8"/>
      <c r="AX550" s="8"/>
      <c r="AY550" s="6"/>
      <c r="AZ550" s="8"/>
      <c r="BA550" s="8"/>
      <c r="BB550" s="6"/>
      <c r="BC550" s="8"/>
      <c r="BD550" s="8"/>
      <c r="BE550" s="6"/>
      <c r="BF550" s="8"/>
      <c r="BG550" s="8"/>
      <c r="BH550" s="6"/>
      <c r="BI550" s="8"/>
      <c r="BJ550" s="8"/>
      <c r="BK550" s="6"/>
      <c r="BL550" s="8"/>
      <c r="BM550" s="8"/>
      <c r="BN550" s="6"/>
      <c r="BO550" s="8"/>
      <c r="BP550" s="8"/>
      <c r="BQ550" s="6"/>
      <c r="BR550" s="8"/>
    </row>
    <row r="551">
      <c r="A551" s="6"/>
      <c r="B551" s="6" t="s">
        <v>551</v>
      </c>
      <c r="C551" s="3" t="str">
        <f t="shared" si="1"/>
        <v>_wavy teal</v>
      </c>
      <c r="D551" s="3" t="str">
        <f t="shared" si="5"/>
        <v>#N/A</v>
      </c>
      <c r="E551" s="3" t="b">
        <f t="shared" si="2"/>
        <v>0</v>
      </c>
      <c r="G551" s="3" t="str">
        <f t="shared" si="3"/>
        <v>#N/A</v>
      </c>
      <c r="AU551" s="8"/>
      <c r="AV551" s="6"/>
      <c r="AW551" s="8"/>
      <c r="AX551" s="8"/>
      <c r="AY551" s="6"/>
      <c r="AZ551" s="8"/>
      <c r="BA551" s="8"/>
      <c r="BB551" s="6"/>
      <c r="BC551" s="8"/>
      <c r="BD551" s="8"/>
      <c r="BE551" s="6"/>
      <c r="BF551" s="8"/>
      <c r="BG551" s="8"/>
      <c r="BH551" s="6"/>
      <c r="BI551" s="8"/>
      <c r="BJ551" s="8"/>
      <c r="BK551" s="6"/>
      <c r="BL551" s="8"/>
      <c r="BM551" s="8"/>
      <c r="BN551" s="6"/>
      <c r="BO551" s="8"/>
      <c r="BP551" s="8"/>
      <c r="BQ551" s="6"/>
      <c r="BR551" s="8"/>
    </row>
    <row r="552">
      <c r="A552" s="6"/>
      <c r="B552" s="6" t="s">
        <v>552</v>
      </c>
      <c r="C552" s="3" t="str">
        <f t="shared" si="1"/>
        <v>_vibrant purple</v>
      </c>
      <c r="D552" s="3" t="str">
        <f t="shared" si="5"/>
        <v>#N/A</v>
      </c>
      <c r="E552" s="3" t="b">
        <f t="shared" si="2"/>
        <v>0</v>
      </c>
      <c r="G552" s="3" t="str">
        <f t="shared" si="3"/>
        <v>#N/A</v>
      </c>
      <c r="AU552" s="8"/>
      <c r="AV552" s="6"/>
      <c r="AW552" s="8"/>
      <c r="AX552" s="8"/>
      <c r="AY552" s="6"/>
      <c r="AZ552" s="8"/>
      <c r="BA552" s="8"/>
      <c r="BB552" s="6"/>
      <c r="BC552" s="8"/>
      <c r="BD552" s="8"/>
      <c r="BE552" s="6"/>
      <c r="BF552" s="8"/>
      <c r="BG552" s="8"/>
      <c r="BH552" s="6"/>
      <c r="BI552" s="8"/>
      <c r="BJ552" s="8"/>
      <c r="BK552" s="6"/>
      <c r="BL552" s="8"/>
      <c r="BM552" s="8"/>
      <c r="BN552" s="6"/>
      <c r="BO552" s="8"/>
      <c r="BP552" s="8"/>
      <c r="BQ552" s="6"/>
      <c r="BR552" s="8"/>
    </row>
    <row r="553">
      <c r="A553" s="6"/>
      <c r="B553" s="6" t="s">
        <v>553</v>
      </c>
      <c r="C553" s="3" t="str">
        <f t="shared" si="1"/>
        <v>_faded beige</v>
      </c>
      <c r="D553" s="3" t="str">
        <f t="shared" si="5"/>
        <v>#N/A</v>
      </c>
      <c r="E553" s="3" t="b">
        <f t="shared" si="2"/>
        <v>0</v>
      </c>
      <c r="G553" s="3" t="str">
        <f t="shared" si="3"/>
        <v>#N/A</v>
      </c>
      <c r="AU553" s="8"/>
      <c r="AV553" s="6"/>
      <c r="AW553" s="8"/>
      <c r="AX553" s="8"/>
      <c r="AY553" s="6"/>
      <c r="AZ553" s="8"/>
      <c r="BA553" s="8"/>
      <c r="BB553" s="6"/>
      <c r="BC553" s="8"/>
      <c r="BD553" s="8"/>
      <c r="BE553" s="6"/>
      <c r="BF553" s="8"/>
      <c r="BG553" s="8"/>
      <c r="BH553" s="6"/>
      <c r="BI553" s="8"/>
      <c r="BJ553" s="8"/>
      <c r="BK553" s="6"/>
      <c r="BL553" s="8"/>
      <c r="BM553" s="8"/>
      <c r="BN553" s="6"/>
      <c r="BO553" s="8"/>
      <c r="BP553" s="8"/>
      <c r="BQ553" s="6"/>
      <c r="BR553" s="8"/>
    </row>
    <row r="554">
      <c r="A554" s="6"/>
      <c r="B554" s="6" t="s">
        <v>554</v>
      </c>
      <c r="C554" s="3" t="str">
        <f t="shared" si="1"/>
        <v>_faded lime</v>
      </c>
      <c r="D554" s="3" t="str">
        <f t="shared" si="5"/>
        <v>#N/A</v>
      </c>
      <c r="E554" s="3" t="b">
        <f t="shared" si="2"/>
        <v>0</v>
      </c>
      <c r="G554" s="3" t="str">
        <f t="shared" si="3"/>
        <v>#N/A</v>
      </c>
      <c r="AU554" s="8"/>
      <c r="AV554" s="6"/>
      <c r="AW554" s="8"/>
      <c r="AX554" s="8"/>
      <c r="AY554" s="6"/>
      <c r="AZ554" s="8"/>
      <c r="BA554" s="8"/>
      <c r="BB554" s="6"/>
      <c r="BC554" s="8"/>
      <c r="BD554" s="8"/>
      <c r="BE554" s="6"/>
      <c r="BF554" s="8"/>
      <c r="BG554" s="8"/>
      <c r="BH554" s="6"/>
      <c r="BI554" s="8"/>
      <c r="BJ554" s="8"/>
      <c r="BK554" s="6"/>
      <c r="BL554" s="8"/>
      <c r="BM554" s="8"/>
      <c r="BN554" s="6"/>
      <c r="BO554" s="8"/>
      <c r="BP554" s="8"/>
      <c r="BQ554" s="6"/>
      <c r="BR554" s="8"/>
    </row>
    <row r="555">
      <c r="A555" s="6"/>
      <c r="B555" s="6" t="s">
        <v>555</v>
      </c>
      <c r="C555" s="3" t="str">
        <f t="shared" si="1"/>
        <v>_mirrored green</v>
      </c>
      <c r="D555" s="3" t="str">
        <f t="shared" si="5"/>
        <v>#N/A</v>
      </c>
      <c r="E555" s="3" t="b">
        <f t="shared" si="2"/>
        <v>0</v>
      </c>
      <c r="G555" s="3" t="str">
        <f t="shared" si="3"/>
        <v>#N/A</v>
      </c>
      <c r="AU555" s="8"/>
      <c r="AV555" s="6"/>
      <c r="AW555" s="8"/>
      <c r="AX555" s="8"/>
      <c r="AY555" s="6"/>
      <c r="AZ555" s="8"/>
      <c r="BA555" s="8"/>
      <c r="BB555" s="6"/>
      <c r="BC555" s="8"/>
      <c r="BD555" s="8"/>
      <c r="BE555" s="6"/>
      <c r="BF555" s="8"/>
      <c r="BG555" s="8"/>
      <c r="BH555" s="6"/>
      <c r="BI555" s="8"/>
      <c r="BJ555" s="8"/>
      <c r="BK555" s="6"/>
      <c r="BL555" s="8"/>
      <c r="BM555" s="8"/>
      <c r="BN555" s="6"/>
      <c r="BO555" s="8"/>
      <c r="BP555" s="8"/>
      <c r="BQ555" s="6"/>
      <c r="BR555" s="8"/>
    </row>
    <row r="556">
      <c r="A556" s="6"/>
      <c r="B556" s="6" t="s">
        <v>556</v>
      </c>
      <c r="C556" s="3" t="str">
        <f t="shared" si="1"/>
        <v>_light green</v>
      </c>
      <c r="D556" s="3" t="str">
        <f t="shared" si="5"/>
        <v>#N/A</v>
      </c>
      <c r="E556" s="3" t="b">
        <f t="shared" si="2"/>
        <v>0</v>
      </c>
      <c r="G556" s="3" t="str">
        <f t="shared" si="3"/>
        <v>#N/A</v>
      </c>
      <c r="AU556" s="8"/>
      <c r="AV556" s="6"/>
      <c r="AW556" s="8"/>
      <c r="AX556" s="8"/>
      <c r="AY556" s="6"/>
      <c r="AZ556" s="8"/>
      <c r="BA556" s="8"/>
      <c r="BB556" s="6"/>
      <c r="BC556" s="8"/>
      <c r="BD556" s="8"/>
      <c r="BE556" s="6"/>
      <c r="BF556" s="8"/>
      <c r="BG556" s="8"/>
      <c r="BH556" s="6"/>
      <c r="BI556" s="8"/>
      <c r="BJ556" s="8"/>
      <c r="BK556" s="6"/>
      <c r="BL556" s="8"/>
      <c r="BM556" s="8"/>
      <c r="BN556" s="6"/>
      <c r="BO556" s="8"/>
      <c r="BP556" s="8"/>
      <c r="BQ556" s="6"/>
      <c r="BR556" s="8"/>
    </row>
    <row r="557">
      <c r="A557" s="6"/>
      <c r="B557" s="6" t="s">
        <v>557</v>
      </c>
      <c r="C557" s="3" t="str">
        <f t="shared" si="1"/>
        <v>_pale crimson</v>
      </c>
      <c r="D557" s="3" t="str">
        <f t="shared" si="5"/>
        <v>#N/A</v>
      </c>
      <c r="E557" s="3" t="b">
        <f t="shared" si="2"/>
        <v>0</v>
      </c>
      <c r="G557" s="3" t="str">
        <f t="shared" si="3"/>
        <v>#N/A</v>
      </c>
      <c r="AU557" s="8"/>
      <c r="AV557" s="6"/>
      <c r="AW557" s="8"/>
      <c r="AX557" s="8"/>
      <c r="AY557" s="6"/>
      <c r="AZ557" s="8"/>
      <c r="BA557" s="8"/>
      <c r="BB557" s="6"/>
      <c r="BC557" s="8"/>
      <c r="BD557" s="8"/>
      <c r="BE557" s="6"/>
      <c r="BF557" s="8"/>
      <c r="BG557" s="8"/>
      <c r="BH557" s="6"/>
      <c r="BI557" s="8"/>
      <c r="BJ557" s="8"/>
      <c r="BK557" s="6"/>
      <c r="BL557" s="8"/>
      <c r="BM557" s="8"/>
      <c r="BN557" s="6"/>
      <c r="BO557" s="8"/>
      <c r="BP557" s="8"/>
      <c r="BQ557" s="6"/>
      <c r="BR557" s="8"/>
    </row>
    <row r="558">
      <c r="A558" s="6"/>
      <c r="B558" s="6" t="s">
        <v>558</v>
      </c>
      <c r="C558" s="3" t="str">
        <f t="shared" si="1"/>
        <v>_mirrored aqua</v>
      </c>
      <c r="D558" s="3" t="str">
        <f t="shared" si="5"/>
        <v>#N/A</v>
      </c>
      <c r="E558" s="3" t="b">
        <f t="shared" si="2"/>
        <v>0</v>
      </c>
      <c r="G558" s="3" t="str">
        <f t="shared" si="3"/>
        <v>#N/A</v>
      </c>
      <c r="AU558" s="8"/>
      <c r="AV558" s="6"/>
      <c r="AW558" s="8"/>
      <c r="AX558" s="8"/>
      <c r="AY558" s="6"/>
      <c r="AZ558" s="8"/>
      <c r="BA558" s="8"/>
      <c r="BB558" s="6"/>
      <c r="BC558" s="8"/>
      <c r="BD558" s="8"/>
      <c r="BE558" s="6"/>
      <c r="BF558" s="8"/>
      <c r="BG558" s="8"/>
      <c r="BH558" s="6"/>
      <c r="BI558" s="8"/>
      <c r="BJ558" s="8"/>
      <c r="BK558" s="6"/>
      <c r="BL558" s="8"/>
      <c r="BM558" s="8"/>
      <c r="BN558" s="6"/>
      <c r="BO558" s="8"/>
      <c r="BP558" s="8"/>
      <c r="BQ558" s="6"/>
      <c r="BR558" s="8"/>
    </row>
    <row r="559">
      <c r="A559" s="6"/>
      <c r="B559" s="6" t="s">
        <v>559</v>
      </c>
      <c r="C559" s="3" t="str">
        <f t="shared" si="1"/>
        <v>_dull crimson</v>
      </c>
      <c r="D559" s="3" t="str">
        <f t="shared" si="5"/>
        <v>#N/A</v>
      </c>
      <c r="E559" s="3" t="b">
        <f t="shared" si="2"/>
        <v>0</v>
      </c>
      <c r="G559" s="3" t="str">
        <f t="shared" si="3"/>
        <v>#N/A</v>
      </c>
      <c r="AU559" s="8"/>
      <c r="AV559" s="6"/>
      <c r="AW559" s="8"/>
      <c r="AX559" s="8"/>
      <c r="AY559" s="6"/>
      <c r="AZ559" s="8"/>
      <c r="BA559" s="8"/>
      <c r="BB559" s="6"/>
      <c r="BC559" s="8"/>
      <c r="BD559" s="8"/>
      <c r="BE559" s="6"/>
      <c r="BF559" s="8"/>
      <c r="BG559" s="8"/>
      <c r="BH559" s="6"/>
      <c r="BI559" s="8"/>
      <c r="BJ559" s="8"/>
      <c r="BK559" s="6"/>
      <c r="BL559" s="8"/>
      <c r="BM559" s="8"/>
      <c r="BN559" s="6"/>
      <c r="BO559" s="8"/>
      <c r="BP559" s="8"/>
      <c r="BQ559" s="6"/>
      <c r="BR559" s="8"/>
    </row>
    <row r="560">
      <c r="A560" s="6"/>
      <c r="B560" s="6" t="s">
        <v>560</v>
      </c>
      <c r="C560" s="3" t="str">
        <f t="shared" si="1"/>
        <v>_dull purple</v>
      </c>
      <c r="D560" s="3" t="str">
        <f t="shared" si="5"/>
        <v>#N/A</v>
      </c>
      <c r="E560" s="3" t="b">
        <f t="shared" si="2"/>
        <v>0</v>
      </c>
      <c r="G560" s="3" t="str">
        <f t="shared" si="3"/>
        <v>#N/A</v>
      </c>
      <c r="AU560" s="8"/>
      <c r="AV560" s="6"/>
      <c r="AW560" s="8"/>
      <c r="AX560" s="8"/>
      <c r="AY560" s="6"/>
      <c r="AZ560" s="8"/>
      <c r="BA560" s="8"/>
      <c r="BB560" s="6"/>
      <c r="BC560" s="8"/>
      <c r="BD560" s="8"/>
      <c r="BE560" s="6"/>
      <c r="BF560" s="8"/>
      <c r="BG560" s="8"/>
      <c r="BH560" s="6"/>
      <c r="BI560" s="8"/>
      <c r="BJ560" s="8"/>
      <c r="BK560" s="6"/>
      <c r="BL560" s="8"/>
      <c r="BM560" s="8"/>
      <c r="BN560" s="6"/>
      <c r="BO560" s="8"/>
      <c r="BP560" s="8"/>
      <c r="BQ560" s="6"/>
      <c r="BR560" s="8"/>
    </row>
    <row r="561">
      <c r="A561" s="6"/>
      <c r="B561" s="6" t="s">
        <v>561</v>
      </c>
      <c r="C561" s="3" t="str">
        <f t="shared" si="1"/>
        <v>_bright white</v>
      </c>
      <c r="D561" s="3" t="str">
        <f t="shared" si="5"/>
        <v>#N/A</v>
      </c>
      <c r="E561" s="3" t="b">
        <f t="shared" si="2"/>
        <v>0</v>
      </c>
      <c r="G561" s="3" t="str">
        <f t="shared" si="3"/>
        <v>#N/A</v>
      </c>
      <c r="AU561" s="8"/>
      <c r="AV561" s="6"/>
      <c r="AW561" s="8"/>
      <c r="AX561" s="8"/>
      <c r="AY561" s="6"/>
      <c r="AZ561" s="8"/>
      <c r="BA561" s="8"/>
      <c r="BB561" s="6"/>
      <c r="BC561" s="8"/>
      <c r="BD561" s="8"/>
      <c r="BE561" s="6"/>
      <c r="BF561" s="8"/>
      <c r="BG561" s="8"/>
      <c r="BH561" s="6"/>
      <c r="BI561" s="8"/>
      <c r="BJ561" s="8"/>
      <c r="BK561" s="6"/>
      <c r="BL561" s="8"/>
      <c r="BM561" s="8"/>
      <c r="BN561" s="6"/>
      <c r="BO561" s="8"/>
      <c r="BP561" s="8"/>
      <c r="BQ561" s="6"/>
      <c r="BR561" s="8"/>
    </row>
    <row r="562">
      <c r="A562" s="6"/>
      <c r="B562" s="6" t="s">
        <v>562</v>
      </c>
      <c r="C562" s="3" t="str">
        <f t="shared" si="1"/>
        <v>_drab indigo</v>
      </c>
      <c r="D562" s="3" t="str">
        <f t="shared" si="5"/>
        <v>#N/A</v>
      </c>
      <c r="E562" s="3" t="b">
        <f t="shared" si="2"/>
        <v>0</v>
      </c>
      <c r="G562" s="3" t="str">
        <f t="shared" si="3"/>
        <v>#N/A</v>
      </c>
      <c r="AU562" s="8"/>
      <c r="AV562" s="6"/>
      <c r="AW562" s="8"/>
      <c r="AX562" s="8"/>
      <c r="AY562" s="6"/>
      <c r="AZ562" s="8"/>
      <c r="BA562" s="8"/>
      <c r="BB562" s="6"/>
      <c r="BC562" s="8"/>
      <c r="BD562" s="8"/>
      <c r="BE562" s="6"/>
      <c r="BF562" s="8"/>
      <c r="BG562" s="8"/>
      <c r="BH562" s="6"/>
      <c r="BI562" s="8"/>
      <c r="BJ562" s="8"/>
      <c r="BK562" s="6"/>
      <c r="BL562" s="8"/>
      <c r="BM562" s="8"/>
      <c r="BN562" s="6"/>
      <c r="BO562" s="8"/>
      <c r="BP562" s="8"/>
      <c r="BQ562" s="6"/>
      <c r="BR562" s="8"/>
    </row>
    <row r="563">
      <c r="A563" s="6"/>
      <c r="B563" s="6" t="s">
        <v>563</v>
      </c>
      <c r="C563" s="3" t="str">
        <f t="shared" si="1"/>
        <v>_striped fuchsia</v>
      </c>
      <c r="D563" s="3" t="str">
        <f t="shared" si="5"/>
        <v>#N/A</v>
      </c>
      <c r="E563" s="3" t="b">
        <f t="shared" si="2"/>
        <v>0</v>
      </c>
      <c r="G563" s="3" t="str">
        <f t="shared" si="3"/>
        <v>#N/A</v>
      </c>
      <c r="AU563" s="8"/>
      <c r="AV563" s="6"/>
      <c r="AW563" s="8"/>
      <c r="AX563" s="8"/>
      <c r="AY563" s="6"/>
      <c r="AZ563" s="8"/>
      <c r="BA563" s="8"/>
      <c r="BB563" s="6"/>
      <c r="BC563" s="8"/>
      <c r="BD563" s="8"/>
      <c r="BE563" s="6"/>
      <c r="BF563" s="8"/>
      <c r="BG563" s="8"/>
      <c r="BH563" s="6"/>
      <c r="BI563" s="8"/>
      <c r="BJ563" s="8"/>
      <c r="BK563" s="6"/>
      <c r="BL563" s="8"/>
      <c r="BM563" s="8"/>
      <c r="BN563" s="6"/>
      <c r="BO563" s="8"/>
      <c r="BP563" s="8"/>
      <c r="BQ563" s="6"/>
      <c r="BR563" s="8"/>
    </row>
    <row r="564">
      <c r="A564" s="6"/>
      <c r="B564" s="6" t="s">
        <v>564</v>
      </c>
      <c r="C564" s="3" t="str">
        <f t="shared" si="1"/>
        <v>_dark tomato</v>
      </c>
      <c r="D564" s="3" t="str">
        <f t="shared" si="5"/>
        <v>#N/A</v>
      </c>
      <c r="E564" s="3" t="b">
        <f t="shared" si="2"/>
        <v>0</v>
      </c>
      <c r="G564" s="3" t="str">
        <f t="shared" si="3"/>
        <v>#N/A</v>
      </c>
      <c r="AU564" s="8"/>
      <c r="AV564" s="6"/>
      <c r="AW564" s="8"/>
      <c r="AX564" s="8"/>
      <c r="AY564" s="6"/>
      <c r="AZ564" s="8"/>
      <c r="BA564" s="8"/>
      <c r="BB564" s="6"/>
      <c r="BC564" s="8"/>
      <c r="BD564" s="8"/>
      <c r="BE564" s="6"/>
      <c r="BF564" s="8"/>
      <c r="BG564" s="8"/>
      <c r="BH564" s="6"/>
      <c r="BI564" s="8"/>
      <c r="BJ564" s="8"/>
      <c r="BK564" s="6"/>
      <c r="BL564" s="8"/>
      <c r="BM564" s="8"/>
      <c r="BN564" s="6"/>
      <c r="BO564" s="8"/>
      <c r="BP564" s="8"/>
      <c r="BQ564" s="6"/>
      <c r="BR564" s="8"/>
    </row>
    <row r="565">
      <c r="A565" s="6"/>
      <c r="B565" s="6" t="s">
        <v>565</v>
      </c>
      <c r="C565" s="3" t="str">
        <f t="shared" si="1"/>
        <v>_mirrored tomato</v>
      </c>
      <c r="D565" s="3" t="str">
        <f t="shared" si="5"/>
        <v>#N/A</v>
      </c>
      <c r="E565" s="3" t="b">
        <f t="shared" si="2"/>
        <v>0</v>
      </c>
      <c r="G565" s="3" t="str">
        <f t="shared" si="3"/>
        <v>#N/A</v>
      </c>
      <c r="AU565" s="8"/>
      <c r="AV565" s="6"/>
      <c r="AW565" s="8"/>
      <c r="AX565" s="8"/>
      <c r="AY565" s="6"/>
      <c r="AZ565" s="8"/>
      <c r="BA565" s="8"/>
      <c r="BB565" s="6"/>
      <c r="BC565" s="8"/>
      <c r="BD565" s="8"/>
      <c r="BE565" s="6"/>
      <c r="BF565" s="8"/>
      <c r="BG565" s="8"/>
      <c r="BH565" s="6"/>
      <c r="BI565" s="8"/>
      <c r="BJ565" s="8"/>
      <c r="BK565" s="6"/>
      <c r="BL565" s="8"/>
      <c r="BM565" s="8"/>
      <c r="BN565" s="6"/>
      <c r="BO565" s="8"/>
      <c r="BP565" s="8"/>
      <c r="BQ565" s="6"/>
      <c r="BR565" s="8"/>
    </row>
    <row r="566">
      <c r="A566" s="6"/>
      <c r="B566" s="6" t="s">
        <v>566</v>
      </c>
      <c r="C566" s="3" t="str">
        <f t="shared" si="1"/>
        <v>_dark plum</v>
      </c>
      <c r="D566" s="3" t="str">
        <f t="shared" si="5"/>
        <v>#N/A</v>
      </c>
      <c r="E566" s="3" t="b">
        <f t="shared" si="2"/>
        <v>0</v>
      </c>
      <c r="G566" s="3" t="str">
        <f t="shared" si="3"/>
        <v>#N/A</v>
      </c>
      <c r="AU566" s="8"/>
      <c r="AV566" s="6"/>
      <c r="AW566" s="8"/>
      <c r="AX566" s="8"/>
      <c r="AY566" s="6"/>
      <c r="AZ566" s="8"/>
      <c r="BA566" s="8"/>
      <c r="BB566" s="6"/>
      <c r="BC566" s="8"/>
      <c r="BD566" s="8"/>
      <c r="BE566" s="6"/>
      <c r="BF566" s="8"/>
      <c r="BG566" s="8"/>
      <c r="BH566" s="6"/>
      <c r="BI566" s="8"/>
      <c r="BJ566" s="8"/>
      <c r="BK566" s="6"/>
      <c r="BL566" s="8"/>
      <c r="BM566" s="8"/>
      <c r="BN566" s="6"/>
      <c r="BO566" s="8"/>
      <c r="BP566" s="8"/>
      <c r="BQ566" s="6"/>
      <c r="BR566" s="8"/>
    </row>
    <row r="567">
      <c r="A567" s="6"/>
      <c r="B567" s="6" t="s">
        <v>567</v>
      </c>
      <c r="C567" s="3" t="str">
        <f t="shared" si="1"/>
        <v>_dark salmon</v>
      </c>
      <c r="D567" s="3" t="str">
        <f t="shared" si="5"/>
        <v>#N/A</v>
      </c>
      <c r="E567" s="3" t="b">
        <f t="shared" si="2"/>
        <v>0</v>
      </c>
      <c r="G567" s="3" t="str">
        <f t="shared" si="3"/>
        <v>#N/A</v>
      </c>
      <c r="AU567" s="8"/>
      <c r="AV567" s="6"/>
      <c r="AW567" s="8"/>
      <c r="AX567" s="8"/>
      <c r="AY567" s="6"/>
      <c r="AZ567" s="8"/>
      <c r="BA567" s="8"/>
      <c r="BB567" s="6"/>
      <c r="BC567" s="8"/>
      <c r="BD567" s="8"/>
      <c r="BE567" s="6"/>
      <c r="BF567" s="8"/>
      <c r="BG567" s="8"/>
      <c r="BH567" s="6"/>
      <c r="BI567" s="8"/>
      <c r="BJ567" s="8"/>
      <c r="BK567" s="6"/>
      <c r="BL567" s="8"/>
      <c r="BM567" s="8"/>
      <c r="BN567" s="6"/>
      <c r="BO567" s="8"/>
      <c r="BP567" s="8"/>
      <c r="BQ567" s="6"/>
      <c r="BR567" s="8"/>
    </row>
    <row r="568">
      <c r="A568" s="6"/>
      <c r="B568" s="6" t="s">
        <v>568</v>
      </c>
      <c r="C568" s="3" t="str">
        <f t="shared" si="1"/>
        <v>_dotted lime</v>
      </c>
      <c r="D568" s="3" t="str">
        <f t="shared" si="5"/>
        <v>#N/A</v>
      </c>
      <c r="E568" s="3" t="b">
        <f t="shared" si="2"/>
        <v>0</v>
      </c>
      <c r="G568" s="3" t="str">
        <f t="shared" si="3"/>
        <v>#N/A</v>
      </c>
      <c r="AU568" s="8"/>
      <c r="AV568" s="6"/>
      <c r="AW568" s="8"/>
      <c r="AX568" s="8"/>
      <c r="AY568" s="6"/>
      <c r="AZ568" s="8"/>
      <c r="BA568" s="8"/>
      <c r="BB568" s="6"/>
      <c r="BC568" s="8"/>
      <c r="BD568" s="8"/>
      <c r="BE568" s="6"/>
      <c r="BF568" s="8"/>
      <c r="BG568" s="8"/>
      <c r="BH568" s="6"/>
      <c r="BI568" s="8"/>
      <c r="BJ568" s="8"/>
      <c r="BK568" s="6"/>
      <c r="BL568" s="8"/>
      <c r="BM568" s="8"/>
      <c r="BN568" s="6"/>
      <c r="BO568" s="8"/>
      <c r="BP568" s="8"/>
      <c r="BQ568" s="6"/>
      <c r="BR568" s="8"/>
    </row>
    <row r="569">
      <c r="A569" s="6"/>
      <c r="B569" s="6" t="s">
        <v>569</v>
      </c>
      <c r="C569" s="3" t="str">
        <f t="shared" si="1"/>
        <v>_dark red</v>
      </c>
      <c r="D569" s="3" t="str">
        <f t="shared" si="5"/>
        <v>#N/A</v>
      </c>
      <c r="E569" s="3" t="b">
        <f t="shared" si="2"/>
        <v>0</v>
      </c>
      <c r="G569" s="3" t="str">
        <f t="shared" si="3"/>
        <v>#N/A</v>
      </c>
      <c r="AU569" s="8"/>
      <c r="AV569" s="6"/>
      <c r="AW569" s="8"/>
      <c r="AX569" s="8"/>
      <c r="AY569" s="6"/>
      <c r="AZ569" s="8"/>
      <c r="BA569" s="8"/>
      <c r="BB569" s="6"/>
      <c r="BC569" s="8"/>
      <c r="BD569" s="8"/>
      <c r="BE569" s="6"/>
      <c r="BF569" s="8"/>
      <c r="BG569" s="8"/>
      <c r="BH569" s="6"/>
      <c r="BI569" s="8"/>
      <c r="BJ569" s="8"/>
      <c r="BK569" s="6"/>
      <c r="BL569" s="8"/>
      <c r="BM569" s="8"/>
      <c r="BN569" s="6"/>
      <c r="BO569" s="8"/>
      <c r="BP569" s="8"/>
      <c r="BQ569" s="6"/>
      <c r="BR569" s="8"/>
    </row>
    <row r="570">
      <c r="A570" s="6"/>
      <c r="B570" s="6" t="s">
        <v>570</v>
      </c>
      <c r="C570" s="3" t="str">
        <f t="shared" si="1"/>
        <v>_dim lavender</v>
      </c>
      <c r="D570" s="3" t="str">
        <f t="shared" si="5"/>
        <v>#N/A</v>
      </c>
      <c r="E570" s="3" t="b">
        <f t="shared" si="2"/>
        <v>0</v>
      </c>
      <c r="G570" s="3" t="str">
        <f t="shared" si="3"/>
        <v>#N/A</v>
      </c>
      <c r="AU570" s="8"/>
      <c r="AV570" s="6"/>
      <c r="AW570" s="8"/>
      <c r="AX570" s="8"/>
      <c r="AY570" s="6"/>
      <c r="AZ570" s="8"/>
      <c r="BA570" s="8"/>
      <c r="BB570" s="6"/>
      <c r="BC570" s="8"/>
      <c r="BD570" s="8"/>
      <c r="BE570" s="6"/>
      <c r="BF570" s="8"/>
      <c r="BG570" s="8"/>
      <c r="BH570" s="6"/>
      <c r="BI570" s="8"/>
      <c r="BJ570" s="8"/>
      <c r="BK570" s="6"/>
      <c r="BL570" s="8"/>
      <c r="BM570" s="8"/>
      <c r="BN570" s="6"/>
      <c r="BO570" s="8"/>
      <c r="BP570" s="8"/>
      <c r="BQ570" s="6"/>
      <c r="BR570" s="8"/>
    </row>
    <row r="571">
      <c r="A571" s="6"/>
      <c r="B571" s="6" t="s">
        <v>571</v>
      </c>
      <c r="C571" s="3" t="str">
        <f t="shared" si="1"/>
        <v>_striped cyan</v>
      </c>
      <c r="D571" s="3" t="str">
        <f t="shared" si="5"/>
        <v>#N/A</v>
      </c>
      <c r="E571" s="3" t="b">
        <f t="shared" si="2"/>
        <v>0</v>
      </c>
      <c r="G571" s="3" t="str">
        <f t="shared" si="3"/>
        <v>#N/A</v>
      </c>
      <c r="AU571" s="8"/>
      <c r="AV571" s="6"/>
      <c r="AW571" s="8"/>
      <c r="AX571" s="8"/>
      <c r="AY571" s="6"/>
      <c r="AZ571" s="8"/>
      <c r="BA571" s="8"/>
      <c r="BB571" s="6"/>
      <c r="BC571" s="8"/>
      <c r="BD571" s="8"/>
      <c r="BE571" s="6"/>
      <c r="BF571" s="8"/>
      <c r="BG571" s="8"/>
      <c r="BH571" s="6"/>
      <c r="BI571" s="8"/>
      <c r="BJ571" s="8"/>
      <c r="BK571" s="6"/>
      <c r="BL571" s="8"/>
      <c r="BM571" s="8"/>
      <c r="BN571" s="6"/>
      <c r="BO571" s="8"/>
      <c r="BP571" s="8"/>
      <c r="BQ571" s="6"/>
      <c r="BR571" s="8"/>
    </row>
    <row r="572">
      <c r="A572" s="6"/>
      <c r="B572" s="6" t="s">
        <v>572</v>
      </c>
      <c r="C572" s="3" t="str">
        <f t="shared" si="1"/>
        <v>_dull indigo</v>
      </c>
      <c r="D572" s="3" t="str">
        <f t="shared" si="5"/>
        <v>#N/A</v>
      </c>
      <c r="E572" s="3" t="b">
        <f t="shared" si="2"/>
        <v>0</v>
      </c>
      <c r="G572" s="3" t="str">
        <f t="shared" si="3"/>
        <v>#N/A</v>
      </c>
      <c r="AU572" s="8"/>
      <c r="AV572" s="6"/>
      <c r="AW572" s="8"/>
      <c r="AX572" s="8"/>
      <c r="AY572" s="6"/>
      <c r="AZ572" s="8"/>
      <c r="BA572" s="8"/>
      <c r="BB572" s="6"/>
      <c r="BC572" s="8"/>
      <c r="BD572" s="8"/>
      <c r="BE572" s="6"/>
      <c r="BF572" s="8"/>
      <c r="BG572" s="8"/>
      <c r="BH572" s="6"/>
      <c r="BI572" s="8"/>
      <c r="BJ572" s="8"/>
      <c r="BK572" s="6"/>
      <c r="BL572" s="8"/>
      <c r="BM572" s="8"/>
      <c r="BN572" s="6"/>
      <c r="BO572" s="8"/>
      <c r="BP572" s="8"/>
      <c r="BQ572" s="6"/>
      <c r="BR572" s="8"/>
    </row>
    <row r="573">
      <c r="A573" s="6"/>
      <c r="B573" s="6" t="s">
        <v>573</v>
      </c>
      <c r="C573" s="3" t="str">
        <f t="shared" si="1"/>
        <v>_faded green</v>
      </c>
      <c r="D573" s="3" t="str">
        <f t="shared" si="5"/>
        <v>#N/A</v>
      </c>
      <c r="E573" s="3" t="b">
        <f t="shared" si="2"/>
        <v>0</v>
      </c>
      <c r="G573" s="3" t="str">
        <f t="shared" si="3"/>
        <v>#N/A</v>
      </c>
      <c r="AU573" s="8"/>
      <c r="AV573" s="6"/>
      <c r="AW573" s="8"/>
      <c r="AX573" s="8"/>
      <c r="AY573" s="6"/>
      <c r="AZ573" s="8"/>
      <c r="BA573" s="8"/>
      <c r="BB573" s="6"/>
      <c r="BC573" s="8"/>
      <c r="BD573" s="8"/>
      <c r="BE573" s="6"/>
      <c r="BF573" s="8"/>
      <c r="BG573" s="8"/>
      <c r="BH573" s="6"/>
      <c r="BI573" s="8"/>
      <c r="BJ573" s="8"/>
      <c r="BK573" s="6"/>
      <c r="BL573" s="8"/>
      <c r="BM573" s="8"/>
      <c r="BN573" s="6"/>
      <c r="BO573" s="8"/>
      <c r="BP573" s="8"/>
      <c r="BQ573" s="6"/>
      <c r="BR573" s="8"/>
    </row>
    <row r="574">
      <c r="A574" s="6"/>
      <c r="B574" s="6" t="s">
        <v>574</v>
      </c>
      <c r="C574" s="3" t="str">
        <f t="shared" si="1"/>
        <v>_drab fuchsia</v>
      </c>
      <c r="D574" s="3" t="str">
        <f t="shared" si="5"/>
        <v>#N/A</v>
      </c>
      <c r="E574" s="3" t="b">
        <f t="shared" si="2"/>
        <v>0</v>
      </c>
      <c r="G574" s="3" t="str">
        <f t="shared" si="3"/>
        <v>#N/A</v>
      </c>
      <c r="AU574" s="8"/>
      <c r="AV574" s="6"/>
      <c r="AW574" s="8"/>
      <c r="AX574" s="8"/>
      <c r="AY574" s="6"/>
      <c r="AZ574" s="8"/>
      <c r="BA574" s="8"/>
      <c r="BB574" s="6"/>
      <c r="BC574" s="8"/>
      <c r="BD574" s="8"/>
      <c r="BE574" s="6"/>
      <c r="BF574" s="8"/>
      <c r="BG574" s="8"/>
      <c r="BH574" s="6"/>
      <c r="BI574" s="8"/>
      <c r="BJ574" s="8"/>
      <c r="BK574" s="6"/>
      <c r="BL574" s="8"/>
      <c r="BM574" s="8"/>
      <c r="BN574" s="6"/>
      <c r="BO574" s="8"/>
      <c r="BP574" s="8"/>
      <c r="BQ574" s="6"/>
      <c r="BR574" s="8"/>
    </row>
    <row r="575">
      <c r="A575" s="6"/>
      <c r="B575" s="6" t="s">
        <v>575</v>
      </c>
      <c r="C575" s="3" t="str">
        <f t="shared" si="1"/>
        <v>_drab gold</v>
      </c>
      <c r="D575" s="3" t="str">
        <f t="shared" si="5"/>
        <v>#N/A</v>
      </c>
      <c r="E575" s="3" t="b">
        <f t="shared" si="2"/>
        <v>0</v>
      </c>
      <c r="G575" s="3" t="str">
        <f t="shared" si="3"/>
        <v>#N/A</v>
      </c>
      <c r="AU575" s="8"/>
      <c r="AV575" s="6"/>
      <c r="AW575" s="8"/>
      <c r="AX575" s="8"/>
      <c r="AY575" s="6"/>
      <c r="AZ575" s="8"/>
      <c r="BA575" s="8"/>
      <c r="BB575" s="6"/>
      <c r="BC575" s="8"/>
      <c r="BD575" s="8"/>
      <c r="BE575" s="6"/>
      <c r="BF575" s="8"/>
      <c r="BG575" s="8"/>
      <c r="BH575" s="6"/>
      <c r="BI575" s="8"/>
      <c r="BJ575" s="8"/>
      <c r="BK575" s="6"/>
      <c r="BL575" s="8"/>
      <c r="BM575" s="8"/>
      <c r="BN575" s="6"/>
      <c r="BO575" s="8"/>
      <c r="BP575" s="8"/>
      <c r="BQ575" s="6"/>
      <c r="BR575" s="8"/>
    </row>
    <row r="576">
      <c r="A576" s="6"/>
      <c r="B576" s="6" t="s">
        <v>576</v>
      </c>
      <c r="C576" s="3" t="str">
        <f t="shared" si="1"/>
        <v>_dotted violet</v>
      </c>
      <c r="D576" s="3" t="str">
        <f t="shared" si="5"/>
        <v>#N/A</v>
      </c>
      <c r="E576" s="3" t="b">
        <f t="shared" si="2"/>
        <v>0</v>
      </c>
      <c r="G576" s="3" t="str">
        <f t="shared" si="3"/>
        <v>#N/A</v>
      </c>
      <c r="AU576" s="8"/>
      <c r="AV576" s="6"/>
      <c r="AW576" s="8"/>
      <c r="AX576" s="8"/>
      <c r="AY576" s="6"/>
      <c r="AZ576" s="8"/>
      <c r="BA576" s="8"/>
      <c r="BB576" s="6"/>
      <c r="BC576" s="8"/>
      <c r="BD576" s="8"/>
      <c r="BE576" s="6"/>
      <c r="BF576" s="8"/>
      <c r="BG576" s="8"/>
      <c r="BH576" s="6"/>
      <c r="BI576" s="8"/>
      <c r="BJ576" s="8"/>
      <c r="BK576" s="6"/>
      <c r="BL576" s="8"/>
      <c r="BM576" s="8"/>
      <c r="BN576" s="6"/>
      <c r="BO576" s="8"/>
      <c r="BP576" s="8"/>
      <c r="BQ576" s="6"/>
      <c r="BR576" s="8"/>
    </row>
    <row r="577">
      <c r="A577" s="6"/>
      <c r="B577" s="6" t="s">
        <v>577</v>
      </c>
      <c r="C577" s="3" t="str">
        <f t="shared" si="1"/>
        <v>_shiny turquoise</v>
      </c>
      <c r="D577" s="3" t="str">
        <f t="shared" si="5"/>
        <v>#N/A</v>
      </c>
      <c r="E577" s="3" t="b">
        <f t="shared" si="2"/>
        <v>0</v>
      </c>
      <c r="G577" s="3" t="str">
        <f t="shared" si="3"/>
        <v>#N/A</v>
      </c>
      <c r="AU577" s="8"/>
      <c r="AV577" s="6"/>
      <c r="AW577" s="8"/>
      <c r="AX577" s="8"/>
      <c r="AY577" s="6"/>
      <c r="AZ577" s="8"/>
      <c r="BA577" s="8"/>
      <c r="BB577" s="6"/>
      <c r="BC577" s="8"/>
      <c r="BD577" s="8"/>
      <c r="BE577" s="6"/>
      <c r="BF577" s="8"/>
      <c r="BG577" s="8"/>
      <c r="BH577" s="6"/>
      <c r="BI577" s="8"/>
      <c r="BJ577" s="8"/>
      <c r="BK577" s="6"/>
      <c r="BL577" s="8"/>
      <c r="BM577" s="8"/>
      <c r="BN577" s="6"/>
      <c r="BO577" s="8"/>
      <c r="BP577" s="8"/>
      <c r="BQ577" s="6"/>
      <c r="BR577" s="8"/>
    </row>
    <row r="578">
      <c r="A578" s="6"/>
      <c r="B578" s="6" t="s">
        <v>578</v>
      </c>
      <c r="C578" s="3" t="str">
        <f t="shared" si="1"/>
        <v>_muted green</v>
      </c>
      <c r="D578" s="3" t="str">
        <f t="shared" si="5"/>
        <v>#N/A</v>
      </c>
      <c r="E578" s="3" t="b">
        <f t="shared" si="2"/>
        <v>0</v>
      </c>
      <c r="G578" s="3" t="str">
        <f t="shared" si="3"/>
        <v>#N/A</v>
      </c>
      <c r="AU578" s="8"/>
      <c r="AV578" s="6"/>
      <c r="AW578" s="8"/>
      <c r="AX578" s="8"/>
      <c r="AY578" s="6"/>
      <c r="AZ578" s="8"/>
      <c r="BA578" s="8"/>
      <c r="BB578" s="6"/>
      <c r="BC578" s="8"/>
      <c r="BD578" s="8"/>
      <c r="BE578" s="6"/>
      <c r="BF578" s="8"/>
      <c r="BG578" s="8"/>
      <c r="BH578" s="6"/>
      <c r="BI578" s="8"/>
      <c r="BJ578" s="8"/>
      <c r="BK578" s="6"/>
      <c r="BL578" s="8"/>
      <c r="BM578" s="8"/>
      <c r="BN578" s="6"/>
      <c r="BO578" s="8"/>
      <c r="BP578" s="8"/>
      <c r="BQ578" s="6"/>
      <c r="BR578" s="8"/>
    </row>
    <row r="579">
      <c r="A579" s="6"/>
      <c r="B579" s="6" t="s">
        <v>579</v>
      </c>
      <c r="C579" s="3" t="str">
        <f t="shared" si="1"/>
        <v>_pale purple</v>
      </c>
      <c r="D579" s="3" t="str">
        <f t="shared" si="5"/>
        <v>#N/A</v>
      </c>
      <c r="E579" s="3" t="b">
        <f t="shared" si="2"/>
        <v>0</v>
      </c>
      <c r="G579" s="3" t="str">
        <f t="shared" si="3"/>
        <v>#N/A</v>
      </c>
      <c r="AU579" s="8"/>
      <c r="AV579" s="6"/>
      <c r="AW579" s="8"/>
      <c r="AX579" s="8"/>
      <c r="AY579" s="6"/>
      <c r="AZ579" s="8"/>
      <c r="BA579" s="8"/>
      <c r="BB579" s="6"/>
      <c r="BC579" s="8"/>
      <c r="BD579" s="8"/>
      <c r="BE579" s="6"/>
      <c r="BF579" s="8"/>
      <c r="BG579" s="8"/>
      <c r="BH579" s="6"/>
      <c r="BI579" s="8"/>
      <c r="BJ579" s="8"/>
      <c r="BK579" s="6"/>
      <c r="BL579" s="8"/>
      <c r="BM579" s="8"/>
      <c r="BN579" s="6"/>
      <c r="BO579" s="8"/>
      <c r="BP579" s="8"/>
      <c r="BQ579" s="6"/>
      <c r="BR579" s="8"/>
    </row>
    <row r="580">
      <c r="A580" s="6"/>
      <c r="B580" s="6" t="s">
        <v>580</v>
      </c>
      <c r="C580" s="3" t="str">
        <f t="shared" si="1"/>
        <v>_posh fuchsia</v>
      </c>
      <c r="D580" s="3" t="str">
        <f t="shared" si="5"/>
        <v>#N/A</v>
      </c>
      <c r="E580" s="3" t="b">
        <f t="shared" si="2"/>
        <v>0</v>
      </c>
      <c r="G580" s="3" t="str">
        <f t="shared" si="3"/>
        <v>#N/A</v>
      </c>
      <c r="AU580" s="8"/>
      <c r="AV580" s="6"/>
      <c r="AW580" s="8"/>
      <c r="AX580" s="8"/>
      <c r="AY580" s="6"/>
      <c r="AZ580" s="8"/>
      <c r="BA580" s="8"/>
      <c r="BB580" s="6"/>
      <c r="BC580" s="8"/>
      <c r="BD580" s="8"/>
      <c r="BE580" s="6"/>
      <c r="BF580" s="8"/>
      <c r="BG580" s="8"/>
      <c r="BH580" s="6"/>
      <c r="BI580" s="8"/>
      <c r="BJ580" s="8"/>
      <c r="BK580" s="6"/>
      <c r="BL580" s="8"/>
      <c r="BM580" s="8"/>
      <c r="BN580" s="6"/>
      <c r="BO580" s="8"/>
      <c r="BP580" s="8"/>
      <c r="BQ580" s="6"/>
      <c r="BR580" s="8"/>
    </row>
    <row r="581">
      <c r="A581" s="6"/>
      <c r="B581" s="6" t="s">
        <v>581</v>
      </c>
      <c r="C581" s="3" t="str">
        <f t="shared" si="1"/>
        <v>_drab teal</v>
      </c>
      <c r="D581" s="3" t="str">
        <f t="shared" si="5"/>
        <v>#N/A</v>
      </c>
      <c r="E581" s="3" t="b">
        <f t="shared" si="2"/>
        <v>0</v>
      </c>
      <c r="G581" s="3" t="str">
        <f t="shared" si="3"/>
        <v>#N/A</v>
      </c>
      <c r="AU581" s="8"/>
      <c r="AV581" s="6"/>
      <c r="AW581" s="8"/>
      <c r="AX581" s="8"/>
      <c r="AY581" s="6"/>
      <c r="AZ581" s="8"/>
      <c r="BA581" s="8"/>
      <c r="BB581" s="6"/>
      <c r="BC581" s="8"/>
      <c r="BD581" s="8"/>
      <c r="BE581" s="6"/>
      <c r="BF581" s="8"/>
      <c r="BG581" s="8"/>
      <c r="BH581" s="6"/>
      <c r="BI581" s="8"/>
      <c r="BJ581" s="8"/>
      <c r="BK581" s="6"/>
      <c r="BL581" s="8"/>
      <c r="BM581" s="8"/>
      <c r="BN581" s="6"/>
      <c r="BO581" s="8"/>
      <c r="BP581" s="8"/>
      <c r="BQ581" s="6"/>
      <c r="BR581" s="8"/>
    </row>
    <row r="582">
      <c r="A582" s="6"/>
      <c r="B582" s="6" t="s">
        <v>582</v>
      </c>
      <c r="C582" s="3" t="str">
        <f t="shared" si="1"/>
        <v>_mirrored teal</v>
      </c>
      <c r="D582" s="3" t="str">
        <f t="shared" si="5"/>
        <v>#N/A</v>
      </c>
      <c r="E582" s="3" t="b">
        <f t="shared" si="2"/>
        <v>0</v>
      </c>
      <c r="G582" s="3" t="str">
        <f t="shared" si="3"/>
        <v>#N/A</v>
      </c>
      <c r="AU582" s="8"/>
      <c r="AV582" s="6"/>
      <c r="AW582" s="8"/>
      <c r="AX582" s="8"/>
      <c r="AY582" s="6"/>
      <c r="AZ582" s="8"/>
      <c r="BA582" s="8"/>
      <c r="BB582" s="6"/>
      <c r="BC582" s="8"/>
      <c r="BD582" s="8"/>
      <c r="BE582" s="6"/>
      <c r="BF582" s="8"/>
      <c r="BG582" s="8"/>
      <c r="BH582" s="6"/>
      <c r="BI582" s="8"/>
      <c r="BJ582" s="8"/>
      <c r="BK582" s="6"/>
      <c r="BL582" s="8"/>
      <c r="BM582" s="8"/>
      <c r="BN582" s="6"/>
      <c r="BO582" s="8"/>
      <c r="BP582" s="8"/>
      <c r="BQ582" s="6"/>
      <c r="BR582" s="8"/>
    </row>
    <row r="583">
      <c r="A583" s="6"/>
      <c r="B583" s="6" t="s">
        <v>583</v>
      </c>
      <c r="C583" s="3" t="str">
        <f t="shared" si="1"/>
        <v>_muted violet</v>
      </c>
      <c r="D583" s="3" t="str">
        <f t="shared" si="5"/>
        <v>#N/A</v>
      </c>
      <c r="E583" s="3" t="b">
        <f t="shared" si="2"/>
        <v>0</v>
      </c>
      <c r="G583" s="3" t="str">
        <f t="shared" si="3"/>
        <v>#N/A</v>
      </c>
      <c r="AU583" s="8"/>
      <c r="AV583" s="6"/>
      <c r="AW583" s="8"/>
      <c r="AX583" s="8"/>
      <c r="AY583" s="6"/>
      <c r="AZ583" s="8"/>
      <c r="BA583" s="8"/>
      <c r="BB583" s="6"/>
      <c r="BC583" s="8"/>
      <c r="BD583" s="8"/>
      <c r="BE583" s="6"/>
      <c r="BF583" s="8"/>
      <c r="BG583" s="8"/>
      <c r="BH583" s="6"/>
      <c r="BI583" s="8"/>
      <c r="BJ583" s="8"/>
      <c r="BK583" s="6"/>
      <c r="BL583" s="8"/>
      <c r="BM583" s="8"/>
      <c r="BN583" s="6"/>
      <c r="BO583" s="8"/>
      <c r="BP583" s="8"/>
      <c r="BQ583" s="6"/>
      <c r="BR583" s="8"/>
    </row>
    <row r="584">
      <c r="A584" s="6"/>
      <c r="B584" s="6" t="s">
        <v>584</v>
      </c>
      <c r="C584" s="3" t="str">
        <f t="shared" si="1"/>
        <v>_mirrored salmon</v>
      </c>
      <c r="D584" s="3" t="str">
        <f t="shared" si="5"/>
        <v>#N/A</v>
      </c>
      <c r="E584" s="3" t="b">
        <f t="shared" si="2"/>
        <v>0</v>
      </c>
      <c r="G584" s="3" t="str">
        <f t="shared" si="3"/>
        <v>#N/A</v>
      </c>
      <c r="AU584" s="8"/>
      <c r="AV584" s="6"/>
      <c r="AW584" s="8"/>
      <c r="AX584" s="8"/>
      <c r="AY584" s="6"/>
      <c r="AZ584" s="8"/>
      <c r="BA584" s="8"/>
      <c r="BB584" s="6"/>
      <c r="BC584" s="8"/>
      <c r="BD584" s="8"/>
      <c r="BE584" s="6"/>
      <c r="BF584" s="8"/>
      <c r="BG584" s="8"/>
      <c r="BH584" s="6"/>
      <c r="BI584" s="8"/>
      <c r="BJ584" s="8"/>
      <c r="BK584" s="6"/>
      <c r="BL584" s="8"/>
      <c r="BM584" s="8"/>
      <c r="BN584" s="6"/>
      <c r="BO584" s="8"/>
      <c r="BP584" s="8"/>
      <c r="BQ584" s="6"/>
      <c r="BR584" s="8"/>
    </row>
    <row r="585">
      <c r="A585" s="6"/>
      <c r="B585" s="6" t="s">
        <v>585</v>
      </c>
      <c r="C585" s="3" t="str">
        <f t="shared" si="1"/>
        <v>_vibrant crimson</v>
      </c>
      <c r="D585" s="3" t="str">
        <f t="shared" si="5"/>
        <v>#N/A</v>
      </c>
      <c r="E585" s="3" t="b">
        <f t="shared" si="2"/>
        <v>0</v>
      </c>
      <c r="G585" s="3" t="str">
        <f t="shared" si="3"/>
        <v>#N/A</v>
      </c>
      <c r="AU585" s="8"/>
      <c r="AV585" s="6"/>
      <c r="AW585" s="8"/>
      <c r="AX585" s="8"/>
      <c r="AY585" s="6"/>
      <c r="AZ585" s="8"/>
      <c r="BA585" s="8"/>
      <c r="BB585" s="6"/>
      <c r="BC585" s="8"/>
      <c r="BD585" s="8"/>
      <c r="BE585" s="6"/>
      <c r="BF585" s="8"/>
      <c r="BG585" s="8"/>
      <c r="BH585" s="6"/>
      <c r="BI585" s="8"/>
      <c r="BJ585" s="8"/>
      <c r="BK585" s="6"/>
      <c r="BL585" s="8"/>
      <c r="BM585" s="8"/>
      <c r="BN585" s="6"/>
      <c r="BO585" s="8"/>
      <c r="BP585" s="8"/>
      <c r="BQ585" s="6"/>
      <c r="BR585" s="8"/>
    </row>
    <row r="586">
      <c r="A586" s="6"/>
      <c r="B586" s="6" t="s">
        <v>586</v>
      </c>
      <c r="C586" s="3" t="str">
        <f t="shared" si="1"/>
        <v>_dotted teal</v>
      </c>
      <c r="D586" s="3" t="str">
        <f t="shared" si="5"/>
        <v>#N/A</v>
      </c>
      <c r="E586" s="3" t="b">
        <f t="shared" si="2"/>
        <v>0</v>
      </c>
      <c r="G586" s="3" t="str">
        <f t="shared" si="3"/>
        <v>#N/A</v>
      </c>
      <c r="AU586" s="8"/>
      <c r="AV586" s="6"/>
      <c r="AW586" s="8"/>
      <c r="AX586" s="8"/>
      <c r="AY586" s="6"/>
      <c r="AZ586" s="8"/>
      <c r="BA586" s="8"/>
      <c r="BB586" s="6"/>
      <c r="BC586" s="8"/>
      <c r="BD586" s="8"/>
      <c r="BE586" s="6"/>
      <c r="BF586" s="8"/>
      <c r="BG586" s="8"/>
      <c r="BH586" s="6"/>
      <c r="BI586" s="8"/>
      <c r="BJ586" s="8"/>
      <c r="BK586" s="6"/>
      <c r="BL586" s="8"/>
      <c r="BM586" s="8"/>
      <c r="BN586" s="6"/>
      <c r="BO586" s="8"/>
      <c r="BP586" s="8"/>
      <c r="BQ586" s="6"/>
      <c r="BR586" s="8"/>
    </row>
    <row r="587">
      <c r="A587" s="6"/>
      <c r="B587" s="6" t="s">
        <v>587</v>
      </c>
      <c r="C587" s="3" t="str">
        <f t="shared" si="1"/>
        <v>_posh orange</v>
      </c>
      <c r="D587" s="3" t="str">
        <f t="shared" si="5"/>
        <v>#N/A</v>
      </c>
      <c r="E587" s="3" t="b">
        <f t="shared" si="2"/>
        <v>0</v>
      </c>
      <c r="G587" s="3" t="str">
        <f t="shared" si="3"/>
        <v>#N/A</v>
      </c>
      <c r="AU587" s="8"/>
      <c r="AV587" s="6"/>
      <c r="AW587" s="8"/>
      <c r="AX587" s="8"/>
      <c r="AY587" s="6"/>
      <c r="AZ587" s="8"/>
      <c r="BA587" s="8"/>
      <c r="BB587" s="6"/>
      <c r="BC587" s="8"/>
      <c r="BD587" s="8"/>
      <c r="BE587" s="6"/>
      <c r="BF587" s="8"/>
      <c r="BG587" s="8"/>
      <c r="BH587" s="6"/>
      <c r="BI587" s="8"/>
      <c r="BJ587" s="8"/>
      <c r="BK587" s="6"/>
      <c r="BL587" s="8"/>
      <c r="BM587" s="8"/>
      <c r="BN587" s="6"/>
      <c r="BO587" s="8"/>
      <c r="BP587" s="8"/>
      <c r="BQ587" s="6"/>
      <c r="BR587" s="8"/>
    </row>
    <row r="588">
      <c r="A588" s="6"/>
      <c r="B588" s="6" t="s">
        <v>588</v>
      </c>
      <c r="C588" s="3" t="str">
        <f t="shared" si="1"/>
        <v>_striped bronze</v>
      </c>
      <c r="D588" s="3" t="str">
        <f t="shared" si="5"/>
        <v>#N/A</v>
      </c>
      <c r="E588" s="3" t="b">
        <f t="shared" si="2"/>
        <v>0</v>
      </c>
      <c r="G588" s="3" t="str">
        <f t="shared" si="3"/>
        <v>#N/A</v>
      </c>
      <c r="AU588" s="8"/>
      <c r="AV588" s="6"/>
      <c r="AW588" s="8"/>
      <c r="AX588" s="8"/>
      <c r="AY588" s="6"/>
      <c r="AZ588" s="8"/>
      <c r="BA588" s="8"/>
      <c r="BB588" s="6"/>
      <c r="BC588" s="8"/>
      <c r="BD588" s="8"/>
      <c r="BE588" s="6"/>
      <c r="BF588" s="8"/>
      <c r="BG588" s="8"/>
      <c r="BH588" s="6"/>
      <c r="BI588" s="8"/>
      <c r="BJ588" s="8"/>
      <c r="BK588" s="6"/>
      <c r="BL588" s="8"/>
      <c r="BM588" s="8"/>
      <c r="BN588" s="6"/>
      <c r="BO588" s="8"/>
      <c r="BP588" s="8"/>
      <c r="BQ588" s="6"/>
      <c r="BR588" s="8"/>
    </row>
    <row r="589">
      <c r="A589" s="6"/>
      <c r="B589" s="6" t="s">
        <v>589</v>
      </c>
      <c r="C589" s="3" t="str">
        <f t="shared" si="1"/>
        <v>_clear lime</v>
      </c>
      <c r="D589" s="3" t="str">
        <f t="shared" si="5"/>
        <v>#N/A</v>
      </c>
      <c r="E589" s="3" t="b">
        <f t="shared" si="2"/>
        <v>0</v>
      </c>
      <c r="G589" s="3" t="str">
        <f t="shared" si="3"/>
        <v>#N/A</v>
      </c>
      <c r="AU589" s="8"/>
      <c r="AV589" s="6"/>
      <c r="AW589" s="8"/>
      <c r="AX589" s="8"/>
      <c r="AY589" s="6"/>
      <c r="AZ589" s="8"/>
      <c r="BA589" s="8"/>
      <c r="BB589" s="6"/>
      <c r="BC589" s="8"/>
      <c r="BD589" s="8"/>
      <c r="BE589" s="6"/>
      <c r="BF589" s="8"/>
      <c r="BG589" s="8"/>
      <c r="BH589" s="6"/>
      <c r="BI589" s="8"/>
      <c r="BJ589" s="8"/>
      <c r="BK589" s="6"/>
      <c r="BL589" s="8"/>
      <c r="BM589" s="8"/>
      <c r="BN589" s="6"/>
      <c r="BO589" s="8"/>
      <c r="BP589" s="8"/>
      <c r="BQ589" s="6"/>
      <c r="BR589" s="8"/>
    </row>
    <row r="590">
      <c r="A590" s="6"/>
      <c r="B590" s="6" t="s">
        <v>590</v>
      </c>
      <c r="C590" s="3" t="str">
        <f t="shared" si="1"/>
        <v>_muted magenta</v>
      </c>
      <c r="D590" s="3" t="str">
        <f t="shared" si="5"/>
        <v>#N/A</v>
      </c>
      <c r="E590" s="3" t="b">
        <f t="shared" si="2"/>
        <v>0</v>
      </c>
      <c r="G590" s="3" t="str">
        <f t="shared" si="3"/>
        <v>#N/A</v>
      </c>
      <c r="AU590" s="8"/>
      <c r="AV590" s="6"/>
      <c r="AW590" s="8"/>
      <c r="AX590" s="8"/>
      <c r="AY590" s="6"/>
      <c r="AZ590" s="8"/>
      <c r="BA590" s="8"/>
      <c r="BB590" s="6"/>
      <c r="BC590" s="8"/>
      <c r="BD590" s="8"/>
      <c r="BE590" s="6"/>
      <c r="BF590" s="8"/>
      <c r="BG590" s="8"/>
      <c r="BH590" s="6"/>
      <c r="BI590" s="8"/>
      <c r="BJ590" s="8"/>
      <c r="BK590" s="6"/>
      <c r="BL590" s="8"/>
      <c r="BM590" s="8"/>
      <c r="BN590" s="6"/>
      <c r="BO590" s="8"/>
      <c r="BP590" s="8"/>
      <c r="BQ590" s="6"/>
      <c r="BR590" s="8"/>
    </row>
    <row r="591">
      <c r="A591" s="6"/>
      <c r="B591" s="6" t="s">
        <v>591</v>
      </c>
      <c r="C591" s="3" t="str">
        <f t="shared" si="1"/>
        <v>_bright chartreuse</v>
      </c>
      <c r="D591" s="3" t="str">
        <f t="shared" si="5"/>
        <v>#N/A</v>
      </c>
      <c r="E591" s="3" t="b">
        <f t="shared" si="2"/>
        <v>0</v>
      </c>
      <c r="G591" s="3" t="str">
        <f t="shared" si="3"/>
        <v>#N/A</v>
      </c>
      <c r="AU591" s="8"/>
      <c r="AV591" s="6"/>
      <c r="AW591" s="8"/>
      <c r="AX591" s="8"/>
      <c r="AY591" s="6"/>
      <c r="AZ591" s="8"/>
      <c r="BA591" s="8"/>
      <c r="BB591" s="6"/>
      <c r="BC591" s="8"/>
      <c r="BD591" s="8"/>
      <c r="BE591" s="6"/>
      <c r="BF591" s="8"/>
      <c r="BG591" s="8"/>
      <c r="BH591" s="6"/>
      <c r="BI591" s="8"/>
      <c r="BJ591" s="8"/>
      <c r="BK591" s="6"/>
      <c r="BL591" s="8"/>
      <c r="BM591" s="8"/>
      <c r="BN591" s="6"/>
      <c r="BO591" s="8"/>
      <c r="BP591" s="8"/>
      <c r="BQ591" s="6"/>
      <c r="BR591" s="8"/>
    </row>
    <row r="592">
      <c r="A592" s="6"/>
      <c r="B592" s="6" t="s">
        <v>592</v>
      </c>
      <c r="C592" s="3" t="str">
        <f t="shared" si="1"/>
        <v>_dim magenta</v>
      </c>
      <c r="D592" s="3" t="str">
        <f t="shared" si="5"/>
        <v>#N/A</v>
      </c>
      <c r="E592" s="3" t="b">
        <f t="shared" si="2"/>
        <v>0</v>
      </c>
      <c r="G592" s="3" t="str">
        <f t="shared" si="3"/>
        <v>#N/A</v>
      </c>
      <c r="AU592" s="8"/>
      <c r="AV592" s="6"/>
      <c r="AW592" s="8"/>
      <c r="AX592" s="8"/>
      <c r="AY592" s="6"/>
      <c r="AZ592" s="8"/>
      <c r="BA592" s="8"/>
      <c r="BB592" s="6"/>
      <c r="BC592" s="8"/>
      <c r="BD592" s="8"/>
      <c r="BE592" s="6"/>
      <c r="BF592" s="8"/>
      <c r="BG592" s="8"/>
      <c r="BH592" s="6"/>
      <c r="BI592" s="8"/>
      <c r="BJ592" s="8"/>
      <c r="BK592" s="6"/>
      <c r="BL592" s="8"/>
      <c r="BM592" s="8"/>
      <c r="BN592" s="6"/>
      <c r="BO592" s="8"/>
      <c r="BP592" s="8"/>
      <c r="BQ592" s="6"/>
      <c r="BR592" s="8"/>
    </row>
    <row r="593">
      <c r="A593" s="6"/>
      <c r="B593" s="6" t="s">
        <v>593</v>
      </c>
      <c r="C593" s="3" t="str">
        <f t="shared" si="1"/>
        <v>_pale cyan</v>
      </c>
      <c r="D593" s="3" t="str">
        <f t="shared" si="5"/>
        <v>#N/A</v>
      </c>
      <c r="E593" s="3" t="b">
        <f t="shared" si="2"/>
        <v>0</v>
      </c>
      <c r="G593" s="3" t="str">
        <f t="shared" si="3"/>
        <v>#N/A</v>
      </c>
      <c r="AU593" s="8"/>
      <c r="AV593" s="6"/>
      <c r="AW593" s="8"/>
      <c r="AX593" s="8"/>
      <c r="AY593" s="6"/>
      <c r="AZ593" s="8"/>
      <c r="BA593" s="8"/>
      <c r="BB593" s="6"/>
      <c r="BC593" s="8"/>
      <c r="BD593" s="8"/>
      <c r="BE593" s="6"/>
      <c r="BF593" s="8"/>
      <c r="BG593" s="8"/>
      <c r="BH593" s="6"/>
      <c r="BI593" s="8"/>
      <c r="BJ593" s="8"/>
      <c r="BK593" s="6"/>
      <c r="BL593" s="8"/>
      <c r="BM593" s="8"/>
      <c r="BN593" s="6"/>
      <c r="BO593" s="8"/>
      <c r="BP593" s="8"/>
      <c r="BQ593" s="6"/>
      <c r="BR593" s="8"/>
    </row>
    <row r="594">
      <c r="A594" s="6"/>
      <c r="B594" s="6" t="s">
        <v>594</v>
      </c>
      <c r="C594" s="3" t="str">
        <f t="shared" si="1"/>
        <v>_shiny white</v>
      </c>
      <c r="D594" s="3" t="str">
        <f t="shared" si="5"/>
        <v>#N/A</v>
      </c>
      <c r="E594" s="3" t="b">
        <f t="shared" si="2"/>
        <v>0</v>
      </c>
      <c r="G594" s="3" t="str">
        <f t="shared" si="3"/>
        <v>#N/A</v>
      </c>
      <c r="AU594" s="8"/>
      <c r="AV594" s="6"/>
      <c r="AW594" s="8"/>
      <c r="AX594" s="8"/>
      <c r="AY594" s="6"/>
      <c r="AZ594" s="8"/>
      <c r="BA594" s="8"/>
      <c r="BB594" s="6"/>
      <c r="BC594" s="8"/>
      <c r="BD594" s="8"/>
      <c r="BE594" s="6"/>
      <c r="BF594" s="8"/>
      <c r="BG594" s="8"/>
      <c r="BH594" s="6"/>
      <c r="BI594" s="8"/>
      <c r="BJ594" s="8"/>
      <c r="BK594" s="6"/>
      <c r="BL594" s="8"/>
      <c r="BM594" s="8"/>
      <c r="BN594" s="6"/>
      <c r="BO594" s="8"/>
      <c r="BP594" s="8"/>
      <c r="BQ594" s="6"/>
      <c r="BR594" s="8"/>
    </row>
    <row r="595">
      <c r="A595" s="6"/>
      <c r="B595" s="6" t="s">
        <v>595</v>
      </c>
      <c r="C595" s="3" t="str">
        <f t="shared" si="1"/>
        <v>_faded tan</v>
      </c>
      <c r="D595" s="3" t="str">
        <f t="shared" si="5"/>
        <v>#N/A</v>
      </c>
      <c r="E595" s="3" t="b">
        <f t="shared" si="2"/>
        <v>0</v>
      </c>
      <c r="G595" s="3" t="str">
        <f t="shared" si="3"/>
        <v>#N/A</v>
      </c>
      <c r="AU595" s="8"/>
      <c r="AV595" s="6"/>
      <c r="AW595" s="8"/>
      <c r="AX595" s="8"/>
      <c r="AY595" s="6"/>
      <c r="AZ595" s="8"/>
      <c r="BA595" s="8"/>
      <c r="BB595" s="6"/>
      <c r="BC595" s="8"/>
      <c r="BD595" s="8"/>
      <c r="BE595" s="6"/>
      <c r="BF595" s="8"/>
      <c r="BG595" s="8"/>
      <c r="BH595" s="6"/>
      <c r="BI595" s="8"/>
      <c r="BJ595" s="8"/>
      <c r="BK595" s="6"/>
      <c r="BL595" s="8"/>
      <c r="BM595" s="8"/>
      <c r="BN595" s="6"/>
      <c r="BO595" s="8"/>
      <c r="BP595" s="8"/>
      <c r="BQ595" s="6"/>
      <c r="BR595" s="8"/>
    </row>
    <row r="596">
      <c r="A596" s="6"/>
      <c r="B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5"/>
      <c r="C1" s="2" t="s">
        <v>0</v>
      </c>
      <c r="D1" s="2" t="s">
        <v>1</v>
      </c>
      <c r="F1" s="2" t="s">
        <v>596</v>
      </c>
      <c r="I1" s="2" t="s">
        <v>596</v>
      </c>
      <c r="L1" s="2" t="s">
        <v>596</v>
      </c>
      <c r="O1" s="2" t="s">
        <v>596</v>
      </c>
      <c r="R1" s="2" t="s">
        <v>596</v>
      </c>
      <c r="U1" s="2" t="s">
        <v>596</v>
      </c>
      <c r="X1" s="2" t="s">
        <v>596</v>
      </c>
      <c r="AA1" s="2" t="s">
        <v>596</v>
      </c>
      <c r="AD1" s="2" t="s">
        <v>596</v>
      </c>
      <c r="AG1" s="2" t="s">
        <v>596</v>
      </c>
      <c r="AJ1" s="2" t="s">
        <v>596</v>
      </c>
      <c r="AK1" s="3">
        <f>COLUMN()</f>
        <v>37</v>
      </c>
      <c r="AM1" s="2" t="s">
        <v>596</v>
      </c>
      <c r="AP1" s="3">
        <f t="shared" ref="AP1:AZ1" si="1">COLUMN()*3-120</f>
        <v>6</v>
      </c>
      <c r="AQ1" s="3">
        <f t="shared" si="1"/>
        <v>9</v>
      </c>
      <c r="AR1" s="3">
        <f t="shared" si="1"/>
        <v>12</v>
      </c>
      <c r="AS1" s="3">
        <f t="shared" si="1"/>
        <v>15</v>
      </c>
      <c r="AT1" s="3">
        <f t="shared" si="1"/>
        <v>18</v>
      </c>
      <c r="AU1" s="3">
        <f t="shared" si="1"/>
        <v>21</v>
      </c>
      <c r="AV1" s="3">
        <f t="shared" si="1"/>
        <v>24</v>
      </c>
      <c r="AW1" s="3">
        <f t="shared" si="1"/>
        <v>27</v>
      </c>
      <c r="AX1" s="3">
        <f t="shared" si="1"/>
        <v>30</v>
      </c>
      <c r="AY1" s="3">
        <f t="shared" si="1"/>
        <v>33</v>
      </c>
      <c r="AZ1" s="3">
        <f t="shared" si="1"/>
        <v>36</v>
      </c>
      <c r="BJ1" s="6"/>
      <c r="BK1" s="6"/>
      <c r="BL1" s="1"/>
      <c r="BM1" s="6"/>
      <c r="BN1" s="6"/>
      <c r="BO1" s="1"/>
      <c r="BP1" s="6"/>
      <c r="BQ1" s="6"/>
      <c r="BR1" s="1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</row>
    <row r="2">
      <c r="A2" s="6"/>
      <c r="B2" s="6" t="s">
        <v>2</v>
      </c>
      <c r="C2" s="3" t="str">
        <f t="shared" ref="C2:C595" si="3">LEFT(B2,SEARCH(" ",B2,SEARCH(" ",B2) + 1)-1)</f>
        <v>faded plum</v>
      </c>
      <c r="D2" s="10" t="s">
        <v>597</v>
      </c>
      <c r="E2" s="3" t="b">
        <f t="array" ref="E2">OR(ISNUMBER(SEARCH(D$2:D$30,$B2,5)))</f>
        <v>0</v>
      </c>
      <c r="F2" s="3" t="str">
        <f>IFERROR(__xludf.DUMMYFUNCTION("FILTER($C2:$C596,E2:E596)"),"bright teal")</f>
        <v>bright teal</v>
      </c>
      <c r="G2" s="3" t="str">
        <f t="shared" ref="G2:G595" si="4">IF(F2="","ZZZ",F2)</f>
        <v>bright teal</v>
      </c>
      <c r="H2" s="3" t="b">
        <f t="array" ref="H2">OR(ISNUMBER(SEARCH(G$2:G$30,$B2,5)))</f>
        <v>0</v>
      </c>
      <c r="I2" s="3" t="str">
        <f>IFERROR(__xludf.DUMMYFUNCTION("FILTER($C2:$C596,H2:H596)"),"pale aqua")</f>
        <v>pale aqua</v>
      </c>
      <c r="J2" s="3" t="str">
        <f t="shared" ref="J2:J595" si="5">IF(I2="","ZZZ",I2)</f>
        <v>pale aqua</v>
      </c>
      <c r="K2" s="3" t="b">
        <f t="array" ref="K2">OR(ISNUMBER(SEARCH(J$2:J$30,$B2,5)))</f>
        <v>0</v>
      </c>
      <c r="L2" s="3" t="str">
        <f>IFERROR(__xludf.DUMMYFUNCTION("FILTER($C2:$C596,K2:K596)"),"dark green")</f>
        <v>dark green</v>
      </c>
      <c r="M2" s="3" t="str">
        <f t="shared" ref="M2:M595" si="6">IF(L2="","ZZZ",L2)</f>
        <v>dark green</v>
      </c>
      <c r="N2" s="3" t="b">
        <f t="array" ref="N2">OR(ISNUMBER(SEARCH(M$2:M$30,$B2,5)))</f>
        <v>0</v>
      </c>
      <c r="O2" s="3" t="str">
        <f>IFERROR(__xludf.DUMMYFUNCTION("FILTER($C2:$C596,N2:N596)"),"pale gray")</f>
        <v>pale gray</v>
      </c>
      <c r="P2" s="3" t="str">
        <f t="shared" ref="P2:P595" si="7">IF(O2="","ZZZ",O2)</f>
        <v>pale gray</v>
      </c>
      <c r="Q2" s="3" t="b">
        <f t="array" ref="Q2">OR(ISNUMBER(SEARCH(P$2:P$50,$B2,5)))</f>
        <v>0</v>
      </c>
      <c r="R2" s="3" t="str">
        <f>IFERROR(__xludf.DUMMYFUNCTION("FILTER($C2:$C596,Q2:Q596)"),"light red")</f>
        <v>light red</v>
      </c>
      <c r="S2" s="3" t="str">
        <f t="shared" ref="S2:S595" si="8">IF(R2="","ZZZ",R2)</f>
        <v>light red</v>
      </c>
      <c r="T2" s="3" t="b">
        <f t="array" ref="T2">OR(ISNUMBER(SEARCH(S$2:S$100,$B2,5)))</f>
        <v>0</v>
      </c>
      <c r="U2" s="3" t="str">
        <f>IFERROR(__xludf.DUMMYFUNCTION("FILTER($C2:$C596,T2:T596)"),"dotted silver")</f>
        <v>dotted silver</v>
      </c>
      <c r="V2" s="3" t="str">
        <f t="shared" ref="V2:V595" si="9">IF(U2="","ZZZ",U2)</f>
        <v>dotted silver</v>
      </c>
      <c r="W2" s="3" t="b">
        <f t="array" ref="W2">OR(ISNUMBER(SEARCH(V$2:V$100,$B2,5)))</f>
        <v>0</v>
      </c>
      <c r="X2" s="3" t="str">
        <f>IFERROR(__xludf.DUMMYFUNCTION("FILTER($C2:$C596,W2:W596)"),"plaid gold")</f>
        <v>plaid gold</v>
      </c>
      <c r="Y2" s="3" t="str">
        <f t="shared" ref="Y2:Y595" si="10">IF(X2="","ZZZ",X2)</f>
        <v>plaid gold</v>
      </c>
      <c r="Z2" s="3" t="b">
        <f t="array" ref="Z2">OR(ISNUMBER(SEARCH(Y$2:Y$100,$B2,5)))</f>
        <v>0</v>
      </c>
      <c r="AA2" s="3" t="str">
        <f>IFERROR(__xludf.DUMMYFUNCTION("FILTER($C2:$C596,Z2:Z596)"),"striped indigo")</f>
        <v>striped indigo</v>
      </c>
      <c r="AB2" s="3" t="str">
        <f t="shared" ref="AB2:AB595" si="11">IF(AA2="","ZZZ",AA2)</f>
        <v>striped indigo</v>
      </c>
      <c r="AC2" s="3" t="b">
        <f t="array" ref="AC2">OR(ISNUMBER(SEARCH(AB$2:AB$100,$B2,5)))</f>
        <v>0</v>
      </c>
      <c r="AD2" s="3" t="str">
        <f>IFERROR(__xludf.DUMMYFUNCTION("FILTER($C2:$C596,AC2:AC596)"),"dotted black")</f>
        <v>dotted black</v>
      </c>
      <c r="AE2" s="3" t="str">
        <f t="shared" ref="AE2:AE595" si="12">IF(AD2="","ZZZ",AD2)</f>
        <v>dotted black</v>
      </c>
      <c r="AF2" s="3" t="b">
        <f t="array" ref="AF2">OR(ISNUMBER(SEARCH(AE$2:AE$100,$B2,5)))</f>
        <v>0</v>
      </c>
      <c r="AG2" s="3" t="str">
        <f>IFERROR(__xludf.DUMMYFUNCTION("FILTER($C2:$C596,AF2:AF596)"),"dull teal")</f>
        <v>dull teal</v>
      </c>
      <c r="AH2" s="3" t="str">
        <f t="shared" ref="AH2:AH595" si="13">IF(AG2="","ZZZ",AG2)</f>
        <v>dull teal</v>
      </c>
      <c r="AI2" s="3" t="b">
        <f t="array" ref="AI2">OR(ISNUMBER(SEARCH(AH$2:AH$100,$B2,5)))</f>
        <v>0</v>
      </c>
      <c r="AJ2" s="3" t="str">
        <f>IFERROR(__xludf.DUMMYFUNCTION("FILTER($C2:$C596,AI2:AI596)"),"light turquoise")</f>
        <v>light turquoise</v>
      </c>
      <c r="AK2" s="3" t="str">
        <f t="shared" ref="AK2:AK595" si="14">IF(AJ2="","ZZZ",AJ2)</f>
        <v>light turquoise</v>
      </c>
      <c r="AL2" s="3" t="b">
        <f t="array" ref="AL2">OR(ISNUMBER(SEARCH(AK$2:AK$100,$B2,5)))</f>
        <v>0</v>
      </c>
      <c r="AM2" s="3" t="str">
        <f>IFERROR(__xludf.DUMMYFUNCTION("FILTER($C2:$C596,AL2:AL596)"),"#N/A")</f>
        <v>#N/A</v>
      </c>
      <c r="AP2" s="3" t="str">
        <f t="shared" ref="AP2:AZ2" si="2">INDEX($A$1:$AN$600,ROW(),COLUMN()*3-120)</f>
        <v>bright teal</v>
      </c>
      <c r="AQ2" s="3" t="str">
        <f t="shared" si="2"/>
        <v>pale aqua</v>
      </c>
      <c r="AR2" s="3" t="str">
        <f t="shared" si="2"/>
        <v>dark green</v>
      </c>
      <c r="AS2" s="3" t="str">
        <f t="shared" si="2"/>
        <v>pale gray</v>
      </c>
      <c r="AT2" s="3" t="str">
        <f t="shared" si="2"/>
        <v>light red</v>
      </c>
      <c r="AU2" s="3" t="str">
        <f t="shared" si="2"/>
        <v>dotted silver</v>
      </c>
      <c r="AV2" s="3" t="str">
        <f t="shared" si="2"/>
        <v>plaid gold</v>
      </c>
      <c r="AW2" s="3" t="str">
        <f t="shared" si="2"/>
        <v>striped indigo</v>
      </c>
      <c r="AX2" s="3" t="str">
        <f t="shared" si="2"/>
        <v>dotted black</v>
      </c>
      <c r="AY2" s="3" t="str">
        <f t="shared" si="2"/>
        <v>dull teal</v>
      </c>
      <c r="AZ2" s="3" t="str">
        <f t="shared" si="2"/>
        <v>light turquoise</v>
      </c>
      <c r="BB2" s="3" t="str">
        <f>IFERROR(__xludf.DUMMYFUNCTION("TRANSPOSE(SPLIT(ARRAYFORMULA(CONCATENATE({AP2:AZ78}&amp;"","")),"",""))"),"bright teal")</f>
        <v>bright teal</v>
      </c>
      <c r="BC2" s="3" t="str">
        <f>IFERROR(__xludf.DUMMYFUNCTION("UNIQUE(BB:BB)"),"")</f>
        <v/>
      </c>
      <c r="BJ2" s="8"/>
      <c r="BK2" s="6"/>
      <c r="BL2" s="6"/>
      <c r="BM2" s="8"/>
      <c r="BN2" s="6"/>
      <c r="BO2" s="6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</row>
    <row r="3">
      <c r="A3" s="9"/>
      <c r="B3" s="6" t="s">
        <v>3</v>
      </c>
      <c r="C3" s="3" t="str">
        <f t="shared" si="3"/>
        <v>dull aqua</v>
      </c>
      <c r="D3" s="10" t="s">
        <v>598</v>
      </c>
      <c r="E3" s="3" t="b">
        <f t="array" ref="E3">OR(ISNUMBER(SEARCH(D$2:D$30,$B3,5)))</f>
        <v>0</v>
      </c>
      <c r="F3" s="3" t="str">
        <f>IFERROR(__xludf.DUMMYFUNCTION("""COMPUTED_VALUE"""),"striped lime")</f>
        <v>striped lime</v>
      </c>
      <c r="G3" s="3" t="str">
        <f t="shared" si="4"/>
        <v>striped lime</v>
      </c>
      <c r="H3" s="3" t="b">
        <f t="array" ref="H3">OR(ISNUMBER(SEARCH(G$2:G$30,$B3,5)))</f>
        <v>0</v>
      </c>
      <c r="I3" s="3" t="str">
        <f>IFERROR(__xludf.DUMMYFUNCTION("""COMPUTED_VALUE"""),"bright fuchsia")</f>
        <v>bright fuchsia</v>
      </c>
      <c r="J3" s="3" t="str">
        <f t="shared" si="5"/>
        <v>bright fuchsia</v>
      </c>
      <c r="K3" s="3" t="b">
        <f t="array" ref="K3">OR(ISNUMBER(SEARCH(J$2:J$30,$B3,5)))</f>
        <v>0</v>
      </c>
      <c r="L3" s="3" t="str">
        <f>IFERROR(__xludf.DUMMYFUNCTION("""COMPUTED_VALUE"""),"dark lime")</f>
        <v>dark lime</v>
      </c>
      <c r="M3" s="3" t="str">
        <f t="shared" si="6"/>
        <v>dark lime</v>
      </c>
      <c r="N3" s="3" t="b">
        <f t="array" ref="N3">OR(ISNUMBER(SEARCH(M$2:M$30,$B3,5)))</f>
        <v>0</v>
      </c>
      <c r="O3" s="3" t="str">
        <f>IFERROR(__xludf.DUMMYFUNCTION("""COMPUTED_VALUE"""),"light red")</f>
        <v>light red</v>
      </c>
      <c r="P3" s="3" t="str">
        <f t="shared" si="7"/>
        <v>light red</v>
      </c>
      <c r="Q3" s="3" t="b">
        <f t="array" ref="Q3">OR(ISNUMBER(SEARCH(P$2:P$50,$B3,5)))</f>
        <v>0</v>
      </c>
      <c r="R3" s="3" t="str">
        <f>IFERROR(__xludf.DUMMYFUNCTION("""COMPUTED_VALUE"""),"shiny teal")</f>
        <v>shiny teal</v>
      </c>
      <c r="S3" s="3" t="str">
        <f t="shared" si="8"/>
        <v>shiny teal</v>
      </c>
      <c r="T3" s="3" t="b">
        <f t="array" ref="T3">OR(ISNUMBER(SEARCH(S$2:S$100,$B3,5)))</f>
        <v>0</v>
      </c>
      <c r="U3" s="3" t="str">
        <f>IFERROR(__xludf.DUMMYFUNCTION("""COMPUTED_VALUE"""),"light beige")</f>
        <v>light beige</v>
      </c>
      <c r="V3" s="3" t="str">
        <f t="shared" si="9"/>
        <v>light beige</v>
      </c>
      <c r="W3" s="3" t="b">
        <f t="array" ref="W3">OR(ISNUMBER(SEARCH(V$2:V$100,$B3,5)))</f>
        <v>0</v>
      </c>
      <c r="X3" s="3" t="str">
        <f>IFERROR(__xludf.DUMMYFUNCTION("""COMPUTED_VALUE"""),"light gold")</f>
        <v>light gold</v>
      </c>
      <c r="Y3" s="3" t="str">
        <f t="shared" si="10"/>
        <v>light gold</v>
      </c>
      <c r="Z3" s="3" t="b">
        <f t="array" ref="Z3">OR(ISNUMBER(SEARCH(Y$2:Y$100,$B3,5)))</f>
        <v>0</v>
      </c>
      <c r="AA3" s="3" t="str">
        <f>IFERROR(__xludf.DUMMYFUNCTION("""COMPUTED_VALUE"""),"dotted black")</f>
        <v>dotted black</v>
      </c>
      <c r="AB3" s="3" t="str">
        <f t="shared" si="11"/>
        <v>dotted black</v>
      </c>
      <c r="AC3" s="3" t="b">
        <f t="array" ref="AC3">OR(ISNUMBER(SEARCH(AB$2:AB$100,$B3,5)))</f>
        <v>0</v>
      </c>
      <c r="AD3" s="3" t="str">
        <f>IFERROR(__xludf.DUMMYFUNCTION("""COMPUTED_VALUE"""),"plaid crimson")</f>
        <v>plaid crimson</v>
      </c>
      <c r="AE3" s="3" t="str">
        <f t="shared" si="12"/>
        <v>plaid crimson</v>
      </c>
      <c r="AF3" s="3" t="b">
        <f t="array" ref="AF3">OR(ISNUMBER(SEARCH(AE$2:AE$100,$B3,5)))</f>
        <v>0</v>
      </c>
      <c r="AG3" s="3" t="str">
        <f>IFERROR(__xludf.DUMMYFUNCTION("""COMPUTED_VALUE"""),"shiny orange")</f>
        <v>shiny orange</v>
      </c>
      <c r="AH3" s="3" t="str">
        <f t="shared" si="13"/>
        <v>shiny orange</v>
      </c>
      <c r="AI3" s="3" t="b">
        <f t="array" ref="AI3">OR(ISNUMBER(SEARCH(AH$2:AH$100,$B3,5)))</f>
        <v>0</v>
      </c>
      <c r="AJ3" s="3" t="str">
        <f>IFERROR(__xludf.DUMMYFUNCTION("""COMPUTED_VALUE"""),"light fuchsia")</f>
        <v>light fuchsia</v>
      </c>
      <c r="AK3" s="3" t="str">
        <f t="shared" si="14"/>
        <v>light fuchsia</v>
      </c>
      <c r="AL3" s="3" t="b">
        <f t="array" ref="AL3">OR(ISNUMBER(SEARCH(AK$2:AK$100,$B3,5)))</f>
        <v>0</v>
      </c>
      <c r="AP3" s="3" t="str">
        <f t="shared" ref="AP3:AZ3" si="15">INDEX($A$1:$AN$600,ROW(),COLUMN()*3-120)</f>
        <v>striped lime</v>
      </c>
      <c r="AQ3" s="3" t="str">
        <f t="shared" si="15"/>
        <v>bright fuchsia</v>
      </c>
      <c r="AR3" s="3" t="str">
        <f t="shared" si="15"/>
        <v>dark lime</v>
      </c>
      <c r="AS3" s="3" t="str">
        <f t="shared" si="15"/>
        <v>light red</v>
      </c>
      <c r="AT3" s="3" t="str">
        <f t="shared" si="15"/>
        <v>shiny teal</v>
      </c>
      <c r="AU3" s="3" t="str">
        <f t="shared" si="15"/>
        <v>light beige</v>
      </c>
      <c r="AV3" s="3" t="str">
        <f t="shared" si="15"/>
        <v>light gold</v>
      </c>
      <c r="AW3" s="3" t="str">
        <f t="shared" si="15"/>
        <v>dotted black</v>
      </c>
      <c r="AX3" s="3" t="str">
        <f t="shared" si="15"/>
        <v>plaid crimson</v>
      </c>
      <c r="AY3" s="3" t="str">
        <f t="shared" si="15"/>
        <v>shiny orange</v>
      </c>
      <c r="AZ3" s="3" t="str">
        <f t="shared" si="15"/>
        <v>light fuchsia</v>
      </c>
      <c r="BA3" s="8"/>
      <c r="BB3" s="6" t="str">
        <f>IFERROR(__xludf.DUMMYFUNCTION("""COMPUTED_VALUE"""),"pale aqua")</f>
        <v>pale aqua</v>
      </c>
      <c r="BC3" s="6" t="str">
        <f>IFERROR(__xludf.DUMMYFUNCTION("""COMPUTED_VALUE"""),"bright teal")</f>
        <v>bright teal</v>
      </c>
      <c r="BD3" s="8">
        <f>COUNTA(BC:BC)</f>
        <v>192</v>
      </c>
      <c r="BE3" s="6"/>
      <c r="BF3" s="6"/>
      <c r="BG3" s="8"/>
      <c r="BH3" s="6"/>
      <c r="BI3" s="6"/>
      <c r="BJ3" s="8"/>
      <c r="BK3" s="6"/>
      <c r="BL3" s="6"/>
      <c r="BM3" s="8"/>
      <c r="BN3" s="6"/>
      <c r="BO3" s="6"/>
      <c r="BP3" s="8"/>
      <c r="BQ3" s="6"/>
      <c r="BR3" s="6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</row>
    <row r="4">
      <c r="A4" s="6"/>
      <c r="B4" s="6" t="s">
        <v>4</v>
      </c>
      <c r="C4" s="3" t="str">
        <f t="shared" si="3"/>
        <v>dotted olive</v>
      </c>
      <c r="D4" s="3" t="str">
        <f t="shared" ref="D4:D595" si="17">"ZZZ"</f>
        <v>ZZZ</v>
      </c>
      <c r="E4" s="3" t="b">
        <f t="array" ref="E4">OR(ISNUMBER(SEARCH(D$2:D$30,$B4,5)))</f>
        <v>0</v>
      </c>
      <c r="F4" s="3" t="str">
        <f>IFERROR(__xludf.DUMMYFUNCTION("""COMPUTED_VALUE"""),"dark blue")</f>
        <v>dark blue</v>
      </c>
      <c r="G4" s="3" t="str">
        <f t="shared" si="4"/>
        <v>dark blue</v>
      </c>
      <c r="H4" s="3" t="b">
        <f t="array" ref="H4">OR(ISNUMBER(SEARCH(G$2:G$30,$B4,5)))</f>
        <v>0</v>
      </c>
      <c r="I4" s="3" t="str">
        <f>IFERROR(__xludf.DUMMYFUNCTION("""COMPUTED_VALUE"""),"posh salmon")</f>
        <v>posh salmon</v>
      </c>
      <c r="J4" s="3" t="str">
        <f t="shared" si="5"/>
        <v>posh salmon</v>
      </c>
      <c r="K4" s="3" t="b">
        <f t="array" ref="K4">OR(ISNUMBER(SEARCH(J$2:J$30,$B4,5)))</f>
        <v>0</v>
      </c>
      <c r="L4" s="3" t="str">
        <f>IFERROR(__xludf.DUMMYFUNCTION("""COMPUTED_VALUE"""),"light gray")</f>
        <v>light gray</v>
      </c>
      <c r="M4" s="3" t="str">
        <f t="shared" si="6"/>
        <v>light gray</v>
      </c>
      <c r="N4" s="3" t="b">
        <f t="array" ref="N4">OR(ISNUMBER(SEARCH(M$2:M$30,$B4,5)))</f>
        <v>0</v>
      </c>
      <c r="O4" s="3" t="str">
        <f>IFERROR(__xludf.DUMMYFUNCTION("""COMPUTED_VALUE"""),"plaid gold")</f>
        <v>plaid gold</v>
      </c>
      <c r="P4" s="3" t="str">
        <f t="shared" si="7"/>
        <v>plaid gold</v>
      </c>
      <c r="Q4" s="3" t="b">
        <f t="array" ref="Q4">OR(ISNUMBER(SEARCH(P$2:P$50,$B4,5)))</f>
        <v>0</v>
      </c>
      <c r="R4" s="3" t="str">
        <f>IFERROR(__xludf.DUMMYFUNCTION("""COMPUTED_VALUE"""),"plaid violet")</f>
        <v>plaid violet</v>
      </c>
      <c r="S4" s="3" t="str">
        <f t="shared" si="8"/>
        <v>plaid violet</v>
      </c>
      <c r="T4" s="3" t="b">
        <f t="array" ref="T4">OR(ISNUMBER(SEARCH(S$2:S$100,$B4,5)))</f>
        <v>0</v>
      </c>
      <c r="U4" s="3" t="str">
        <f>IFERROR(__xludf.DUMMYFUNCTION("""COMPUTED_VALUE"""),"striped indigo")</f>
        <v>striped indigo</v>
      </c>
      <c r="V4" s="3" t="str">
        <f t="shared" si="9"/>
        <v>striped indigo</v>
      </c>
      <c r="W4" s="3" t="b">
        <f t="array" ref="W4">OR(ISNUMBER(SEARCH(V$2:V$100,$B4,5)))</f>
        <v>0</v>
      </c>
      <c r="X4" s="3" t="str">
        <f>IFERROR(__xludf.DUMMYFUNCTION("""COMPUTED_VALUE"""),"striped turquoise")</f>
        <v>striped turquoise</v>
      </c>
      <c r="Y4" s="3" t="str">
        <f t="shared" si="10"/>
        <v>striped turquoise</v>
      </c>
      <c r="Z4" s="3" t="b">
        <f t="array" ref="Z4">OR(ISNUMBER(SEARCH(Y$2:Y$100,$B4,5)))</f>
        <v>0</v>
      </c>
      <c r="AA4" s="3" t="str">
        <f>IFERROR(__xludf.DUMMYFUNCTION("""COMPUTED_VALUE"""),"plaid crimson")</f>
        <v>plaid crimson</v>
      </c>
      <c r="AB4" s="3" t="str">
        <f t="shared" si="11"/>
        <v>plaid crimson</v>
      </c>
      <c r="AC4" s="3" t="b">
        <f t="array" ref="AC4">OR(ISNUMBER(SEARCH(AB$2:AB$100,$B4,5)))</f>
        <v>0</v>
      </c>
      <c r="AD4" s="3" t="str">
        <f>IFERROR(__xludf.DUMMYFUNCTION("""COMPUTED_VALUE"""),"dim orange")</f>
        <v>dim orange</v>
      </c>
      <c r="AE4" s="3" t="str">
        <f t="shared" si="12"/>
        <v>dim orange</v>
      </c>
      <c r="AF4" s="3" t="b">
        <f t="array" ref="AF4">OR(ISNUMBER(SEARCH(AE$2:AE$100,$B4,5)))</f>
        <v>0</v>
      </c>
      <c r="AG4" s="3" t="str">
        <f>IFERROR(__xludf.DUMMYFUNCTION("""COMPUTED_VALUE"""),"muted silver")</f>
        <v>muted silver</v>
      </c>
      <c r="AH4" s="3" t="str">
        <f t="shared" si="13"/>
        <v>muted silver</v>
      </c>
      <c r="AI4" s="3" t="b">
        <f t="array" ref="AI4">OR(ISNUMBER(SEARCH(AH$2:AH$100,$B4,5)))</f>
        <v>0</v>
      </c>
      <c r="AJ4" s="3" t="str">
        <f>IFERROR(__xludf.DUMMYFUNCTION("""COMPUTED_VALUE"""),"dim beige")</f>
        <v>dim beige</v>
      </c>
      <c r="AK4" s="3" t="str">
        <f t="shared" si="14"/>
        <v>dim beige</v>
      </c>
      <c r="AL4" s="3" t="b">
        <f t="array" ref="AL4">OR(ISNUMBER(SEARCH(AK$2:AK$100,$B4,5)))</f>
        <v>0</v>
      </c>
      <c r="AP4" s="3" t="str">
        <f t="shared" ref="AP4:AZ4" si="16">INDEX($A$1:$AN$600,ROW(),COLUMN()*3-120)</f>
        <v>dark blue</v>
      </c>
      <c r="AQ4" s="3" t="str">
        <f t="shared" si="16"/>
        <v>posh salmon</v>
      </c>
      <c r="AR4" s="3" t="str">
        <f t="shared" si="16"/>
        <v>light gray</v>
      </c>
      <c r="AS4" s="3" t="str">
        <f t="shared" si="16"/>
        <v>plaid gold</v>
      </c>
      <c r="AT4" s="3" t="str">
        <f t="shared" si="16"/>
        <v>plaid violet</v>
      </c>
      <c r="AU4" s="3" t="str">
        <f t="shared" si="16"/>
        <v>striped indigo</v>
      </c>
      <c r="AV4" s="3" t="str">
        <f t="shared" si="16"/>
        <v>striped turquoise</v>
      </c>
      <c r="AW4" s="3" t="str">
        <f t="shared" si="16"/>
        <v>plaid crimson</v>
      </c>
      <c r="AX4" s="3" t="str">
        <f t="shared" si="16"/>
        <v>dim orange</v>
      </c>
      <c r="AY4" s="3" t="str">
        <f t="shared" si="16"/>
        <v>muted silver</v>
      </c>
      <c r="AZ4" s="3" t="str">
        <f t="shared" si="16"/>
        <v>dim beige</v>
      </c>
      <c r="BA4" s="8"/>
      <c r="BB4" s="6" t="str">
        <f>IFERROR(__xludf.DUMMYFUNCTION("""COMPUTED_VALUE"""),"dark green")</f>
        <v>dark green</v>
      </c>
      <c r="BC4" s="6" t="str">
        <f>IFERROR(__xludf.DUMMYFUNCTION("""COMPUTED_VALUE"""),"pale aqua")</f>
        <v>pale aqua</v>
      </c>
      <c r="BD4" s="8"/>
      <c r="BE4" s="6"/>
      <c r="BF4" s="6"/>
      <c r="BG4" s="8"/>
      <c r="BH4" s="6"/>
      <c r="BI4" s="6"/>
      <c r="BJ4" s="8"/>
      <c r="BK4" s="6"/>
      <c r="BL4" s="6"/>
      <c r="BM4" s="8"/>
      <c r="BN4" s="6"/>
      <c r="BO4" s="6"/>
      <c r="BP4" s="8"/>
      <c r="BQ4" s="6"/>
      <c r="BR4" s="6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</row>
    <row r="5">
      <c r="A5" s="6"/>
      <c r="B5" s="6" t="s">
        <v>5</v>
      </c>
      <c r="C5" s="3" t="str">
        <f t="shared" si="3"/>
        <v>vibrant brown</v>
      </c>
      <c r="D5" s="3" t="str">
        <f t="shared" si="17"/>
        <v>ZZZ</v>
      </c>
      <c r="E5" s="3" t="b">
        <f t="array" ref="E5">OR(ISNUMBER(SEARCH(D$2:D$30,$B5,5)))</f>
        <v>0</v>
      </c>
      <c r="F5" s="3" t="str">
        <f>IFERROR(__xludf.DUMMYFUNCTION("""COMPUTED_VALUE"""),"drab blue")</f>
        <v>drab blue</v>
      </c>
      <c r="G5" s="3" t="str">
        <f t="shared" si="4"/>
        <v>drab blue</v>
      </c>
      <c r="H5" s="3" t="b">
        <f t="array" ref="H5">OR(ISNUMBER(SEARCH(G$2:G$30,$B5,5)))</f>
        <v>0</v>
      </c>
      <c r="I5" s="3" t="str">
        <f>IFERROR(__xludf.DUMMYFUNCTION("""COMPUTED_VALUE"""),"muted tomato")</f>
        <v>muted tomato</v>
      </c>
      <c r="J5" s="3" t="str">
        <f t="shared" si="5"/>
        <v>muted tomato</v>
      </c>
      <c r="K5" s="3" t="b">
        <f t="array" ref="K5">OR(ISNUMBER(SEARCH(J$2:J$30,$B5,5)))</f>
        <v>0</v>
      </c>
      <c r="L5" s="3" t="str">
        <f>IFERROR(__xludf.DUMMYFUNCTION("""COMPUTED_VALUE"""),"mirrored yellow")</f>
        <v>mirrored yellow</v>
      </c>
      <c r="M5" s="3" t="str">
        <f t="shared" si="6"/>
        <v>mirrored yellow</v>
      </c>
      <c r="N5" s="3" t="b">
        <f t="array" ref="N5">OR(ISNUMBER(SEARCH(M$2:M$30,$B5,5)))</f>
        <v>0</v>
      </c>
      <c r="O5" s="3" t="str">
        <f>IFERROR(__xludf.DUMMYFUNCTION("""COMPUTED_VALUE"""),"faded cyan")</f>
        <v>faded cyan</v>
      </c>
      <c r="P5" s="3" t="str">
        <f t="shared" si="7"/>
        <v>faded cyan</v>
      </c>
      <c r="Q5" s="3" t="b">
        <f t="array" ref="Q5">OR(ISNUMBER(SEARCH(P$2:P$50,$B5,5)))</f>
        <v>0</v>
      </c>
      <c r="R5" s="3" t="str">
        <f>IFERROR(__xludf.DUMMYFUNCTION("""COMPUTED_VALUE"""),"dim chartreuse")</f>
        <v>dim chartreuse</v>
      </c>
      <c r="S5" s="3" t="str">
        <f t="shared" si="8"/>
        <v>dim chartreuse</v>
      </c>
      <c r="T5" s="3" t="b">
        <f t="array" ref="T5">OR(ISNUMBER(SEARCH(S$2:S$100,$B5,5)))</f>
        <v>0</v>
      </c>
      <c r="U5" s="3" t="str">
        <f>IFERROR(__xludf.DUMMYFUNCTION("""COMPUTED_VALUE"""),"faded turquoise")</f>
        <v>faded turquoise</v>
      </c>
      <c r="V5" s="3" t="str">
        <f t="shared" si="9"/>
        <v>faded turquoise</v>
      </c>
      <c r="W5" s="3" t="b">
        <f t="array" ref="W5">OR(ISNUMBER(SEARCH(V$2:V$100,$B5,5)))</f>
        <v>0</v>
      </c>
      <c r="X5" s="3" t="str">
        <f>IFERROR(__xludf.DUMMYFUNCTION("""COMPUTED_VALUE"""),"shiny olive")</f>
        <v>shiny olive</v>
      </c>
      <c r="Y5" s="3" t="str">
        <f t="shared" si="10"/>
        <v>shiny olive</v>
      </c>
      <c r="Z5" s="3" t="b">
        <f t="array" ref="Z5">OR(ISNUMBER(SEARCH(Y$2:Y$100,$B5,5)))</f>
        <v>0</v>
      </c>
      <c r="AA5" s="3" t="str">
        <f>IFERROR(__xludf.DUMMYFUNCTION("""COMPUTED_VALUE"""),"striped turquoise")</f>
        <v>striped turquoise</v>
      </c>
      <c r="AB5" s="3" t="str">
        <f t="shared" si="11"/>
        <v>striped turquoise</v>
      </c>
      <c r="AC5" s="3" t="b">
        <f t="array" ref="AC5">OR(ISNUMBER(SEARCH(AB$2:AB$100,$B5,5)))</f>
        <v>0</v>
      </c>
      <c r="AD5" s="3" t="str">
        <f>IFERROR(__xludf.DUMMYFUNCTION("""COMPUTED_VALUE"""),"dim fuchsia")</f>
        <v>dim fuchsia</v>
      </c>
      <c r="AE5" s="3" t="str">
        <f t="shared" si="12"/>
        <v>dim fuchsia</v>
      </c>
      <c r="AF5" s="3" t="b">
        <f t="array" ref="AF5">OR(ISNUMBER(SEARCH(AE$2:AE$100,$B5,5)))</f>
        <v>0</v>
      </c>
      <c r="AG5" s="3" t="str">
        <f>IFERROR(__xludf.DUMMYFUNCTION("""COMPUTED_VALUE"""),"vibrant gold")</f>
        <v>vibrant gold</v>
      </c>
      <c r="AH5" s="3" t="str">
        <f t="shared" si="13"/>
        <v>vibrant gold</v>
      </c>
      <c r="AI5" s="3" t="b">
        <f t="array" ref="AI5">OR(ISNUMBER(SEARCH(AH$2:AH$100,$B5,5)))</f>
        <v>0</v>
      </c>
      <c r="AJ5" s="3" t="str">
        <f>IFERROR(__xludf.DUMMYFUNCTION("""COMPUTED_VALUE"""),"bright gray")</f>
        <v>bright gray</v>
      </c>
      <c r="AK5" s="3" t="str">
        <f t="shared" si="14"/>
        <v>bright gray</v>
      </c>
      <c r="AL5" s="3" t="b">
        <f t="array" ref="AL5">OR(ISNUMBER(SEARCH(AK$2:AK$100,$B5,5)))</f>
        <v>0</v>
      </c>
      <c r="AP5" s="3" t="str">
        <f t="shared" ref="AP5:AZ5" si="18">INDEX($A$1:$AN$600,ROW(),COLUMN()*3-120)</f>
        <v>drab blue</v>
      </c>
      <c r="AQ5" s="3" t="str">
        <f t="shared" si="18"/>
        <v>muted tomato</v>
      </c>
      <c r="AR5" s="3" t="str">
        <f t="shared" si="18"/>
        <v>mirrored yellow</v>
      </c>
      <c r="AS5" s="3" t="str">
        <f t="shared" si="18"/>
        <v>faded cyan</v>
      </c>
      <c r="AT5" s="3" t="str">
        <f t="shared" si="18"/>
        <v>dim chartreuse</v>
      </c>
      <c r="AU5" s="3" t="str">
        <f t="shared" si="18"/>
        <v>faded turquoise</v>
      </c>
      <c r="AV5" s="3" t="str">
        <f t="shared" si="18"/>
        <v>shiny olive</v>
      </c>
      <c r="AW5" s="3" t="str">
        <f t="shared" si="18"/>
        <v>striped turquoise</v>
      </c>
      <c r="AX5" s="3" t="str">
        <f t="shared" si="18"/>
        <v>dim fuchsia</v>
      </c>
      <c r="AY5" s="3" t="str">
        <f t="shared" si="18"/>
        <v>vibrant gold</v>
      </c>
      <c r="AZ5" s="3" t="str">
        <f t="shared" si="18"/>
        <v>bright gray</v>
      </c>
      <c r="BA5" s="8"/>
      <c r="BB5" s="6" t="str">
        <f>IFERROR(__xludf.DUMMYFUNCTION("""COMPUTED_VALUE"""),"pale gray")</f>
        <v>pale gray</v>
      </c>
      <c r="BC5" s="6" t="str">
        <f>IFERROR(__xludf.DUMMYFUNCTION("""COMPUTED_VALUE"""),"dark green")</f>
        <v>dark green</v>
      </c>
      <c r="BD5" s="8"/>
      <c r="BE5" s="6"/>
      <c r="BF5" s="6"/>
      <c r="BG5" s="8"/>
      <c r="BH5" s="6"/>
      <c r="BI5" s="6"/>
      <c r="BJ5" s="8"/>
      <c r="BK5" s="6"/>
      <c r="BL5" s="6"/>
      <c r="BM5" s="8"/>
      <c r="BN5" s="6"/>
      <c r="BO5" s="6"/>
      <c r="BP5" s="8"/>
      <c r="BQ5" s="6"/>
      <c r="BR5" s="6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</row>
    <row r="6">
      <c r="A6" s="6"/>
      <c r="B6" s="6" t="s">
        <v>6</v>
      </c>
      <c r="C6" s="3" t="str">
        <f t="shared" si="3"/>
        <v>shiny black</v>
      </c>
      <c r="D6" s="3" t="str">
        <f t="shared" si="17"/>
        <v>ZZZ</v>
      </c>
      <c r="E6" s="3" t="b">
        <f t="array" ref="E6">OR(ISNUMBER(SEARCH(D$2:D$30,$B6,5)))</f>
        <v>0</v>
      </c>
      <c r="F6" s="3" t="str">
        <f>IFERROR(__xludf.DUMMYFUNCTION("""COMPUTED_VALUE"""),"dark purple")</f>
        <v>dark purple</v>
      </c>
      <c r="G6" s="3" t="str">
        <f t="shared" si="4"/>
        <v>dark purple</v>
      </c>
      <c r="H6" s="3" t="b">
        <f t="array" ref="H6">OR(ISNUMBER(SEARCH(G$2:G$30,$B6,5)))</f>
        <v>0</v>
      </c>
      <c r="I6" s="3" t="str">
        <f>IFERROR(__xludf.DUMMYFUNCTION("""COMPUTED_VALUE"""),"striped black")</f>
        <v>striped black</v>
      </c>
      <c r="J6" s="3" t="str">
        <f t="shared" si="5"/>
        <v>striped black</v>
      </c>
      <c r="K6" s="3" t="b">
        <f t="array" ref="K6">OR(ISNUMBER(SEARCH(J$2:J$30,$B6,5)))</f>
        <v>0</v>
      </c>
      <c r="L6" s="3" t="str">
        <f>IFERROR(__xludf.DUMMYFUNCTION("""COMPUTED_VALUE"""),"clear salmon")</f>
        <v>clear salmon</v>
      </c>
      <c r="M6" s="3" t="str">
        <f t="shared" si="6"/>
        <v>clear salmon</v>
      </c>
      <c r="N6" s="3" t="b">
        <f t="array" ref="N6">OR(ISNUMBER(SEARCH(M$2:M$30,$B6,5)))</f>
        <v>0</v>
      </c>
      <c r="O6" s="3" t="str">
        <f>IFERROR(__xludf.DUMMYFUNCTION("""COMPUTED_VALUE"""),"faded teal")</f>
        <v>faded teal</v>
      </c>
      <c r="P6" s="3" t="str">
        <f t="shared" si="7"/>
        <v>faded teal</v>
      </c>
      <c r="Q6" s="3" t="b">
        <f t="array" ref="Q6">OR(ISNUMBER(SEARCH(P$2:P$50,$B6,5)))</f>
        <v>0</v>
      </c>
      <c r="R6" s="3" t="str">
        <f>IFERROR(__xludf.DUMMYFUNCTION("""COMPUTED_VALUE"""),"dotted black")</f>
        <v>dotted black</v>
      </c>
      <c r="S6" s="3" t="str">
        <f t="shared" si="8"/>
        <v>dotted black</v>
      </c>
      <c r="T6" s="3" t="b">
        <f t="array" ref="T6">OR(ISNUMBER(SEARCH(S$2:S$100,$B6,5)))</f>
        <v>0</v>
      </c>
      <c r="U6" s="3" t="str">
        <f>IFERROR(__xludf.DUMMYFUNCTION("""COMPUTED_VALUE"""),"dull white")</f>
        <v>dull white</v>
      </c>
      <c r="V6" s="3" t="str">
        <f t="shared" si="9"/>
        <v>dull white</v>
      </c>
      <c r="W6" s="3" t="b">
        <f t="array" ref="W6">OR(ISNUMBER(SEARCH(V$2:V$100,$B6,5)))</f>
        <v>0</v>
      </c>
      <c r="X6" s="3" t="str">
        <f>IFERROR(__xludf.DUMMYFUNCTION("""COMPUTED_VALUE"""),"dim fuchsia")</f>
        <v>dim fuchsia</v>
      </c>
      <c r="Y6" s="3" t="str">
        <f t="shared" si="10"/>
        <v>dim fuchsia</v>
      </c>
      <c r="Z6" s="3" t="b">
        <f t="array" ref="Z6">OR(ISNUMBER(SEARCH(Y$2:Y$100,$B6,5)))</f>
        <v>0</v>
      </c>
      <c r="AA6" s="3" t="str">
        <f>IFERROR(__xludf.DUMMYFUNCTION("""COMPUTED_VALUE"""),"striped beige")</f>
        <v>striped beige</v>
      </c>
      <c r="AB6" s="3" t="str">
        <f t="shared" si="11"/>
        <v>striped beige</v>
      </c>
      <c r="AC6" s="3" t="b">
        <f t="array" ref="AC6">OR(ISNUMBER(SEARCH(AB$2:AB$100,$B6,5)))</f>
        <v>0</v>
      </c>
      <c r="AD6" s="3" t="str">
        <f>IFERROR(__xludf.DUMMYFUNCTION("""COMPUTED_VALUE"""),"drab aqua")</f>
        <v>drab aqua</v>
      </c>
      <c r="AE6" s="3" t="str">
        <f t="shared" si="12"/>
        <v>drab aqua</v>
      </c>
      <c r="AF6" s="3" t="b">
        <f t="array" ref="AF6">OR(ISNUMBER(SEARCH(AE$2:AE$100,$B6,5)))</f>
        <v>0</v>
      </c>
      <c r="AG6" s="3" t="str">
        <f>IFERROR(__xludf.DUMMYFUNCTION("""COMPUTED_VALUE"""),"posh fuchsia")</f>
        <v>posh fuchsia</v>
      </c>
      <c r="AH6" s="3" t="str">
        <f t="shared" si="13"/>
        <v>posh fuchsia</v>
      </c>
      <c r="AI6" s="3" t="b">
        <f t="array" ref="AI6">OR(ISNUMBER(SEARCH(AH$2:AH$100,$B6,5)))</f>
        <v>0</v>
      </c>
      <c r="AK6" s="3" t="str">
        <f t="shared" si="14"/>
        <v>ZZZ</v>
      </c>
      <c r="AL6" s="3" t="b">
        <f t="array" ref="AL6">OR(ISNUMBER(SEARCH(AK$2:AK$100,$B6,5)))</f>
        <v>0</v>
      </c>
      <c r="AP6" s="3" t="str">
        <f t="shared" ref="AP6:AZ6" si="19">INDEX($A$1:$AN$600,ROW(),COLUMN()*3-120)</f>
        <v>dark purple</v>
      </c>
      <c r="AQ6" s="3" t="str">
        <f t="shared" si="19"/>
        <v>striped black</v>
      </c>
      <c r="AR6" s="3" t="str">
        <f t="shared" si="19"/>
        <v>clear salmon</v>
      </c>
      <c r="AS6" s="3" t="str">
        <f t="shared" si="19"/>
        <v>faded teal</v>
      </c>
      <c r="AT6" s="3" t="str">
        <f t="shared" si="19"/>
        <v>dotted black</v>
      </c>
      <c r="AU6" s="3" t="str">
        <f t="shared" si="19"/>
        <v>dull white</v>
      </c>
      <c r="AV6" s="3" t="str">
        <f t="shared" si="19"/>
        <v>dim fuchsia</v>
      </c>
      <c r="AW6" s="3" t="str">
        <f t="shared" si="19"/>
        <v>striped beige</v>
      </c>
      <c r="AX6" s="3" t="str">
        <f t="shared" si="19"/>
        <v>drab aqua</v>
      </c>
      <c r="AY6" s="3" t="str">
        <f t="shared" si="19"/>
        <v>posh fuchsia</v>
      </c>
      <c r="AZ6" s="3" t="str">
        <f t="shared" si="19"/>
        <v/>
      </c>
      <c r="BA6" s="8"/>
      <c r="BB6" s="6" t="str">
        <f>IFERROR(__xludf.DUMMYFUNCTION("""COMPUTED_VALUE"""),"light red")</f>
        <v>light red</v>
      </c>
      <c r="BC6" s="6" t="str">
        <f>IFERROR(__xludf.DUMMYFUNCTION("""COMPUTED_VALUE"""),"pale gray")</f>
        <v>pale gray</v>
      </c>
      <c r="BD6" s="8"/>
      <c r="BE6" s="6"/>
      <c r="BF6" s="6"/>
      <c r="BG6" s="8"/>
      <c r="BH6" s="6"/>
      <c r="BI6" s="6"/>
      <c r="BJ6" s="8"/>
      <c r="BK6" s="6"/>
      <c r="BL6" s="8"/>
      <c r="BM6" s="8"/>
      <c r="BN6" s="6"/>
      <c r="BO6" s="6"/>
      <c r="BP6" s="8"/>
      <c r="BQ6" s="6"/>
      <c r="BR6" s="6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</row>
    <row r="7">
      <c r="A7" s="6"/>
      <c r="B7" s="6" t="s">
        <v>7</v>
      </c>
      <c r="C7" s="3" t="str">
        <f t="shared" si="3"/>
        <v>dull bronze</v>
      </c>
      <c r="D7" s="3" t="str">
        <f t="shared" si="17"/>
        <v>ZZZ</v>
      </c>
      <c r="E7" s="3" t="b">
        <f t="array" ref="E7">OR(ISNUMBER(SEARCH(D$2:D$30,$B7,5)))</f>
        <v>0</v>
      </c>
      <c r="F7" s="3" t="str">
        <f>IFERROR(__xludf.DUMMYFUNCTION("""COMPUTED_VALUE"""),"pale blue")</f>
        <v>pale blue</v>
      </c>
      <c r="G7" s="3" t="str">
        <f t="shared" si="4"/>
        <v>pale blue</v>
      </c>
      <c r="H7" s="3" t="b">
        <f t="array" ref="H7">OR(ISNUMBER(SEARCH(G$2:G$30,$B7,5)))</f>
        <v>0</v>
      </c>
      <c r="I7" s="3" t="str">
        <f>IFERROR(__xludf.DUMMYFUNCTION("""COMPUTED_VALUE"""),"shiny gray")</f>
        <v>shiny gray</v>
      </c>
      <c r="J7" s="3" t="str">
        <f t="shared" si="5"/>
        <v>shiny gray</v>
      </c>
      <c r="K7" s="3" t="b">
        <f t="array" ref="K7">OR(ISNUMBER(SEARCH(J$2:J$30,$B7,5)))</f>
        <v>0</v>
      </c>
      <c r="L7" s="3" t="str">
        <f>IFERROR(__xludf.DUMMYFUNCTION("""COMPUTED_VALUE"""),"dark white")</f>
        <v>dark white</v>
      </c>
      <c r="M7" s="3" t="str">
        <f t="shared" si="6"/>
        <v>dark white</v>
      </c>
      <c r="N7" s="3" t="b">
        <f t="array" ref="N7">OR(ISNUMBER(SEARCH(M$2:M$30,$B7,5)))</f>
        <v>0</v>
      </c>
      <c r="O7" s="3" t="str">
        <f>IFERROR(__xludf.DUMMYFUNCTION("""COMPUTED_VALUE"""),"striped turquoise")</f>
        <v>striped turquoise</v>
      </c>
      <c r="P7" s="3" t="str">
        <f t="shared" si="7"/>
        <v>striped turquoise</v>
      </c>
      <c r="Q7" s="3" t="b">
        <f t="array" ref="Q7">OR(ISNUMBER(SEARCH(P$2:P$50,$B7,5)))</f>
        <v>0</v>
      </c>
      <c r="R7" s="3" t="str">
        <f>IFERROR(__xludf.DUMMYFUNCTION("""COMPUTED_VALUE"""),"posh tan")</f>
        <v>posh tan</v>
      </c>
      <c r="S7" s="3" t="str">
        <f t="shared" si="8"/>
        <v>posh tan</v>
      </c>
      <c r="T7" s="3" t="b">
        <f t="array" ref="T7">OR(ISNUMBER(SEARCH(S$2:S$100,$B7,5)))</f>
        <v>0</v>
      </c>
      <c r="U7" s="3" t="str">
        <f>IFERROR(__xludf.DUMMYFUNCTION("""COMPUTED_VALUE"""),"dotted black")</f>
        <v>dotted black</v>
      </c>
      <c r="V7" s="3" t="str">
        <f t="shared" si="9"/>
        <v>dotted black</v>
      </c>
      <c r="W7" s="3" t="b">
        <f t="array" ref="W7">OR(ISNUMBER(SEARCH(V$2:V$100,$B7,5)))</f>
        <v>0</v>
      </c>
      <c r="X7" s="3" t="str">
        <f>IFERROR(__xludf.DUMMYFUNCTION("""COMPUTED_VALUE"""),"dotted magenta")</f>
        <v>dotted magenta</v>
      </c>
      <c r="Y7" s="3" t="str">
        <f t="shared" si="10"/>
        <v>dotted magenta</v>
      </c>
      <c r="Z7" s="3" t="b">
        <f t="array" ref="Z7">OR(ISNUMBER(SEARCH(Y$2:Y$100,$B7,5)))</f>
        <v>0</v>
      </c>
      <c r="AA7" s="3" t="str">
        <f>IFERROR(__xludf.DUMMYFUNCTION("""COMPUTED_VALUE"""),"drab crimson")</f>
        <v>drab crimson</v>
      </c>
      <c r="AB7" s="3" t="str">
        <f t="shared" si="11"/>
        <v>drab crimson</v>
      </c>
      <c r="AC7" s="3" t="b">
        <f t="array" ref="AC7">OR(ISNUMBER(SEARCH(AB$2:AB$100,$B7,5)))</f>
        <v>0</v>
      </c>
      <c r="AD7" s="3" t="str">
        <f>IFERROR(__xludf.DUMMYFUNCTION("""COMPUTED_VALUE"""),"clear aqua")</f>
        <v>clear aqua</v>
      </c>
      <c r="AE7" s="3" t="str">
        <f t="shared" si="12"/>
        <v>clear aqua</v>
      </c>
      <c r="AF7" s="3" t="b">
        <f t="array" ref="AF7">OR(ISNUMBER(SEARCH(AE$2:AE$100,$B7,5)))</f>
        <v>0</v>
      </c>
      <c r="AH7" s="3" t="str">
        <f t="shared" si="13"/>
        <v>ZZZ</v>
      </c>
      <c r="AI7" s="3" t="b">
        <f t="array" ref="AI7">OR(ISNUMBER(SEARCH(AH$2:AH$100,$B7,5)))</f>
        <v>0</v>
      </c>
      <c r="AK7" s="3" t="str">
        <f t="shared" si="14"/>
        <v>ZZZ</v>
      </c>
      <c r="AL7" s="3" t="b">
        <f t="array" ref="AL7">OR(ISNUMBER(SEARCH(AK$2:AK$100,$B7,5)))</f>
        <v>0</v>
      </c>
      <c r="AP7" s="3" t="str">
        <f t="shared" ref="AP7:AZ7" si="20">INDEX($A$1:$AN$600,ROW(),COLUMN()*3-120)</f>
        <v>pale blue</v>
      </c>
      <c r="AQ7" s="3" t="str">
        <f t="shared" si="20"/>
        <v>shiny gray</v>
      </c>
      <c r="AR7" s="3" t="str">
        <f t="shared" si="20"/>
        <v>dark white</v>
      </c>
      <c r="AS7" s="3" t="str">
        <f t="shared" si="20"/>
        <v>striped turquoise</v>
      </c>
      <c r="AT7" s="3" t="str">
        <f t="shared" si="20"/>
        <v>posh tan</v>
      </c>
      <c r="AU7" s="3" t="str">
        <f t="shared" si="20"/>
        <v>dotted black</v>
      </c>
      <c r="AV7" s="3" t="str">
        <f t="shared" si="20"/>
        <v>dotted magenta</v>
      </c>
      <c r="AW7" s="3" t="str">
        <f t="shared" si="20"/>
        <v>drab crimson</v>
      </c>
      <c r="AX7" s="3" t="str">
        <f t="shared" si="20"/>
        <v>clear aqua</v>
      </c>
      <c r="AY7" s="3" t="str">
        <f t="shared" si="20"/>
        <v/>
      </c>
      <c r="AZ7" s="3" t="str">
        <f t="shared" si="20"/>
        <v/>
      </c>
      <c r="BA7" s="8"/>
      <c r="BB7" s="6" t="str">
        <f>IFERROR(__xludf.DUMMYFUNCTION("""COMPUTED_VALUE"""),"dotted silver")</f>
        <v>dotted silver</v>
      </c>
      <c r="BC7" s="6" t="str">
        <f>IFERROR(__xludf.DUMMYFUNCTION("""COMPUTED_VALUE"""),"light red")</f>
        <v>light red</v>
      </c>
      <c r="BD7" s="8"/>
      <c r="BE7" s="6"/>
      <c r="BF7" s="6"/>
      <c r="BG7" s="8"/>
      <c r="BH7" s="6"/>
      <c r="BI7" s="6"/>
      <c r="BJ7" s="8"/>
      <c r="BK7" s="6"/>
      <c r="BL7" s="6"/>
      <c r="BM7" s="8"/>
      <c r="BN7" s="6"/>
      <c r="BO7" s="8"/>
      <c r="BP7" s="8"/>
      <c r="BQ7" s="6"/>
      <c r="BR7" s="6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</row>
    <row r="8">
      <c r="A8" s="6"/>
      <c r="B8" s="6" t="s">
        <v>8</v>
      </c>
      <c r="C8" s="3" t="str">
        <f t="shared" si="3"/>
        <v>wavy plum</v>
      </c>
      <c r="D8" s="3" t="str">
        <f t="shared" si="17"/>
        <v>ZZZ</v>
      </c>
      <c r="E8" s="3" t="b">
        <f t="array" ref="E8">OR(ISNUMBER(SEARCH(D$2:D$30,$B8,5)))</f>
        <v>0</v>
      </c>
      <c r="G8" s="3" t="str">
        <f t="shared" si="4"/>
        <v>ZZZ</v>
      </c>
      <c r="H8" s="3" t="b">
        <f t="array" ref="H8">OR(ISNUMBER(SEARCH(G$2:G$30,$B8,5)))</f>
        <v>0</v>
      </c>
      <c r="I8" s="3" t="str">
        <f>IFERROR(__xludf.DUMMYFUNCTION("""COMPUTED_VALUE"""),"muted silver")</f>
        <v>muted silver</v>
      </c>
      <c r="J8" s="3" t="str">
        <f t="shared" si="5"/>
        <v>muted silver</v>
      </c>
      <c r="K8" s="3" t="b">
        <f t="array" ref="K8">OR(ISNUMBER(SEARCH(J$2:J$30,$B8,5)))</f>
        <v>0</v>
      </c>
      <c r="L8" s="3" t="str">
        <f>IFERROR(__xludf.DUMMYFUNCTION("""COMPUTED_VALUE"""),"plaid lime")</f>
        <v>plaid lime</v>
      </c>
      <c r="M8" s="3" t="str">
        <f t="shared" si="6"/>
        <v>plaid lime</v>
      </c>
      <c r="N8" s="3" t="b">
        <f t="array" ref="N8">OR(ISNUMBER(SEARCH(M$2:M$30,$B8,5)))</f>
        <v>0</v>
      </c>
      <c r="O8" s="3" t="str">
        <f>IFERROR(__xludf.DUMMYFUNCTION("""COMPUTED_VALUE"""),"wavy indigo")</f>
        <v>wavy indigo</v>
      </c>
      <c r="P8" s="3" t="str">
        <f t="shared" si="7"/>
        <v>wavy indigo</v>
      </c>
      <c r="Q8" s="3" t="b">
        <f t="array" ref="Q8">OR(ISNUMBER(SEARCH(P$2:P$50,$B8,5)))</f>
        <v>0</v>
      </c>
      <c r="R8" s="3" t="str">
        <f>IFERROR(__xludf.DUMMYFUNCTION("""COMPUTED_VALUE"""),"vibrant salmon")</f>
        <v>vibrant salmon</v>
      </c>
      <c r="S8" s="3" t="str">
        <f t="shared" si="8"/>
        <v>vibrant salmon</v>
      </c>
      <c r="T8" s="3" t="b">
        <f t="array" ref="T8">OR(ISNUMBER(SEARCH(S$2:S$100,$B8,5)))</f>
        <v>0</v>
      </c>
      <c r="U8" s="3" t="str">
        <f>IFERROR(__xludf.DUMMYFUNCTION("""COMPUTED_VALUE"""),"dim gray")</f>
        <v>dim gray</v>
      </c>
      <c r="V8" s="3" t="str">
        <f t="shared" si="9"/>
        <v>dim gray</v>
      </c>
      <c r="W8" s="3" t="b">
        <f t="array" ref="W8">OR(ISNUMBER(SEARCH(V$2:V$100,$B8,5)))</f>
        <v>0</v>
      </c>
      <c r="X8" s="3" t="str">
        <f>IFERROR(__xludf.DUMMYFUNCTION("""COMPUTED_VALUE"""),"dark magenta")</f>
        <v>dark magenta</v>
      </c>
      <c r="Y8" s="3" t="str">
        <f t="shared" si="10"/>
        <v>dark magenta</v>
      </c>
      <c r="Z8" s="3" t="b">
        <f t="array" ref="Z8">OR(ISNUMBER(SEARCH(Y$2:Y$100,$B8,5)))</f>
        <v>0</v>
      </c>
      <c r="AA8" s="3" t="str">
        <f>IFERROR(__xludf.DUMMYFUNCTION("""COMPUTED_VALUE"""),"dull teal")</f>
        <v>dull teal</v>
      </c>
      <c r="AB8" s="3" t="str">
        <f t="shared" si="11"/>
        <v>dull teal</v>
      </c>
      <c r="AC8" s="3" t="b">
        <f t="array" ref="AC8">OR(ISNUMBER(SEARCH(AB$2:AB$100,$B8,5)))</f>
        <v>0</v>
      </c>
      <c r="AD8" s="3" t="str">
        <f>IFERROR(__xludf.DUMMYFUNCTION("""COMPUTED_VALUE"""),"pale brown")</f>
        <v>pale brown</v>
      </c>
      <c r="AE8" s="3" t="str">
        <f t="shared" si="12"/>
        <v>pale brown</v>
      </c>
      <c r="AF8" s="3" t="b">
        <f t="array" ref="AF8">OR(ISNUMBER(SEARCH(AE$2:AE$100,$B8,5)))</f>
        <v>0</v>
      </c>
      <c r="AH8" s="3" t="str">
        <f t="shared" si="13"/>
        <v>ZZZ</v>
      </c>
      <c r="AI8" s="3" t="b">
        <f t="array" ref="AI8">OR(ISNUMBER(SEARCH(AH$2:AH$100,$B8,5)))</f>
        <v>0</v>
      </c>
      <c r="AK8" s="3" t="str">
        <f t="shared" si="14"/>
        <v>ZZZ</v>
      </c>
      <c r="AL8" s="3" t="b">
        <f t="array" ref="AL8">OR(ISNUMBER(SEARCH(AK$2:AK$100,$B8,5)))</f>
        <v>0</v>
      </c>
      <c r="AP8" s="3" t="str">
        <f t="shared" ref="AP8:AZ8" si="21">INDEX($A$1:$AN$600,ROW(),COLUMN()*3-120)</f>
        <v/>
      </c>
      <c r="AQ8" s="3" t="str">
        <f t="shared" si="21"/>
        <v>muted silver</v>
      </c>
      <c r="AR8" s="3" t="str">
        <f t="shared" si="21"/>
        <v>plaid lime</v>
      </c>
      <c r="AS8" s="3" t="str">
        <f t="shared" si="21"/>
        <v>wavy indigo</v>
      </c>
      <c r="AT8" s="3" t="str">
        <f t="shared" si="21"/>
        <v>vibrant salmon</v>
      </c>
      <c r="AU8" s="3" t="str">
        <f t="shared" si="21"/>
        <v>dim gray</v>
      </c>
      <c r="AV8" s="3" t="str">
        <f t="shared" si="21"/>
        <v>dark magenta</v>
      </c>
      <c r="AW8" s="3" t="str">
        <f t="shared" si="21"/>
        <v>dull teal</v>
      </c>
      <c r="AX8" s="3" t="str">
        <f t="shared" si="21"/>
        <v>pale brown</v>
      </c>
      <c r="AY8" s="3" t="str">
        <f t="shared" si="21"/>
        <v/>
      </c>
      <c r="AZ8" s="3" t="str">
        <f t="shared" si="21"/>
        <v/>
      </c>
      <c r="BA8" s="8"/>
      <c r="BB8" s="6" t="str">
        <f>IFERROR(__xludf.DUMMYFUNCTION("""COMPUTED_VALUE"""),"plaid gold")</f>
        <v>plaid gold</v>
      </c>
      <c r="BC8" s="6" t="str">
        <f>IFERROR(__xludf.DUMMYFUNCTION("""COMPUTED_VALUE"""),"dotted silver")</f>
        <v>dotted silver</v>
      </c>
      <c r="BD8" s="8"/>
      <c r="BE8" s="6"/>
      <c r="BF8" s="6"/>
      <c r="BG8" s="8"/>
      <c r="BH8" s="6"/>
      <c r="BI8" s="6"/>
      <c r="BJ8" s="8"/>
      <c r="BK8" s="6"/>
      <c r="BL8" s="6"/>
      <c r="BM8" s="8"/>
      <c r="BN8" s="6"/>
      <c r="BO8" s="6"/>
      <c r="BP8" s="8"/>
      <c r="BQ8" s="6"/>
      <c r="BR8" s="8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</row>
    <row r="9">
      <c r="A9" s="6"/>
      <c r="B9" s="6" t="s">
        <v>9</v>
      </c>
      <c r="C9" s="3" t="str">
        <f t="shared" si="3"/>
        <v>drab brown</v>
      </c>
      <c r="D9" s="3" t="str">
        <f t="shared" si="17"/>
        <v>ZZZ</v>
      </c>
      <c r="E9" s="3" t="b">
        <f t="array" ref="E9">OR(ISNUMBER(SEARCH(D$2:D$30,$B9,5)))</f>
        <v>0</v>
      </c>
      <c r="G9" s="3" t="str">
        <f t="shared" si="4"/>
        <v>ZZZ</v>
      </c>
      <c r="H9" s="3" t="b">
        <f t="array" ref="H9">OR(ISNUMBER(SEARCH(G$2:G$30,$B9,5)))</f>
        <v>0</v>
      </c>
      <c r="I9" s="3" t="str">
        <f>IFERROR(__xludf.DUMMYFUNCTION("""COMPUTED_VALUE"""),"shiny red")</f>
        <v>shiny red</v>
      </c>
      <c r="J9" s="3" t="str">
        <f t="shared" si="5"/>
        <v>shiny red</v>
      </c>
      <c r="K9" s="3" t="b">
        <f t="array" ref="K9">OR(ISNUMBER(SEARCH(J$2:J$30,$B9,5)))</f>
        <v>0</v>
      </c>
      <c r="L9" s="3" t="str">
        <f>IFERROR(__xludf.DUMMYFUNCTION("""COMPUTED_VALUE"""),"bright yellow")</f>
        <v>bright yellow</v>
      </c>
      <c r="M9" s="3" t="str">
        <f t="shared" si="6"/>
        <v>bright yellow</v>
      </c>
      <c r="N9" s="3" t="b">
        <f t="array" ref="N9">OR(ISNUMBER(SEARCH(M$2:M$30,$B9,5)))</f>
        <v>0</v>
      </c>
      <c r="O9" s="3" t="str">
        <f>IFERROR(__xludf.DUMMYFUNCTION("""COMPUTED_VALUE"""),"pale indigo")</f>
        <v>pale indigo</v>
      </c>
      <c r="P9" s="3" t="str">
        <f t="shared" si="7"/>
        <v>pale indigo</v>
      </c>
      <c r="Q9" s="3" t="b">
        <f t="array" ref="Q9">OR(ISNUMBER(SEARCH(P$2:P$50,$B9,5)))</f>
        <v>0</v>
      </c>
      <c r="R9" s="3" t="str">
        <f>IFERROR(__xludf.DUMMYFUNCTION("""COMPUTED_VALUE"""),"striped turquoise")</f>
        <v>striped turquoise</v>
      </c>
      <c r="S9" s="3" t="str">
        <f t="shared" si="8"/>
        <v>striped turquoise</v>
      </c>
      <c r="T9" s="3" t="b">
        <f t="array" ref="T9">OR(ISNUMBER(SEARCH(S$2:S$100,$B9,5)))</f>
        <v>0</v>
      </c>
      <c r="U9" s="3" t="str">
        <f>IFERROR(__xludf.DUMMYFUNCTION("""COMPUTED_VALUE"""),"plaid crimson")</f>
        <v>plaid crimson</v>
      </c>
      <c r="V9" s="3" t="str">
        <f t="shared" si="9"/>
        <v>plaid crimson</v>
      </c>
      <c r="W9" s="3" t="b">
        <f t="array" ref="W9">OR(ISNUMBER(SEARCH(V$2:V$100,$B9,5)))</f>
        <v>0</v>
      </c>
      <c r="X9" s="3" t="str">
        <f>IFERROR(__xludf.DUMMYFUNCTION("""COMPUTED_VALUE"""),"light gray")</f>
        <v>light gray</v>
      </c>
      <c r="Y9" s="3" t="str">
        <f t="shared" si="10"/>
        <v>light gray</v>
      </c>
      <c r="Z9" s="3" t="b">
        <f t="array" ref="Z9">OR(ISNUMBER(SEARCH(Y$2:Y$100,$B9,5)))</f>
        <v>0</v>
      </c>
      <c r="AA9" s="3" t="str">
        <f>IFERROR(__xludf.DUMMYFUNCTION("""COMPUTED_VALUE"""),"striped orange")</f>
        <v>striped orange</v>
      </c>
      <c r="AB9" s="3" t="str">
        <f t="shared" si="11"/>
        <v>striped orange</v>
      </c>
      <c r="AC9" s="3" t="b">
        <f t="array" ref="AC9">OR(ISNUMBER(SEARCH(AB$2:AB$100,$B9,5)))</f>
        <v>0</v>
      </c>
      <c r="AD9" s="3" t="str">
        <f>IFERROR(__xludf.DUMMYFUNCTION("""COMPUTED_VALUE"""),"light turquoise")</f>
        <v>light turquoise</v>
      </c>
      <c r="AE9" s="3" t="str">
        <f t="shared" si="12"/>
        <v>light turquoise</v>
      </c>
      <c r="AF9" s="3" t="b">
        <f t="array" ref="AF9">OR(ISNUMBER(SEARCH(AE$2:AE$100,$B9,5)))</f>
        <v>0</v>
      </c>
      <c r="AH9" s="3" t="str">
        <f t="shared" si="13"/>
        <v>ZZZ</v>
      </c>
      <c r="AI9" s="3" t="b">
        <f t="array" ref="AI9">OR(ISNUMBER(SEARCH(AH$2:AH$100,$B9,5)))</f>
        <v>0</v>
      </c>
      <c r="AK9" s="3" t="str">
        <f t="shared" si="14"/>
        <v>ZZZ</v>
      </c>
      <c r="AL9" s="3" t="b">
        <f t="array" ref="AL9">OR(ISNUMBER(SEARCH(AK$2:AK$100,$B9,5)))</f>
        <v>0</v>
      </c>
      <c r="AP9" s="3" t="str">
        <f t="shared" ref="AP9:AZ9" si="22">INDEX($A$1:$AN$600,ROW(),COLUMN()*3-120)</f>
        <v/>
      </c>
      <c r="AQ9" s="3" t="str">
        <f t="shared" si="22"/>
        <v>shiny red</v>
      </c>
      <c r="AR9" s="3" t="str">
        <f t="shared" si="22"/>
        <v>bright yellow</v>
      </c>
      <c r="AS9" s="3" t="str">
        <f t="shared" si="22"/>
        <v>pale indigo</v>
      </c>
      <c r="AT9" s="3" t="str">
        <f t="shared" si="22"/>
        <v>striped turquoise</v>
      </c>
      <c r="AU9" s="3" t="str">
        <f t="shared" si="22"/>
        <v>plaid crimson</v>
      </c>
      <c r="AV9" s="3" t="str">
        <f t="shared" si="22"/>
        <v>light gray</v>
      </c>
      <c r="AW9" s="3" t="str">
        <f t="shared" si="22"/>
        <v>striped orange</v>
      </c>
      <c r="AX9" s="3" t="str">
        <f t="shared" si="22"/>
        <v>light turquoise</v>
      </c>
      <c r="AY9" s="3" t="str">
        <f t="shared" si="22"/>
        <v/>
      </c>
      <c r="AZ9" s="3" t="str">
        <f t="shared" si="22"/>
        <v/>
      </c>
      <c r="BA9" s="8"/>
      <c r="BB9" s="6" t="str">
        <f>IFERROR(__xludf.DUMMYFUNCTION("""COMPUTED_VALUE"""),"striped indigo")</f>
        <v>striped indigo</v>
      </c>
      <c r="BC9" s="8" t="str">
        <f>IFERROR(__xludf.DUMMYFUNCTION("""COMPUTED_VALUE"""),"plaid gold")</f>
        <v>plaid gold</v>
      </c>
      <c r="BD9" s="8"/>
      <c r="BE9" s="6"/>
      <c r="BF9" s="6"/>
      <c r="BG9" s="8"/>
      <c r="BH9" s="6"/>
      <c r="BI9" s="6"/>
      <c r="BJ9" s="8"/>
      <c r="BK9" s="6"/>
      <c r="BL9" s="6"/>
      <c r="BM9" s="8"/>
      <c r="BN9" s="6"/>
      <c r="BO9" s="6"/>
      <c r="BP9" s="8"/>
      <c r="BQ9" s="6"/>
      <c r="BR9" s="6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</row>
    <row r="10">
      <c r="A10" s="6"/>
      <c r="B10" s="6" t="s">
        <v>10</v>
      </c>
      <c r="C10" s="3" t="str">
        <f t="shared" si="3"/>
        <v>vibrant maroon</v>
      </c>
      <c r="D10" s="3" t="str">
        <f t="shared" si="17"/>
        <v>ZZZ</v>
      </c>
      <c r="E10" s="3" t="b">
        <f t="array" ref="E10">OR(ISNUMBER(SEARCH(D$2:D$30,$B10,5)))</f>
        <v>0</v>
      </c>
      <c r="G10" s="3" t="str">
        <f t="shared" si="4"/>
        <v>ZZZ</v>
      </c>
      <c r="H10" s="3" t="b">
        <f t="array" ref="H10">OR(ISNUMBER(SEARCH(G$2:G$30,$B10,5)))</f>
        <v>0</v>
      </c>
      <c r="J10" s="3" t="str">
        <f t="shared" si="5"/>
        <v>ZZZ</v>
      </c>
      <c r="K10" s="3" t="b">
        <f t="array" ref="K10">OR(ISNUMBER(SEARCH(J$2:J$30,$B10,5)))</f>
        <v>0</v>
      </c>
      <c r="L10" s="3" t="str">
        <f>IFERROR(__xludf.DUMMYFUNCTION("""COMPUTED_VALUE"""),"pale green")</f>
        <v>pale green</v>
      </c>
      <c r="M10" s="3" t="str">
        <f t="shared" si="6"/>
        <v>pale green</v>
      </c>
      <c r="N10" s="3" t="b">
        <f t="array" ref="N10">OR(ISNUMBER(SEARCH(M$2:M$30,$B10,5)))</f>
        <v>0</v>
      </c>
      <c r="O10" s="3" t="str">
        <f>IFERROR(__xludf.DUMMYFUNCTION("""COMPUTED_VALUE"""),"light gray")</f>
        <v>light gray</v>
      </c>
      <c r="P10" s="3" t="str">
        <f t="shared" si="7"/>
        <v>light gray</v>
      </c>
      <c r="Q10" s="3" t="b">
        <f t="array" ref="Q10">OR(ISNUMBER(SEARCH(P$2:P$50,$B10,5)))</f>
        <v>0</v>
      </c>
      <c r="R10" s="3" t="str">
        <f>IFERROR(__xludf.DUMMYFUNCTION("""COMPUTED_VALUE"""),"wavy indigo")</f>
        <v>wavy indigo</v>
      </c>
      <c r="S10" s="3" t="str">
        <f t="shared" si="8"/>
        <v>wavy indigo</v>
      </c>
      <c r="T10" s="3" t="b">
        <f t="array" ref="T10">OR(ISNUMBER(SEARCH(S$2:S$100,$B10,5)))</f>
        <v>0</v>
      </c>
      <c r="U10" s="3" t="str">
        <f>IFERROR(__xludf.DUMMYFUNCTION("""COMPUTED_VALUE"""),"dim fuchsia")</f>
        <v>dim fuchsia</v>
      </c>
      <c r="V10" s="3" t="str">
        <f t="shared" si="9"/>
        <v>dim fuchsia</v>
      </c>
      <c r="W10" s="3" t="b">
        <f t="array" ref="W10">OR(ISNUMBER(SEARCH(V$2:V$100,$B10,5)))</f>
        <v>0</v>
      </c>
      <c r="X10" s="3" t="str">
        <f>IFERROR(__xludf.DUMMYFUNCTION("""COMPUTED_VALUE"""),"faded gray")</f>
        <v>faded gray</v>
      </c>
      <c r="Y10" s="3" t="str">
        <f t="shared" si="10"/>
        <v>faded gray</v>
      </c>
      <c r="Z10" s="3" t="b">
        <f t="array" ref="Z10">OR(ISNUMBER(SEARCH(Y$2:Y$100,$B10,5)))</f>
        <v>0</v>
      </c>
      <c r="AA10" s="3" t="str">
        <f>IFERROR(__xludf.DUMMYFUNCTION("""COMPUTED_VALUE"""),"dark silver")</f>
        <v>dark silver</v>
      </c>
      <c r="AB10" s="3" t="str">
        <f t="shared" si="11"/>
        <v>dark silver</v>
      </c>
      <c r="AC10" s="3" t="b">
        <f t="array" ref="AC10">OR(ISNUMBER(SEARCH(AB$2:AB$100,$B10,5)))</f>
        <v>0</v>
      </c>
      <c r="AD10" s="3" t="str">
        <f>IFERROR(__xludf.DUMMYFUNCTION("""COMPUTED_VALUE"""),"drab blue")</f>
        <v>drab blue</v>
      </c>
      <c r="AE10" s="3" t="str">
        <f t="shared" si="12"/>
        <v>drab blue</v>
      </c>
      <c r="AF10" s="3" t="b">
        <f t="array" ref="AF10">OR(ISNUMBER(SEARCH(AE$2:AE$100,$B10,5)))</f>
        <v>0</v>
      </c>
      <c r="AH10" s="3" t="str">
        <f t="shared" si="13"/>
        <v>ZZZ</v>
      </c>
      <c r="AI10" s="3" t="b">
        <f t="array" ref="AI10">OR(ISNUMBER(SEARCH(AH$2:AH$100,$B10,5)))</f>
        <v>0</v>
      </c>
      <c r="AK10" s="3" t="str">
        <f t="shared" si="14"/>
        <v>ZZZ</v>
      </c>
      <c r="AL10" s="3" t="b">
        <f t="array" ref="AL10">OR(ISNUMBER(SEARCH(AK$2:AK$100,$B10,5)))</f>
        <v>0</v>
      </c>
      <c r="AP10" s="3" t="str">
        <f t="shared" ref="AP10:AZ10" si="23">INDEX($A$1:$AN$600,ROW(),COLUMN()*3-120)</f>
        <v/>
      </c>
      <c r="AQ10" s="3" t="str">
        <f t="shared" si="23"/>
        <v/>
      </c>
      <c r="AR10" s="3" t="str">
        <f t="shared" si="23"/>
        <v>pale green</v>
      </c>
      <c r="AS10" s="3" t="str">
        <f t="shared" si="23"/>
        <v>light gray</v>
      </c>
      <c r="AT10" s="3" t="str">
        <f t="shared" si="23"/>
        <v>wavy indigo</v>
      </c>
      <c r="AU10" s="3" t="str">
        <f t="shared" si="23"/>
        <v>dim fuchsia</v>
      </c>
      <c r="AV10" s="3" t="str">
        <f t="shared" si="23"/>
        <v>faded gray</v>
      </c>
      <c r="AW10" s="3" t="str">
        <f t="shared" si="23"/>
        <v>dark silver</v>
      </c>
      <c r="AX10" s="3" t="str">
        <f t="shared" si="23"/>
        <v>drab blue</v>
      </c>
      <c r="AY10" s="3" t="str">
        <f t="shared" si="23"/>
        <v/>
      </c>
      <c r="AZ10" s="3" t="str">
        <f t="shared" si="23"/>
        <v/>
      </c>
      <c r="BA10" s="8"/>
      <c r="BB10" s="6" t="str">
        <f>IFERROR(__xludf.DUMMYFUNCTION("""COMPUTED_VALUE"""),"dotted black")</f>
        <v>dotted black</v>
      </c>
      <c r="BC10" s="6" t="str">
        <f>IFERROR(__xludf.DUMMYFUNCTION("""COMPUTED_VALUE"""),"striped indigo")</f>
        <v>striped indigo</v>
      </c>
      <c r="BD10" s="8"/>
      <c r="BE10" s="6"/>
      <c r="BF10" s="6"/>
      <c r="BG10" s="8"/>
      <c r="BH10" s="6"/>
      <c r="BI10" s="6"/>
      <c r="BJ10" s="8"/>
      <c r="BK10" s="6"/>
      <c r="BL10" s="6"/>
      <c r="BM10" s="8"/>
      <c r="BN10" s="6"/>
      <c r="BO10" s="6"/>
      <c r="BP10" s="8"/>
      <c r="BQ10" s="6"/>
      <c r="BR10" s="6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</row>
    <row r="11">
      <c r="A11" s="6"/>
      <c r="B11" s="6" t="s">
        <v>11</v>
      </c>
      <c r="C11" s="3" t="str">
        <f t="shared" si="3"/>
        <v>posh magenta</v>
      </c>
      <c r="D11" s="3" t="str">
        <f t="shared" si="17"/>
        <v>ZZZ</v>
      </c>
      <c r="E11" s="3" t="b">
        <f t="array" ref="E11">OR(ISNUMBER(SEARCH(D$2:D$30,$B11,5)))</f>
        <v>0</v>
      </c>
      <c r="G11" s="3" t="str">
        <f t="shared" si="4"/>
        <v>ZZZ</v>
      </c>
      <c r="H11" s="3" t="b">
        <f t="array" ref="H11">OR(ISNUMBER(SEARCH(G$2:G$30,$B11,5)))</f>
        <v>0</v>
      </c>
      <c r="J11" s="3" t="str">
        <f t="shared" si="5"/>
        <v>ZZZ</v>
      </c>
      <c r="K11" s="3" t="b">
        <f t="array" ref="K11">OR(ISNUMBER(SEARCH(J$2:J$30,$B11,5)))</f>
        <v>0</v>
      </c>
      <c r="L11" s="3" t="str">
        <f>IFERROR(__xludf.DUMMYFUNCTION("""COMPUTED_VALUE"""),"light fuchsia")</f>
        <v>light fuchsia</v>
      </c>
      <c r="M11" s="3" t="str">
        <f t="shared" si="6"/>
        <v>light fuchsia</v>
      </c>
      <c r="N11" s="3" t="b">
        <f t="array" ref="N11">OR(ISNUMBER(SEARCH(M$2:M$30,$B11,5)))</f>
        <v>0</v>
      </c>
      <c r="O11" s="3" t="str">
        <f>IFERROR(__xludf.DUMMYFUNCTION("""COMPUTED_VALUE"""),"dull plum")</f>
        <v>dull plum</v>
      </c>
      <c r="P11" s="3" t="str">
        <f t="shared" si="7"/>
        <v>dull plum</v>
      </c>
      <c r="Q11" s="3" t="b">
        <f t="array" ref="Q11">OR(ISNUMBER(SEARCH(P$2:P$50,$B11,5)))</f>
        <v>0</v>
      </c>
      <c r="R11" s="3" t="str">
        <f>IFERROR(__xludf.DUMMYFUNCTION("""COMPUTED_VALUE"""),"pale silver")</f>
        <v>pale silver</v>
      </c>
      <c r="S11" s="3" t="str">
        <f t="shared" si="8"/>
        <v>pale silver</v>
      </c>
      <c r="T11" s="3" t="b">
        <f t="array" ref="T11">OR(ISNUMBER(SEARCH(S$2:S$100,$B11,5)))</f>
        <v>0</v>
      </c>
      <c r="U11" s="3" t="str">
        <f>IFERROR(__xludf.DUMMYFUNCTION("""COMPUTED_VALUE"""),"pale indigo")</f>
        <v>pale indigo</v>
      </c>
      <c r="V11" s="3" t="str">
        <f t="shared" si="9"/>
        <v>pale indigo</v>
      </c>
      <c r="W11" s="3" t="b">
        <f t="array" ref="W11">OR(ISNUMBER(SEARCH(V$2:V$100,$B11,5)))</f>
        <v>0</v>
      </c>
      <c r="X11" s="3" t="str">
        <f>IFERROR(__xludf.DUMMYFUNCTION("""COMPUTED_VALUE"""),"muted turquoise")</f>
        <v>muted turquoise</v>
      </c>
      <c r="Y11" s="3" t="str">
        <f t="shared" si="10"/>
        <v>muted turquoise</v>
      </c>
      <c r="Z11" s="3" t="b">
        <f t="array" ref="Z11">OR(ISNUMBER(SEARCH(Y$2:Y$100,$B11,5)))</f>
        <v>0</v>
      </c>
      <c r="AA11" s="3" t="str">
        <f>IFERROR(__xludf.DUMMYFUNCTION("""COMPUTED_VALUE"""),"pale lavender")</f>
        <v>pale lavender</v>
      </c>
      <c r="AB11" s="3" t="str">
        <f t="shared" si="11"/>
        <v>pale lavender</v>
      </c>
      <c r="AC11" s="3" t="b">
        <f t="array" ref="AC11">OR(ISNUMBER(SEARCH(AB$2:AB$100,$B11,5)))</f>
        <v>0</v>
      </c>
      <c r="AD11" s="3" t="str">
        <f>IFERROR(__xludf.DUMMYFUNCTION("""COMPUTED_VALUE"""),"clear tan")</f>
        <v>clear tan</v>
      </c>
      <c r="AE11" s="3" t="str">
        <f t="shared" si="12"/>
        <v>clear tan</v>
      </c>
      <c r="AF11" s="3" t="b">
        <f t="array" ref="AF11">OR(ISNUMBER(SEARCH(AE$2:AE$100,$B11,5)))</f>
        <v>0</v>
      </c>
      <c r="AH11" s="3" t="str">
        <f t="shared" si="13"/>
        <v>ZZZ</v>
      </c>
      <c r="AI11" s="3" t="b">
        <f t="array" ref="AI11">OR(ISNUMBER(SEARCH(AH$2:AH$100,$B11,5)))</f>
        <v>0</v>
      </c>
      <c r="AK11" s="3" t="str">
        <f t="shared" si="14"/>
        <v>ZZZ</v>
      </c>
      <c r="AL11" s="3" t="b">
        <f t="array" ref="AL11">OR(ISNUMBER(SEARCH(AK$2:AK$100,$B11,5)))</f>
        <v>0</v>
      </c>
      <c r="AP11" s="3" t="str">
        <f t="shared" ref="AP11:AZ11" si="24">INDEX($A$1:$AN$600,ROW(),COLUMN()*3-120)</f>
        <v/>
      </c>
      <c r="AQ11" s="3" t="str">
        <f t="shared" si="24"/>
        <v/>
      </c>
      <c r="AR11" s="3" t="str">
        <f t="shared" si="24"/>
        <v>light fuchsia</v>
      </c>
      <c r="AS11" s="3" t="str">
        <f t="shared" si="24"/>
        <v>dull plum</v>
      </c>
      <c r="AT11" s="3" t="str">
        <f t="shared" si="24"/>
        <v>pale silver</v>
      </c>
      <c r="AU11" s="3" t="str">
        <f t="shared" si="24"/>
        <v>pale indigo</v>
      </c>
      <c r="AV11" s="3" t="str">
        <f t="shared" si="24"/>
        <v>muted turquoise</v>
      </c>
      <c r="AW11" s="3" t="str">
        <f t="shared" si="24"/>
        <v>pale lavender</v>
      </c>
      <c r="AX11" s="3" t="str">
        <f t="shared" si="24"/>
        <v>clear tan</v>
      </c>
      <c r="AY11" s="3" t="str">
        <f t="shared" si="24"/>
        <v/>
      </c>
      <c r="AZ11" s="3" t="str">
        <f t="shared" si="24"/>
        <v/>
      </c>
      <c r="BA11" s="8"/>
      <c r="BB11" s="6" t="str">
        <f>IFERROR(__xludf.DUMMYFUNCTION("""COMPUTED_VALUE"""),"dull teal")</f>
        <v>dull teal</v>
      </c>
      <c r="BC11" s="6" t="str">
        <f>IFERROR(__xludf.DUMMYFUNCTION("""COMPUTED_VALUE"""),"dotted black")</f>
        <v>dotted black</v>
      </c>
      <c r="BD11" s="8"/>
      <c r="BE11" s="6"/>
      <c r="BF11" s="6"/>
      <c r="BG11" s="8"/>
      <c r="BH11" s="6"/>
      <c r="BI11" s="6"/>
      <c r="BJ11" s="8"/>
      <c r="BK11" s="6"/>
      <c r="BL11" s="6"/>
      <c r="BM11" s="8"/>
      <c r="BN11" s="6"/>
      <c r="BO11" s="6"/>
      <c r="BP11" s="8"/>
      <c r="BQ11" s="6"/>
      <c r="BR11" s="6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</row>
    <row r="12">
      <c r="A12" s="6"/>
      <c r="B12" s="6" t="s">
        <v>12</v>
      </c>
      <c r="C12" s="3" t="str">
        <f t="shared" si="3"/>
        <v>dull brown</v>
      </c>
      <c r="D12" s="3" t="str">
        <f t="shared" si="17"/>
        <v>ZZZ</v>
      </c>
      <c r="E12" s="3" t="b">
        <f t="array" ref="E12">OR(ISNUMBER(SEARCH(D$2:D$30,$B12,5)))</f>
        <v>0</v>
      </c>
      <c r="G12" s="3" t="str">
        <f t="shared" si="4"/>
        <v>ZZZ</v>
      </c>
      <c r="H12" s="3" t="b">
        <f t="array" ref="H12">OR(ISNUMBER(SEARCH(G$2:G$30,$B12,5)))</f>
        <v>0</v>
      </c>
      <c r="J12" s="3" t="str">
        <f t="shared" si="5"/>
        <v>ZZZ</v>
      </c>
      <c r="K12" s="3" t="b">
        <f t="array" ref="K12">OR(ISNUMBER(SEARCH(J$2:J$30,$B12,5)))</f>
        <v>0</v>
      </c>
      <c r="L12" s="3" t="str">
        <f>IFERROR(__xludf.DUMMYFUNCTION("""COMPUTED_VALUE"""),"plaid yellow")</f>
        <v>plaid yellow</v>
      </c>
      <c r="M12" s="3" t="str">
        <f t="shared" si="6"/>
        <v>plaid yellow</v>
      </c>
      <c r="N12" s="3" t="b">
        <f t="array" ref="N12">OR(ISNUMBER(SEARCH(M$2:M$30,$B12,5)))</f>
        <v>0</v>
      </c>
      <c r="O12" s="3" t="str">
        <f>IFERROR(__xludf.DUMMYFUNCTION("""COMPUTED_VALUE"""),"muted teal")</f>
        <v>muted teal</v>
      </c>
      <c r="P12" s="3" t="str">
        <f t="shared" si="7"/>
        <v>muted teal</v>
      </c>
      <c r="Q12" s="3" t="b">
        <f t="array" ref="Q12">OR(ISNUMBER(SEARCH(P$2:P$50,$B12,5)))</f>
        <v>0</v>
      </c>
      <c r="R12" s="3" t="str">
        <f>IFERROR(__xludf.DUMMYFUNCTION("""COMPUTED_VALUE"""),"dark magenta")</f>
        <v>dark magenta</v>
      </c>
      <c r="S12" s="3" t="str">
        <f t="shared" si="8"/>
        <v>dark magenta</v>
      </c>
      <c r="T12" s="3" t="b">
        <f t="array" ref="T12">OR(ISNUMBER(SEARCH(S$2:S$100,$B12,5)))</f>
        <v>0</v>
      </c>
      <c r="U12" s="3" t="str">
        <f>IFERROR(__xludf.DUMMYFUNCTION("""COMPUTED_VALUE"""),"striped beige")</f>
        <v>striped beige</v>
      </c>
      <c r="V12" s="3" t="str">
        <f t="shared" si="9"/>
        <v>striped beige</v>
      </c>
      <c r="W12" s="3" t="b">
        <f t="array" ref="W12">OR(ISNUMBER(SEARCH(V$2:V$100,$B12,5)))</f>
        <v>0</v>
      </c>
      <c r="X12" s="3" t="str">
        <f>IFERROR(__xludf.DUMMYFUNCTION("""COMPUTED_VALUE"""),"dark white")</f>
        <v>dark white</v>
      </c>
      <c r="Y12" s="3" t="str">
        <f t="shared" si="10"/>
        <v>dark white</v>
      </c>
      <c r="Z12" s="3" t="b">
        <f t="array" ref="Z12">OR(ISNUMBER(SEARCH(Y$2:Y$100,$B12,5)))</f>
        <v>0</v>
      </c>
      <c r="AA12" s="3" t="str">
        <f>IFERROR(__xludf.DUMMYFUNCTION("""COMPUTED_VALUE"""),"shiny blue")</f>
        <v>shiny blue</v>
      </c>
      <c r="AB12" s="3" t="str">
        <f t="shared" si="11"/>
        <v>shiny blue</v>
      </c>
      <c r="AC12" s="3" t="b">
        <f t="array" ref="AC12">OR(ISNUMBER(SEARCH(AB$2:AB$100,$B12,5)))</f>
        <v>0</v>
      </c>
      <c r="AD12" s="3" t="str">
        <f>IFERROR(__xludf.DUMMYFUNCTION("""COMPUTED_VALUE"""),"plaid olive")</f>
        <v>plaid olive</v>
      </c>
      <c r="AE12" s="3" t="str">
        <f t="shared" si="12"/>
        <v>plaid olive</v>
      </c>
      <c r="AF12" s="3" t="b">
        <f t="array" ref="AF12">OR(ISNUMBER(SEARCH(AE$2:AE$100,$B12,5)))</f>
        <v>0</v>
      </c>
      <c r="AH12" s="3" t="str">
        <f t="shared" si="13"/>
        <v>ZZZ</v>
      </c>
      <c r="AI12" s="3" t="b">
        <f t="array" ref="AI12">OR(ISNUMBER(SEARCH(AH$2:AH$100,$B12,5)))</f>
        <v>0</v>
      </c>
      <c r="AK12" s="3" t="str">
        <f t="shared" si="14"/>
        <v>ZZZ</v>
      </c>
      <c r="AL12" s="3" t="b">
        <f t="array" ref="AL12">OR(ISNUMBER(SEARCH(AK$2:AK$100,$B12,5)))</f>
        <v>0</v>
      </c>
      <c r="AP12" s="3" t="str">
        <f t="shared" ref="AP12:AZ12" si="25">INDEX($A$1:$AN$600,ROW(),COLUMN()*3-120)</f>
        <v/>
      </c>
      <c r="AQ12" s="3" t="str">
        <f t="shared" si="25"/>
        <v/>
      </c>
      <c r="AR12" s="3" t="str">
        <f t="shared" si="25"/>
        <v>plaid yellow</v>
      </c>
      <c r="AS12" s="3" t="str">
        <f t="shared" si="25"/>
        <v>muted teal</v>
      </c>
      <c r="AT12" s="3" t="str">
        <f t="shared" si="25"/>
        <v>dark magenta</v>
      </c>
      <c r="AU12" s="3" t="str">
        <f t="shared" si="25"/>
        <v>striped beige</v>
      </c>
      <c r="AV12" s="3" t="str">
        <f t="shared" si="25"/>
        <v>dark white</v>
      </c>
      <c r="AW12" s="3" t="str">
        <f t="shared" si="25"/>
        <v>shiny blue</v>
      </c>
      <c r="AX12" s="3" t="str">
        <f t="shared" si="25"/>
        <v>plaid olive</v>
      </c>
      <c r="AY12" s="3" t="str">
        <f t="shared" si="25"/>
        <v/>
      </c>
      <c r="AZ12" s="3" t="str">
        <f t="shared" si="25"/>
        <v/>
      </c>
      <c r="BA12" s="8"/>
      <c r="BB12" s="6" t="str">
        <f>IFERROR(__xludf.DUMMYFUNCTION("""COMPUTED_VALUE"""),"light turquoise")</f>
        <v>light turquoise</v>
      </c>
      <c r="BC12" s="6" t="str">
        <f>IFERROR(__xludf.DUMMYFUNCTION("""COMPUTED_VALUE"""),"dull teal")</f>
        <v>dull teal</v>
      </c>
      <c r="BD12" s="8"/>
      <c r="BE12" s="6"/>
      <c r="BF12" s="6"/>
      <c r="BG12" s="8"/>
      <c r="BH12" s="6"/>
      <c r="BI12" s="6"/>
      <c r="BJ12" s="8"/>
      <c r="BK12" s="6"/>
      <c r="BL12" s="6"/>
      <c r="BM12" s="8"/>
      <c r="BN12" s="6"/>
      <c r="BO12" s="6"/>
      <c r="BP12" s="8"/>
      <c r="BQ12" s="6"/>
      <c r="BR12" s="6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</row>
    <row r="13">
      <c r="A13" s="6"/>
      <c r="B13" s="6" t="s">
        <v>13</v>
      </c>
      <c r="C13" s="3" t="str">
        <f t="shared" si="3"/>
        <v>pale gray</v>
      </c>
      <c r="D13" s="3" t="str">
        <f t="shared" si="17"/>
        <v>ZZZ</v>
      </c>
      <c r="E13" s="3" t="b">
        <f t="array" ref="E13">OR(ISNUMBER(SEARCH(D$2:D$30,$B13,5)))</f>
        <v>0</v>
      </c>
      <c r="G13" s="3" t="str">
        <f t="shared" si="4"/>
        <v>ZZZ</v>
      </c>
      <c r="H13" s="3" t="b">
        <f t="array" ref="H13">OR(ISNUMBER(SEARCH(G$2:G$30,$B13,5)))</f>
        <v>0</v>
      </c>
      <c r="J13" s="3" t="str">
        <f t="shared" si="5"/>
        <v>ZZZ</v>
      </c>
      <c r="K13" s="3" t="b">
        <f t="array" ref="K13">OR(ISNUMBER(SEARCH(J$2:J$30,$B13,5)))</f>
        <v>0</v>
      </c>
      <c r="L13" s="3" t="str">
        <f>IFERROR(__xludf.DUMMYFUNCTION("""COMPUTED_VALUE"""),"plaid magenta")</f>
        <v>plaid magenta</v>
      </c>
      <c r="M13" s="3" t="str">
        <f t="shared" si="6"/>
        <v>plaid magenta</v>
      </c>
      <c r="N13" s="3" t="b">
        <f t="array" ref="N13">OR(ISNUMBER(SEARCH(M$2:M$30,$B13,5)))</f>
        <v>1</v>
      </c>
      <c r="O13" s="3" t="str">
        <f>IFERROR(__xludf.DUMMYFUNCTION("""COMPUTED_VALUE"""),"pale orange")</f>
        <v>pale orange</v>
      </c>
      <c r="P13" s="3" t="str">
        <f t="shared" si="7"/>
        <v>pale orange</v>
      </c>
      <c r="Q13" s="3" t="b">
        <f t="array" ref="Q13">OR(ISNUMBER(SEARCH(P$2:P$50,$B13,5)))</f>
        <v>0</v>
      </c>
      <c r="R13" s="3" t="str">
        <f>IFERROR(__xludf.DUMMYFUNCTION("""COMPUTED_VALUE"""),"dim gold")</f>
        <v>dim gold</v>
      </c>
      <c r="S13" s="3" t="str">
        <f t="shared" si="8"/>
        <v>dim gold</v>
      </c>
      <c r="T13" s="3" t="b">
        <f t="array" ref="T13">OR(ISNUMBER(SEARCH(S$2:S$100,$B13,5)))</f>
        <v>0</v>
      </c>
      <c r="U13" s="3" t="str">
        <f>IFERROR(__xludf.DUMMYFUNCTION("""COMPUTED_VALUE"""),"light gray")</f>
        <v>light gray</v>
      </c>
      <c r="V13" s="3" t="str">
        <f t="shared" si="9"/>
        <v>light gray</v>
      </c>
      <c r="W13" s="3" t="b">
        <f t="array" ref="W13">OR(ISNUMBER(SEARCH(V$2:V$100,$B13,5)))</f>
        <v>0</v>
      </c>
      <c r="X13" s="3" t="str">
        <f>IFERROR(__xludf.DUMMYFUNCTION("""COMPUTED_VALUE"""),"pale turquoise")</f>
        <v>pale turquoise</v>
      </c>
      <c r="Y13" s="3" t="str">
        <f t="shared" si="10"/>
        <v>pale turquoise</v>
      </c>
      <c r="Z13" s="3" t="b">
        <f t="array" ref="Z13">OR(ISNUMBER(SEARCH(Y$2:Y$100,$B13,5)))</f>
        <v>0</v>
      </c>
      <c r="AA13" s="3" t="str">
        <f>IFERROR(__xludf.DUMMYFUNCTION("""COMPUTED_VALUE"""),"dotted red")</f>
        <v>dotted red</v>
      </c>
      <c r="AB13" s="3" t="str">
        <f t="shared" si="11"/>
        <v>dotted red</v>
      </c>
      <c r="AC13" s="3" t="b">
        <f t="array" ref="AC13">OR(ISNUMBER(SEARCH(AB$2:AB$100,$B13,5)))</f>
        <v>0</v>
      </c>
      <c r="AD13" s="3" t="str">
        <f>IFERROR(__xludf.DUMMYFUNCTION("""COMPUTED_VALUE"""),"muted gold")</f>
        <v>muted gold</v>
      </c>
      <c r="AE13" s="3" t="str">
        <f t="shared" si="12"/>
        <v>muted gold</v>
      </c>
      <c r="AF13" s="3" t="b">
        <f t="array" ref="AF13">OR(ISNUMBER(SEARCH(AE$2:AE$100,$B13,5)))</f>
        <v>0</v>
      </c>
      <c r="AH13" s="3" t="str">
        <f t="shared" si="13"/>
        <v>ZZZ</v>
      </c>
      <c r="AI13" s="3" t="b">
        <f t="array" ref="AI13">OR(ISNUMBER(SEARCH(AH$2:AH$100,$B13,5)))</f>
        <v>0</v>
      </c>
      <c r="AK13" s="3" t="str">
        <f t="shared" si="14"/>
        <v>ZZZ</v>
      </c>
      <c r="AL13" s="3" t="b">
        <f t="array" ref="AL13">OR(ISNUMBER(SEARCH(AK$2:AK$100,$B13,5)))</f>
        <v>0</v>
      </c>
      <c r="AP13" s="3" t="str">
        <f t="shared" ref="AP13:AZ13" si="26">INDEX($A$1:$AN$600,ROW(),COLUMN()*3-120)</f>
        <v/>
      </c>
      <c r="AQ13" s="3" t="str">
        <f t="shared" si="26"/>
        <v/>
      </c>
      <c r="AR13" s="3" t="str">
        <f t="shared" si="26"/>
        <v>plaid magenta</v>
      </c>
      <c r="AS13" s="3" t="str">
        <f t="shared" si="26"/>
        <v>pale orange</v>
      </c>
      <c r="AT13" s="3" t="str">
        <f t="shared" si="26"/>
        <v>dim gold</v>
      </c>
      <c r="AU13" s="3" t="str">
        <f t="shared" si="26"/>
        <v>light gray</v>
      </c>
      <c r="AV13" s="3" t="str">
        <f t="shared" si="26"/>
        <v>pale turquoise</v>
      </c>
      <c r="AW13" s="3" t="str">
        <f t="shared" si="26"/>
        <v>dotted red</v>
      </c>
      <c r="AX13" s="3" t="str">
        <f t="shared" si="26"/>
        <v>muted gold</v>
      </c>
      <c r="AY13" s="3" t="str">
        <f t="shared" si="26"/>
        <v/>
      </c>
      <c r="AZ13" s="3" t="str">
        <f t="shared" si="26"/>
        <v/>
      </c>
      <c r="BA13" s="8"/>
      <c r="BB13" s="6" t="str">
        <f>IFERROR(__xludf.DUMMYFUNCTION("""COMPUTED_VALUE"""),"striped lime")</f>
        <v>striped lime</v>
      </c>
      <c r="BC13" s="6" t="str">
        <f>IFERROR(__xludf.DUMMYFUNCTION("""COMPUTED_VALUE"""),"light turquoise")</f>
        <v>light turquoise</v>
      </c>
      <c r="BD13" s="8"/>
      <c r="BE13" s="6"/>
      <c r="BF13" s="6"/>
      <c r="BG13" s="8"/>
      <c r="BH13" s="6"/>
      <c r="BI13" s="6"/>
      <c r="BJ13" s="8"/>
      <c r="BK13" s="6"/>
      <c r="BL13" s="6"/>
      <c r="BM13" s="8"/>
      <c r="BN13" s="6"/>
      <c r="BO13" s="6"/>
      <c r="BP13" s="8"/>
      <c r="BQ13" s="6"/>
      <c r="BR13" s="6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</row>
    <row r="14">
      <c r="A14" s="6"/>
      <c r="B14" s="6" t="s">
        <v>14</v>
      </c>
      <c r="C14" s="3" t="str">
        <f t="shared" si="3"/>
        <v>plaid turquoise</v>
      </c>
      <c r="D14" s="3" t="str">
        <f t="shared" si="17"/>
        <v>ZZZ</v>
      </c>
      <c r="E14" s="3" t="b">
        <f t="array" ref="E14">OR(ISNUMBER(SEARCH(D$2:D$30,$B14,5)))</f>
        <v>0</v>
      </c>
      <c r="G14" s="3" t="str">
        <f t="shared" si="4"/>
        <v>ZZZ</v>
      </c>
      <c r="H14" s="3" t="b">
        <f t="array" ref="H14">OR(ISNUMBER(SEARCH(G$2:G$30,$B14,5)))</f>
        <v>0</v>
      </c>
      <c r="J14" s="3" t="str">
        <f t="shared" si="5"/>
        <v>ZZZ</v>
      </c>
      <c r="K14" s="3" t="b">
        <f t="array" ref="K14">OR(ISNUMBER(SEARCH(J$2:J$30,$B14,5)))</f>
        <v>0</v>
      </c>
      <c r="L14" s="3" t="str">
        <f>IFERROR(__xludf.DUMMYFUNCTION("""COMPUTED_VALUE"""),"wavy magenta")</f>
        <v>wavy magenta</v>
      </c>
      <c r="M14" s="3" t="str">
        <f t="shared" si="6"/>
        <v>wavy magenta</v>
      </c>
      <c r="N14" s="3" t="b">
        <f t="array" ref="N14">OR(ISNUMBER(SEARCH(M$2:M$30,$B14,5)))</f>
        <v>0</v>
      </c>
      <c r="O14" s="3" t="str">
        <f>IFERROR(__xludf.DUMMYFUNCTION("""COMPUTED_VALUE"""),"dull olive")</f>
        <v>dull olive</v>
      </c>
      <c r="P14" s="3" t="str">
        <f t="shared" si="7"/>
        <v>dull olive</v>
      </c>
      <c r="Q14" s="3" t="b">
        <f t="array" ref="Q14">OR(ISNUMBER(SEARCH(P$2:P$50,$B14,5)))</f>
        <v>0</v>
      </c>
      <c r="R14" s="3" t="str">
        <f>IFERROR(__xludf.DUMMYFUNCTION("""COMPUTED_VALUE"""),"muted tan")</f>
        <v>muted tan</v>
      </c>
      <c r="S14" s="3" t="str">
        <f t="shared" si="8"/>
        <v>muted tan</v>
      </c>
      <c r="T14" s="3" t="b">
        <f t="array" ref="T14">OR(ISNUMBER(SEARCH(S$2:S$100,$B14,5)))</f>
        <v>0</v>
      </c>
      <c r="U14" s="3" t="str">
        <f>IFERROR(__xludf.DUMMYFUNCTION("""COMPUTED_VALUE"""),"drab crimson")</f>
        <v>drab crimson</v>
      </c>
      <c r="V14" s="3" t="str">
        <f t="shared" si="9"/>
        <v>drab crimson</v>
      </c>
      <c r="W14" s="3" t="b">
        <f t="array" ref="W14">OR(ISNUMBER(SEARCH(V$2:V$100,$B14,5)))</f>
        <v>0</v>
      </c>
      <c r="X14" s="3" t="str">
        <f>IFERROR(__xludf.DUMMYFUNCTION("""COMPUTED_VALUE"""),"light violet")</f>
        <v>light violet</v>
      </c>
      <c r="Y14" s="3" t="str">
        <f t="shared" si="10"/>
        <v>light violet</v>
      </c>
      <c r="Z14" s="3" t="b">
        <f t="array" ref="Z14">OR(ISNUMBER(SEARCH(Y$2:Y$100,$B14,5)))</f>
        <v>0</v>
      </c>
      <c r="AA14" s="3" t="str">
        <f>IFERROR(__xludf.DUMMYFUNCTION("""COMPUTED_VALUE"""),"pale magenta")</f>
        <v>pale magenta</v>
      </c>
      <c r="AB14" s="3" t="str">
        <f t="shared" si="11"/>
        <v>pale magenta</v>
      </c>
      <c r="AC14" s="3" t="b">
        <f t="array" ref="AC14">OR(ISNUMBER(SEARCH(AB$2:AB$100,$B14,5)))</f>
        <v>0</v>
      </c>
      <c r="AD14" s="3" t="str">
        <f>IFERROR(__xludf.DUMMYFUNCTION("""COMPUTED_VALUE"""),"clear indigo")</f>
        <v>clear indigo</v>
      </c>
      <c r="AE14" s="3" t="str">
        <f t="shared" si="12"/>
        <v>clear indigo</v>
      </c>
      <c r="AF14" s="3" t="b">
        <f t="array" ref="AF14">OR(ISNUMBER(SEARCH(AE$2:AE$100,$B14,5)))</f>
        <v>0</v>
      </c>
      <c r="AH14" s="3" t="str">
        <f t="shared" si="13"/>
        <v>ZZZ</v>
      </c>
      <c r="AI14" s="3" t="b">
        <f t="array" ref="AI14">OR(ISNUMBER(SEARCH(AH$2:AH$100,$B14,5)))</f>
        <v>0</v>
      </c>
      <c r="AK14" s="3" t="str">
        <f t="shared" si="14"/>
        <v>ZZZ</v>
      </c>
      <c r="AL14" s="3" t="b">
        <f t="array" ref="AL14">OR(ISNUMBER(SEARCH(AK$2:AK$100,$B14,5)))</f>
        <v>0</v>
      </c>
      <c r="AP14" s="3" t="str">
        <f t="shared" ref="AP14:AZ14" si="27">INDEX($A$1:$AN$600,ROW(),COLUMN()*3-120)</f>
        <v/>
      </c>
      <c r="AQ14" s="3" t="str">
        <f t="shared" si="27"/>
        <v/>
      </c>
      <c r="AR14" s="3" t="str">
        <f t="shared" si="27"/>
        <v>wavy magenta</v>
      </c>
      <c r="AS14" s="3" t="str">
        <f t="shared" si="27"/>
        <v>dull olive</v>
      </c>
      <c r="AT14" s="3" t="str">
        <f t="shared" si="27"/>
        <v>muted tan</v>
      </c>
      <c r="AU14" s="3" t="str">
        <f t="shared" si="27"/>
        <v>drab crimson</v>
      </c>
      <c r="AV14" s="3" t="str">
        <f t="shared" si="27"/>
        <v>light violet</v>
      </c>
      <c r="AW14" s="3" t="str">
        <f t="shared" si="27"/>
        <v>pale magenta</v>
      </c>
      <c r="AX14" s="3" t="str">
        <f t="shared" si="27"/>
        <v>clear indigo</v>
      </c>
      <c r="AY14" s="3" t="str">
        <f t="shared" si="27"/>
        <v/>
      </c>
      <c r="AZ14" s="3" t="str">
        <f t="shared" si="27"/>
        <v/>
      </c>
      <c r="BA14" s="8"/>
      <c r="BB14" s="6" t="str">
        <f>IFERROR(__xludf.DUMMYFUNCTION("""COMPUTED_VALUE"""),"bright fuchsia")</f>
        <v>bright fuchsia</v>
      </c>
      <c r="BC14" s="6" t="str">
        <f>IFERROR(__xludf.DUMMYFUNCTION("""COMPUTED_VALUE"""),"striped lime")</f>
        <v>striped lime</v>
      </c>
      <c r="BD14" s="8"/>
      <c r="BE14" s="6"/>
      <c r="BF14" s="6"/>
      <c r="BG14" s="8"/>
      <c r="BH14" s="6"/>
      <c r="BI14" s="6"/>
      <c r="BJ14" s="8"/>
      <c r="BK14" s="6"/>
      <c r="BL14" s="6"/>
      <c r="BM14" s="8"/>
      <c r="BN14" s="6"/>
      <c r="BO14" s="6"/>
      <c r="BP14" s="8"/>
      <c r="BQ14" s="6"/>
      <c r="BR14" s="6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</row>
    <row r="15">
      <c r="A15" s="6"/>
      <c r="B15" s="6" t="s">
        <v>15</v>
      </c>
      <c r="C15" s="3" t="str">
        <f t="shared" si="3"/>
        <v>dotted silver</v>
      </c>
      <c r="D15" s="3" t="str">
        <f t="shared" si="17"/>
        <v>ZZZ</v>
      </c>
      <c r="E15" s="3" t="b">
        <f t="array" ref="E15">OR(ISNUMBER(SEARCH(D$2:D$30,$B15,5)))</f>
        <v>0</v>
      </c>
      <c r="G15" s="3" t="str">
        <f t="shared" si="4"/>
        <v>ZZZ</v>
      </c>
      <c r="H15" s="3" t="b">
        <f t="array" ref="H15">OR(ISNUMBER(SEARCH(G$2:G$30,$B15,5)))</f>
        <v>0</v>
      </c>
      <c r="J15" s="3" t="str">
        <f t="shared" si="5"/>
        <v>ZZZ</v>
      </c>
      <c r="K15" s="3" t="b">
        <f t="array" ref="K15">OR(ISNUMBER(SEARCH(J$2:J$30,$B15,5)))</f>
        <v>0</v>
      </c>
      <c r="L15" s="3" t="str">
        <f>IFERROR(__xludf.DUMMYFUNCTION("""COMPUTED_VALUE"""),"light aqua")</f>
        <v>light aqua</v>
      </c>
      <c r="M15" s="3" t="str">
        <f t="shared" si="6"/>
        <v>light aqua</v>
      </c>
      <c r="N15" s="3" t="b">
        <f t="array" ref="N15">OR(ISNUMBER(SEARCH(M$2:M$30,$B15,5)))</f>
        <v>0</v>
      </c>
      <c r="O15" s="3" t="str">
        <f>IFERROR(__xludf.DUMMYFUNCTION("""COMPUTED_VALUE"""),"light chartreuse")</f>
        <v>light chartreuse</v>
      </c>
      <c r="P15" s="3" t="str">
        <f t="shared" si="7"/>
        <v>light chartreuse</v>
      </c>
      <c r="Q15" s="3" t="b">
        <f t="array" ref="Q15">OR(ISNUMBER(SEARCH(P$2:P$50,$B15,5)))</f>
        <v>0</v>
      </c>
      <c r="R15" s="3" t="str">
        <f>IFERROR(__xludf.DUMMYFUNCTION("""COMPUTED_VALUE"""),"drab aqua")</f>
        <v>drab aqua</v>
      </c>
      <c r="S15" s="3" t="str">
        <f t="shared" si="8"/>
        <v>drab aqua</v>
      </c>
      <c r="T15" s="3" t="b">
        <f t="array" ref="T15">OR(ISNUMBER(SEARCH(S$2:S$100,$B15,5)))</f>
        <v>1</v>
      </c>
      <c r="U15" s="3" t="str">
        <f>IFERROR(__xludf.DUMMYFUNCTION("""COMPUTED_VALUE"""),"drab red")</f>
        <v>drab red</v>
      </c>
      <c r="V15" s="3" t="str">
        <f t="shared" si="9"/>
        <v>drab red</v>
      </c>
      <c r="W15" s="3" t="b">
        <f t="array" ref="W15">OR(ISNUMBER(SEARCH(V$2:V$100,$B15,5)))</f>
        <v>0</v>
      </c>
      <c r="X15" s="3" t="str">
        <f>IFERROR(__xludf.DUMMYFUNCTION("""COMPUTED_VALUE"""),"clear aqua")</f>
        <v>clear aqua</v>
      </c>
      <c r="Y15" s="3" t="str">
        <f t="shared" si="10"/>
        <v>clear aqua</v>
      </c>
      <c r="Z15" s="3" t="b">
        <f t="array" ref="Z15">OR(ISNUMBER(SEARCH(Y$2:Y$100,$B15,5)))</f>
        <v>0</v>
      </c>
      <c r="AA15" s="3" t="str">
        <f>IFERROR(__xludf.DUMMYFUNCTION("""COMPUTED_VALUE"""),"dotted bronze")</f>
        <v>dotted bronze</v>
      </c>
      <c r="AB15" s="3" t="str">
        <f t="shared" si="11"/>
        <v>dotted bronze</v>
      </c>
      <c r="AC15" s="3" t="b">
        <f t="array" ref="AC15">OR(ISNUMBER(SEARCH(AB$2:AB$100,$B15,5)))</f>
        <v>0</v>
      </c>
      <c r="AD15" s="3" t="str">
        <f>IFERROR(__xludf.DUMMYFUNCTION("""COMPUTED_VALUE"""),"dotted tan")</f>
        <v>dotted tan</v>
      </c>
      <c r="AE15" s="3" t="str">
        <f t="shared" si="12"/>
        <v>dotted tan</v>
      </c>
      <c r="AF15" s="3" t="b">
        <f t="array" ref="AF15">OR(ISNUMBER(SEARCH(AE$2:AE$100,$B15,5)))</f>
        <v>0</v>
      </c>
      <c r="AH15" s="3" t="str">
        <f t="shared" si="13"/>
        <v>ZZZ</v>
      </c>
      <c r="AI15" s="3" t="b">
        <f t="array" ref="AI15">OR(ISNUMBER(SEARCH(AH$2:AH$100,$B15,5)))</f>
        <v>0</v>
      </c>
      <c r="AK15" s="3" t="str">
        <f t="shared" si="14"/>
        <v>ZZZ</v>
      </c>
      <c r="AL15" s="3" t="b">
        <f t="array" ref="AL15">OR(ISNUMBER(SEARCH(AK$2:AK$100,$B15,5)))</f>
        <v>0</v>
      </c>
      <c r="AP15" s="3" t="str">
        <f t="shared" ref="AP15:AZ15" si="28">INDEX($A$1:$AN$600,ROW(),COLUMN()*3-120)</f>
        <v/>
      </c>
      <c r="AQ15" s="3" t="str">
        <f t="shared" si="28"/>
        <v/>
      </c>
      <c r="AR15" s="3" t="str">
        <f t="shared" si="28"/>
        <v>light aqua</v>
      </c>
      <c r="AS15" s="3" t="str">
        <f t="shared" si="28"/>
        <v>light chartreuse</v>
      </c>
      <c r="AT15" s="3" t="str">
        <f t="shared" si="28"/>
        <v>drab aqua</v>
      </c>
      <c r="AU15" s="3" t="str">
        <f t="shared" si="28"/>
        <v>drab red</v>
      </c>
      <c r="AV15" s="3" t="str">
        <f t="shared" si="28"/>
        <v>clear aqua</v>
      </c>
      <c r="AW15" s="3" t="str">
        <f t="shared" si="28"/>
        <v>dotted bronze</v>
      </c>
      <c r="AX15" s="3" t="str">
        <f t="shared" si="28"/>
        <v>dotted tan</v>
      </c>
      <c r="AY15" s="3" t="str">
        <f t="shared" si="28"/>
        <v/>
      </c>
      <c r="AZ15" s="3" t="str">
        <f t="shared" si="28"/>
        <v/>
      </c>
      <c r="BA15" s="8"/>
      <c r="BB15" s="6" t="str">
        <f>IFERROR(__xludf.DUMMYFUNCTION("""COMPUTED_VALUE"""),"dark lime")</f>
        <v>dark lime</v>
      </c>
      <c r="BC15" s="6" t="str">
        <f>IFERROR(__xludf.DUMMYFUNCTION("""COMPUTED_VALUE"""),"bright fuchsia")</f>
        <v>bright fuchsia</v>
      </c>
      <c r="BD15" s="8"/>
      <c r="BE15" s="6"/>
      <c r="BF15" s="6"/>
      <c r="BG15" s="8"/>
      <c r="BH15" s="6"/>
      <c r="BI15" s="6"/>
      <c r="BJ15" s="8"/>
      <c r="BK15" s="6"/>
      <c r="BL15" s="6"/>
      <c r="BM15" s="8"/>
      <c r="BN15" s="6"/>
      <c r="BO15" s="6"/>
      <c r="BP15" s="8"/>
      <c r="BQ15" s="6"/>
      <c r="BR15" s="6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</row>
    <row r="16">
      <c r="A16" s="6"/>
      <c r="B16" s="6" t="s">
        <v>16</v>
      </c>
      <c r="C16" s="3" t="str">
        <f t="shared" si="3"/>
        <v>light red</v>
      </c>
      <c r="D16" s="3" t="str">
        <f t="shared" si="17"/>
        <v>ZZZ</v>
      </c>
      <c r="E16" s="3" t="b">
        <f t="array" ref="E16">OR(ISNUMBER(SEARCH(D$2:D$30,$B16,5)))</f>
        <v>0</v>
      </c>
      <c r="G16" s="3" t="str">
        <f t="shared" si="4"/>
        <v>ZZZ</v>
      </c>
      <c r="H16" s="3" t="b">
        <f t="array" ref="H16">OR(ISNUMBER(SEARCH(G$2:G$30,$B16,5)))</f>
        <v>0</v>
      </c>
      <c r="J16" s="3" t="str">
        <f t="shared" si="5"/>
        <v>ZZZ</v>
      </c>
      <c r="K16" s="3" t="b">
        <f t="array" ref="K16">OR(ISNUMBER(SEARCH(J$2:J$30,$B16,5)))</f>
        <v>0</v>
      </c>
      <c r="L16" s="3" t="str">
        <f>IFERROR(__xludf.DUMMYFUNCTION("""COMPUTED_VALUE"""),"posh beige")</f>
        <v>posh beige</v>
      </c>
      <c r="M16" s="3" t="str">
        <f t="shared" si="6"/>
        <v>posh beige</v>
      </c>
      <c r="N16" s="3" t="b">
        <f t="array" ref="N16">OR(ISNUMBER(SEARCH(M$2:M$30,$B16,5)))</f>
        <v>1</v>
      </c>
      <c r="O16" s="3" t="str">
        <f>IFERROR(__xludf.DUMMYFUNCTION("""COMPUTED_VALUE"""),"clear brown")</f>
        <v>clear brown</v>
      </c>
      <c r="P16" s="3" t="str">
        <f t="shared" si="7"/>
        <v>clear brown</v>
      </c>
      <c r="Q16" s="3" t="b">
        <f t="array" ref="Q16">OR(ISNUMBER(SEARCH(P$2:P$50,$B16,5)))</f>
        <v>1</v>
      </c>
      <c r="R16" s="3" t="str">
        <f>IFERROR(__xludf.DUMMYFUNCTION("""COMPUTED_VALUE"""),"drab crimson")</f>
        <v>drab crimson</v>
      </c>
      <c r="S16" s="3" t="str">
        <f t="shared" si="8"/>
        <v>drab crimson</v>
      </c>
      <c r="T16" s="3" t="b">
        <f t="array" ref="T16">OR(ISNUMBER(SEARCH(S$2:S$100,$B16,5)))</f>
        <v>0</v>
      </c>
      <c r="U16" s="3" t="str">
        <f>IFERROR(__xludf.DUMMYFUNCTION("""COMPUTED_VALUE"""),"muted teal")</f>
        <v>muted teal</v>
      </c>
      <c r="V16" s="3" t="str">
        <f t="shared" si="9"/>
        <v>muted teal</v>
      </c>
      <c r="W16" s="3" t="b">
        <f t="array" ref="W16">OR(ISNUMBER(SEARCH(V$2:V$100,$B16,5)))</f>
        <v>0</v>
      </c>
      <c r="X16" s="3" t="str">
        <f>IFERROR(__xludf.DUMMYFUNCTION("""COMPUTED_VALUE"""),"shiny blue")</f>
        <v>shiny blue</v>
      </c>
      <c r="Y16" s="3" t="str">
        <f t="shared" si="10"/>
        <v>shiny blue</v>
      </c>
      <c r="Z16" s="3" t="b">
        <f t="array" ref="Z16">OR(ISNUMBER(SEARCH(Y$2:Y$100,$B16,5)))</f>
        <v>0</v>
      </c>
      <c r="AA16" s="3" t="str">
        <f>IFERROR(__xludf.DUMMYFUNCTION("""COMPUTED_VALUE"""),"clear turquoise")</f>
        <v>clear turquoise</v>
      </c>
      <c r="AB16" s="3" t="str">
        <f t="shared" si="11"/>
        <v>clear turquoise</v>
      </c>
      <c r="AC16" s="3" t="b">
        <f t="array" ref="AC16">OR(ISNUMBER(SEARCH(AB$2:AB$100,$B16,5)))</f>
        <v>0</v>
      </c>
      <c r="AD16" s="3" t="str">
        <f>IFERROR(__xludf.DUMMYFUNCTION("""COMPUTED_VALUE"""),"pale violet")</f>
        <v>pale violet</v>
      </c>
      <c r="AE16" s="3" t="str">
        <f t="shared" si="12"/>
        <v>pale violet</v>
      </c>
      <c r="AF16" s="3" t="b">
        <f t="array" ref="AF16">OR(ISNUMBER(SEARCH(AE$2:AE$100,$B16,5)))</f>
        <v>0</v>
      </c>
      <c r="AH16" s="3" t="str">
        <f t="shared" si="13"/>
        <v>ZZZ</v>
      </c>
      <c r="AI16" s="3" t="b">
        <f t="array" ref="AI16">OR(ISNUMBER(SEARCH(AH$2:AH$100,$B16,5)))</f>
        <v>0</v>
      </c>
      <c r="AK16" s="3" t="str">
        <f t="shared" si="14"/>
        <v>ZZZ</v>
      </c>
      <c r="AL16" s="3" t="b">
        <f t="array" ref="AL16">OR(ISNUMBER(SEARCH(AK$2:AK$100,$B16,5)))</f>
        <v>0</v>
      </c>
      <c r="AP16" s="3" t="str">
        <f t="shared" ref="AP16:AZ16" si="29">INDEX($A$1:$AN$600,ROW(),COLUMN()*3-120)</f>
        <v/>
      </c>
      <c r="AQ16" s="3" t="str">
        <f t="shared" si="29"/>
        <v/>
      </c>
      <c r="AR16" s="3" t="str">
        <f t="shared" si="29"/>
        <v>posh beige</v>
      </c>
      <c r="AS16" s="3" t="str">
        <f t="shared" si="29"/>
        <v>clear brown</v>
      </c>
      <c r="AT16" s="3" t="str">
        <f t="shared" si="29"/>
        <v>drab crimson</v>
      </c>
      <c r="AU16" s="3" t="str">
        <f t="shared" si="29"/>
        <v>muted teal</v>
      </c>
      <c r="AV16" s="3" t="str">
        <f t="shared" si="29"/>
        <v>shiny blue</v>
      </c>
      <c r="AW16" s="3" t="str">
        <f t="shared" si="29"/>
        <v>clear turquoise</v>
      </c>
      <c r="AX16" s="3" t="str">
        <f t="shared" si="29"/>
        <v>pale violet</v>
      </c>
      <c r="AY16" s="3" t="str">
        <f t="shared" si="29"/>
        <v/>
      </c>
      <c r="AZ16" s="3" t="str">
        <f t="shared" si="29"/>
        <v/>
      </c>
      <c r="BA16" s="8"/>
      <c r="BB16" s="6" t="str">
        <f>IFERROR(__xludf.DUMMYFUNCTION("""COMPUTED_VALUE"""),"light red")</f>
        <v>light red</v>
      </c>
      <c r="BC16" s="6" t="str">
        <f>IFERROR(__xludf.DUMMYFUNCTION("""COMPUTED_VALUE"""),"dark lime")</f>
        <v>dark lime</v>
      </c>
      <c r="BD16" s="8"/>
      <c r="BE16" s="6"/>
      <c r="BF16" s="8"/>
      <c r="BG16" s="8"/>
      <c r="BH16" s="6"/>
      <c r="BI16" s="6"/>
      <c r="BJ16" s="8"/>
      <c r="BK16" s="6"/>
      <c r="BL16" s="6"/>
      <c r="BM16" s="8"/>
      <c r="BN16" s="6"/>
      <c r="BO16" s="6"/>
      <c r="BP16" s="8"/>
      <c r="BQ16" s="6"/>
      <c r="BR16" s="6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</row>
    <row r="17">
      <c r="A17" s="6"/>
      <c r="B17" s="6" t="s">
        <v>17</v>
      </c>
      <c r="C17" s="3" t="str">
        <f t="shared" si="3"/>
        <v>shiny brown</v>
      </c>
      <c r="D17" s="3" t="str">
        <f t="shared" si="17"/>
        <v>ZZZ</v>
      </c>
      <c r="E17" s="3" t="b">
        <f t="array" ref="E17">OR(ISNUMBER(SEARCH(D$2:D$30,$B17,5)))</f>
        <v>0</v>
      </c>
      <c r="G17" s="3" t="str">
        <f t="shared" si="4"/>
        <v>ZZZ</v>
      </c>
      <c r="H17" s="3" t="b">
        <f t="array" ref="H17">OR(ISNUMBER(SEARCH(G$2:G$30,$B17,5)))</f>
        <v>0</v>
      </c>
      <c r="J17" s="3" t="str">
        <f t="shared" si="5"/>
        <v>ZZZ</v>
      </c>
      <c r="K17" s="3" t="b">
        <f t="array" ref="K17">OR(ISNUMBER(SEARCH(J$2:J$30,$B17,5)))</f>
        <v>0</v>
      </c>
      <c r="L17" s="3" t="str">
        <f>IFERROR(__xludf.DUMMYFUNCTION("""COMPUTED_VALUE"""),"dark violet")</f>
        <v>dark violet</v>
      </c>
      <c r="M17" s="3" t="str">
        <f t="shared" si="6"/>
        <v>dark violet</v>
      </c>
      <c r="N17" s="3" t="b">
        <f t="array" ref="N17">OR(ISNUMBER(SEARCH(M$2:M$30,$B17,5)))</f>
        <v>0</v>
      </c>
      <c r="O17" s="3" t="str">
        <f>IFERROR(__xludf.DUMMYFUNCTION("""COMPUTED_VALUE"""),"pale magenta")</f>
        <v>pale magenta</v>
      </c>
      <c r="P17" s="3" t="str">
        <f t="shared" si="7"/>
        <v>pale magenta</v>
      </c>
      <c r="Q17" s="3" t="b">
        <f t="array" ref="Q17">OR(ISNUMBER(SEARCH(P$2:P$50,$B17,5)))</f>
        <v>0</v>
      </c>
      <c r="R17" s="3" t="str">
        <f>IFERROR(__xludf.DUMMYFUNCTION("""COMPUTED_VALUE"""),"muted teal")</f>
        <v>muted teal</v>
      </c>
      <c r="S17" s="3" t="str">
        <f t="shared" si="8"/>
        <v>muted teal</v>
      </c>
      <c r="T17" s="3" t="b">
        <f t="array" ref="T17">OR(ISNUMBER(SEARCH(S$2:S$100,$B17,5)))</f>
        <v>0</v>
      </c>
      <c r="U17" s="3" t="str">
        <f>IFERROR(__xludf.DUMMYFUNCTION("""COMPUTED_VALUE"""),"dull teal")</f>
        <v>dull teal</v>
      </c>
      <c r="V17" s="3" t="str">
        <f t="shared" si="9"/>
        <v>dull teal</v>
      </c>
      <c r="W17" s="3" t="b">
        <f t="array" ref="W17">OR(ISNUMBER(SEARCH(V$2:V$100,$B17,5)))</f>
        <v>0</v>
      </c>
      <c r="X17" s="3" t="str">
        <f>IFERROR(__xludf.DUMMYFUNCTION("""COMPUTED_VALUE"""),"bright gold")</f>
        <v>bright gold</v>
      </c>
      <c r="Y17" s="3" t="str">
        <f t="shared" si="10"/>
        <v>bright gold</v>
      </c>
      <c r="Z17" s="3" t="b">
        <f t="array" ref="Z17">OR(ISNUMBER(SEARCH(Y$2:Y$100,$B17,5)))</f>
        <v>0</v>
      </c>
      <c r="AA17" s="3" t="str">
        <f>IFERROR(__xludf.DUMMYFUNCTION("""COMPUTED_VALUE"""),"clear plum")</f>
        <v>clear plum</v>
      </c>
      <c r="AB17" s="3" t="str">
        <f t="shared" si="11"/>
        <v>clear plum</v>
      </c>
      <c r="AC17" s="3" t="b">
        <f t="array" ref="AC17">OR(ISNUMBER(SEARCH(AB$2:AB$100,$B17,5)))</f>
        <v>0</v>
      </c>
      <c r="AD17" s="3" t="str">
        <f>IFERROR(__xludf.DUMMYFUNCTION("""COMPUTED_VALUE"""),"bright gray")</f>
        <v>bright gray</v>
      </c>
      <c r="AE17" s="3" t="str">
        <f t="shared" si="12"/>
        <v>bright gray</v>
      </c>
      <c r="AF17" s="3" t="b">
        <f t="array" ref="AF17">OR(ISNUMBER(SEARCH(AE$2:AE$100,$B17,5)))</f>
        <v>0</v>
      </c>
      <c r="AH17" s="3" t="str">
        <f t="shared" si="13"/>
        <v>ZZZ</v>
      </c>
      <c r="AI17" s="3" t="b">
        <f t="array" ref="AI17">OR(ISNUMBER(SEARCH(AH$2:AH$100,$B17,5)))</f>
        <v>0</v>
      </c>
      <c r="AK17" s="3" t="str">
        <f t="shared" si="14"/>
        <v>ZZZ</v>
      </c>
      <c r="AL17" s="3" t="b">
        <f t="array" ref="AL17">OR(ISNUMBER(SEARCH(AK$2:AK$100,$B17,5)))</f>
        <v>0</v>
      </c>
      <c r="AP17" s="3" t="str">
        <f t="shared" ref="AP17:AZ17" si="30">INDEX($A$1:$AN$600,ROW(),COLUMN()*3-120)</f>
        <v/>
      </c>
      <c r="AQ17" s="3" t="str">
        <f t="shared" si="30"/>
        <v/>
      </c>
      <c r="AR17" s="3" t="str">
        <f t="shared" si="30"/>
        <v>dark violet</v>
      </c>
      <c r="AS17" s="3" t="str">
        <f t="shared" si="30"/>
        <v>pale magenta</v>
      </c>
      <c r="AT17" s="3" t="str">
        <f t="shared" si="30"/>
        <v>muted teal</v>
      </c>
      <c r="AU17" s="3" t="str">
        <f t="shared" si="30"/>
        <v>dull teal</v>
      </c>
      <c r="AV17" s="3" t="str">
        <f t="shared" si="30"/>
        <v>bright gold</v>
      </c>
      <c r="AW17" s="3" t="str">
        <f t="shared" si="30"/>
        <v>clear plum</v>
      </c>
      <c r="AX17" s="3" t="str">
        <f t="shared" si="30"/>
        <v>bright gray</v>
      </c>
      <c r="AY17" s="3" t="str">
        <f t="shared" si="30"/>
        <v/>
      </c>
      <c r="AZ17" s="3" t="str">
        <f t="shared" si="30"/>
        <v/>
      </c>
      <c r="BA17" s="8"/>
      <c r="BB17" s="6" t="str">
        <f>IFERROR(__xludf.DUMMYFUNCTION("""COMPUTED_VALUE"""),"shiny teal")</f>
        <v>shiny teal</v>
      </c>
      <c r="BC17" s="8" t="str">
        <f>IFERROR(__xludf.DUMMYFUNCTION("""COMPUTED_VALUE"""),"shiny teal")</f>
        <v>shiny teal</v>
      </c>
      <c r="BD17" s="8"/>
      <c r="BE17" s="6"/>
      <c r="BF17" s="6"/>
      <c r="BG17" s="8"/>
      <c r="BH17" s="6"/>
      <c r="BI17" s="8"/>
      <c r="BJ17" s="8"/>
      <c r="BK17" s="6"/>
      <c r="BL17" s="6"/>
      <c r="BM17" s="8"/>
      <c r="BN17" s="6"/>
      <c r="BO17" s="6"/>
      <c r="BP17" s="8"/>
      <c r="BQ17" s="6"/>
      <c r="BR17" s="6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</row>
    <row r="18">
      <c r="A18" s="6"/>
      <c r="B18" s="6" t="s">
        <v>18</v>
      </c>
      <c r="C18" s="3" t="str">
        <f t="shared" si="3"/>
        <v>plaid plum</v>
      </c>
      <c r="D18" s="3" t="str">
        <f t="shared" si="17"/>
        <v>ZZZ</v>
      </c>
      <c r="E18" s="3" t="b">
        <f t="array" ref="E18">OR(ISNUMBER(SEARCH(D$2:D$30,$B18,5)))</f>
        <v>0</v>
      </c>
      <c r="G18" s="3" t="str">
        <f t="shared" si="4"/>
        <v>ZZZ</v>
      </c>
      <c r="H18" s="3" t="b">
        <f t="array" ref="H18">OR(ISNUMBER(SEARCH(G$2:G$30,$B18,5)))</f>
        <v>0</v>
      </c>
      <c r="J18" s="3" t="str">
        <f t="shared" si="5"/>
        <v>ZZZ</v>
      </c>
      <c r="K18" s="3" t="b">
        <f t="array" ref="K18">OR(ISNUMBER(SEARCH(J$2:J$30,$B18,5)))</f>
        <v>0</v>
      </c>
      <c r="L18" s="3" t="str">
        <f>IFERROR(__xludf.DUMMYFUNCTION("""COMPUTED_VALUE"""),"drab black")</f>
        <v>drab black</v>
      </c>
      <c r="M18" s="3" t="str">
        <f t="shared" si="6"/>
        <v>drab black</v>
      </c>
      <c r="N18" s="3" t="b">
        <f t="array" ref="N18">OR(ISNUMBER(SEARCH(M$2:M$30,$B18,5)))</f>
        <v>0</v>
      </c>
      <c r="O18" s="3" t="str">
        <f>IFERROR(__xludf.DUMMYFUNCTION("""COMPUTED_VALUE"""),"vibrant magenta")</f>
        <v>vibrant magenta</v>
      </c>
      <c r="P18" s="3" t="str">
        <f t="shared" si="7"/>
        <v>vibrant magenta</v>
      </c>
      <c r="Q18" s="3" t="b">
        <f t="array" ref="Q18">OR(ISNUMBER(SEARCH(P$2:P$50,$B18,5)))</f>
        <v>0</v>
      </c>
      <c r="R18" s="3" t="str">
        <f>IFERROR(__xludf.DUMMYFUNCTION("""COMPUTED_VALUE"""),"dull teal")</f>
        <v>dull teal</v>
      </c>
      <c r="S18" s="3" t="str">
        <f t="shared" si="8"/>
        <v>dull teal</v>
      </c>
      <c r="T18" s="3" t="b">
        <f t="array" ref="T18">OR(ISNUMBER(SEARCH(S$2:S$100,$B18,5)))</f>
        <v>0</v>
      </c>
      <c r="U18" s="3" t="str">
        <f>IFERROR(__xludf.DUMMYFUNCTION("""COMPUTED_VALUE"""),"bright purple")</f>
        <v>bright purple</v>
      </c>
      <c r="V18" s="3" t="str">
        <f t="shared" si="9"/>
        <v>bright purple</v>
      </c>
      <c r="W18" s="3" t="b">
        <f t="array" ref="W18">OR(ISNUMBER(SEARCH(V$2:V$100,$B18,5)))</f>
        <v>0</v>
      </c>
      <c r="X18" s="3" t="str">
        <f>IFERROR(__xludf.DUMMYFUNCTION("""COMPUTED_VALUE"""),"dull red")</f>
        <v>dull red</v>
      </c>
      <c r="Y18" s="3" t="str">
        <f t="shared" si="10"/>
        <v>dull red</v>
      </c>
      <c r="Z18" s="3" t="b">
        <f t="array" ref="Z18">OR(ISNUMBER(SEARCH(Y$2:Y$100,$B18,5)))</f>
        <v>0</v>
      </c>
      <c r="AA18" s="3" t="str">
        <f>IFERROR(__xludf.DUMMYFUNCTION("""COMPUTED_VALUE"""),"posh teal")</f>
        <v>posh teal</v>
      </c>
      <c r="AB18" s="3" t="str">
        <f t="shared" si="11"/>
        <v>posh teal</v>
      </c>
      <c r="AC18" s="3" t="b">
        <f t="array" ref="AC18">OR(ISNUMBER(SEARCH(AB$2:AB$100,$B18,5)))</f>
        <v>0</v>
      </c>
      <c r="AD18" s="3" t="str">
        <f>IFERROR(__xludf.DUMMYFUNCTION("""COMPUTED_VALUE"""),"wavy lime")</f>
        <v>wavy lime</v>
      </c>
      <c r="AE18" s="3" t="str">
        <f t="shared" si="12"/>
        <v>wavy lime</v>
      </c>
      <c r="AF18" s="3" t="b">
        <f t="array" ref="AF18">OR(ISNUMBER(SEARCH(AE$2:AE$100,$B18,5)))</f>
        <v>0</v>
      </c>
      <c r="AH18" s="3" t="str">
        <f t="shared" si="13"/>
        <v>ZZZ</v>
      </c>
      <c r="AI18" s="3" t="b">
        <f t="array" ref="AI18">OR(ISNUMBER(SEARCH(AH$2:AH$100,$B18,5)))</f>
        <v>0</v>
      </c>
      <c r="AK18" s="3" t="str">
        <f t="shared" si="14"/>
        <v>ZZZ</v>
      </c>
      <c r="AL18" s="3" t="b">
        <f t="array" ref="AL18">OR(ISNUMBER(SEARCH(AK$2:AK$100,$B18,5)))</f>
        <v>0</v>
      </c>
      <c r="AP18" s="3" t="str">
        <f t="shared" ref="AP18:AZ18" si="31">INDEX($A$1:$AN$600,ROW(),COLUMN()*3-120)</f>
        <v/>
      </c>
      <c r="AQ18" s="3" t="str">
        <f t="shared" si="31"/>
        <v/>
      </c>
      <c r="AR18" s="3" t="str">
        <f t="shared" si="31"/>
        <v>drab black</v>
      </c>
      <c r="AS18" s="3" t="str">
        <f t="shared" si="31"/>
        <v>vibrant magenta</v>
      </c>
      <c r="AT18" s="3" t="str">
        <f t="shared" si="31"/>
        <v>dull teal</v>
      </c>
      <c r="AU18" s="3" t="str">
        <f t="shared" si="31"/>
        <v>bright purple</v>
      </c>
      <c r="AV18" s="3" t="str">
        <f t="shared" si="31"/>
        <v>dull red</v>
      </c>
      <c r="AW18" s="3" t="str">
        <f t="shared" si="31"/>
        <v>posh teal</v>
      </c>
      <c r="AX18" s="3" t="str">
        <f t="shared" si="31"/>
        <v>wavy lime</v>
      </c>
      <c r="AY18" s="3" t="str">
        <f t="shared" si="31"/>
        <v/>
      </c>
      <c r="AZ18" s="3" t="str">
        <f t="shared" si="31"/>
        <v/>
      </c>
      <c r="BA18" s="8"/>
      <c r="BB18" s="6" t="str">
        <f>IFERROR(__xludf.DUMMYFUNCTION("""COMPUTED_VALUE"""),"light beige")</f>
        <v>light beige</v>
      </c>
      <c r="BC18" s="8" t="str">
        <f>IFERROR(__xludf.DUMMYFUNCTION("""COMPUTED_VALUE"""),"light beige")</f>
        <v>light beige</v>
      </c>
      <c r="BD18" s="8"/>
      <c r="BE18" s="6"/>
      <c r="BF18" s="6"/>
      <c r="BG18" s="8"/>
      <c r="BH18" s="6"/>
      <c r="BI18" s="6"/>
      <c r="BJ18" s="8"/>
      <c r="BK18" s="6"/>
      <c r="BL18" s="6"/>
      <c r="BM18" s="8"/>
      <c r="BN18" s="6"/>
      <c r="BO18" s="6"/>
      <c r="BP18" s="8"/>
      <c r="BQ18" s="6"/>
      <c r="BR18" s="6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</row>
    <row r="19">
      <c r="A19" s="6"/>
      <c r="B19" s="6" t="s">
        <v>19</v>
      </c>
      <c r="C19" s="3" t="str">
        <f t="shared" si="3"/>
        <v>vibrant lavender</v>
      </c>
      <c r="D19" s="3" t="str">
        <f t="shared" si="17"/>
        <v>ZZZ</v>
      </c>
      <c r="E19" s="3" t="b">
        <f t="array" ref="E19">OR(ISNUMBER(SEARCH(D$2:D$30,$B19,5)))</f>
        <v>0</v>
      </c>
      <c r="G19" s="3" t="str">
        <f t="shared" si="4"/>
        <v>ZZZ</v>
      </c>
      <c r="H19" s="3" t="b">
        <f t="array" ref="H19">OR(ISNUMBER(SEARCH(G$2:G$30,$B19,5)))</f>
        <v>0</v>
      </c>
      <c r="J19" s="3" t="str">
        <f t="shared" si="5"/>
        <v>ZZZ</v>
      </c>
      <c r="K19" s="3" t="b">
        <f t="array" ref="K19">OR(ISNUMBER(SEARCH(J$2:J$30,$B19,5)))</f>
        <v>0</v>
      </c>
      <c r="L19" s="3" t="str">
        <f>IFERROR(__xludf.DUMMYFUNCTION("""COMPUTED_VALUE"""),"dotted violet")</f>
        <v>dotted violet</v>
      </c>
      <c r="M19" s="3" t="str">
        <f t="shared" si="6"/>
        <v>dotted violet</v>
      </c>
      <c r="N19" s="3" t="b">
        <f t="array" ref="N19">OR(ISNUMBER(SEARCH(M$2:M$30,$B19,5)))</f>
        <v>0</v>
      </c>
      <c r="O19" s="3" t="str">
        <f>IFERROR(__xludf.DUMMYFUNCTION("""COMPUTED_VALUE"""),"dark orange")</f>
        <v>dark orange</v>
      </c>
      <c r="P19" s="3" t="str">
        <f t="shared" si="7"/>
        <v>dark orange</v>
      </c>
      <c r="Q19" s="3" t="b">
        <f t="array" ref="Q19">OR(ISNUMBER(SEARCH(P$2:P$50,$B19,5)))</f>
        <v>0</v>
      </c>
      <c r="R19" s="3" t="str">
        <f>IFERROR(__xludf.DUMMYFUNCTION("""COMPUTED_VALUE"""),"dull lavender")</f>
        <v>dull lavender</v>
      </c>
      <c r="S19" s="3" t="str">
        <f t="shared" si="8"/>
        <v>dull lavender</v>
      </c>
      <c r="T19" s="3" t="b">
        <f t="array" ref="T19">OR(ISNUMBER(SEARCH(S$2:S$100,$B19,5)))</f>
        <v>0</v>
      </c>
      <c r="U19" s="3" t="str">
        <f>IFERROR(__xludf.DUMMYFUNCTION("""COMPUTED_VALUE"""),"striped orange")</f>
        <v>striped orange</v>
      </c>
      <c r="V19" s="3" t="str">
        <f t="shared" si="9"/>
        <v>striped orange</v>
      </c>
      <c r="W19" s="3" t="b">
        <f t="array" ref="W19">OR(ISNUMBER(SEARCH(V$2:V$100,$B19,5)))</f>
        <v>0</v>
      </c>
      <c r="X19" s="3" t="str">
        <f>IFERROR(__xludf.DUMMYFUNCTION("""COMPUTED_VALUE"""),"vibrant magenta")</f>
        <v>vibrant magenta</v>
      </c>
      <c r="Y19" s="3" t="str">
        <f t="shared" si="10"/>
        <v>vibrant magenta</v>
      </c>
      <c r="Z19" s="3" t="b">
        <f t="array" ref="Z19">OR(ISNUMBER(SEARCH(Y$2:Y$100,$B19,5)))</f>
        <v>0</v>
      </c>
      <c r="AA19" s="3" t="str">
        <f>IFERROR(__xludf.DUMMYFUNCTION("""COMPUTED_VALUE"""),"vibrant fuchsia")</f>
        <v>vibrant fuchsia</v>
      </c>
      <c r="AB19" s="3" t="str">
        <f t="shared" si="11"/>
        <v>vibrant fuchsia</v>
      </c>
      <c r="AC19" s="3" t="b">
        <f t="array" ref="AC19">OR(ISNUMBER(SEARCH(AB$2:AB$100,$B19,5)))</f>
        <v>0</v>
      </c>
      <c r="AD19" s="3" t="str">
        <f>IFERROR(__xludf.DUMMYFUNCTION("""COMPUTED_VALUE"""),"dull magenta")</f>
        <v>dull magenta</v>
      </c>
      <c r="AE19" s="3" t="str">
        <f t="shared" si="12"/>
        <v>dull magenta</v>
      </c>
      <c r="AF19" s="3" t="b">
        <f t="array" ref="AF19">OR(ISNUMBER(SEARCH(AE$2:AE$100,$B19,5)))</f>
        <v>0</v>
      </c>
      <c r="AH19" s="3" t="str">
        <f t="shared" si="13"/>
        <v>ZZZ</v>
      </c>
      <c r="AI19" s="3" t="b">
        <f t="array" ref="AI19">OR(ISNUMBER(SEARCH(AH$2:AH$100,$B19,5)))</f>
        <v>0</v>
      </c>
      <c r="AK19" s="3" t="str">
        <f t="shared" si="14"/>
        <v>ZZZ</v>
      </c>
      <c r="AL19" s="3" t="b">
        <f t="array" ref="AL19">OR(ISNUMBER(SEARCH(AK$2:AK$100,$B19,5)))</f>
        <v>0</v>
      </c>
      <c r="AP19" s="3" t="str">
        <f t="shared" ref="AP19:AZ19" si="32">INDEX($A$1:$AN$600,ROW(),COLUMN()*3-120)</f>
        <v/>
      </c>
      <c r="AQ19" s="3" t="str">
        <f t="shared" si="32"/>
        <v/>
      </c>
      <c r="AR19" s="3" t="str">
        <f t="shared" si="32"/>
        <v>dotted violet</v>
      </c>
      <c r="AS19" s="3" t="str">
        <f t="shared" si="32"/>
        <v>dark orange</v>
      </c>
      <c r="AT19" s="3" t="str">
        <f t="shared" si="32"/>
        <v>dull lavender</v>
      </c>
      <c r="AU19" s="3" t="str">
        <f t="shared" si="32"/>
        <v>striped orange</v>
      </c>
      <c r="AV19" s="3" t="str">
        <f t="shared" si="32"/>
        <v>vibrant magenta</v>
      </c>
      <c r="AW19" s="3" t="str">
        <f t="shared" si="32"/>
        <v>vibrant fuchsia</v>
      </c>
      <c r="AX19" s="3" t="str">
        <f t="shared" si="32"/>
        <v>dull magenta</v>
      </c>
      <c r="AY19" s="3" t="str">
        <f t="shared" si="32"/>
        <v/>
      </c>
      <c r="AZ19" s="3" t="str">
        <f t="shared" si="32"/>
        <v/>
      </c>
      <c r="BA19" s="8"/>
      <c r="BB19" s="6" t="str">
        <f>IFERROR(__xludf.DUMMYFUNCTION("""COMPUTED_VALUE"""),"light gold")</f>
        <v>light gold</v>
      </c>
      <c r="BC19" s="8" t="str">
        <f>IFERROR(__xludf.DUMMYFUNCTION("""COMPUTED_VALUE"""),"light gold")</f>
        <v>light gold</v>
      </c>
      <c r="BD19" s="8"/>
      <c r="BE19" s="6"/>
      <c r="BF19" s="6"/>
      <c r="BG19" s="8"/>
      <c r="BH19" s="6"/>
      <c r="BI19" s="6"/>
      <c r="BJ19" s="8"/>
      <c r="BK19" s="6"/>
      <c r="BL19" s="6"/>
      <c r="BM19" s="8"/>
      <c r="BN19" s="6"/>
      <c r="BO19" s="6"/>
      <c r="BP19" s="8"/>
      <c r="BQ19" s="6"/>
      <c r="BR19" s="6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</row>
    <row r="20">
      <c r="A20" s="6"/>
      <c r="B20" s="6" t="s">
        <v>20</v>
      </c>
      <c r="C20" s="3" t="str">
        <f t="shared" si="3"/>
        <v>muted yellow</v>
      </c>
      <c r="D20" s="3" t="str">
        <f t="shared" si="17"/>
        <v>ZZZ</v>
      </c>
      <c r="E20" s="3" t="b">
        <f t="array" ref="E20">OR(ISNUMBER(SEARCH(D$2:D$30,$B20,5)))</f>
        <v>0</v>
      </c>
      <c r="G20" s="3" t="str">
        <f t="shared" si="4"/>
        <v>ZZZ</v>
      </c>
      <c r="H20" s="3" t="b">
        <f t="array" ref="H20">OR(ISNUMBER(SEARCH(G$2:G$30,$B20,5)))</f>
        <v>0</v>
      </c>
      <c r="J20" s="3" t="str">
        <f t="shared" si="5"/>
        <v>ZZZ</v>
      </c>
      <c r="K20" s="3" t="b">
        <f t="array" ref="K20">OR(ISNUMBER(SEARCH(J$2:J$30,$B20,5)))</f>
        <v>0</v>
      </c>
      <c r="M20" s="3" t="str">
        <f t="shared" si="6"/>
        <v>ZZZ</v>
      </c>
      <c r="N20" s="3" t="b">
        <f t="array" ref="N20">OR(ISNUMBER(SEARCH(M$2:M$30,$B20,5)))</f>
        <v>0</v>
      </c>
      <c r="O20" s="3" t="str">
        <f>IFERROR(__xludf.DUMMYFUNCTION("""COMPUTED_VALUE"""),"plaid chartreuse")</f>
        <v>plaid chartreuse</v>
      </c>
      <c r="P20" s="3" t="str">
        <f t="shared" si="7"/>
        <v>plaid chartreuse</v>
      </c>
      <c r="Q20" s="3" t="b">
        <f t="array" ref="Q20">OR(ISNUMBER(SEARCH(P$2:P$50,$B20,5)))</f>
        <v>0</v>
      </c>
      <c r="R20" s="3" t="str">
        <f>IFERROR(__xludf.DUMMYFUNCTION("""COMPUTED_VALUE"""),"striped orange")</f>
        <v>striped orange</v>
      </c>
      <c r="S20" s="3" t="str">
        <f t="shared" si="8"/>
        <v>striped orange</v>
      </c>
      <c r="T20" s="3" t="b">
        <f t="array" ref="T20">OR(ISNUMBER(SEARCH(S$2:S$100,$B20,5)))</f>
        <v>0</v>
      </c>
      <c r="U20" s="3" t="str">
        <f>IFERROR(__xludf.DUMMYFUNCTION("""COMPUTED_VALUE"""),"dark silver")</f>
        <v>dark silver</v>
      </c>
      <c r="V20" s="3" t="str">
        <f t="shared" si="9"/>
        <v>dark silver</v>
      </c>
      <c r="W20" s="3" t="b">
        <f t="array" ref="W20">OR(ISNUMBER(SEARCH(V$2:V$100,$B20,5)))</f>
        <v>0</v>
      </c>
      <c r="X20" s="3" t="str">
        <f>IFERROR(__xludf.DUMMYFUNCTION("""COMPUTED_VALUE"""),"light turquoise")</f>
        <v>light turquoise</v>
      </c>
      <c r="Y20" s="3" t="str">
        <f t="shared" si="10"/>
        <v>light turquoise</v>
      </c>
      <c r="Z20" s="3" t="b">
        <f t="array" ref="Z20">OR(ISNUMBER(SEARCH(Y$2:Y$100,$B20,5)))</f>
        <v>0</v>
      </c>
      <c r="AA20" s="3" t="str">
        <f>IFERROR(__xludf.DUMMYFUNCTION("""COMPUTED_VALUE"""),"wavy brown")</f>
        <v>wavy brown</v>
      </c>
      <c r="AB20" s="3" t="str">
        <f t="shared" si="11"/>
        <v>wavy brown</v>
      </c>
      <c r="AC20" s="3" t="b">
        <f t="array" ref="AC20">OR(ISNUMBER(SEARCH(AB$2:AB$100,$B20,5)))</f>
        <v>0</v>
      </c>
      <c r="AD20" s="3" t="str">
        <f>IFERROR(__xludf.DUMMYFUNCTION("""COMPUTED_VALUE"""),"plaid orange")</f>
        <v>plaid orange</v>
      </c>
      <c r="AE20" s="3" t="str">
        <f t="shared" si="12"/>
        <v>plaid orange</v>
      </c>
      <c r="AF20" s="3" t="b">
        <f t="array" ref="AF20">OR(ISNUMBER(SEARCH(AE$2:AE$100,$B20,5)))</f>
        <v>0</v>
      </c>
      <c r="AH20" s="3" t="str">
        <f t="shared" si="13"/>
        <v>ZZZ</v>
      </c>
      <c r="AI20" s="3" t="b">
        <f t="array" ref="AI20">OR(ISNUMBER(SEARCH(AH$2:AH$100,$B20,5)))</f>
        <v>0</v>
      </c>
      <c r="AK20" s="3" t="str">
        <f t="shared" si="14"/>
        <v>ZZZ</v>
      </c>
      <c r="AL20" s="3" t="b">
        <f t="array" ref="AL20">OR(ISNUMBER(SEARCH(AK$2:AK$100,$B20,5)))</f>
        <v>0</v>
      </c>
      <c r="AP20" s="3" t="str">
        <f t="shared" ref="AP20:AZ20" si="33">INDEX($A$1:$AN$600,ROW(),COLUMN()*3-120)</f>
        <v/>
      </c>
      <c r="AQ20" s="3" t="str">
        <f t="shared" si="33"/>
        <v/>
      </c>
      <c r="AR20" s="3" t="str">
        <f t="shared" si="33"/>
        <v/>
      </c>
      <c r="AS20" s="3" t="str">
        <f t="shared" si="33"/>
        <v>plaid chartreuse</v>
      </c>
      <c r="AT20" s="3" t="str">
        <f t="shared" si="33"/>
        <v>striped orange</v>
      </c>
      <c r="AU20" s="3" t="str">
        <f t="shared" si="33"/>
        <v>dark silver</v>
      </c>
      <c r="AV20" s="3" t="str">
        <f t="shared" si="33"/>
        <v>light turquoise</v>
      </c>
      <c r="AW20" s="3" t="str">
        <f t="shared" si="33"/>
        <v>wavy brown</v>
      </c>
      <c r="AX20" s="3" t="str">
        <f t="shared" si="33"/>
        <v>plaid orange</v>
      </c>
      <c r="AY20" s="3" t="str">
        <f t="shared" si="33"/>
        <v/>
      </c>
      <c r="AZ20" s="3" t="str">
        <f t="shared" si="33"/>
        <v/>
      </c>
      <c r="BA20" s="8"/>
      <c r="BB20" s="6" t="str">
        <f>IFERROR(__xludf.DUMMYFUNCTION("""COMPUTED_VALUE"""),"dotted black")</f>
        <v>dotted black</v>
      </c>
      <c r="BC20" s="8" t="str">
        <f>IFERROR(__xludf.DUMMYFUNCTION("""COMPUTED_VALUE"""),"plaid crimson")</f>
        <v>plaid crimson</v>
      </c>
      <c r="BD20" s="8"/>
      <c r="BE20" s="6"/>
      <c r="BF20" s="6"/>
      <c r="BG20" s="8"/>
      <c r="BH20" s="6"/>
      <c r="BI20" s="6"/>
      <c r="BJ20" s="8"/>
      <c r="BK20" s="6"/>
      <c r="BL20" s="6"/>
      <c r="BM20" s="8"/>
      <c r="BN20" s="6"/>
      <c r="BO20" s="6"/>
      <c r="BP20" s="8"/>
      <c r="BQ20" s="6"/>
      <c r="BR20" s="6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</row>
    <row r="21">
      <c r="A21" s="6"/>
      <c r="B21" s="6" t="s">
        <v>21</v>
      </c>
      <c r="C21" s="3" t="str">
        <f t="shared" si="3"/>
        <v>light beige</v>
      </c>
      <c r="D21" s="3" t="str">
        <f t="shared" si="17"/>
        <v>ZZZ</v>
      </c>
      <c r="E21" s="3" t="b">
        <f t="array" ref="E21">OR(ISNUMBER(SEARCH(D$2:D$30,$B21,5)))</f>
        <v>0</v>
      </c>
      <c r="G21" s="3" t="str">
        <f t="shared" si="4"/>
        <v>ZZZ</v>
      </c>
      <c r="H21" s="3" t="b">
        <f t="array" ref="H21">OR(ISNUMBER(SEARCH(G$2:G$30,$B21,5)))</f>
        <v>0</v>
      </c>
      <c r="J21" s="3" t="str">
        <f t="shared" si="5"/>
        <v>ZZZ</v>
      </c>
      <c r="K21" s="3" t="b">
        <f t="array" ref="K21">OR(ISNUMBER(SEARCH(J$2:J$30,$B21,5)))</f>
        <v>0</v>
      </c>
      <c r="M21" s="3" t="str">
        <f t="shared" si="6"/>
        <v>ZZZ</v>
      </c>
      <c r="N21" s="3" t="b">
        <f t="array" ref="N21">OR(ISNUMBER(SEARCH(M$2:M$30,$B21,5)))</f>
        <v>0</v>
      </c>
      <c r="O21" s="3" t="str">
        <f>IFERROR(__xludf.DUMMYFUNCTION("""COMPUTED_VALUE"""),"dull orange")</f>
        <v>dull orange</v>
      </c>
      <c r="P21" s="3" t="str">
        <f t="shared" si="7"/>
        <v>dull orange</v>
      </c>
      <c r="Q21" s="3" t="b">
        <f t="array" ref="Q21">OR(ISNUMBER(SEARCH(P$2:P$50,$B21,5)))</f>
        <v>0</v>
      </c>
      <c r="R21" s="3" t="str">
        <f>IFERROR(__xludf.DUMMYFUNCTION("""COMPUTED_VALUE"""),"drab turquoise")</f>
        <v>drab turquoise</v>
      </c>
      <c r="S21" s="3" t="str">
        <f t="shared" si="8"/>
        <v>drab turquoise</v>
      </c>
      <c r="T21" s="3" t="b">
        <f t="array" ref="T21">OR(ISNUMBER(SEARCH(S$2:S$100,$B21,5)))</f>
        <v>1</v>
      </c>
      <c r="U21" s="3" t="str">
        <f>IFERROR(__xludf.DUMMYFUNCTION("""COMPUTED_VALUE"""),"pale brown")</f>
        <v>pale brown</v>
      </c>
      <c r="V21" s="3" t="str">
        <f t="shared" si="9"/>
        <v>pale brown</v>
      </c>
      <c r="W21" s="3" t="b">
        <f t="array" ref="W21">OR(ISNUMBER(SEARCH(V$2:V$100,$B21,5)))</f>
        <v>0</v>
      </c>
      <c r="X21" s="3" t="str">
        <f>IFERROR(__xludf.DUMMYFUNCTION("""COMPUTED_VALUE"""),"shiny violet")</f>
        <v>shiny violet</v>
      </c>
      <c r="Y21" s="3" t="str">
        <f t="shared" si="10"/>
        <v>shiny violet</v>
      </c>
      <c r="Z21" s="3" t="b">
        <f t="array" ref="Z21">OR(ISNUMBER(SEARCH(Y$2:Y$100,$B21,5)))</f>
        <v>0</v>
      </c>
      <c r="AA21" s="3" t="str">
        <f>IFERROR(__xludf.DUMMYFUNCTION("""COMPUTED_VALUE"""),"clear bronze")</f>
        <v>clear bronze</v>
      </c>
      <c r="AB21" s="3" t="str">
        <f t="shared" si="11"/>
        <v>clear bronze</v>
      </c>
      <c r="AC21" s="3" t="b">
        <f t="array" ref="AC21">OR(ISNUMBER(SEARCH(AB$2:AB$100,$B21,5)))</f>
        <v>0</v>
      </c>
      <c r="AD21" s="3" t="str">
        <f>IFERROR(__xludf.DUMMYFUNCTION("""COMPUTED_VALUE"""),"wavy white")</f>
        <v>wavy white</v>
      </c>
      <c r="AE21" s="3" t="str">
        <f t="shared" si="12"/>
        <v>wavy white</v>
      </c>
      <c r="AF21" s="3" t="b">
        <f t="array" ref="AF21">OR(ISNUMBER(SEARCH(AE$2:AE$100,$B21,5)))</f>
        <v>0</v>
      </c>
      <c r="AH21" s="3" t="str">
        <f t="shared" si="13"/>
        <v>ZZZ</v>
      </c>
      <c r="AI21" s="3" t="b">
        <f t="array" ref="AI21">OR(ISNUMBER(SEARCH(AH$2:AH$100,$B21,5)))</f>
        <v>0</v>
      </c>
      <c r="AK21" s="3" t="str">
        <f t="shared" si="14"/>
        <v>ZZZ</v>
      </c>
      <c r="AL21" s="3" t="b">
        <f t="array" ref="AL21">OR(ISNUMBER(SEARCH(AK$2:AK$100,$B21,5)))</f>
        <v>0</v>
      </c>
      <c r="AP21" s="3" t="str">
        <f t="shared" ref="AP21:AZ21" si="34">INDEX($A$1:$AN$600,ROW(),COLUMN()*3-120)</f>
        <v/>
      </c>
      <c r="AQ21" s="3" t="str">
        <f t="shared" si="34"/>
        <v/>
      </c>
      <c r="AR21" s="3" t="str">
        <f t="shared" si="34"/>
        <v/>
      </c>
      <c r="AS21" s="3" t="str">
        <f t="shared" si="34"/>
        <v>dull orange</v>
      </c>
      <c r="AT21" s="3" t="str">
        <f t="shared" si="34"/>
        <v>drab turquoise</v>
      </c>
      <c r="AU21" s="3" t="str">
        <f t="shared" si="34"/>
        <v>pale brown</v>
      </c>
      <c r="AV21" s="3" t="str">
        <f t="shared" si="34"/>
        <v>shiny violet</v>
      </c>
      <c r="AW21" s="3" t="str">
        <f t="shared" si="34"/>
        <v>clear bronze</v>
      </c>
      <c r="AX21" s="3" t="str">
        <f t="shared" si="34"/>
        <v>wavy white</v>
      </c>
      <c r="AY21" s="3" t="str">
        <f t="shared" si="34"/>
        <v/>
      </c>
      <c r="AZ21" s="3" t="str">
        <f t="shared" si="34"/>
        <v/>
      </c>
      <c r="BA21" s="8"/>
      <c r="BB21" s="6" t="str">
        <f>IFERROR(__xludf.DUMMYFUNCTION("""COMPUTED_VALUE"""),"plaid crimson")</f>
        <v>plaid crimson</v>
      </c>
      <c r="BC21" s="8" t="str">
        <f>IFERROR(__xludf.DUMMYFUNCTION("""COMPUTED_VALUE"""),"shiny orange")</f>
        <v>shiny orange</v>
      </c>
      <c r="BD21" s="8"/>
      <c r="BE21" s="6"/>
      <c r="BF21" s="6"/>
      <c r="BG21" s="8"/>
      <c r="BH21" s="6"/>
      <c r="BI21" s="6"/>
      <c r="BJ21" s="8"/>
      <c r="BK21" s="6"/>
      <c r="BL21" s="8"/>
      <c r="BM21" s="8"/>
      <c r="BN21" s="6"/>
      <c r="BO21" s="6"/>
      <c r="BP21" s="8"/>
      <c r="BQ21" s="6"/>
      <c r="BR21" s="6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</row>
    <row r="22">
      <c r="A22" s="6"/>
      <c r="B22" s="6" t="s">
        <v>22</v>
      </c>
      <c r="C22" s="3" t="str">
        <f t="shared" si="3"/>
        <v>muted indigo</v>
      </c>
      <c r="D22" s="3" t="str">
        <f t="shared" si="17"/>
        <v>ZZZ</v>
      </c>
      <c r="E22" s="3" t="b">
        <f t="array" ref="E22">OR(ISNUMBER(SEARCH(D$2:D$30,$B22,5)))</f>
        <v>0</v>
      </c>
      <c r="G22" s="3" t="str">
        <f t="shared" si="4"/>
        <v>ZZZ</v>
      </c>
      <c r="H22" s="3" t="b">
        <f t="array" ref="H22">OR(ISNUMBER(SEARCH(G$2:G$30,$B22,5)))</f>
        <v>0</v>
      </c>
      <c r="J22" s="3" t="str">
        <f t="shared" si="5"/>
        <v>ZZZ</v>
      </c>
      <c r="K22" s="3" t="b">
        <f t="array" ref="K22">OR(ISNUMBER(SEARCH(J$2:J$30,$B22,5)))</f>
        <v>0</v>
      </c>
      <c r="M22" s="3" t="str">
        <f t="shared" si="6"/>
        <v>ZZZ</v>
      </c>
      <c r="N22" s="3" t="b">
        <f t="array" ref="N22">OR(ISNUMBER(SEARCH(M$2:M$30,$B22,5)))</f>
        <v>0</v>
      </c>
      <c r="O22" s="3" t="str">
        <f>IFERROR(__xludf.DUMMYFUNCTION("""COMPUTED_VALUE"""),"faded olive")</f>
        <v>faded olive</v>
      </c>
      <c r="P22" s="3" t="str">
        <f t="shared" si="7"/>
        <v>faded olive</v>
      </c>
      <c r="Q22" s="3" t="b">
        <f t="array" ref="Q22">OR(ISNUMBER(SEARCH(P$2:P$50,$B22,5)))</f>
        <v>0</v>
      </c>
      <c r="R22" s="3" t="str">
        <f>IFERROR(__xludf.DUMMYFUNCTION("""COMPUTED_VALUE"""),"dark silver")</f>
        <v>dark silver</v>
      </c>
      <c r="S22" s="3" t="str">
        <f t="shared" si="8"/>
        <v>dark silver</v>
      </c>
      <c r="T22" s="3" t="b">
        <f t="array" ref="T22">OR(ISNUMBER(SEARCH(S$2:S$100,$B22,5)))</f>
        <v>0</v>
      </c>
      <c r="U22" s="3" t="str">
        <f>IFERROR(__xludf.DUMMYFUNCTION("""COMPUTED_VALUE"""),"dim plum")</f>
        <v>dim plum</v>
      </c>
      <c r="V22" s="3" t="str">
        <f t="shared" si="9"/>
        <v>dim plum</v>
      </c>
      <c r="W22" s="3" t="b">
        <f t="array" ref="W22">OR(ISNUMBER(SEARCH(V$2:V$100,$B22,5)))</f>
        <v>0</v>
      </c>
      <c r="X22" s="3" t="str">
        <f>IFERROR(__xludf.DUMMYFUNCTION("""COMPUTED_VALUE"""),"dotted bronze")</f>
        <v>dotted bronze</v>
      </c>
      <c r="Y22" s="3" t="str">
        <f t="shared" si="10"/>
        <v>dotted bronze</v>
      </c>
      <c r="Z22" s="3" t="b">
        <f t="array" ref="Z22">OR(ISNUMBER(SEARCH(Y$2:Y$100,$B22,5)))</f>
        <v>0</v>
      </c>
      <c r="AA22" s="3" t="str">
        <f>IFERROR(__xludf.DUMMYFUNCTION("""COMPUTED_VALUE"""),"dim beige")</f>
        <v>dim beige</v>
      </c>
      <c r="AB22" s="3" t="str">
        <f t="shared" si="11"/>
        <v>dim beige</v>
      </c>
      <c r="AC22" s="3" t="b">
        <f t="array" ref="AC22">OR(ISNUMBER(SEARCH(AB$2:AB$100,$B22,5)))</f>
        <v>0</v>
      </c>
      <c r="AD22" s="3" t="str">
        <f>IFERROR(__xludf.DUMMYFUNCTION("""COMPUTED_VALUE"""),"faded lime")</f>
        <v>faded lime</v>
      </c>
      <c r="AE22" s="3" t="str">
        <f t="shared" si="12"/>
        <v>faded lime</v>
      </c>
      <c r="AF22" s="3" t="b">
        <f t="array" ref="AF22">OR(ISNUMBER(SEARCH(AE$2:AE$100,$B22,5)))</f>
        <v>0</v>
      </c>
      <c r="AH22" s="3" t="str">
        <f t="shared" si="13"/>
        <v>ZZZ</v>
      </c>
      <c r="AI22" s="3" t="b">
        <f t="array" ref="AI22">OR(ISNUMBER(SEARCH(AH$2:AH$100,$B22,5)))</f>
        <v>0</v>
      </c>
      <c r="AK22" s="3" t="str">
        <f t="shared" si="14"/>
        <v>ZZZ</v>
      </c>
      <c r="AL22" s="3" t="b">
        <f t="array" ref="AL22">OR(ISNUMBER(SEARCH(AK$2:AK$100,$B22,5)))</f>
        <v>0</v>
      </c>
      <c r="AP22" s="3" t="str">
        <f t="shared" ref="AP22:AZ22" si="35">INDEX($A$1:$AN$600,ROW(),COLUMN()*3-120)</f>
        <v/>
      </c>
      <c r="AQ22" s="3" t="str">
        <f t="shared" si="35"/>
        <v/>
      </c>
      <c r="AR22" s="3" t="str">
        <f t="shared" si="35"/>
        <v/>
      </c>
      <c r="AS22" s="3" t="str">
        <f t="shared" si="35"/>
        <v>faded olive</v>
      </c>
      <c r="AT22" s="3" t="str">
        <f t="shared" si="35"/>
        <v>dark silver</v>
      </c>
      <c r="AU22" s="3" t="str">
        <f t="shared" si="35"/>
        <v>dim plum</v>
      </c>
      <c r="AV22" s="3" t="str">
        <f t="shared" si="35"/>
        <v>dotted bronze</v>
      </c>
      <c r="AW22" s="3" t="str">
        <f t="shared" si="35"/>
        <v>dim beige</v>
      </c>
      <c r="AX22" s="3" t="str">
        <f t="shared" si="35"/>
        <v>faded lime</v>
      </c>
      <c r="AY22" s="3" t="str">
        <f t="shared" si="35"/>
        <v/>
      </c>
      <c r="AZ22" s="3" t="str">
        <f t="shared" si="35"/>
        <v/>
      </c>
      <c r="BA22" s="8"/>
      <c r="BB22" s="6" t="str">
        <f>IFERROR(__xludf.DUMMYFUNCTION("""COMPUTED_VALUE"""),"shiny orange")</f>
        <v>shiny orange</v>
      </c>
      <c r="BC22" s="8" t="str">
        <f>IFERROR(__xludf.DUMMYFUNCTION("""COMPUTED_VALUE"""),"light fuchsia")</f>
        <v>light fuchsia</v>
      </c>
      <c r="BD22" s="8"/>
      <c r="BE22" s="6"/>
      <c r="BF22" s="6"/>
      <c r="BG22" s="8"/>
      <c r="BH22" s="6"/>
      <c r="BI22" s="6"/>
      <c r="BJ22" s="8"/>
      <c r="BK22" s="6"/>
      <c r="BL22" s="6"/>
      <c r="BM22" s="8"/>
      <c r="BN22" s="6"/>
      <c r="BO22" s="8"/>
      <c r="BP22" s="8"/>
      <c r="BQ22" s="6"/>
      <c r="BR22" s="6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</row>
    <row r="23">
      <c r="A23" s="6"/>
      <c r="B23" s="6" t="s">
        <v>23</v>
      </c>
      <c r="C23" s="3" t="str">
        <f t="shared" si="3"/>
        <v>dim bronze</v>
      </c>
      <c r="D23" s="3" t="str">
        <f t="shared" si="17"/>
        <v>ZZZ</v>
      </c>
      <c r="E23" s="3" t="b">
        <f t="array" ref="E23">OR(ISNUMBER(SEARCH(D$2:D$30,$B23,5)))</f>
        <v>0</v>
      </c>
      <c r="G23" s="3" t="str">
        <f t="shared" si="4"/>
        <v>ZZZ</v>
      </c>
      <c r="H23" s="3" t="b">
        <f t="array" ref="H23">OR(ISNUMBER(SEARCH(G$2:G$30,$B23,5)))</f>
        <v>0</v>
      </c>
      <c r="J23" s="3" t="str">
        <f t="shared" si="5"/>
        <v>ZZZ</v>
      </c>
      <c r="K23" s="3" t="b">
        <f t="array" ref="K23">OR(ISNUMBER(SEARCH(J$2:J$30,$B23,5)))</f>
        <v>0</v>
      </c>
      <c r="M23" s="3" t="str">
        <f t="shared" si="6"/>
        <v>ZZZ</v>
      </c>
      <c r="N23" s="3" t="b">
        <f t="array" ref="N23">OR(ISNUMBER(SEARCH(M$2:M$30,$B23,5)))</f>
        <v>0</v>
      </c>
      <c r="O23" s="3" t="str">
        <f>IFERROR(__xludf.DUMMYFUNCTION("""COMPUTED_VALUE"""),"shiny lime")</f>
        <v>shiny lime</v>
      </c>
      <c r="P23" s="3" t="str">
        <f t="shared" si="7"/>
        <v>shiny lime</v>
      </c>
      <c r="Q23" s="3" t="b">
        <f t="array" ref="Q23">OR(ISNUMBER(SEARCH(P$2:P$50,$B23,5)))</f>
        <v>0</v>
      </c>
      <c r="R23" s="3" t="str">
        <f>IFERROR(__xludf.DUMMYFUNCTION("""COMPUTED_VALUE"""),"bright gold")</f>
        <v>bright gold</v>
      </c>
      <c r="S23" s="3" t="str">
        <f t="shared" si="8"/>
        <v>bright gold</v>
      </c>
      <c r="T23" s="3" t="b">
        <f t="array" ref="T23">OR(ISNUMBER(SEARCH(S$2:S$100,$B23,5)))</f>
        <v>0</v>
      </c>
      <c r="U23" s="3" t="str">
        <f>IFERROR(__xludf.DUMMYFUNCTION("""COMPUTED_VALUE"""),"light turquoise")</f>
        <v>light turquoise</v>
      </c>
      <c r="V23" s="3" t="str">
        <f t="shared" si="9"/>
        <v>light turquoise</v>
      </c>
      <c r="W23" s="3" t="b">
        <f t="array" ref="W23">OR(ISNUMBER(SEARCH(V$2:V$100,$B23,5)))</f>
        <v>0</v>
      </c>
      <c r="X23" s="3" t="str">
        <f>IFERROR(__xludf.DUMMYFUNCTION("""COMPUTED_VALUE"""),"shiny orange")</f>
        <v>shiny orange</v>
      </c>
      <c r="Y23" s="3" t="str">
        <f t="shared" si="10"/>
        <v>shiny orange</v>
      </c>
      <c r="Z23" s="3" t="b">
        <f t="array" ref="Z23">OR(ISNUMBER(SEARCH(Y$2:Y$100,$B23,5)))</f>
        <v>0</v>
      </c>
      <c r="AA23" s="3" t="str">
        <f>IFERROR(__xludf.DUMMYFUNCTION("""COMPUTED_VALUE"""),"faded indigo")</f>
        <v>faded indigo</v>
      </c>
      <c r="AB23" s="3" t="str">
        <f t="shared" si="11"/>
        <v>faded indigo</v>
      </c>
      <c r="AC23" s="3" t="b">
        <f t="array" ref="AC23">OR(ISNUMBER(SEARCH(AB$2:AB$100,$B23,5)))</f>
        <v>0</v>
      </c>
      <c r="AE23" s="3" t="str">
        <f t="shared" si="12"/>
        <v>ZZZ</v>
      </c>
      <c r="AF23" s="3" t="b">
        <f t="array" ref="AF23">OR(ISNUMBER(SEARCH(AE$2:AE$100,$B23,5)))</f>
        <v>0</v>
      </c>
      <c r="AH23" s="3" t="str">
        <f t="shared" si="13"/>
        <v>ZZZ</v>
      </c>
      <c r="AI23" s="3" t="b">
        <f t="array" ref="AI23">OR(ISNUMBER(SEARCH(AH$2:AH$100,$B23,5)))</f>
        <v>0</v>
      </c>
      <c r="AK23" s="3" t="str">
        <f t="shared" si="14"/>
        <v>ZZZ</v>
      </c>
      <c r="AL23" s="3" t="b">
        <f t="array" ref="AL23">OR(ISNUMBER(SEARCH(AK$2:AK$100,$B23,5)))</f>
        <v>0</v>
      </c>
      <c r="AP23" s="3" t="str">
        <f t="shared" ref="AP23:AZ23" si="36">INDEX($A$1:$AN$600,ROW(),COLUMN()*3-120)</f>
        <v/>
      </c>
      <c r="AQ23" s="3" t="str">
        <f t="shared" si="36"/>
        <v/>
      </c>
      <c r="AR23" s="3" t="str">
        <f t="shared" si="36"/>
        <v/>
      </c>
      <c r="AS23" s="3" t="str">
        <f t="shared" si="36"/>
        <v>shiny lime</v>
      </c>
      <c r="AT23" s="3" t="str">
        <f t="shared" si="36"/>
        <v>bright gold</v>
      </c>
      <c r="AU23" s="3" t="str">
        <f t="shared" si="36"/>
        <v>light turquoise</v>
      </c>
      <c r="AV23" s="3" t="str">
        <f t="shared" si="36"/>
        <v>shiny orange</v>
      </c>
      <c r="AW23" s="3" t="str">
        <f t="shared" si="36"/>
        <v>faded indigo</v>
      </c>
      <c r="AX23" s="3" t="str">
        <f t="shared" si="36"/>
        <v/>
      </c>
      <c r="AY23" s="3" t="str">
        <f t="shared" si="36"/>
        <v/>
      </c>
      <c r="AZ23" s="3" t="str">
        <f t="shared" si="36"/>
        <v/>
      </c>
      <c r="BA23" s="8"/>
      <c r="BB23" s="6" t="str">
        <f>IFERROR(__xludf.DUMMYFUNCTION("""COMPUTED_VALUE"""),"light fuchsia")</f>
        <v>light fuchsia</v>
      </c>
      <c r="BC23" s="8" t="str">
        <f>IFERROR(__xludf.DUMMYFUNCTION("""COMPUTED_VALUE"""),"dark blue")</f>
        <v>dark blue</v>
      </c>
      <c r="BD23" s="8"/>
      <c r="BE23" s="6"/>
      <c r="BF23" s="6"/>
      <c r="BG23" s="8"/>
      <c r="BH23" s="6"/>
      <c r="BI23" s="6"/>
      <c r="BJ23" s="8"/>
      <c r="BK23" s="6"/>
      <c r="BL23" s="6"/>
      <c r="BM23" s="8"/>
      <c r="BN23" s="6"/>
      <c r="BO23" s="6"/>
      <c r="BP23" s="8"/>
      <c r="BQ23" s="6"/>
      <c r="BR23" s="8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</row>
    <row r="24">
      <c r="A24" s="6"/>
      <c r="B24" s="6" t="s">
        <v>24</v>
      </c>
      <c r="C24" s="3" t="str">
        <f t="shared" si="3"/>
        <v>shiny teal</v>
      </c>
      <c r="D24" s="3" t="str">
        <f t="shared" si="17"/>
        <v>ZZZ</v>
      </c>
      <c r="E24" s="3" t="b">
        <f t="array" ref="E24">OR(ISNUMBER(SEARCH(D$2:D$30,$B24,5)))</f>
        <v>0</v>
      </c>
      <c r="G24" s="3" t="str">
        <f t="shared" si="4"/>
        <v>ZZZ</v>
      </c>
      <c r="H24" s="3" t="b">
        <f t="array" ref="H24">OR(ISNUMBER(SEARCH(G$2:G$30,$B24,5)))</f>
        <v>0</v>
      </c>
      <c r="J24" s="3" t="str">
        <f t="shared" si="5"/>
        <v>ZZZ</v>
      </c>
      <c r="K24" s="3" t="b">
        <f t="array" ref="K24">OR(ISNUMBER(SEARCH(J$2:J$30,$B24,5)))</f>
        <v>0</v>
      </c>
      <c r="M24" s="3" t="str">
        <f t="shared" si="6"/>
        <v>ZZZ</v>
      </c>
      <c r="N24" s="3" t="b">
        <f t="array" ref="N24">OR(ISNUMBER(SEARCH(M$2:M$30,$B24,5)))</f>
        <v>0</v>
      </c>
      <c r="O24" s="3" t="str">
        <f>IFERROR(__xludf.DUMMYFUNCTION("""COMPUTED_VALUE"""),"dim silver")</f>
        <v>dim silver</v>
      </c>
      <c r="P24" s="3" t="str">
        <f t="shared" si="7"/>
        <v>dim silver</v>
      </c>
      <c r="Q24" s="3" t="b">
        <f t="array" ref="Q24">OR(ISNUMBER(SEARCH(P$2:P$50,$B24,5)))</f>
        <v>1</v>
      </c>
      <c r="R24" s="3" t="str">
        <f>IFERROR(__xludf.DUMMYFUNCTION("""COMPUTED_VALUE"""),"dull red")</f>
        <v>dull red</v>
      </c>
      <c r="S24" s="3" t="str">
        <f t="shared" si="8"/>
        <v>dull red</v>
      </c>
      <c r="T24" s="3" t="b">
        <f t="array" ref="T24">OR(ISNUMBER(SEARCH(S$2:S$100,$B24,5)))</f>
        <v>0</v>
      </c>
      <c r="U24" s="3" t="str">
        <f>IFERROR(__xludf.DUMMYFUNCTION("""COMPUTED_VALUE"""),"wavy crimson")</f>
        <v>wavy crimson</v>
      </c>
      <c r="V24" s="3" t="str">
        <f t="shared" si="9"/>
        <v>wavy crimson</v>
      </c>
      <c r="W24" s="3" t="b">
        <f t="array" ref="W24">OR(ISNUMBER(SEARCH(V$2:V$100,$B24,5)))</f>
        <v>0</v>
      </c>
      <c r="X24" s="3" t="str">
        <f>IFERROR(__xludf.DUMMYFUNCTION("""COMPUTED_VALUE"""),"drab blue")</f>
        <v>drab blue</v>
      </c>
      <c r="Y24" s="3" t="str">
        <f t="shared" si="10"/>
        <v>drab blue</v>
      </c>
      <c r="Z24" s="3" t="b">
        <f t="array" ref="Z24">OR(ISNUMBER(SEARCH(Y$2:Y$100,$B24,5)))</f>
        <v>0</v>
      </c>
      <c r="AA24" s="3" t="str">
        <f>IFERROR(__xludf.DUMMYFUNCTION("""COMPUTED_VALUE"""),"dotted tan")</f>
        <v>dotted tan</v>
      </c>
      <c r="AB24" s="3" t="str">
        <f t="shared" si="11"/>
        <v>dotted tan</v>
      </c>
      <c r="AC24" s="3" t="b">
        <f t="array" ref="AC24">OR(ISNUMBER(SEARCH(AB$2:AB$100,$B24,5)))</f>
        <v>0</v>
      </c>
      <c r="AE24" s="3" t="str">
        <f t="shared" si="12"/>
        <v>ZZZ</v>
      </c>
      <c r="AF24" s="3" t="b">
        <f t="array" ref="AF24">OR(ISNUMBER(SEARCH(AE$2:AE$100,$B24,5)))</f>
        <v>0</v>
      </c>
      <c r="AH24" s="3" t="str">
        <f t="shared" si="13"/>
        <v>ZZZ</v>
      </c>
      <c r="AI24" s="3" t="b">
        <f t="array" ref="AI24">OR(ISNUMBER(SEARCH(AH$2:AH$100,$B24,5)))</f>
        <v>0</v>
      </c>
      <c r="AK24" s="3" t="str">
        <f t="shared" si="14"/>
        <v>ZZZ</v>
      </c>
      <c r="AL24" s="3" t="b">
        <f t="array" ref="AL24">OR(ISNUMBER(SEARCH(AK$2:AK$100,$B24,5)))</f>
        <v>0</v>
      </c>
      <c r="AP24" s="3" t="str">
        <f t="shared" ref="AP24:AZ24" si="37">INDEX($A$1:$AN$600,ROW(),COLUMN()*3-120)</f>
        <v/>
      </c>
      <c r="AQ24" s="3" t="str">
        <f t="shared" si="37"/>
        <v/>
      </c>
      <c r="AR24" s="3" t="str">
        <f t="shared" si="37"/>
        <v/>
      </c>
      <c r="AS24" s="3" t="str">
        <f t="shared" si="37"/>
        <v>dim silver</v>
      </c>
      <c r="AT24" s="3" t="str">
        <f t="shared" si="37"/>
        <v>dull red</v>
      </c>
      <c r="AU24" s="3" t="str">
        <f t="shared" si="37"/>
        <v>wavy crimson</v>
      </c>
      <c r="AV24" s="3" t="str">
        <f t="shared" si="37"/>
        <v>drab blue</v>
      </c>
      <c r="AW24" s="3" t="str">
        <f t="shared" si="37"/>
        <v>dotted tan</v>
      </c>
      <c r="AX24" s="3" t="str">
        <f t="shared" si="37"/>
        <v/>
      </c>
      <c r="AY24" s="3" t="str">
        <f t="shared" si="37"/>
        <v/>
      </c>
      <c r="AZ24" s="3" t="str">
        <f t="shared" si="37"/>
        <v/>
      </c>
      <c r="BA24" s="8"/>
      <c r="BB24" s="6" t="str">
        <f>IFERROR(__xludf.DUMMYFUNCTION("""COMPUTED_VALUE"""),"dark blue")</f>
        <v>dark blue</v>
      </c>
      <c r="BC24" s="8" t="str">
        <f>IFERROR(__xludf.DUMMYFUNCTION("""COMPUTED_VALUE"""),"posh salmon")</f>
        <v>posh salmon</v>
      </c>
      <c r="BD24" s="8"/>
      <c r="BE24" s="6"/>
      <c r="BF24" s="8"/>
      <c r="BG24" s="8"/>
      <c r="BH24" s="6"/>
      <c r="BI24" s="6"/>
      <c r="BJ24" s="8"/>
      <c r="BK24" s="6"/>
      <c r="BL24" s="6"/>
      <c r="BM24" s="8"/>
      <c r="BN24" s="6"/>
      <c r="BO24" s="6"/>
      <c r="BP24" s="8"/>
      <c r="BQ24" s="6"/>
      <c r="BR24" s="6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</row>
    <row r="25">
      <c r="A25" s="6"/>
      <c r="B25" s="6" t="s">
        <v>25</v>
      </c>
      <c r="C25" s="3" t="str">
        <f t="shared" si="3"/>
        <v>pale aqua</v>
      </c>
      <c r="D25" s="3" t="str">
        <f t="shared" si="17"/>
        <v>ZZZ</v>
      </c>
      <c r="E25" s="3" t="b">
        <f t="array" ref="E25">OR(ISNUMBER(SEARCH(D$2:D$30,$B25,5)))</f>
        <v>0</v>
      </c>
      <c r="F25" s="11"/>
      <c r="G25" s="3" t="str">
        <f t="shared" si="4"/>
        <v>ZZZ</v>
      </c>
      <c r="H25" s="3" t="b">
        <f t="array" ref="H25">OR(ISNUMBER(SEARCH(G$2:G$30,$B25,5)))</f>
        <v>1</v>
      </c>
      <c r="I25" s="11"/>
      <c r="J25" s="3" t="str">
        <f t="shared" si="5"/>
        <v>ZZZ</v>
      </c>
      <c r="K25" s="3" t="b">
        <f t="array" ref="K25">OR(ISNUMBER(SEARCH(J$2:J$30,$B25,5)))</f>
        <v>0</v>
      </c>
      <c r="L25" s="11"/>
      <c r="M25" s="3" t="str">
        <f t="shared" si="6"/>
        <v>ZZZ</v>
      </c>
      <c r="N25" s="3" t="b">
        <f t="array" ref="N25">OR(ISNUMBER(SEARCH(M$2:M$30,$B25,5)))</f>
        <v>0</v>
      </c>
      <c r="O25" s="11" t="str">
        <f>IFERROR(__xludf.DUMMYFUNCTION("""COMPUTED_VALUE"""),"striped plum")</f>
        <v>striped plum</v>
      </c>
      <c r="P25" s="3" t="str">
        <f t="shared" si="7"/>
        <v>striped plum</v>
      </c>
      <c r="Q25" s="3" t="b">
        <f t="array" ref="Q25">OR(ISNUMBER(SEARCH(P$2:P$50,$B25,5)))</f>
        <v>0</v>
      </c>
      <c r="R25" s="11" t="str">
        <f>IFERROR(__xludf.DUMMYFUNCTION("""COMPUTED_VALUE"""),"vibrant magenta")</f>
        <v>vibrant magenta</v>
      </c>
      <c r="S25" s="3" t="str">
        <f t="shared" si="8"/>
        <v>vibrant magenta</v>
      </c>
      <c r="T25" s="3" t="b">
        <f t="array" ref="T25">OR(ISNUMBER(SEARCH(S$2:S$100,$B25,5)))</f>
        <v>0</v>
      </c>
      <c r="U25" s="11" t="str">
        <f>IFERROR(__xludf.DUMMYFUNCTION("""COMPUTED_VALUE"""),"drab blue")</f>
        <v>drab blue</v>
      </c>
      <c r="V25" s="3" t="str">
        <f t="shared" si="9"/>
        <v>drab blue</v>
      </c>
      <c r="W25" s="3" t="b">
        <f t="array" ref="W25">OR(ISNUMBER(SEARCH(V$2:V$100,$B25,5)))</f>
        <v>0</v>
      </c>
      <c r="X25" s="11" t="str">
        <f>IFERROR(__xludf.DUMMYFUNCTION("""COMPUTED_VALUE"""),"clear tan")</f>
        <v>clear tan</v>
      </c>
      <c r="Y25" s="3" t="str">
        <f t="shared" si="10"/>
        <v>clear tan</v>
      </c>
      <c r="Z25" s="3" t="b">
        <f t="array" ref="Z25">OR(ISNUMBER(SEARCH(Y$2:Y$100,$B25,5)))</f>
        <v>0</v>
      </c>
      <c r="AA25" s="11" t="str">
        <f>IFERROR(__xludf.DUMMYFUNCTION("""COMPUTED_VALUE"""),"wavy black")</f>
        <v>wavy black</v>
      </c>
      <c r="AB25" s="3" t="str">
        <f t="shared" si="11"/>
        <v>wavy black</v>
      </c>
      <c r="AC25" s="3" t="b">
        <f t="array" ref="AC25">OR(ISNUMBER(SEARCH(AB$2:AB$100,$B25,5)))</f>
        <v>0</v>
      </c>
      <c r="AD25" s="11"/>
      <c r="AE25" s="3" t="str">
        <f t="shared" si="12"/>
        <v>ZZZ</v>
      </c>
      <c r="AF25" s="3" t="b">
        <f t="array" ref="AF25">OR(ISNUMBER(SEARCH(AE$2:AE$100,$B25,5)))</f>
        <v>0</v>
      </c>
      <c r="AG25" s="11"/>
      <c r="AH25" s="3" t="str">
        <f t="shared" si="13"/>
        <v>ZZZ</v>
      </c>
      <c r="AI25" s="3" t="b">
        <f t="array" ref="AI25">OR(ISNUMBER(SEARCH(AH$2:AH$100,$B25,5)))</f>
        <v>0</v>
      </c>
      <c r="AJ25" s="11"/>
      <c r="AK25" s="3" t="str">
        <f t="shared" si="14"/>
        <v>ZZZ</v>
      </c>
      <c r="AL25" s="3" t="b">
        <f t="array" ref="AL25">OR(ISNUMBER(SEARCH(AK$2:AK$100,$B25,5)))</f>
        <v>0</v>
      </c>
      <c r="AM25" s="11"/>
      <c r="AP25" s="3" t="str">
        <f t="shared" ref="AP25:AZ25" si="38">INDEX($A$1:$AN$600,ROW(),COLUMN()*3-120)</f>
        <v/>
      </c>
      <c r="AQ25" s="3" t="str">
        <f t="shared" si="38"/>
        <v/>
      </c>
      <c r="AR25" s="3" t="str">
        <f t="shared" si="38"/>
        <v/>
      </c>
      <c r="AS25" s="3" t="str">
        <f t="shared" si="38"/>
        <v>striped plum</v>
      </c>
      <c r="AT25" s="3" t="str">
        <f t="shared" si="38"/>
        <v>vibrant magenta</v>
      </c>
      <c r="AU25" s="3" t="str">
        <f t="shared" si="38"/>
        <v>drab blue</v>
      </c>
      <c r="AV25" s="3" t="str">
        <f t="shared" si="38"/>
        <v>clear tan</v>
      </c>
      <c r="AW25" s="3" t="str">
        <f t="shared" si="38"/>
        <v>wavy black</v>
      </c>
      <c r="AX25" s="3" t="str">
        <f t="shared" si="38"/>
        <v/>
      </c>
      <c r="AY25" s="3" t="str">
        <f t="shared" si="38"/>
        <v/>
      </c>
      <c r="AZ25" s="3" t="str">
        <f t="shared" si="38"/>
        <v/>
      </c>
      <c r="BA25" s="8"/>
      <c r="BB25" s="6" t="str">
        <f>IFERROR(__xludf.DUMMYFUNCTION("""COMPUTED_VALUE"""),"posh salmon")</f>
        <v>posh salmon</v>
      </c>
      <c r="BC25" s="8" t="str">
        <f>IFERROR(__xludf.DUMMYFUNCTION("""COMPUTED_VALUE"""),"light gray")</f>
        <v>light gray</v>
      </c>
      <c r="BD25" s="8"/>
      <c r="BE25" s="6"/>
      <c r="BF25" s="8"/>
      <c r="BG25" s="8"/>
      <c r="BH25" s="6"/>
      <c r="BI25" s="8"/>
      <c r="BJ25" s="8"/>
      <c r="BK25" s="6"/>
      <c r="BL25" s="6"/>
      <c r="BM25" s="8"/>
      <c r="BN25" s="6"/>
      <c r="BO25" s="6"/>
      <c r="BP25" s="8"/>
      <c r="BQ25" s="6"/>
      <c r="BR25" s="6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</row>
    <row r="26">
      <c r="A26" s="6"/>
      <c r="B26" s="6" t="s">
        <v>26</v>
      </c>
      <c r="C26" s="3" t="str">
        <f t="shared" si="3"/>
        <v>plaid violet</v>
      </c>
      <c r="D26" s="3" t="str">
        <f t="shared" si="17"/>
        <v>ZZZ</v>
      </c>
      <c r="E26" s="3" t="b">
        <f t="array" ref="E26">OR(ISNUMBER(SEARCH(D$2:D$30,$B26,5)))</f>
        <v>0</v>
      </c>
      <c r="G26" s="3" t="str">
        <f t="shared" si="4"/>
        <v>ZZZ</v>
      </c>
      <c r="H26" s="3" t="b">
        <f t="array" ref="H26">OR(ISNUMBER(SEARCH(G$2:G$30,$B26,5)))</f>
        <v>0</v>
      </c>
      <c r="J26" s="3" t="str">
        <f t="shared" si="5"/>
        <v>ZZZ</v>
      </c>
      <c r="K26" s="3" t="b">
        <f t="array" ref="K26">OR(ISNUMBER(SEARCH(J$2:J$30,$B26,5)))</f>
        <v>0</v>
      </c>
      <c r="M26" s="3" t="str">
        <f t="shared" si="6"/>
        <v>ZZZ</v>
      </c>
      <c r="N26" s="3" t="b">
        <f t="array" ref="N26">OR(ISNUMBER(SEARCH(M$2:M$30,$B26,5)))</f>
        <v>0</v>
      </c>
      <c r="O26" s="3" t="str">
        <f>IFERROR(__xludf.DUMMYFUNCTION("""COMPUTED_VALUE"""),"drab tan")</f>
        <v>drab tan</v>
      </c>
      <c r="P26" s="3" t="str">
        <f t="shared" si="7"/>
        <v>drab tan</v>
      </c>
      <c r="Q26" s="3" t="b">
        <f t="array" ref="Q26">OR(ISNUMBER(SEARCH(P$2:P$50,$B26,5)))</f>
        <v>1</v>
      </c>
      <c r="R26" s="3" t="str">
        <f>IFERROR(__xludf.DUMMYFUNCTION("""COMPUTED_VALUE"""),"shiny violet")</f>
        <v>shiny violet</v>
      </c>
      <c r="S26" s="3" t="str">
        <f t="shared" si="8"/>
        <v>shiny violet</v>
      </c>
      <c r="T26" s="3" t="b">
        <f t="array" ref="T26">OR(ISNUMBER(SEARCH(S$2:S$100,$B26,5)))</f>
        <v>0</v>
      </c>
      <c r="U26" s="3" t="str">
        <f>IFERROR(__xludf.DUMMYFUNCTION("""COMPUTED_VALUE"""),"dark aqua")</f>
        <v>dark aqua</v>
      </c>
      <c r="V26" s="3" t="str">
        <f t="shared" si="9"/>
        <v>dark aqua</v>
      </c>
      <c r="W26" s="3" t="b">
        <f t="array" ref="W26">OR(ISNUMBER(SEARCH(V$2:V$100,$B26,5)))</f>
        <v>0</v>
      </c>
      <c r="X26" s="3" t="str">
        <f>IFERROR(__xludf.DUMMYFUNCTION("""COMPUTED_VALUE"""),"plaid olive")</f>
        <v>plaid olive</v>
      </c>
      <c r="Y26" s="3" t="str">
        <f t="shared" si="10"/>
        <v>plaid olive</v>
      </c>
      <c r="Z26" s="3" t="b">
        <f t="array" ref="Z26">OR(ISNUMBER(SEARCH(Y$2:Y$100,$B26,5)))</f>
        <v>0</v>
      </c>
      <c r="AA26" s="3" t="str">
        <f>IFERROR(__xludf.DUMMYFUNCTION("""COMPUTED_VALUE"""),"bright aqua")</f>
        <v>bright aqua</v>
      </c>
      <c r="AB26" s="3" t="str">
        <f t="shared" si="11"/>
        <v>bright aqua</v>
      </c>
      <c r="AC26" s="3" t="b">
        <f t="array" ref="AC26">OR(ISNUMBER(SEARCH(AB$2:AB$100,$B26,5)))</f>
        <v>0</v>
      </c>
      <c r="AE26" s="3" t="str">
        <f t="shared" si="12"/>
        <v>ZZZ</v>
      </c>
      <c r="AF26" s="3" t="b">
        <f t="array" ref="AF26">OR(ISNUMBER(SEARCH(AE$2:AE$100,$B26,5)))</f>
        <v>0</v>
      </c>
      <c r="AH26" s="3" t="str">
        <f t="shared" si="13"/>
        <v>ZZZ</v>
      </c>
      <c r="AI26" s="3" t="b">
        <f t="array" ref="AI26">OR(ISNUMBER(SEARCH(AH$2:AH$100,$B26,5)))</f>
        <v>0</v>
      </c>
      <c r="AK26" s="3" t="str">
        <f t="shared" si="14"/>
        <v>ZZZ</v>
      </c>
      <c r="AL26" s="3" t="b">
        <f t="array" ref="AL26">OR(ISNUMBER(SEARCH(AK$2:AK$100,$B26,5)))</f>
        <v>0</v>
      </c>
      <c r="AP26" s="3" t="str">
        <f t="shared" ref="AP26:AZ26" si="39">INDEX($A$1:$AN$600,ROW(),COLUMN()*3-120)</f>
        <v/>
      </c>
      <c r="AQ26" s="3" t="str">
        <f t="shared" si="39"/>
        <v/>
      </c>
      <c r="AR26" s="3" t="str">
        <f t="shared" si="39"/>
        <v/>
      </c>
      <c r="AS26" s="3" t="str">
        <f t="shared" si="39"/>
        <v>drab tan</v>
      </c>
      <c r="AT26" s="3" t="str">
        <f t="shared" si="39"/>
        <v>shiny violet</v>
      </c>
      <c r="AU26" s="3" t="str">
        <f t="shared" si="39"/>
        <v>dark aqua</v>
      </c>
      <c r="AV26" s="3" t="str">
        <f t="shared" si="39"/>
        <v>plaid olive</v>
      </c>
      <c r="AW26" s="3" t="str">
        <f t="shared" si="39"/>
        <v>bright aqua</v>
      </c>
      <c r="AX26" s="3" t="str">
        <f t="shared" si="39"/>
        <v/>
      </c>
      <c r="AY26" s="3" t="str">
        <f t="shared" si="39"/>
        <v/>
      </c>
      <c r="AZ26" s="3" t="str">
        <f t="shared" si="39"/>
        <v/>
      </c>
      <c r="BA26" s="8"/>
      <c r="BB26" s="6" t="str">
        <f>IFERROR(__xludf.DUMMYFUNCTION("""COMPUTED_VALUE"""),"light gray")</f>
        <v>light gray</v>
      </c>
      <c r="BC26" s="8" t="str">
        <f>IFERROR(__xludf.DUMMYFUNCTION("""COMPUTED_VALUE"""),"plaid violet")</f>
        <v>plaid violet</v>
      </c>
      <c r="BD26" s="8"/>
      <c r="BE26" s="6"/>
      <c r="BF26" s="8"/>
      <c r="BG26" s="8"/>
      <c r="BH26" s="6"/>
      <c r="BI26" s="8"/>
      <c r="BJ26" s="8"/>
      <c r="BK26" s="6"/>
      <c r="BL26" s="6"/>
      <c r="BM26" s="8"/>
      <c r="BN26" s="6"/>
      <c r="BO26" s="6"/>
      <c r="BP26" s="8"/>
      <c r="BQ26" s="6"/>
      <c r="BR26" s="6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</row>
    <row r="27">
      <c r="A27" s="6"/>
      <c r="B27" s="6" t="s">
        <v>27</v>
      </c>
      <c r="C27" s="3" t="str">
        <f t="shared" si="3"/>
        <v>dotted maroon</v>
      </c>
      <c r="D27" s="3" t="str">
        <f t="shared" si="17"/>
        <v>ZZZ</v>
      </c>
      <c r="E27" s="3" t="b">
        <f t="array" ref="E27">OR(ISNUMBER(SEARCH(D$2:D$30,$B27,5)))</f>
        <v>0</v>
      </c>
      <c r="G27" s="3" t="str">
        <f t="shared" si="4"/>
        <v>ZZZ</v>
      </c>
      <c r="H27" s="3" t="b">
        <f t="array" ref="H27">OR(ISNUMBER(SEARCH(G$2:G$30,$B27,5)))</f>
        <v>0</v>
      </c>
      <c r="J27" s="3" t="str">
        <f t="shared" si="5"/>
        <v>ZZZ</v>
      </c>
      <c r="K27" s="3" t="b">
        <f t="array" ref="K27">OR(ISNUMBER(SEARCH(J$2:J$30,$B27,5)))</f>
        <v>0</v>
      </c>
      <c r="M27" s="3" t="str">
        <f t="shared" si="6"/>
        <v>ZZZ</v>
      </c>
      <c r="N27" s="3" t="b">
        <f t="array" ref="N27">OR(ISNUMBER(SEARCH(M$2:M$30,$B27,5)))</f>
        <v>0</v>
      </c>
      <c r="O27" s="3" t="str">
        <f>IFERROR(__xludf.DUMMYFUNCTION("""COMPUTED_VALUE"""),"striped violet")</f>
        <v>striped violet</v>
      </c>
      <c r="P27" s="3" t="str">
        <f t="shared" si="7"/>
        <v>striped violet</v>
      </c>
      <c r="Q27" s="3" t="b">
        <f t="array" ref="Q27">OR(ISNUMBER(SEARCH(P$2:P$50,$B27,5)))</f>
        <v>0</v>
      </c>
      <c r="R27" s="3" t="str">
        <f>IFERROR(__xludf.DUMMYFUNCTION("""COMPUTED_VALUE"""),"light white")</f>
        <v>light white</v>
      </c>
      <c r="S27" s="3" t="str">
        <f t="shared" si="8"/>
        <v>light white</v>
      </c>
      <c r="T27" s="3" t="b">
        <f t="array" ref="T27">OR(ISNUMBER(SEARCH(S$2:S$100,$B27,5)))</f>
        <v>0</v>
      </c>
      <c r="U27" s="3" t="str">
        <f>IFERROR(__xludf.DUMMYFUNCTION("""COMPUTED_VALUE"""),"dark gray")</f>
        <v>dark gray</v>
      </c>
      <c r="V27" s="3" t="str">
        <f t="shared" si="9"/>
        <v>dark gray</v>
      </c>
      <c r="W27" s="3" t="b">
        <f t="array" ref="W27">OR(ISNUMBER(SEARCH(V$2:V$100,$B27,5)))</f>
        <v>0</v>
      </c>
      <c r="X27" s="3" t="str">
        <f>IFERROR(__xludf.DUMMYFUNCTION("""COMPUTED_VALUE"""),"clear plum")</f>
        <v>clear plum</v>
      </c>
      <c r="Y27" s="3" t="str">
        <f t="shared" si="10"/>
        <v>clear plum</v>
      </c>
      <c r="Z27" s="3" t="b">
        <f t="array" ref="Z27">OR(ISNUMBER(SEARCH(Y$2:Y$100,$B27,5)))</f>
        <v>0</v>
      </c>
      <c r="AA27" s="3" t="str">
        <f>IFERROR(__xludf.DUMMYFUNCTION("""COMPUTED_VALUE"""),"mirrored tomato")</f>
        <v>mirrored tomato</v>
      </c>
      <c r="AB27" s="3" t="str">
        <f t="shared" si="11"/>
        <v>mirrored tomato</v>
      </c>
      <c r="AC27" s="3" t="b">
        <f t="array" ref="AC27">OR(ISNUMBER(SEARCH(AB$2:AB$100,$B27,5)))</f>
        <v>0</v>
      </c>
      <c r="AE27" s="3" t="str">
        <f t="shared" si="12"/>
        <v>ZZZ</v>
      </c>
      <c r="AF27" s="3" t="b">
        <f t="array" ref="AF27">OR(ISNUMBER(SEARCH(AE$2:AE$100,$B27,5)))</f>
        <v>0</v>
      </c>
      <c r="AH27" s="3" t="str">
        <f t="shared" si="13"/>
        <v>ZZZ</v>
      </c>
      <c r="AI27" s="3" t="b">
        <f t="array" ref="AI27">OR(ISNUMBER(SEARCH(AH$2:AH$100,$B27,5)))</f>
        <v>0</v>
      </c>
      <c r="AK27" s="3" t="str">
        <f t="shared" si="14"/>
        <v>ZZZ</v>
      </c>
      <c r="AL27" s="3" t="b">
        <f t="array" ref="AL27">OR(ISNUMBER(SEARCH(AK$2:AK$100,$B27,5)))</f>
        <v>0</v>
      </c>
      <c r="AP27" s="3" t="str">
        <f t="shared" ref="AP27:AZ27" si="40">INDEX($A$1:$AN$600,ROW(),COLUMN()*3-120)</f>
        <v/>
      </c>
      <c r="AQ27" s="3" t="str">
        <f t="shared" si="40"/>
        <v/>
      </c>
      <c r="AR27" s="3" t="str">
        <f t="shared" si="40"/>
        <v/>
      </c>
      <c r="AS27" s="3" t="str">
        <f t="shared" si="40"/>
        <v>striped violet</v>
      </c>
      <c r="AT27" s="3" t="str">
        <f t="shared" si="40"/>
        <v>light white</v>
      </c>
      <c r="AU27" s="3" t="str">
        <f t="shared" si="40"/>
        <v>dark gray</v>
      </c>
      <c r="AV27" s="3" t="str">
        <f t="shared" si="40"/>
        <v>clear plum</v>
      </c>
      <c r="AW27" s="3" t="str">
        <f t="shared" si="40"/>
        <v>mirrored tomato</v>
      </c>
      <c r="AX27" s="3" t="str">
        <f t="shared" si="40"/>
        <v/>
      </c>
      <c r="AY27" s="3" t="str">
        <f t="shared" si="40"/>
        <v/>
      </c>
      <c r="AZ27" s="3" t="str">
        <f t="shared" si="40"/>
        <v/>
      </c>
      <c r="BA27" s="8"/>
      <c r="BB27" s="6" t="str">
        <f>IFERROR(__xludf.DUMMYFUNCTION("""COMPUTED_VALUE"""),"plaid gold")</f>
        <v>plaid gold</v>
      </c>
      <c r="BC27" s="8" t="str">
        <f>IFERROR(__xludf.DUMMYFUNCTION("""COMPUTED_VALUE"""),"striped turquoise")</f>
        <v>striped turquoise</v>
      </c>
      <c r="BD27" s="8"/>
      <c r="BE27" s="6"/>
      <c r="BF27" s="8"/>
      <c r="BG27" s="8"/>
      <c r="BH27" s="6"/>
      <c r="BI27" s="8"/>
      <c r="BJ27" s="8"/>
      <c r="BK27" s="6"/>
      <c r="BL27" s="6"/>
      <c r="BM27" s="8"/>
      <c r="BN27" s="6"/>
      <c r="BO27" s="6"/>
      <c r="BP27" s="8"/>
      <c r="BQ27" s="6"/>
      <c r="BR27" s="6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</row>
    <row r="28">
      <c r="A28" s="6"/>
      <c r="B28" s="6" t="s">
        <v>28</v>
      </c>
      <c r="C28" s="3" t="str">
        <f t="shared" si="3"/>
        <v>dim chartreuse</v>
      </c>
      <c r="D28" s="3" t="str">
        <f t="shared" si="17"/>
        <v>ZZZ</v>
      </c>
      <c r="E28" s="3" t="b">
        <f t="array" ref="E28">OR(ISNUMBER(SEARCH(D$2:D$30,$B28,5)))</f>
        <v>0</v>
      </c>
      <c r="G28" s="3" t="str">
        <f t="shared" si="4"/>
        <v>ZZZ</v>
      </c>
      <c r="H28" s="3" t="b">
        <f t="array" ref="H28">OR(ISNUMBER(SEARCH(G$2:G$30,$B28,5)))</f>
        <v>0</v>
      </c>
      <c r="J28" s="3" t="str">
        <f t="shared" si="5"/>
        <v>ZZZ</v>
      </c>
      <c r="K28" s="3" t="b">
        <f t="array" ref="K28">OR(ISNUMBER(SEARCH(J$2:J$30,$B28,5)))</f>
        <v>0</v>
      </c>
      <c r="M28" s="3" t="str">
        <f t="shared" si="6"/>
        <v>ZZZ</v>
      </c>
      <c r="N28" s="3" t="b">
        <f t="array" ref="N28">OR(ISNUMBER(SEARCH(M$2:M$30,$B28,5)))</f>
        <v>0</v>
      </c>
      <c r="O28" s="3" t="str">
        <f>IFERROR(__xludf.DUMMYFUNCTION("""COMPUTED_VALUE"""),"dotted plum")</f>
        <v>dotted plum</v>
      </c>
      <c r="P28" s="3" t="str">
        <f t="shared" si="7"/>
        <v>dotted plum</v>
      </c>
      <c r="Q28" s="3" t="b">
        <f t="array" ref="Q28">OR(ISNUMBER(SEARCH(P$2:P$50,$B28,5)))</f>
        <v>1</v>
      </c>
      <c r="R28" s="3" t="str">
        <f>IFERROR(__xludf.DUMMYFUNCTION("""COMPUTED_VALUE"""),"shiny bronze")</f>
        <v>shiny bronze</v>
      </c>
      <c r="S28" s="3" t="str">
        <f t="shared" si="8"/>
        <v>shiny bronze</v>
      </c>
      <c r="T28" s="3" t="b">
        <f t="array" ref="T28">OR(ISNUMBER(SEARCH(S$2:S$100,$B28,5)))</f>
        <v>0</v>
      </c>
      <c r="U28" s="3" t="str">
        <f>IFERROR(__xludf.DUMMYFUNCTION("""COMPUTED_VALUE"""),"posh teal")</f>
        <v>posh teal</v>
      </c>
      <c r="V28" s="3" t="str">
        <f t="shared" si="9"/>
        <v>posh teal</v>
      </c>
      <c r="W28" s="3" t="b">
        <f t="array" ref="W28">OR(ISNUMBER(SEARCH(V$2:V$100,$B28,5)))</f>
        <v>0</v>
      </c>
      <c r="X28" s="3" t="str">
        <f>IFERROR(__xludf.DUMMYFUNCTION("""COMPUTED_VALUE"""),"faded lavender")</f>
        <v>faded lavender</v>
      </c>
      <c r="Y28" s="3" t="str">
        <f t="shared" si="10"/>
        <v>faded lavender</v>
      </c>
      <c r="Z28" s="3" t="b">
        <f t="array" ref="Z28">OR(ISNUMBER(SEARCH(Y$2:Y$100,$B28,5)))</f>
        <v>0</v>
      </c>
      <c r="AA28" s="3" t="str">
        <f>IFERROR(__xludf.DUMMYFUNCTION("""COMPUTED_VALUE"""),"dotted lime")</f>
        <v>dotted lime</v>
      </c>
      <c r="AB28" s="3" t="str">
        <f t="shared" si="11"/>
        <v>dotted lime</v>
      </c>
      <c r="AC28" s="3" t="b">
        <f t="array" ref="AC28">OR(ISNUMBER(SEARCH(AB$2:AB$100,$B28,5)))</f>
        <v>0</v>
      </c>
      <c r="AE28" s="3" t="str">
        <f t="shared" si="12"/>
        <v>ZZZ</v>
      </c>
      <c r="AF28" s="3" t="b">
        <f t="array" ref="AF28">OR(ISNUMBER(SEARCH(AE$2:AE$100,$B28,5)))</f>
        <v>0</v>
      </c>
      <c r="AH28" s="3" t="str">
        <f t="shared" si="13"/>
        <v>ZZZ</v>
      </c>
      <c r="AI28" s="3" t="b">
        <f t="array" ref="AI28">OR(ISNUMBER(SEARCH(AH$2:AH$100,$B28,5)))</f>
        <v>0</v>
      </c>
      <c r="AK28" s="3" t="str">
        <f t="shared" si="14"/>
        <v>ZZZ</v>
      </c>
      <c r="AL28" s="3" t="b">
        <f t="array" ref="AL28">OR(ISNUMBER(SEARCH(AK$2:AK$100,$B28,5)))</f>
        <v>0</v>
      </c>
      <c r="AP28" s="3" t="str">
        <f t="shared" ref="AP28:AZ28" si="41">INDEX($A$1:$AN$600,ROW(),COLUMN()*3-120)</f>
        <v/>
      </c>
      <c r="AQ28" s="3" t="str">
        <f t="shared" si="41"/>
        <v/>
      </c>
      <c r="AR28" s="3" t="str">
        <f t="shared" si="41"/>
        <v/>
      </c>
      <c r="AS28" s="3" t="str">
        <f t="shared" si="41"/>
        <v>dotted plum</v>
      </c>
      <c r="AT28" s="3" t="str">
        <f t="shared" si="41"/>
        <v>shiny bronze</v>
      </c>
      <c r="AU28" s="3" t="str">
        <f t="shared" si="41"/>
        <v>posh teal</v>
      </c>
      <c r="AV28" s="3" t="str">
        <f t="shared" si="41"/>
        <v>faded lavender</v>
      </c>
      <c r="AW28" s="3" t="str">
        <f t="shared" si="41"/>
        <v>dotted lime</v>
      </c>
      <c r="AX28" s="3" t="str">
        <f t="shared" si="41"/>
        <v/>
      </c>
      <c r="AY28" s="3" t="str">
        <f t="shared" si="41"/>
        <v/>
      </c>
      <c r="AZ28" s="3" t="str">
        <f t="shared" si="41"/>
        <v/>
      </c>
      <c r="BA28" s="8"/>
      <c r="BB28" s="6" t="str">
        <f>IFERROR(__xludf.DUMMYFUNCTION("""COMPUTED_VALUE"""),"plaid violet")</f>
        <v>plaid violet</v>
      </c>
      <c r="BC28" s="8" t="str">
        <f>IFERROR(__xludf.DUMMYFUNCTION("""COMPUTED_VALUE"""),"dim orange")</f>
        <v>dim orange</v>
      </c>
      <c r="BD28" s="8"/>
      <c r="BE28" s="6"/>
      <c r="BF28" s="8"/>
      <c r="BG28" s="8"/>
      <c r="BH28" s="6"/>
      <c r="BI28" s="8"/>
      <c r="BJ28" s="8"/>
      <c r="BK28" s="6"/>
      <c r="BL28" s="6"/>
      <c r="BM28" s="8"/>
      <c r="BN28" s="6"/>
      <c r="BO28" s="6"/>
      <c r="BP28" s="8"/>
      <c r="BQ28" s="6"/>
      <c r="BR28" s="6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</row>
    <row r="29">
      <c r="A29" s="6"/>
      <c r="B29" s="6" t="s">
        <v>29</v>
      </c>
      <c r="C29" s="3" t="str">
        <f t="shared" si="3"/>
        <v>plaid gold</v>
      </c>
      <c r="D29" s="3" t="str">
        <f t="shared" si="17"/>
        <v>ZZZ</v>
      </c>
      <c r="E29" s="3" t="b">
        <f t="array" ref="E29">OR(ISNUMBER(SEARCH(D$2:D$30,$B29,5)))</f>
        <v>0</v>
      </c>
      <c r="G29" s="3" t="str">
        <f t="shared" si="4"/>
        <v>ZZZ</v>
      </c>
      <c r="H29" s="3" t="b">
        <f t="array" ref="H29">OR(ISNUMBER(SEARCH(G$2:G$30,$B29,5)))</f>
        <v>0</v>
      </c>
      <c r="J29" s="3" t="str">
        <f t="shared" si="5"/>
        <v>ZZZ</v>
      </c>
      <c r="K29" s="3" t="b">
        <f t="array" ref="K29">OR(ISNUMBER(SEARCH(J$2:J$30,$B29,5)))</f>
        <v>0</v>
      </c>
      <c r="M29" s="3" t="str">
        <f t="shared" si="6"/>
        <v>ZZZ</v>
      </c>
      <c r="N29" s="3" t="b">
        <f t="array" ref="N29">OR(ISNUMBER(SEARCH(M$2:M$30,$B29,5)))</f>
        <v>1</v>
      </c>
      <c r="O29" s="3" t="str">
        <f>IFERROR(__xludf.DUMMYFUNCTION("""COMPUTED_VALUE"""),"clear violet")</f>
        <v>clear violet</v>
      </c>
      <c r="P29" s="3" t="str">
        <f t="shared" si="7"/>
        <v>clear violet</v>
      </c>
      <c r="Q29" s="3" t="b">
        <f t="array" ref="Q29">OR(ISNUMBER(SEARCH(P$2:P$50,$B29,5)))</f>
        <v>0</v>
      </c>
      <c r="R29" s="3" t="str">
        <f>IFERROR(__xludf.DUMMYFUNCTION("""COMPUTED_VALUE"""),"dotted bronze")</f>
        <v>dotted bronze</v>
      </c>
      <c r="S29" s="3" t="str">
        <f t="shared" si="8"/>
        <v>dotted bronze</v>
      </c>
      <c r="T29" s="3" t="b">
        <f t="array" ref="T29">OR(ISNUMBER(SEARCH(S$2:S$100,$B29,5)))</f>
        <v>0</v>
      </c>
      <c r="U29" s="3" t="str">
        <f>IFERROR(__xludf.DUMMYFUNCTION("""COMPUTED_VALUE"""),"light lime")</f>
        <v>light lime</v>
      </c>
      <c r="V29" s="3" t="str">
        <f t="shared" si="9"/>
        <v>light lime</v>
      </c>
      <c r="W29" s="3" t="b">
        <f t="array" ref="W29">OR(ISNUMBER(SEARCH(V$2:V$100,$B29,5)))</f>
        <v>1</v>
      </c>
      <c r="X29" s="3" t="str">
        <f>IFERROR(__xludf.DUMMYFUNCTION("""COMPUTED_VALUE"""),"light blue")</f>
        <v>light blue</v>
      </c>
      <c r="Y29" s="3" t="str">
        <f t="shared" si="10"/>
        <v>light blue</v>
      </c>
      <c r="Z29" s="3" t="b">
        <f t="array" ref="Z29">OR(ISNUMBER(SEARCH(Y$2:Y$100,$B29,5)))</f>
        <v>0</v>
      </c>
      <c r="AB29" s="3" t="str">
        <f t="shared" si="11"/>
        <v>ZZZ</v>
      </c>
      <c r="AC29" s="3" t="b">
        <f t="array" ref="AC29">OR(ISNUMBER(SEARCH(AB$2:AB$100,$B29,5)))</f>
        <v>0</v>
      </c>
      <c r="AE29" s="3" t="str">
        <f t="shared" si="12"/>
        <v>ZZZ</v>
      </c>
      <c r="AF29" s="3" t="b">
        <f t="array" ref="AF29">OR(ISNUMBER(SEARCH(AE$2:AE$100,$B29,5)))</f>
        <v>0</v>
      </c>
      <c r="AH29" s="3" t="str">
        <f t="shared" si="13"/>
        <v>ZZZ</v>
      </c>
      <c r="AI29" s="3" t="b">
        <f t="array" ref="AI29">OR(ISNUMBER(SEARCH(AH$2:AH$100,$B29,5)))</f>
        <v>0</v>
      </c>
      <c r="AK29" s="3" t="str">
        <f t="shared" si="14"/>
        <v>ZZZ</v>
      </c>
      <c r="AL29" s="3" t="b">
        <f t="array" ref="AL29">OR(ISNUMBER(SEARCH(AK$2:AK$100,$B29,5)))</f>
        <v>0</v>
      </c>
      <c r="AP29" s="3" t="str">
        <f t="shared" ref="AP29:AZ29" si="42">INDEX($A$1:$AN$600,ROW(),COLUMN()*3-120)</f>
        <v/>
      </c>
      <c r="AQ29" s="3" t="str">
        <f t="shared" si="42"/>
        <v/>
      </c>
      <c r="AR29" s="3" t="str">
        <f t="shared" si="42"/>
        <v/>
      </c>
      <c r="AS29" s="3" t="str">
        <f t="shared" si="42"/>
        <v>clear violet</v>
      </c>
      <c r="AT29" s="3" t="str">
        <f t="shared" si="42"/>
        <v>dotted bronze</v>
      </c>
      <c r="AU29" s="3" t="str">
        <f t="shared" si="42"/>
        <v>light lime</v>
      </c>
      <c r="AV29" s="3" t="str">
        <f t="shared" si="42"/>
        <v>light blue</v>
      </c>
      <c r="AW29" s="3" t="str">
        <f t="shared" si="42"/>
        <v/>
      </c>
      <c r="AX29" s="3" t="str">
        <f t="shared" si="42"/>
        <v/>
      </c>
      <c r="AY29" s="3" t="str">
        <f t="shared" si="42"/>
        <v/>
      </c>
      <c r="AZ29" s="3" t="str">
        <f t="shared" si="42"/>
        <v/>
      </c>
      <c r="BA29" s="8"/>
      <c r="BB29" s="6" t="str">
        <f>IFERROR(__xludf.DUMMYFUNCTION("""COMPUTED_VALUE"""),"striped indigo")</f>
        <v>striped indigo</v>
      </c>
      <c r="BC29" s="8" t="str">
        <f>IFERROR(__xludf.DUMMYFUNCTION("""COMPUTED_VALUE"""),"muted silver")</f>
        <v>muted silver</v>
      </c>
      <c r="BD29" s="8"/>
      <c r="BE29" s="6"/>
      <c r="BF29" s="8"/>
      <c r="BG29" s="8"/>
      <c r="BH29" s="6"/>
      <c r="BI29" s="8"/>
      <c r="BJ29" s="8"/>
      <c r="BK29" s="6"/>
      <c r="BL29" s="8"/>
      <c r="BM29" s="8"/>
      <c r="BN29" s="6"/>
      <c r="BO29" s="6"/>
      <c r="BP29" s="8"/>
      <c r="BQ29" s="6"/>
      <c r="BR29" s="6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</row>
    <row r="30">
      <c r="A30" s="6"/>
      <c r="B30" s="6" t="s">
        <v>30</v>
      </c>
      <c r="C30" s="3" t="str">
        <f t="shared" si="3"/>
        <v>faded tomato</v>
      </c>
      <c r="D30" s="3" t="str">
        <f t="shared" si="17"/>
        <v>ZZZ</v>
      </c>
      <c r="E30" s="3" t="b">
        <f t="array" ref="E30">OR(ISNUMBER(SEARCH(D$2:D$30,$B30,5)))</f>
        <v>0</v>
      </c>
      <c r="G30" s="3" t="str">
        <f t="shared" si="4"/>
        <v>ZZZ</v>
      </c>
      <c r="H30" s="3" t="b">
        <f t="array" ref="H30">OR(ISNUMBER(SEARCH(G$2:G$30,$B30,5)))</f>
        <v>0</v>
      </c>
      <c r="J30" s="3" t="str">
        <f t="shared" si="5"/>
        <v>ZZZ</v>
      </c>
      <c r="K30" s="3" t="b">
        <f t="array" ref="K30">OR(ISNUMBER(SEARCH(J$2:J$30,$B30,5)))</f>
        <v>0</v>
      </c>
      <c r="M30" s="3" t="str">
        <f t="shared" si="6"/>
        <v>ZZZ</v>
      </c>
      <c r="N30" s="3" t="b">
        <f t="array" ref="N30">OR(ISNUMBER(SEARCH(M$2:M$30,$B30,5)))</f>
        <v>0</v>
      </c>
      <c r="O30" s="3" t="str">
        <f>IFERROR(__xludf.DUMMYFUNCTION("""COMPUTED_VALUE"""),"light olive")</f>
        <v>light olive</v>
      </c>
      <c r="P30" s="3" t="str">
        <f t="shared" si="7"/>
        <v>light olive</v>
      </c>
      <c r="Q30" s="3" t="b">
        <f t="array" ref="Q30">OR(ISNUMBER(SEARCH(P$2:P$50,$B30,5)))</f>
        <v>0</v>
      </c>
      <c r="R30" s="3" t="str">
        <f>IFERROR(__xludf.DUMMYFUNCTION("""COMPUTED_VALUE"""),"vibrant coral")</f>
        <v>vibrant coral</v>
      </c>
      <c r="S30" s="3" t="str">
        <f t="shared" si="8"/>
        <v>vibrant coral</v>
      </c>
      <c r="T30" s="3" t="b">
        <f t="array" ref="T30">OR(ISNUMBER(SEARCH(S$2:S$100,$B30,5)))</f>
        <v>0</v>
      </c>
      <c r="U30" s="3" t="str">
        <f>IFERROR(__xludf.DUMMYFUNCTION("""COMPUTED_VALUE"""),"vibrant fuchsia")</f>
        <v>vibrant fuchsia</v>
      </c>
      <c r="V30" s="3" t="str">
        <f t="shared" si="9"/>
        <v>vibrant fuchsia</v>
      </c>
      <c r="W30" s="3" t="b">
        <f t="array" ref="W30">OR(ISNUMBER(SEARCH(V$2:V$100,$B30,5)))</f>
        <v>0</v>
      </c>
      <c r="X30" s="3" t="str">
        <f>IFERROR(__xludf.DUMMYFUNCTION("""COMPUTED_VALUE"""),"dim silver")</f>
        <v>dim silver</v>
      </c>
      <c r="Y30" s="3" t="str">
        <f t="shared" si="10"/>
        <v>dim silver</v>
      </c>
      <c r="Z30" s="3" t="b">
        <f t="array" ref="Z30">OR(ISNUMBER(SEARCH(Y$2:Y$100,$B30,5)))</f>
        <v>0</v>
      </c>
      <c r="AB30" s="3" t="str">
        <f t="shared" si="11"/>
        <v>ZZZ</v>
      </c>
      <c r="AC30" s="3" t="b">
        <f t="array" ref="AC30">OR(ISNUMBER(SEARCH(AB$2:AB$100,$B30,5)))</f>
        <v>0</v>
      </c>
      <c r="AE30" s="3" t="str">
        <f t="shared" si="12"/>
        <v>ZZZ</v>
      </c>
      <c r="AF30" s="3" t="b">
        <f t="array" ref="AF30">OR(ISNUMBER(SEARCH(AE$2:AE$100,$B30,5)))</f>
        <v>0</v>
      </c>
      <c r="AH30" s="3" t="str">
        <f t="shared" si="13"/>
        <v>ZZZ</v>
      </c>
      <c r="AI30" s="3" t="b">
        <f t="array" ref="AI30">OR(ISNUMBER(SEARCH(AH$2:AH$100,$B30,5)))</f>
        <v>0</v>
      </c>
      <c r="AK30" s="3" t="str">
        <f t="shared" si="14"/>
        <v>ZZZ</v>
      </c>
      <c r="AL30" s="3" t="b">
        <f t="array" ref="AL30">OR(ISNUMBER(SEARCH(AK$2:AK$100,$B30,5)))</f>
        <v>0</v>
      </c>
      <c r="AP30" s="3" t="str">
        <f t="shared" ref="AP30:AZ30" si="43">INDEX($A$1:$AN$600,ROW(),COLUMN()*3-120)</f>
        <v/>
      </c>
      <c r="AQ30" s="3" t="str">
        <f t="shared" si="43"/>
        <v/>
      </c>
      <c r="AR30" s="3" t="str">
        <f t="shared" si="43"/>
        <v/>
      </c>
      <c r="AS30" s="3" t="str">
        <f t="shared" si="43"/>
        <v>light olive</v>
      </c>
      <c r="AT30" s="3" t="str">
        <f t="shared" si="43"/>
        <v>vibrant coral</v>
      </c>
      <c r="AU30" s="3" t="str">
        <f t="shared" si="43"/>
        <v>vibrant fuchsia</v>
      </c>
      <c r="AV30" s="3" t="str">
        <f t="shared" si="43"/>
        <v>dim silver</v>
      </c>
      <c r="AW30" s="3" t="str">
        <f t="shared" si="43"/>
        <v/>
      </c>
      <c r="AX30" s="3" t="str">
        <f t="shared" si="43"/>
        <v/>
      </c>
      <c r="AY30" s="3" t="str">
        <f t="shared" si="43"/>
        <v/>
      </c>
      <c r="AZ30" s="3" t="str">
        <f t="shared" si="43"/>
        <v/>
      </c>
      <c r="BA30" s="8"/>
      <c r="BB30" s="6" t="str">
        <f>IFERROR(__xludf.DUMMYFUNCTION("""COMPUTED_VALUE"""),"striped turquoise")</f>
        <v>striped turquoise</v>
      </c>
      <c r="BC30" s="8" t="str">
        <f>IFERROR(__xludf.DUMMYFUNCTION("""COMPUTED_VALUE"""),"dim beige")</f>
        <v>dim beige</v>
      </c>
      <c r="BD30" s="8"/>
      <c r="BE30" s="6"/>
      <c r="BF30" s="8"/>
      <c r="BG30" s="8"/>
      <c r="BH30" s="6"/>
      <c r="BI30" s="8"/>
      <c r="BJ30" s="8"/>
      <c r="BK30" s="6"/>
      <c r="BL30" s="8"/>
      <c r="BM30" s="8"/>
      <c r="BN30" s="6"/>
      <c r="BO30" s="8"/>
      <c r="BP30" s="8"/>
      <c r="BQ30" s="6"/>
      <c r="BR30" s="6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</row>
    <row r="31">
      <c r="A31" s="6"/>
      <c r="B31" s="6" t="s">
        <v>31</v>
      </c>
      <c r="C31" s="3" t="str">
        <f t="shared" si="3"/>
        <v>posh plum</v>
      </c>
      <c r="D31" s="3" t="str">
        <f t="shared" si="17"/>
        <v>ZZZ</v>
      </c>
      <c r="E31" s="3" t="b">
        <f t="array" ref="E31">OR(ISNUMBER(SEARCH(D$2:D$30,$B31,5)))</f>
        <v>0</v>
      </c>
      <c r="G31" s="3" t="str">
        <f t="shared" si="4"/>
        <v>ZZZ</v>
      </c>
      <c r="H31" s="3" t="b">
        <f t="array" ref="H31">OR(ISNUMBER(SEARCH(G$2:G$30,$B31,5)))</f>
        <v>0</v>
      </c>
      <c r="J31" s="3" t="str">
        <f t="shared" si="5"/>
        <v>ZZZ</v>
      </c>
      <c r="K31" s="3" t="b">
        <f t="array" ref="K31">OR(ISNUMBER(SEARCH(J$2:J$30,$B31,5)))</f>
        <v>0</v>
      </c>
      <c r="M31" s="3" t="str">
        <f t="shared" si="6"/>
        <v>ZZZ</v>
      </c>
      <c r="N31" s="3" t="b">
        <f t="array" ref="N31">OR(ISNUMBER(SEARCH(M$2:M$30,$B31,5)))</f>
        <v>0</v>
      </c>
      <c r="O31" s="3" t="str">
        <f>IFERROR(__xludf.DUMMYFUNCTION("""COMPUTED_VALUE"""),"plaid beige")</f>
        <v>plaid beige</v>
      </c>
      <c r="P31" s="3" t="str">
        <f t="shared" si="7"/>
        <v>plaid beige</v>
      </c>
      <c r="Q31" s="3" t="b">
        <f t="array" ref="Q31">OR(ISNUMBER(SEARCH(P$2:P$50,$B31,5)))</f>
        <v>0</v>
      </c>
      <c r="R31" s="3" t="str">
        <f>IFERROR(__xludf.DUMMYFUNCTION("""COMPUTED_VALUE"""),"dotted blue")</f>
        <v>dotted blue</v>
      </c>
      <c r="S31" s="3" t="str">
        <f t="shared" si="8"/>
        <v>dotted blue</v>
      </c>
      <c r="T31" s="3" t="b">
        <f t="array" ref="T31">OR(ISNUMBER(SEARCH(S$2:S$100,$B31,5)))</f>
        <v>0</v>
      </c>
      <c r="U31" s="3" t="str">
        <f>IFERROR(__xludf.DUMMYFUNCTION("""COMPUTED_VALUE"""),"dark gold")</f>
        <v>dark gold</v>
      </c>
      <c r="V31" s="3" t="str">
        <f t="shared" si="9"/>
        <v>dark gold</v>
      </c>
      <c r="W31" s="3" t="b">
        <f t="array" ref="W31">OR(ISNUMBER(SEARCH(V$2:V$100,$B31,5)))</f>
        <v>0</v>
      </c>
      <c r="X31" s="3" t="str">
        <f>IFERROR(__xludf.DUMMYFUNCTION("""COMPUTED_VALUE"""),"light salmon")</f>
        <v>light salmon</v>
      </c>
      <c r="Y31" s="3" t="str">
        <f t="shared" si="10"/>
        <v>light salmon</v>
      </c>
      <c r="Z31" s="3" t="b">
        <f t="array" ref="Z31">OR(ISNUMBER(SEARCH(Y$2:Y$100,$B31,5)))</f>
        <v>0</v>
      </c>
      <c r="AB31" s="3" t="str">
        <f t="shared" si="11"/>
        <v>ZZZ</v>
      </c>
      <c r="AC31" s="3" t="b">
        <f t="array" ref="AC31">OR(ISNUMBER(SEARCH(AB$2:AB$100,$B31,5)))</f>
        <v>0</v>
      </c>
      <c r="AE31" s="3" t="str">
        <f t="shared" si="12"/>
        <v>ZZZ</v>
      </c>
      <c r="AF31" s="3" t="b">
        <f t="array" ref="AF31">OR(ISNUMBER(SEARCH(AE$2:AE$100,$B31,5)))</f>
        <v>0</v>
      </c>
      <c r="AH31" s="3" t="str">
        <f t="shared" si="13"/>
        <v>ZZZ</v>
      </c>
      <c r="AI31" s="3" t="b">
        <f t="array" ref="AI31">OR(ISNUMBER(SEARCH(AH$2:AH$100,$B31,5)))</f>
        <v>0</v>
      </c>
      <c r="AK31" s="3" t="str">
        <f t="shared" si="14"/>
        <v>ZZZ</v>
      </c>
      <c r="AL31" s="3" t="b">
        <f t="array" ref="AL31">OR(ISNUMBER(SEARCH(AK$2:AK$100,$B31,5)))</f>
        <v>0</v>
      </c>
      <c r="AP31" s="3" t="str">
        <f t="shared" ref="AP31:AZ31" si="44">INDEX($A$1:$AN$600,ROW(),COLUMN()*3-120)</f>
        <v/>
      </c>
      <c r="AQ31" s="3" t="str">
        <f t="shared" si="44"/>
        <v/>
      </c>
      <c r="AR31" s="3" t="str">
        <f t="shared" si="44"/>
        <v/>
      </c>
      <c r="AS31" s="3" t="str">
        <f t="shared" si="44"/>
        <v>plaid beige</v>
      </c>
      <c r="AT31" s="3" t="str">
        <f t="shared" si="44"/>
        <v>dotted blue</v>
      </c>
      <c r="AU31" s="3" t="str">
        <f t="shared" si="44"/>
        <v>dark gold</v>
      </c>
      <c r="AV31" s="3" t="str">
        <f t="shared" si="44"/>
        <v>light salmon</v>
      </c>
      <c r="AW31" s="3" t="str">
        <f t="shared" si="44"/>
        <v/>
      </c>
      <c r="AX31" s="3" t="str">
        <f t="shared" si="44"/>
        <v/>
      </c>
      <c r="AY31" s="3" t="str">
        <f t="shared" si="44"/>
        <v/>
      </c>
      <c r="AZ31" s="3" t="str">
        <f t="shared" si="44"/>
        <v/>
      </c>
      <c r="BA31" s="8"/>
      <c r="BB31" s="6" t="str">
        <f>IFERROR(__xludf.DUMMYFUNCTION("""COMPUTED_VALUE"""),"plaid crimson")</f>
        <v>plaid crimson</v>
      </c>
      <c r="BC31" s="8" t="str">
        <f>IFERROR(__xludf.DUMMYFUNCTION("""COMPUTED_VALUE"""),"drab blue")</f>
        <v>drab blue</v>
      </c>
      <c r="BD31" s="8"/>
      <c r="BE31" s="6"/>
      <c r="BF31" s="8"/>
      <c r="BG31" s="8"/>
      <c r="BH31" s="6"/>
      <c r="BI31" s="8"/>
      <c r="BJ31" s="8"/>
      <c r="BK31" s="6"/>
      <c r="BL31" s="8"/>
      <c r="BM31" s="8"/>
      <c r="BN31" s="6"/>
      <c r="BO31" s="8"/>
      <c r="BP31" s="8"/>
      <c r="BQ31" s="6"/>
      <c r="BR31" s="8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</row>
    <row r="32">
      <c r="A32" s="6"/>
      <c r="B32" s="6" t="s">
        <v>32</v>
      </c>
      <c r="C32" s="3" t="str">
        <f t="shared" si="3"/>
        <v>drab bronze</v>
      </c>
      <c r="D32" s="3" t="str">
        <f t="shared" si="17"/>
        <v>ZZZ</v>
      </c>
      <c r="E32" s="3" t="b">
        <f t="array" ref="E32">OR(ISNUMBER(SEARCH(D$2:D$30,$B32,5)))</f>
        <v>0</v>
      </c>
      <c r="G32" s="3" t="str">
        <f t="shared" si="4"/>
        <v>ZZZ</v>
      </c>
      <c r="H32" s="3" t="b">
        <f t="array" ref="H32">OR(ISNUMBER(SEARCH(G$2:G$30,$B32,5)))</f>
        <v>0</v>
      </c>
      <c r="J32" s="3" t="str">
        <f t="shared" si="5"/>
        <v>ZZZ</v>
      </c>
      <c r="K32" s="3" t="b">
        <f t="array" ref="K32">OR(ISNUMBER(SEARCH(J$2:J$30,$B32,5)))</f>
        <v>0</v>
      </c>
      <c r="M32" s="3" t="str">
        <f t="shared" si="6"/>
        <v>ZZZ</v>
      </c>
      <c r="N32" s="3" t="b">
        <f t="array" ref="N32">OR(ISNUMBER(SEARCH(M$2:M$30,$B32,5)))</f>
        <v>0</v>
      </c>
      <c r="O32" s="3" t="str">
        <f>IFERROR(__xludf.DUMMYFUNCTION("""COMPUTED_VALUE"""),"pale chartreuse")</f>
        <v>pale chartreuse</v>
      </c>
      <c r="P32" s="3" t="str">
        <f t="shared" si="7"/>
        <v>pale chartreuse</v>
      </c>
      <c r="Q32" s="3" t="b">
        <f t="array" ref="Q32">OR(ISNUMBER(SEARCH(P$2:P$50,$B32,5)))</f>
        <v>0</v>
      </c>
      <c r="R32" s="3" t="str">
        <f>IFERROR(__xludf.DUMMYFUNCTION("""COMPUTED_VALUE"""),"bright maroon")</f>
        <v>bright maroon</v>
      </c>
      <c r="S32" s="3" t="str">
        <f t="shared" si="8"/>
        <v>bright maroon</v>
      </c>
      <c r="T32" s="3" t="b">
        <f t="array" ref="T32">OR(ISNUMBER(SEARCH(S$2:S$100,$B32,5)))</f>
        <v>0</v>
      </c>
      <c r="U32" s="3" t="str">
        <f>IFERROR(__xludf.DUMMYFUNCTION("""COMPUTED_VALUE"""),"plaid salmon")</f>
        <v>plaid salmon</v>
      </c>
      <c r="V32" s="3" t="str">
        <f t="shared" si="9"/>
        <v>plaid salmon</v>
      </c>
      <c r="W32" s="3" t="b">
        <f t="array" ref="W32">OR(ISNUMBER(SEARCH(V$2:V$100,$B32,5)))</f>
        <v>0</v>
      </c>
      <c r="X32" s="3" t="str">
        <f>IFERROR(__xludf.DUMMYFUNCTION("""COMPUTED_VALUE"""),"pale plum")</f>
        <v>pale plum</v>
      </c>
      <c r="Y32" s="3" t="str">
        <f t="shared" si="10"/>
        <v>pale plum</v>
      </c>
      <c r="Z32" s="3" t="b">
        <f t="array" ref="Z32">OR(ISNUMBER(SEARCH(Y$2:Y$100,$B32,5)))</f>
        <v>0</v>
      </c>
      <c r="AB32" s="3" t="str">
        <f t="shared" si="11"/>
        <v>ZZZ</v>
      </c>
      <c r="AC32" s="3" t="b">
        <f t="array" ref="AC32">OR(ISNUMBER(SEARCH(AB$2:AB$100,$B32,5)))</f>
        <v>0</v>
      </c>
      <c r="AE32" s="3" t="str">
        <f t="shared" si="12"/>
        <v>ZZZ</v>
      </c>
      <c r="AF32" s="3" t="b">
        <f t="array" ref="AF32">OR(ISNUMBER(SEARCH(AE$2:AE$100,$B32,5)))</f>
        <v>0</v>
      </c>
      <c r="AH32" s="3" t="str">
        <f t="shared" si="13"/>
        <v>ZZZ</v>
      </c>
      <c r="AI32" s="3" t="b">
        <f t="array" ref="AI32">OR(ISNUMBER(SEARCH(AH$2:AH$100,$B32,5)))</f>
        <v>0</v>
      </c>
      <c r="AK32" s="3" t="str">
        <f t="shared" si="14"/>
        <v>ZZZ</v>
      </c>
      <c r="AL32" s="3" t="b">
        <f t="array" ref="AL32">OR(ISNUMBER(SEARCH(AK$2:AK$100,$B32,5)))</f>
        <v>0</v>
      </c>
      <c r="AP32" s="3" t="str">
        <f t="shared" ref="AP32:AZ32" si="45">INDEX($A$1:$AN$600,ROW(),COLUMN()*3-120)</f>
        <v/>
      </c>
      <c r="AQ32" s="3" t="str">
        <f t="shared" si="45"/>
        <v/>
      </c>
      <c r="AR32" s="3" t="str">
        <f t="shared" si="45"/>
        <v/>
      </c>
      <c r="AS32" s="3" t="str">
        <f t="shared" si="45"/>
        <v>pale chartreuse</v>
      </c>
      <c r="AT32" s="3" t="str">
        <f t="shared" si="45"/>
        <v>bright maroon</v>
      </c>
      <c r="AU32" s="3" t="str">
        <f t="shared" si="45"/>
        <v>plaid salmon</v>
      </c>
      <c r="AV32" s="3" t="str">
        <f t="shared" si="45"/>
        <v>pale plum</v>
      </c>
      <c r="AW32" s="3" t="str">
        <f t="shared" si="45"/>
        <v/>
      </c>
      <c r="AX32" s="3" t="str">
        <f t="shared" si="45"/>
        <v/>
      </c>
      <c r="AY32" s="3" t="str">
        <f t="shared" si="45"/>
        <v/>
      </c>
      <c r="AZ32" s="3" t="str">
        <f t="shared" si="45"/>
        <v/>
      </c>
      <c r="BA32" s="8"/>
      <c r="BB32" s="6" t="str">
        <f>IFERROR(__xludf.DUMMYFUNCTION("""COMPUTED_VALUE"""),"dim orange")</f>
        <v>dim orange</v>
      </c>
      <c r="BC32" s="8" t="str">
        <f>IFERROR(__xludf.DUMMYFUNCTION("""COMPUTED_VALUE"""),"muted tomato")</f>
        <v>muted tomato</v>
      </c>
      <c r="BD32" s="8"/>
      <c r="BE32" s="6"/>
      <c r="BF32" s="8"/>
      <c r="BG32" s="8"/>
      <c r="BH32" s="6"/>
      <c r="BI32" s="8"/>
      <c r="BJ32" s="8"/>
      <c r="BK32" s="6"/>
      <c r="BL32" s="8"/>
      <c r="BM32" s="8"/>
      <c r="BN32" s="6"/>
      <c r="BO32" s="8"/>
      <c r="BP32" s="8"/>
      <c r="BQ32" s="6"/>
      <c r="BR32" s="8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</row>
    <row r="33">
      <c r="A33" s="6"/>
      <c r="B33" s="6" t="s">
        <v>33</v>
      </c>
      <c r="C33" s="3" t="str">
        <f t="shared" si="3"/>
        <v>muted blue</v>
      </c>
      <c r="D33" s="3" t="str">
        <f t="shared" si="17"/>
        <v>ZZZ</v>
      </c>
      <c r="E33" s="3" t="b">
        <f t="array" ref="E33">OR(ISNUMBER(SEARCH(D$2:D$30,$B33,5)))</f>
        <v>0</v>
      </c>
      <c r="G33" s="3" t="str">
        <f t="shared" si="4"/>
        <v>ZZZ</v>
      </c>
      <c r="H33" s="3" t="b">
        <f t="array" ref="H33">OR(ISNUMBER(SEARCH(G$2:G$30,$B33,5)))</f>
        <v>0</v>
      </c>
      <c r="J33" s="3" t="str">
        <f t="shared" si="5"/>
        <v>ZZZ</v>
      </c>
      <c r="K33" s="3" t="b">
        <f t="array" ref="K33">OR(ISNUMBER(SEARCH(J$2:J$30,$B33,5)))</f>
        <v>0</v>
      </c>
      <c r="M33" s="3" t="str">
        <f t="shared" si="6"/>
        <v>ZZZ</v>
      </c>
      <c r="N33" s="3" t="b">
        <f t="array" ref="N33">OR(ISNUMBER(SEARCH(M$2:M$30,$B33,5)))</f>
        <v>0</v>
      </c>
      <c r="O33" s="3" t="str">
        <f>IFERROR(__xludf.DUMMYFUNCTION("""COMPUTED_VALUE"""),"pale teal")</f>
        <v>pale teal</v>
      </c>
      <c r="P33" s="3" t="str">
        <f t="shared" si="7"/>
        <v>pale teal</v>
      </c>
      <c r="Q33" s="3" t="b">
        <f t="array" ref="Q33">OR(ISNUMBER(SEARCH(P$2:P$50,$B33,5)))</f>
        <v>0</v>
      </c>
      <c r="R33" s="3" t="str">
        <f>IFERROR(__xludf.DUMMYFUNCTION("""COMPUTED_VALUE"""),"dull orange")</f>
        <v>dull orange</v>
      </c>
      <c r="S33" s="3" t="str">
        <f t="shared" si="8"/>
        <v>dull orange</v>
      </c>
      <c r="T33" s="3" t="b">
        <f t="array" ref="T33">OR(ISNUMBER(SEARCH(S$2:S$100,$B33,5)))</f>
        <v>0</v>
      </c>
      <c r="U33" s="3" t="str">
        <f>IFERROR(__xludf.DUMMYFUNCTION("""COMPUTED_VALUE"""),"dotted lavender")</f>
        <v>dotted lavender</v>
      </c>
      <c r="V33" s="3" t="str">
        <f t="shared" si="9"/>
        <v>dotted lavender</v>
      </c>
      <c r="W33" s="3" t="b">
        <f t="array" ref="W33">OR(ISNUMBER(SEARCH(V$2:V$100,$B33,5)))</f>
        <v>0</v>
      </c>
      <c r="X33" s="3" t="str">
        <f>IFERROR(__xludf.DUMMYFUNCTION("""COMPUTED_VALUE"""),"shiny tomato")</f>
        <v>shiny tomato</v>
      </c>
      <c r="Y33" s="3" t="str">
        <f t="shared" si="10"/>
        <v>shiny tomato</v>
      </c>
      <c r="Z33" s="3" t="b">
        <f t="array" ref="Z33">OR(ISNUMBER(SEARCH(Y$2:Y$100,$B33,5)))</f>
        <v>0</v>
      </c>
      <c r="AB33" s="3" t="str">
        <f t="shared" si="11"/>
        <v>ZZZ</v>
      </c>
      <c r="AC33" s="3" t="b">
        <f t="array" ref="AC33">OR(ISNUMBER(SEARCH(AB$2:AB$100,$B33,5)))</f>
        <v>0</v>
      </c>
      <c r="AE33" s="3" t="str">
        <f t="shared" si="12"/>
        <v>ZZZ</v>
      </c>
      <c r="AF33" s="3" t="b">
        <f t="array" ref="AF33">OR(ISNUMBER(SEARCH(AE$2:AE$100,$B33,5)))</f>
        <v>0</v>
      </c>
      <c r="AH33" s="3" t="str">
        <f t="shared" si="13"/>
        <v>ZZZ</v>
      </c>
      <c r="AI33" s="3" t="b">
        <f t="array" ref="AI33">OR(ISNUMBER(SEARCH(AH$2:AH$100,$B33,5)))</f>
        <v>0</v>
      </c>
      <c r="AK33" s="3" t="str">
        <f t="shared" si="14"/>
        <v>ZZZ</v>
      </c>
      <c r="AL33" s="3" t="b">
        <f t="array" ref="AL33">OR(ISNUMBER(SEARCH(AK$2:AK$100,$B33,5)))</f>
        <v>0</v>
      </c>
      <c r="AP33" s="3" t="str">
        <f t="shared" ref="AP33:AZ33" si="46">INDEX($A$1:$AN$600,ROW(),COLUMN()*3-120)</f>
        <v/>
      </c>
      <c r="AQ33" s="3" t="str">
        <f t="shared" si="46"/>
        <v/>
      </c>
      <c r="AR33" s="3" t="str">
        <f t="shared" si="46"/>
        <v/>
      </c>
      <c r="AS33" s="3" t="str">
        <f t="shared" si="46"/>
        <v>pale teal</v>
      </c>
      <c r="AT33" s="3" t="str">
        <f t="shared" si="46"/>
        <v>dull orange</v>
      </c>
      <c r="AU33" s="3" t="str">
        <f t="shared" si="46"/>
        <v>dotted lavender</v>
      </c>
      <c r="AV33" s="3" t="str">
        <f t="shared" si="46"/>
        <v>shiny tomato</v>
      </c>
      <c r="AW33" s="3" t="str">
        <f t="shared" si="46"/>
        <v/>
      </c>
      <c r="AX33" s="3" t="str">
        <f t="shared" si="46"/>
        <v/>
      </c>
      <c r="AY33" s="3" t="str">
        <f t="shared" si="46"/>
        <v/>
      </c>
      <c r="AZ33" s="3" t="str">
        <f t="shared" si="46"/>
        <v/>
      </c>
      <c r="BA33" s="8"/>
      <c r="BB33" s="6" t="str">
        <f>IFERROR(__xludf.DUMMYFUNCTION("""COMPUTED_VALUE"""),"muted silver")</f>
        <v>muted silver</v>
      </c>
      <c r="BC33" s="8" t="str">
        <f>IFERROR(__xludf.DUMMYFUNCTION("""COMPUTED_VALUE"""),"mirrored yellow")</f>
        <v>mirrored yellow</v>
      </c>
      <c r="BD33" s="8"/>
      <c r="BE33" s="6"/>
      <c r="BF33" s="8"/>
      <c r="BG33" s="8"/>
      <c r="BH33" s="6"/>
      <c r="BI33" s="8"/>
      <c r="BJ33" s="8"/>
      <c r="BK33" s="6"/>
      <c r="BL33" s="8"/>
      <c r="BM33" s="8"/>
      <c r="BN33" s="6"/>
      <c r="BO33" s="8"/>
      <c r="BP33" s="8"/>
      <c r="BQ33" s="6"/>
      <c r="BR33" s="8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</row>
    <row r="34">
      <c r="A34" s="6"/>
      <c r="B34" s="6" t="s">
        <v>34</v>
      </c>
      <c r="C34" s="3" t="str">
        <f t="shared" si="3"/>
        <v>striped indigo</v>
      </c>
      <c r="D34" s="3" t="str">
        <f t="shared" si="17"/>
        <v>ZZZ</v>
      </c>
      <c r="E34" s="3" t="b">
        <f t="array" ref="E34">OR(ISNUMBER(SEARCH(D$2:D$30,$B34,5)))</f>
        <v>0</v>
      </c>
      <c r="G34" s="3" t="str">
        <f t="shared" si="4"/>
        <v>ZZZ</v>
      </c>
      <c r="H34" s="3" t="b">
        <f t="array" ref="H34">OR(ISNUMBER(SEARCH(G$2:G$30,$B34,5)))</f>
        <v>0</v>
      </c>
      <c r="J34" s="3" t="str">
        <f t="shared" si="5"/>
        <v>ZZZ</v>
      </c>
      <c r="K34" s="3" t="b">
        <f t="array" ref="K34">OR(ISNUMBER(SEARCH(J$2:J$30,$B34,5)))</f>
        <v>0</v>
      </c>
      <c r="M34" s="3" t="str">
        <f t="shared" si="6"/>
        <v>ZZZ</v>
      </c>
      <c r="N34" s="3" t="b">
        <f t="array" ref="N34">OR(ISNUMBER(SEARCH(M$2:M$30,$B34,5)))</f>
        <v>0</v>
      </c>
      <c r="O34" s="3" t="str">
        <f>IFERROR(__xludf.DUMMYFUNCTION("""COMPUTED_VALUE"""),"dim tan")</f>
        <v>dim tan</v>
      </c>
      <c r="P34" s="3" t="str">
        <f t="shared" si="7"/>
        <v>dim tan</v>
      </c>
      <c r="Q34" s="3" t="b">
        <f t="array" ref="Q34">OR(ISNUMBER(SEARCH(P$2:P$50,$B34,5)))</f>
        <v>0</v>
      </c>
      <c r="R34" s="3" t="str">
        <f>IFERROR(__xludf.DUMMYFUNCTION("""COMPUTED_VALUE"""),"light magenta")</f>
        <v>light magenta</v>
      </c>
      <c r="S34" s="3" t="str">
        <f t="shared" si="8"/>
        <v>light magenta</v>
      </c>
      <c r="T34" s="3" t="b">
        <f t="array" ref="T34">OR(ISNUMBER(SEARCH(S$2:S$100,$B34,5)))</f>
        <v>1</v>
      </c>
      <c r="U34" s="3" t="str">
        <f>IFERROR(__xludf.DUMMYFUNCTION("""COMPUTED_VALUE"""),"light maroon")</f>
        <v>light maroon</v>
      </c>
      <c r="V34" s="3" t="str">
        <f t="shared" si="9"/>
        <v>light maroon</v>
      </c>
      <c r="W34" s="3" t="b">
        <f t="array" ref="W34">OR(ISNUMBER(SEARCH(V$2:V$100,$B34,5)))</f>
        <v>0</v>
      </c>
      <c r="X34" s="3" t="str">
        <f>IFERROR(__xludf.DUMMYFUNCTION("""COMPUTED_VALUE"""),"plaid beige")</f>
        <v>plaid beige</v>
      </c>
      <c r="Y34" s="3" t="str">
        <f t="shared" si="10"/>
        <v>plaid beige</v>
      </c>
      <c r="Z34" s="3" t="b">
        <f t="array" ref="Z34">OR(ISNUMBER(SEARCH(Y$2:Y$100,$B34,5)))</f>
        <v>1</v>
      </c>
      <c r="AB34" s="3" t="str">
        <f t="shared" si="11"/>
        <v>ZZZ</v>
      </c>
      <c r="AC34" s="3" t="b">
        <f t="array" ref="AC34">OR(ISNUMBER(SEARCH(AB$2:AB$100,$B34,5)))</f>
        <v>0</v>
      </c>
      <c r="AE34" s="3" t="str">
        <f t="shared" si="12"/>
        <v>ZZZ</v>
      </c>
      <c r="AF34" s="3" t="b">
        <f t="array" ref="AF34">OR(ISNUMBER(SEARCH(AE$2:AE$100,$B34,5)))</f>
        <v>0</v>
      </c>
      <c r="AH34" s="3" t="str">
        <f t="shared" si="13"/>
        <v>ZZZ</v>
      </c>
      <c r="AI34" s="3" t="b">
        <f t="array" ref="AI34">OR(ISNUMBER(SEARCH(AH$2:AH$100,$B34,5)))</f>
        <v>0</v>
      </c>
      <c r="AK34" s="3" t="str">
        <f t="shared" si="14"/>
        <v>ZZZ</v>
      </c>
      <c r="AL34" s="3" t="b">
        <f t="array" ref="AL34">OR(ISNUMBER(SEARCH(AK$2:AK$100,$B34,5)))</f>
        <v>0</v>
      </c>
      <c r="AP34" s="3" t="str">
        <f t="shared" ref="AP34:AZ34" si="47">INDEX($A$1:$AN$600,ROW(),COLUMN()*3-120)</f>
        <v/>
      </c>
      <c r="AQ34" s="3" t="str">
        <f t="shared" si="47"/>
        <v/>
      </c>
      <c r="AR34" s="3" t="str">
        <f t="shared" si="47"/>
        <v/>
      </c>
      <c r="AS34" s="3" t="str">
        <f t="shared" si="47"/>
        <v>dim tan</v>
      </c>
      <c r="AT34" s="3" t="str">
        <f t="shared" si="47"/>
        <v>light magenta</v>
      </c>
      <c r="AU34" s="3" t="str">
        <f t="shared" si="47"/>
        <v>light maroon</v>
      </c>
      <c r="AV34" s="3" t="str">
        <f t="shared" si="47"/>
        <v>plaid beige</v>
      </c>
      <c r="AW34" s="3" t="str">
        <f t="shared" si="47"/>
        <v/>
      </c>
      <c r="AX34" s="3" t="str">
        <f t="shared" si="47"/>
        <v/>
      </c>
      <c r="AY34" s="3" t="str">
        <f t="shared" si="47"/>
        <v/>
      </c>
      <c r="AZ34" s="3" t="str">
        <f t="shared" si="47"/>
        <v/>
      </c>
      <c r="BA34" s="8"/>
      <c r="BB34" s="6" t="str">
        <f>IFERROR(__xludf.DUMMYFUNCTION("""COMPUTED_VALUE"""),"dim beige")</f>
        <v>dim beige</v>
      </c>
      <c r="BC34" s="8" t="str">
        <f>IFERROR(__xludf.DUMMYFUNCTION("""COMPUTED_VALUE"""),"faded cyan")</f>
        <v>faded cyan</v>
      </c>
      <c r="BD34" s="8"/>
      <c r="BE34" s="6"/>
      <c r="BF34" s="8"/>
      <c r="BG34" s="8"/>
      <c r="BH34" s="6"/>
      <c r="BI34" s="8"/>
      <c r="BJ34" s="8"/>
      <c r="BK34" s="6"/>
      <c r="BL34" s="8"/>
      <c r="BM34" s="8"/>
      <c r="BN34" s="6"/>
      <c r="BO34" s="8"/>
      <c r="BP34" s="8"/>
      <c r="BQ34" s="6"/>
      <c r="BR34" s="8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</row>
    <row r="35">
      <c r="A35" s="6"/>
      <c r="B35" s="6" t="s">
        <v>35</v>
      </c>
      <c r="C35" s="3" t="str">
        <f t="shared" si="3"/>
        <v>shiny tan</v>
      </c>
      <c r="D35" s="3" t="str">
        <f t="shared" si="17"/>
        <v>ZZZ</v>
      </c>
      <c r="E35" s="3" t="b">
        <f t="array" ref="E35">OR(ISNUMBER(SEARCH(D$2:D$30,$B35,5)))</f>
        <v>0</v>
      </c>
      <c r="G35" s="3" t="str">
        <f t="shared" si="4"/>
        <v>ZZZ</v>
      </c>
      <c r="H35" s="3" t="b">
        <f t="array" ref="H35">OR(ISNUMBER(SEARCH(G$2:G$30,$B35,5)))</f>
        <v>0</v>
      </c>
      <c r="J35" s="3" t="str">
        <f t="shared" si="5"/>
        <v>ZZZ</v>
      </c>
      <c r="K35" s="3" t="b">
        <f t="array" ref="K35">OR(ISNUMBER(SEARCH(J$2:J$30,$B35,5)))</f>
        <v>0</v>
      </c>
      <c r="M35" s="3" t="str">
        <f t="shared" si="6"/>
        <v>ZZZ</v>
      </c>
      <c r="N35" s="3" t="b">
        <f t="array" ref="N35">OR(ISNUMBER(SEARCH(M$2:M$30,$B35,5)))</f>
        <v>0</v>
      </c>
      <c r="O35" s="3" t="str">
        <f>IFERROR(__xludf.DUMMYFUNCTION("""COMPUTED_VALUE"""),"faded blue")</f>
        <v>faded blue</v>
      </c>
      <c r="P35" s="3" t="str">
        <f t="shared" si="7"/>
        <v>faded blue</v>
      </c>
      <c r="Q35" s="3" t="b">
        <f t="array" ref="Q35">OR(ISNUMBER(SEARCH(P$2:P$50,$B35,5)))</f>
        <v>0</v>
      </c>
      <c r="R35" s="3" t="str">
        <f>IFERROR(__xludf.DUMMYFUNCTION("""COMPUTED_VALUE"""),"wavy lavender")</f>
        <v>wavy lavender</v>
      </c>
      <c r="S35" s="3" t="str">
        <f t="shared" si="8"/>
        <v>wavy lavender</v>
      </c>
      <c r="T35" s="3" t="b">
        <f t="array" ref="T35">OR(ISNUMBER(SEARCH(S$2:S$100,$B35,5)))</f>
        <v>0</v>
      </c>
      <c r="U35" s="3" t="str">
        <f>IFERROR(__xludf.DUMMYFUNCTION("""COMPUTED_VALUE"""),"clear bronze")</f>
        <v>clear bronze</v>
      </c>
      <c r="V35" s="3" t="str">
        <f t="shared" si="9"/>
        <v>clear bronze</v>
      </c>
      <c r="W35" s="3" t="b">
        <f t="array" ref="W35">OR(ISNUMBER(SEARCH(V$2:V$100,$B35,5)))</f>
        <v>0</v>
      </c>
      <c r="X35" s="3" t="str">
        <f>IFERROR(__xludf.DUMMYFUNCTION("""COMPUTED_VALUE"""),"pale violet")</f>
        <v>pale violet</v>
      </c>
      <c r="Y35" s="3" t="str">
        <f t="shared" si="10"/>
        <v>pale violet</v>
      </c>
      <c r="Z35" s="3" t="b">
        <f t="array" ref="Z35">OR(ISNUMBER(SEARCH(Y$2:Y$100,$B35,5)))</f>
        <v>0</v>
      </c>
      <c r="AB35" s="3" t="str">
        <f t="shared" si="11"/>
        <v>ZZZ</v>
      </c>
      <c r="AC35" s="3" t="b">
        <f t="array" ref="AC35">OR(ISNUMBER(SEARCH(AB$2:AB$100,$B35,5)))</f>
        <v>0</v>
      </c>
      <c r="AE35" s="3" t="str">
        <f t="shared" si="12"/>
        <v>ZZZ</v>
      </c>
      <c r="AF35" s="3" t="b">
        <f t="array" ref="AF35">OR(ISNUMBER(SEARCH(AE$2:AE$100,$B35,5)))</f>
        <v>0</v>
      </c>
      <c r="AH35" s="3" t="str">
        <f t="shared" si="13"/>
        <v>ZZZ</v>
      </c>
      <c r="AI35" s="3" t="b">
        <f t="array" ref="AI35">OR(ISNUMBER(SEARCH(AH$2:AH$100,$B35,5)))</f>
        <v>0</v>
      </c>
      <c r="AK35" s="3" t="str">
        <f t="shared" si="14"/>
        <v>ZZZ</v>
      </c>
      <c r="AL35" s="3" t="b">
        <f t="array" ref="AL35">OR(ISNUMBER(SEARCH(AK$2:AK$100,$B35,5)))</f>
        <v>0</v>
      </c>
      <c r="AP35" s="3" t="str">
        <f t="shared" ref="AP35:AZ35" si="48">INDEX($A$1:$AN$600,ROW(),COLUMN()*3-120)</f>
        <v/>
      </c>
      <c r="AQ35" s="3" t="str">
        <f t="shared" si="48"/>
        <v/>
      </c>
      <c r="AR35" s="3" t="str">
        <f t="shared" si="48"/>
        <v/>
      </c>
      <c r="AS35" s="3" t="str">
        <f t="shared" si="48"/>
        <v>faded blue</v>
      </c>
      <c r="AT35" s="3" t="str">
        <f t="shared" si="48"/>
        <v>wavy lavender</v>
      </c>
      <c r="AU35" s="3" t="str">
        <f t="shared" si="48"/>
        <v>clear bronze</v>
      </c>
      <c r="AV35" s="3" t="str">
        <f t="shared" si="48"/>
        <v>pale violet</v>
      </c>
      <c r="AW35" s="3" t="str">
        <f t="shared" si="48"/>
        <v/>
      </c>
      <c r="AX35" s="3" t="str">
        <f t="shared" si="48"/>
        <v/>
      </c>
      <c r="AY35" s="3" t="str">
        <f t="shared" si="48"/>
        <v/>
      </c>
      <c r="AZ35" s="3" t="str">
        <f t="shared" si="48"/>
        <v/>
      </c>
      <c r="BA35" s="8"/>
      <c r="BB35" s="6" t="str">
        <f>IFERROR(__xludf.DUMMYFUNCTION("""COMPUTED_VALUE"""),"drab blue")</f>
        <v>drab blue</v>
      </c>
      <c r="BC35" s="8" t="str">
        <f>IFERROR(__xludf.DUMMYFUNCTION("""COMPUTED_VALUE"""),"dim chartreuse")</f>
        <v>dim chartreuse</v>
      </c>
      <c r="BD35" s="8"/>
      <c r="BE35" s="6"/>
      <c r="BF35" s="8"/>
      <c r="BG35" s="8"/>
      <c r="BH35" s="6"/>
      <c r="BI35" s="8"/>
      <c r="BJ35" s="8"/>
      <c r="BK35" s="6"/>
      <c r="BL35" s="8"/>
      <c r="BM35" s="8"/>
      <c r="BN35" s="6"/>
      <c r="BO35" s="8"/>
      <c r="BP35" s="8"/>
      <c r="BQ35" s="6"/>
      <c r="BR35" s="8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</row>
    <row r="36">
      <c r="A36" s="6"/>
      <c r="B36" s="6" t="s">
        <v>36</v>
      </c>
      <c r="C36" s="3" t="str">
        <f t="shared" si="3"/>
        <v>dim red</v>
      </c>
      <c r="D36" s="3" t="str">
        <f t="shared" si="17"/>
        <v>ZZZ</v>
      </c>
      <c r="E36" s="3" t="b">
        <f t="array" ref="E36">OR(ISNUMBER(SEARCH(D$2:D$30,$B36,5)))</f>
        <v>0</v>
      </c>
      <c r="G36" s="3" t="str">
        <f t="shared" si="4"/>
        <v>ZZZ</v>
      </c>
      <c r="H36" s="3" t="b">
        <f t="array" ref="H36">OR(ISNUMBER(SEARCH(G$2:G$30,$B36,5)))</f>
        <v>0</v>
      </c>
      <c r="J36" s="3" t="str">
        <f t="shared" si="5"/>
        <v>ZZZ</v>
      </c>
      <c r="K36" s="3" t="b">
        <f t="array" ref="K36">OR(ISNUMBER(SEARCH(J$2:J$30,$B36,5)))</f>
        <v>0</v>
      </c>
      <c r="M36" s="3" t="str">
        <f t="shared" si="6"/>
        <v>ZZZ</v>
      </c>
      <c r="N36" s="3" t="b">
        <f t="array" ref="N36">OR(ISNUMBER(SEARCH(M$2:M$30,$B36,5)))</f>
        <v>0</v>
      </c>
      <c r="O36" s="3" t="str">
        <f>IFERROR(__xludf.DUMMYFUNCTION("""COMPUTED_VALUE"""),"clear gold")</f>
        <v>clear gold</v>
      </c>
      <c r="P36" s="3" t="str">
        <f t="shared" si="7"/>
        <v>clear gold</v>
      </c>
      <c r="Q36" s="3" t="b">
        <f t="array" ref="Q36">OR(ISNUMBER(SEARCH(P$2:P$50,$B36,5)))</f>
        <v>0</v>
      </c>
      <c r="R36" s="3" t="str">
        <f>IFERROR(__xludf.DUMMYFUNCTION("""COMPUTED_VALUE"""),"vibrant fuchsia")</f>
        <v>vibrant fuchsia</v>
      </c>
      <c r="S36" s="3" t="str">
        <f t="shared" si="8"/>
        <v>vibrant fuchsia</v>
      </c>
      <c r="T36" s="3" t="b">
        <f t="array" ref="T36">OR(ISNUMBER(SEARCH(S$2:S$100,$B36,5)))</f>
        <v>0</v>
      </c>
      <c r="U36" s="3" t="str">
        <f>IFERROR(__xludf.DUMMYFUNCTION("""COMPUTED_VALUE"""),"drab plum")</f>
        <v>drab plum</v>
      </c>
      <c r="V36" s="3" t="str">
        <f t="shared" si="9"/>
        <v>drab plum</v>
      </c>
      <c r="W36" s="3" t="b">
        <f t="array" ref="W36">OR(ISNUMBER(SEARCH(V$2:V$100,$B36,5)))</f>
        <v>0</v>
      </c>
      <c r="X36" s="3" t="str">
        <f>IFERROR(__xludf.DUMMYFUNCTION("""COMPUTED_VALUE"""),"bright gray")</f>
        <v>bright gray</v>
      </c>
      <c r="Y36" s="3" t="str">
        <f t="shared" si="10"/>
        <v>bright gray</v>
      </c>
      <c r="Z36" s="3" t="b">
        <f t="array" ref="Z36">OR(ISNUMBER(SEARCH(Y$2:Y$100,$B36,5)))</f>
        <v>0</v>
      </c>
      <c r="AB36" s="3" t="str">
        <f t="shared" si="11"/>
        <v>ZZZ</v>
      </c>
      <c r="AC36" s="3" t="b">
        <f t="array" ref="AC36">OR(ISNUMBER(SEARCH(AB$2:AB$100,$B36,5)))</f>
        <v>0</v>
      </c>
      <c r="AE36" s="3" t="str">
        <f t="shared" si="12"/>
        <v>ZZZ</v>
      </c>
      <c r="AF36" s="3" t="b">
        <f t="array" ref="AF36">OR(ISNUMBER(SEARCH(AE$2:AE$100,$B36,5)))</f>
        <v>0</v>
      </c>
      <c r="AH36" s="3" t="str">
        <f t="shared" si="13"/>
        <v>ZZZ</v>
      </c>
      <c r="AI36" s="3" t="b">
        <f t="array" ref="AI36">OR(ISNUMBER(SEARCH(AH$2:AH$100,$B36,5)))</f>
        <v>0</v>
      </c>
      <c r="AK36" s="3" t="str">
        <f t="shared" si="14"/>
        <v>ZZZ</v>
      </c>
      <c r="AL36" s="3" t="b">
        <f t="array" ref="AL36">OR(ISNUMBER(SEARCH(AK$2:AK$100,$B36,5)))</f>
        <v>0</v>
      </c>
      <c r="AP36" s="3" t="str">
        <f t="shared" ref="AP36:AZ36" si="49">INDEX($A$1:$AN$600,ROW(),COLUMN()*3-120)</f>
        <v/>
      </c>
      <c r="AQ36" s="3" t="str">
        <f t="shared" si="49"/>
        <v/>
      </c>
      <c r="AR36" s="3" t="str">
        <f t="shared" si="49"/>
        <v/>
      </c>
      <c r="AS36" s="3" t="str">
        <f t="shared" si="49"/>
        <v>clear gold</v>
      </c>
      <c r="AT36" s="3" t="str">
        <f t="shared" si="49"/>
        <v>vibrant fuchsia</v>
      </c>
      <c r="AU36" s="3" t="str">
        <f t="shared" si="49"/>
        <v>drab plum</v>
      </c>
      <c r="AV36" s="3" t="str">
        <f t="shared" si="49"/>
        <v>bright gray</v>
      </c>
      <c r="AW36" s="3" t="str">
        <f t="shared" si="49"/>
        <v/>
      </c>
      <c r="AX36" s="3" t="str">
        <f t="shared" si="49"/>
        <v/>
      </c>
      <c r="AY36" s="3" t="str">
        <f t="shared" si="49"/>
        <v/>
      </c>
      <c r="AZ36" s="3" t="str">
        <f t="shared" si="49"/>
        <v/>
      </c>
      <c r="BA36" s="8"/>
      <c r="BB36" s="6" t="str">
        <f>IFERROR(__xludf.DUMMYFUNCTION("""COMPUTED_VALUE"""),"muted tomato")</f>
        <v>muted tomato</v>
      </c>
      <c r="BC36" s="8" t="str">
        <f>IFERROR(__xludf.DUMMYFUNCTION("""COMPUTED_VALUE"""),"faded turquoise")</f>
        <v>faded turquoise</v>
      </c>
      <c r="BD36" s="8"/>
      <c r="BE36" s="6"/>
      <c r="BF36" s="8"/>
      <c r="BG36" s="8"/>
      <c r="BH36" s="6"/>
      <c r="BI36" s="8"/>
      <c r="BJ36" s="8"/>
      <c r="BK36" s="6"/>
      <c r="BL36" s="8"/>
      <c r="BM36" s="8"/>
      <c r="BN36" s="6"/>
      <c r="BO36" s="8"/>
      <c r="BP36" s="8"/>
      <c r="BQ36" s="6"/>
      <c r="BR36" s="8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</row>
    <row r="37">
      <c r="A37" s="6"/>
      <c r="B37" s="6" t="s">
        <v>37</v>
      </c>
      <c r="C37" s="3" t="str">
        <f t="shared" si="3"/>
        <v>plaid gray</v>
      </c>
      <c r="D37" s="3" t="str">
        <f t="shared" si="17"/>
        <v>ZZZ</v>
      </c>
      <c r="E37" s="3" t="b">
        <f t="array" ref="E37">OR(ISNUMBER(SEARCH(D$2:D$30,$B37,5)))</f>
        <v>0</v>
      </c>
      <c r="G37" s="3" t="str">
        <f t="shared" si="4"/>
        <v>ZZZ</v>
      </c>
      <c r="H37" s="3" t="b">
        <f t="array" ref="H37">OR(ISNUMBER(SEARCH(G$2:G$30,$B37,5)))</f>
        <v>0</v>
      </c>
      <c r="J37" s="3" t="str">
        <f t="shared" si="5"/>
        <v>ZZZ</v>
      </c>
      <c r="K37" s="3" t="b">
        <f t="array" ref="K37">OR(ISNUMBER(SEARCH(J$2:J$30,$B37,5)))</f>
        <v>0</v>
      </c>
      <c r="M37" s="3" t="str">
        <f t="shared" si="6"/>
        <v>ZZZ</v>
      </c>
      <c r="N37" s="3" t="b">
        <f t="array" ref="N37">OR(ISNUMBER(SEARCH(M$2:M$30,$B37,5)))</f>
        <v>0</v>
      </c>
      <c r="O37" s="3" t="str">
        <f>IFERROR(__xludf.DUMMYFUNCTION("""COMPUTED_VALUE"""),"bright red")</f>
        <v>bright red</v>
      </c>
      <c r="P37" s="3" t="str">
        <f t="shared" si="7"/>
        <v>bright red</v>
      </c>
      <c r="Q37" s="3" t="b">
        <f t="array" ref="Q37">OR(ISNUMBER(SEARCH(P$2:P$50,$B37,5)))</f>
        <v>0</v>
      </c>
      <c r="R37" s="3" t="str">
        <f>IFERROR(__xludf.DUMMYFUNCTION("""COMPUTED_VALUE"""),"dark maroon")</f>
        <v>dark maroon</v>
      </c>
      <c r="S37" s="3" t="str">
        <f t="shared" si="8"/>
        <v>dark maroon</v>
      </c>
      <c r="T37" s="3" t="b">
        <f t="array" ref="T37">OR(ISNUMBER(SEARCH(S$2:S$100,$B37,5)))</f>
        <v>0</v>
      </c>
      <c r="U37" s="3" t="str">
        <f>IFERROR(__xludf.DUMMYFUNCTION("""COMPUTED_VALUE"""),"muted tomato")</f>
        <v>muted tomato</v>
      </c>
      <c r="V37" s="3" t="str">
        <f t="shared" si="9"/>
        <v>muted tomato</v>
      </c>
      <c r="W37" s="3" t="b">
        <f t="array" ref="W37">OR(ISNUMBER(SEARCH(V$2:V$100,$B37,5)))</f>
        <v>0</v>
      </c>
      <c r="X37" s="3" t="str">
        <f>IFERROR(__xludf.DUMMYFUNCTION("""COMPUTED_VALUE"""),"posh crimson")</f>
        <v>posh crimson</v>
      </c>
      <c r="Y37" s="3" t="str">
        <f t="shared" si="10"/>
        <v>posh crimson</v>
      </c>
      <c r="Z37" s="3" t="b">
        <f t="array" ref="Z37">OR(ISNUMBER(SEARCH(Y$2:Y$100,$B37,5)))</f>
        <v>0</v>
      </c>
      <c r="AB37" s="3" t="str">
        <f t="shared" si="11"/>
        <v>ZZZ</v>
      </c>
      <c r="AC37" s="3" t="b">
        <f t="array" ref="AC37">OR(ISNUMBER(SEARCH(AB$2:AB$100,$B37,5)))</f>
        <v>0</v>
      </c>
      <c r="AE37" s="3" t="str">
        <f t="shared" si="12"/>
        <v>ZZZ</v>
      </c>
      <c r="AF37" s="3" t="b">
        <f t="array" ref="AF37">OR(ISNUMBER(SEARCH(AE$2:AE$100,$B37,5)))</f>
        <v>0</v>
      </c>
      <c r="AH37" s="3" t="str">
        <f t="shared" si="13"/>
        <v>ZZZ</v>
      </c>
      <c r="AI37" s="3" t="b">
        <f t="array" ref="AI37">OR(ISNUMBER(SEARCH(AH$2:AH$100,$B37,5)))</f>
        <v>0</v>
      </c>
      <c r="AK37" s="3" t="str">
        <f t="shared" si="14"/>
        <v>ZZZ</v>
      </c>
      <c r="AL37" s="3" t="b">
        <f t="array" ref="AL37">OR(ISNUMBER(SEARCH(AK$2:AK$100,$B37,5)))</f>
        <v>0</v>
      </c>
      <c r="AP37" s="3" t="str">
        <f t="shared" ref="AP37:AZ37" si="50">INDEX($A$1:$AN$600,ROW(),COLUMN()*3-120)</f>
        <v/>
      </c>
      <c r="AQ37" s="3" t="str">
        <f t="shared" si="50"/>
        <v/>
      </c>
      <c r="AR37" s="3" t="str">
        <f t="shared" si="50"/>
        <v/>
      </c>
      <c r="AS37" s="3" t="str">
        <f t="shared" si="50"/>
        <v>bright red</v>
      </c>
      <c r="AT37" s="3" t="str">
        <f t="shared" si="50"/>
        <v>dark maroon</v>
      </c>
      <c r="AU37" s="3" t="str">
        <f t="shared" si="50"/>
        <v>muted tomato</v>
      </c>
      <c r="AV37" s="3" t="str">
        <f t="shared" si="50"/>
        <v>posh crimson</v>
      </c>
      <c r="AW37" s="3" t="str">
        <f t="shared" si="50"/>
        <v/>
      </c>
      <c r="AX37" s="3" t="str">
        <f t="shared" si="50"/>
        <v/>
      </c>
      <c r="AY37" s="3" t="str">
        <f t="shared" si="50"/>
        <v/>
      </c>
      <c r="AZ37" s="3" t="str">
        <f t="shared" si="50"/>
        <v/>
      </c>
      <c r="BA37" s="8"/>
      <c r="BB37" s="6" t="str">
        <f>IFERROR(__xludf.DUMMYFUNCTION("""COMPUTED_VALUE"""),"mirrored yellow")</f>
        <v>mirrored yellow</v>
      </c>
      <c r="BC37" s="8" t="str">
        <f>IFERROR(__xludf.DUMMYFUNCTION("""COMPUTED_VALUE"""),"shiny olive")</f>
        <v>shiny olive</v>
      </c>
      <c r="BD37" s="8"/>
      <c r="BE37" s="6"/>
      <c r="BF37" s="8"/>
      <c r="BG37" s="8"/>
      <c r="BH37" s="6"/>
      <c r="BI37" s="8"/>
      <c r="BJ37" s="8"/>
      <c r="BK37" s="6"/>
      <c r="BL37" s="8"/>
      <c r="BM37" s="8"/>
      <c r="BN37" s="6"/>
      <c r="BO37" s="8"/>
      <c r="BP37" s="8"/>
      <c r="BQ37" s="6"/>
      <c r="BR37" s="8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</row>
    <row r="38">
      <c r="A38" s="6"/>
      <c r="B38" s="6" t="s">
        <v>38</v>
      </c>
      <c r="C38" s="3" t="str">
        <f t="shared" si="3"/>
        <v>dotted white</v>
      </c>
      <c r="D38" s="3" t="str">
        <f t="shared" si="17"/>
        <v>ZZZ</v>
      </c>
      <c r="E38" s="3" t="b">
        <f t="array" ref="E38">OR(ISNUMBER(SEARCH(D$2:D$30,$B38,5)))</f>
        <v>0</v>
      </c>
      <c r="G38" s="3" t="str">
        <f t="shared" si="4"/>
        <v>ZZZ</v>
      </c>
      <c r="H38" s="3" t="b">
        <f t="array" ref="H38">OR(ISNUMBER(SEARCH(G$2:G$30,$B38,5)))</f>
        <v>0</v>
      </c>
      <c r="J38" s="3" t="str">
        <f t="shared" si="5"/>
        <v>ZZZ</v>
      </c>
      <c r="K38" s="3" t="b">
        <f t="array" ref="K38">OR(ISNUMBER(SEARCH(J$2:J$30,$B38,5)))</f>
        <v>0</v>
      </c>
      <c r="M38" s="3" t="str">
        <f t="shared" si="6"/>
        <v>ZZZ</v>
      </c>
      <c r="N38" s="3" t="b">
        <f t="array" ref="N38">OR(ISNUMBER(SEARCH(M$2:M$30,$B38,5)))</f>
        <v>0</v>
      </c>
      <c r="O38" s="3" t="str">
        <f>IFERROR(__xludf.DUMMYFUNCTION("""COMPUTED_VALUE"""),"dim magenta")</f>
        <v>dim magenta</v>
      </c>
      <c r="P38" s="3" t="str">
        <f t="shared" si="7"/>
        <v>dim magenta</v>
      </c>
      <c r="Q38" s="3" t="b">
        <f t="array" ref="Q38">OR(ISNUMBER(SEARCH(P$2:P$50,$B38,5)))</f>
        <v>0</v>
      </c>
      <c r="R38" s="3" t="str">
        <f>IFERROR(__xludf.DUMMYFUNCTION("""COMPUTED_VALUE"""),"muted black")</f>
        <v>muted black</v>
      </c>
      <c r="S38" s="3" t="str">
        <f t="shared" si="8"/>
        <v>muted black</v>
      </c>
      <c r="T38" s="3" t="b">
        <f t="array" ref="T38">OR(ISNUMBER(SEARCH(S$2:S$100,$B38,5)))</f>
        <v>0</v>
      </c>
      <c r="U38" s="3" t="str">
        <f>IFERROR(__xludf.DUMMYFUNCTION("""COMPUTED_VALUE"""),"plaid coral")</f>
        <v>plaid coral</v>
      </c>
      <c r="V38" s="3" t="str">
        <f t="shared" si="9"/>
        <v>plaid coral</v>
      </c>
      <c r="W38" s="3" t="b">
        <f t="array" ref="W38">OR(ISNUMBER(SEARCH(V$2:V$100,$B38,5)))</f>
        <v>0</v>
      </c>
      <c r="X38" s="3" t="str">
        <f>IFERROR(__xludf.DUMMYFUNCTION("""COMPUTED_VALUE"""),"posh black")</f>
        <v>posh black</v>
      </c>
      <c r="Y38" s="3" t="str">
        <f t="shared" si="10"/>
        <v>posh black</v>
      </c>
      <c r="Z38" s="3" t="b">
        <f t="array" ref="Z38">OR(ISNUMBER(SEARCH(Y$2:Y$100,$B38,5)))</f>
        <v>0</v>
      </c>
      <c r="AB38" s="3" t="str">
        <f t="shared" si="11"/>
        <v>ZZZ</v>
      </c>
      <c r="AC38" s="3" t="b">
        <f t="array" ref="AC38">OR(ISNUMBER(SEARCH(AB$2:AB$100,$B38,5)))</f>
        <v>0</v>
      </c>
      <c r="AE38" s="3" t="str">
        <f t="shared" si="12"/>
        <v>ZZZ</v>
      </c>
      <c r="AF38" s="3" t="b">
        <f t="array" ref="AF38">OR(ISNUMBER(SEARCH(AE$2:AE$100,$B38,5)))</f>
        <v>0</v>
      </c>
      <c r="AH38" s="3" t="str">
        <f t="shared" si="13"/>
        <v>ZZZ</v>
      </c>
      <c r="AI38" s="3" t="b">
        <f t="array" ref="AI38">OR(ISNUMBER(SEARCH(AH$2:AH$100,$B38,5)))</f>
        <v>0</v>
      </c>
      <c r="AK38" s="3" t="str">
        <f t="shared" si="14"/>
        <v>ZZZ</v>
      </c>
      <c r="AL38" s="3" t="b">
        <f t="array" ref="AL38">OR(ISNUMBER(SEARCH(AK$2:AK$100,$B38,5)))</f>
        <v>0</v>
      </c>
      <c r="AP38" s="3" t="str">
        <f t="shared" ref="AP38:AZ38" si="51">INDEX($A$1:$AN$600,ROW(),COLUMN()*3-120)</f>
        <v/>
      </c>
      <c r="AQ38" s="3" t="str">
        <f t="shared" si="51"/>
        <v/>
      </c>
      <c r="AR38" s="3" t="str">
        <f t="shared" si="51"/>
        <v/>
      </c>
      <c r="AS38" s="3" t="str">
        <f t="shared" si="51"/>
        <v>dim magenta</v>
      </c>
      <c r="AT38" s="3" t="str">
        <f t="shared" si="51"/>
        <v>muted black</v>
      </c>
      <c r="AU38" s="3" t="str">
        <f t="shared" si="51"/>
        <v>plaid coral</v>
      </c>
      <c r="AV38" s="3" t="str">
        <f t="shared" si="51"/>
        <v>posh black</v>
      </c>
      <c r="AW38" s="3" t="str">
        <f t="shared" si="51"/>
        <v/>
      </c>
      <c r="AX38" s="3" t="str">
        <f t="shared" si="51"/>
        <v/>
      </c>
      <c r="AY38" s="3" t="str">
        <f t="shared" si="51"/>
        <v/>
      </c>
      <c r="AZ38" s="3" t="str">
        <f t="shared" si="51"/>
        <v/>
      </c>
      <c r="BA38" s="8"/>
      <c r="BB38" s="6" t="str">
        <f>IFERROR(__xludf.DUMMYFUNCTION("""COMPUTED_VALUE"""),"faded cyan")</f>
        <v>faded cyan</v>
      </c>
      <c r="BC38" s="8" t="str">
        <f>IFERROR(__xludf.DUMMYFUNCTION("""COMPUTED_VALUE"""),"dim fuchsia")</f>
        <v>dim fuchsia</v>
      </c>
      <c r="BD38" s="8"/>
      <c r="BE38" s="6"/>
      <c r="BF38" s="8"/>
      <c r="BG38" s="8"/>
      <c r="BH38" s="6"/>
      <c r="BI38" s="8"/>
      <c r="BJ38" s="8"/>
      <c r="BK38" s="6"/>
      <c r="BL38" s="8"/>
      <c r="BM38" s="8"/>
      <c r="BN38" s="6"/>
      <c r="BO38" s="8"/>
      <c r="BP38" s="8"/>
      <c r="BQ38" s="6"/>
      <c r="BR38" s="8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</row>
    <row r="39">
      <c r="A39" s="6"/>
      <c r="B39" s="6" t="s">
        <v>39</v>
      </c>
      <c r="C39" s="3" t="str">
        <f t="shared" si="3"/>
        <v>plaid tan</v>
      </c>
      <c r="D39" s="3" t="str">
        <f t="shared" si="17"/>
        <v>ZZZ</v>
      </c>
      <c r="E39" s="3" t="b">
        <f t="array" ref="E39">OR(ISNUMBER(SEARCH(D$2:D$30,$B39,5)))</f>
        <v>0</v>
      </c>
      <c r="G39" s="3" t="str">
        <f t="shared" si="4"/>
        <v>ZZZ</v>
      </c>
      <c r="H39" s="3" t="b">
        <f t="array" ref="H39">OR(ISNUMBER(SEARCH(G$2:G$30,$B39,5)))</f>
        <v>0</v>
      </c>
      <c r="J39" s="3" t="str">
        <f t="shared" si="5"/>
        <v>ZZZ</v>
      </c>
      <c r="K39" s="3" t="b">
        <f t="array" ref="K39">OR(ISNUMBER(SEARCH(J$2:J$30,$B39,5)))</f>
        <v>0</v>
      </c>
      <c r="M39" s="3" t="str">
        <f t="shared" si="6"/>
        <v>ZZZ</v>
      </c>
      <c r="N39" s="3" t="b">
        <f t="array" ref="N39">OR(ISNUMBER(SEARCH(M$2:M$30,$B39,5)))</f>
        <v>0</v>
      </c>
      <c r="P39" s="3" t="str">
        <f t="shared" si="7"/>
        <v>ZZZ</v>
      </c>
      <c r="Q39" s="3" t="b">
        <f t="array" ref="Q39">OR(ISNUMBER(SEARCH(P$2:P$50,$B39,5)))</f>
        <v>0</v>
      </c>
      <c r="R39" s="3" t="str">
        <f>IFERROR(__xludf.DUMMYFUNCTION("""COMPUTED_VALUE"""),"muted orange")</f>
        <v>muted orange</v>
      </c>
      <c r="S39" s="3" t="str">
        <f t="shared" si="8"/>
        <v>muted orange</v>
      </c>
      <c r="T39" s="3" t="b">
        <f t="array" ref="T39">OR(ISNUMBER(SEARCH(S$2:S$100,$B39,5)))</f>
        <v>0</v>
      </c>
      <c r="U39" s="3" t="str">
        <f>IFERROR(__xludf.DUMMYFUNCTION("""COMPUTED_VALUE"""),"dotted tan")</f>
        <v>dotted tan</v>
      </c>
      <c r="V39" s="3" t="str">
        <f t="shared" si="9"/>
        <v>dotted tan</v>
      </c>
      <c r="W39" s="3" t="b">
        <f t="array" ref="W39">OR(ISNUMBER(SEARCH(V$2:V$100,$B39,5)))</f>
        <v>0</v>
      </c>
      <c r="X39" s="3" t="str">
        <f>IFERROR(__xludf.DUMMYFUNCTION("""COMPUTED_VALUE"""),"plaid orange")</f>
        <v>plaid orange</v>
      </c>
      <c r="Y39" s="3" t="str">
        <f t="shared" si="10"/>
        <v>plaid orange</v>
      </c>
      <c r="Z39" s="3" t="b">
        <f t="array" ref="Z39">OR(ISNUMBER(SEARCH(Y$2:Y$100,$B39,5)))</f>
        <v>0</v>
      </c>
      <c r="AB39" s="3" t="str">
        <f t="shared" si="11"/>
        <v>ZZZ</v>
      </c>
      <c r="AC39" s="3" t="b">
        <f t="array" ref="AC39">OR(ISNUMBER(SEARCH(AB$2:AB$100,$B39,5)))</f>
        <v>0</v>
      </c>
      <c r="AE39" s="3" t="str">
        <f t="shared" si="12"/>
        <v>ZZZ</v>
      </c>
      <c r="AF39" s="3" t="b">
        <f t="array" ref="AF39">OR(ISNUMBER(SEARCH(AE$2:AE$100,$B39,5)))</f>
        <v>0</v>
      </c>
      <c r="AH39" s="3" t="str">
        <f t="shared" si="13"/>
        <v>ZZZ</v>
      </c>
      <c r="AI39" s="3" t="b">
        <f t="array" ref="AI39">OR(ISNUMBER(SEARCH(AH$2:AH$100,$B39,5)))</f>
        <v>0</v>
      </c>
      <c r="AK39" s="3" t="str">
        <f t="shared" si="14"/>
        <v>ZZZ</v>
      </c>
      <c r="AL39" s="3" t="b">
        <f t="array" ref="AL39">OR(ISNUMBER(SEARCH(AK$2:AK$100,$B39,5)))</f>
        <v>0</v>
      </c>
      <c r="AP39" s="3" t="str">
        <f t="shared" ref="AP39:AZ39" si="52">INDEX($A$1:$AN$600,ROW(),COLUMN()*3-120)</f>
        <v/>
      </c>
      <c r="AQ39" s="3" t="str">
        <f t="shared" si="52"/>
        <v/>
      </c>
      <c r="AR39" s="3" t="str">
        <f t="shared" si="52"/>
        <v/>
      </c>
      <c r="AS39" s="3" t="str">
        <f t="shared" si="52"/>
        <v/>
      </c>
      <c r="AT39" s="3" t="str">
        <f t="shared" si="52"/>
        <v>muted orange</v>
      </c>
      <c r="AU39" s="3" t="str">
        <f t="shared" si="52"/>
        <v>dotted tan</v>
      </c>
      <c r="AV39" s="3" t="str">
        <f t="shared" si="52"/>
        <v>plaid orange</v>
      </c>
      <c r="AW39" s="3" t="str">
        <f t="shared" si="52"/>
        <v/>
      </c>
      <c r="AX39" s="3" t="str">
        <f t="shared" si="52"/>
        <v/>
      </c>
      <c r="AY39" s="3" t="str">
        <f t="shared" si="52"/>
        <v/>
      </c>
      <c r="AZ39" s="3" t="str">
        <f t="shared" si="52"/>
        <v/>
      </c>
      <c r="BA39" s="8"/>
      <c r="BB39" s="6" t="str">
        <f>IFERROR(__xludf.DUMMYFUNCTION("""COMPUTED_VALUE"""),"dim chartreuse")</f>
        <v>dim chartreuse</v>
      </c>
      <c r="BC39" s="8" t="str">
        <f>IFERROR(__xludf.DUMMYFUNCTION("""COMPUTED_VALUE"""),"vibrant gold")</f>
        <v>vibrant gold</v>
      </c>
      <c r="BD39" s="8"/>
      <c r="BE39" s="6"/>
      <c r="BF39" s="8"/>
      <c r="BG39" s="8"/>
      <c r="BH39" s="6"/>
      <c r="BI39" s="8"/>
      <c r="BJ39" s="8"/>
      <c r="BK39" s="6"/>
      <c r="BL39" s="8"/>
      <c r="BM39" s="8"/>
      <c r="BN39" s="6"/>
      <c r="BO39" s="8"/>
      <c r="BP39" s="8"/>
      <c r="BQ39" s="6"/>
      <c r="BR39" s="8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</row>
    <row r="40">
      <c r="A40" s="6"/>
      <c r="B40" s="6" t="s">
        <v>40</v>
      </c>
      <c r="C40" s="3" t="str">
        <f t="shared" si="3"/>
        <v>vibrant black</v>
      </c>
      <c r="D40" s="3" t="str">
        <f t="shared" si="17"/>
        <v>ZZZ</v>
      </c>
      <c r="E40" s="3" t="b">
        <f t="array" ref="E40">OR(ISNUMBER(SEARCH(D$2:D$30,$B40,5)))</f>
        <v>0</v>
      </c>
      <c r="G40" s="3" t="str">
        <f t="shared" si="4"/>
        <v>ZZZ</v>
      </c>
      <c r="H40" s="3" t="b">
        <f t="array" ref="H40">OR(ISNUMBER(SEARCH(G$2:G$30,$B40,5)))</f>
        <v>0</v>
      </c>
      <c r="J40" s="3" t="str">
        <f t="shared" si="5"/>
        <v>ZZZ</v>
      </c>
      <c r="K40" s="3" t="b">
        <f t="array" ref="K40">OR(ISNUMBER(SEARCH(J$2:J$30,$B40,5)))</f>
        <v>0</v>
      </c>
      <c r="M40" s="3" t="str">
        <f t="shared" si="6"/>
        <v>ZZZ</v>
      </c>
      <c r="N40" s="3" t="b">
        <f t="array" ref="N40">OR(ISNUMBER(SEARCH(M$2:M$30,$B40,5)))</f>
        <v>0</v>
      </c>
      <c r="P40" s="3" t="str">
        <f t="shared" si="7"/>
        <v>ZZZ</v>
      </c>
      <c r="Q40" s="3" t="b">
        <f t="array" ref="Q40">OR(ISNUMBER(SEARCH(P$2:P$50,$B40,5)))</f>
        <v>0</v>
      </c>
      <c r="R40" s="3" t="str">
        <f>IFERROR(__xludf.DUMMYFUNCTION("""COMPUTED_VALUE"""),"light salmon")</f>
        <v>light salmon</v>
      </c>
      <c r="S40" s="3" t="str">
        <f t="shared" si="8"/>
        <v>light salmon</v>
      </c>
      <c r="T40" s="3" t="b">
        <f t="array" ref="T40">OR(ISNUMBER(SEARCH(S$2:S$100,$B40,5)))</f>
        <v>0</v>
      </c>
      <c r="U40" s="3" t="str">
        <f>IFERROR(__xludf.DUMMYFUNCTION("""COMPUTED_VALUE"""),"dim teal")</f>
        <v>dim teal</v>
      </c>
      <c r="V40" s="3" t="str">
        <f t="shared" si="9"/>
        <v>dim teal</v>
      </c>
      <c r="W40" s="3" t="b">
        <f t="array" ref="W40">OR(ISNUMBER(SEARCH(V$2:V$100,$B40,5)))</f>
        <v>0</v>
      </c>
      <c r="X40" s="3" t="str">
        <f>IFERROR(__xludf.DUMMYFUNCTION("""COMPUTED_VALUE"""),"vibrant lime")</f>
        <v>vibrant lime</v>
      </c>
      <c r="Y40" s="3" t="str">
        <f t="shared" si="10"/>
        <v>vibrant lime</v>
      </c>
      <c r="Z40" s="3" t="b">
        <f t="array" ref="Z40">OR(ISNUMBER(SEARCH(Y$2:Y$100,$B40,5)))</f>
        <v>0</v>
      </c>
      <c r="AB40" s="3" t="str">
        <f t="shared" si="11"/>
        <v>ZZZ</v>
      </c>
      <c r="AC40" s="3" t="b">
        <f t="array" ref="AC40">OR(ISNUMBER(SEARCH(AB$2:AB$100,$B40,5)))</f>
        <v>0</v>
      </c>
      <c r="AE40" s="3" t="str">
        <f t="shared" si="12"/>
        <v>ZZZ</v>
      </c>
      <c r="AF40" s="3" t="b">
        <f t="array" ref="AF40">OR(ISNUMBER(SEARCH(AE$2:AE$100,$B40,5)))</f>
        <v>0</v>
      </c>
      <c r="AH40" s="3" t="str">
        <f t="shared" si="13"/>
        <v>ZZZ</v>
      </c>
      <c r="AI40" s="3" t="b">
        <f t="array" ref="AI40">OR(ISNUMBER(SEARCH(AH$2:AH$100,$B40,5)))</f>
        <v>0</v>
      </c>
      <c r="AK40" s="3" t="str">
        <f t="shared" si="14"/>
        <v>ZZZ</v>
      </c>
      <c r="AL40" s="3" t="b">
        <f t="array" ref="AL40">OR(ISNUMBER(SEARCH(AK$2:AK$100,$B40,5)))</f>
        <v>0</v>
      </c>
      <c r="AP40" s="3" t="str">
        <f t="shared" ref="AP40:AZ40" si="53">INDEX($A$1:$AN$600,ROW(),COLUMN()*3-120)</f>
        <v/>
      </c>
      <c r="AQ40" s="3" t="str">
        <f t="shared" si="53"/>
        <v/>
      </c>
      <c r="AR40" s="3" t="str">
        <f t="shared" si="53"/>
        <v/>
      </c>
      <c r="AS40" s="3" t="str">
        <f t="shared" si="53"/>
        <v/>
      </c>
      <c r="AT40" s="3" t="str">
        <f t="shared" si="53"/>
        <v>light salmon</v>
      </c>
      <c r="AU40" s="3" t="str">
        <f t="shared" si="53"/>
        <v>dim teal</v>
      </c>
      <c r="AV40" s="3" t="str">
        <f t="shared" si="53"/>
        <v>vibrant lime</v>
      </c>
      <c r="AW40" s="3" t="str">
        <f t="shared" si="53"/>
        <v/>
      </c>
      <c r="AX40" s="3" t="str">
        <f t="shared" si="53"/>
        <v/>
      </c>
      <c r="AY40" s="3" t="str">
        <f t="shared" si="53"/>
        <v/>
      </c>
      <c r="AZ40" s="3" t="str">
        <f t="shared" si="53"/>
        <v/>
      </c>
      <c r="BA40" s="8"/>
      <c r="BB40" s="6" t="str">
        <f>IFERROR(__xludf.DUMMYFUNCTION("""COMPUTED_VALUE"""),"faded turquoise")</f>
        <v>faded turquoise</v>
      </c>
      <c r="BC40" s="8" t="str">
        <f>IFERROR(__xludf.DUMMYFUNCTION("""COMPUTED_VALUE"""),"bright gray")</f>
        <v>bright gray</v>
      </c>
      <c r="BD40" s="8"/>
      <c r="BE40" s="6"/>
      <c r="BF40" s="8"/>
      <c r="BG40" s="8"/>
      <c r="BH40" s="6"/>
      <c r="BI40" s="8"/>
      <c r="BJ40" s="8"/>
      <c r="BK40" s="6"/>
      <c r="BL40" s="8"/>
      <c r="BM40" s="8"/>
      <c r="BN40" s="6"/>
      <c r="BO40" s="8"/>
      <c r="BP40" s="8"/>
      <c r="BQ40" s="6"/>
      <c r="BR40" s="8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</row>
    <row r="41">
      <c r="A41" s="6"/>
      <c r="B41" s="6" t="s">
        <v>41</v>
      </c>
      <c r="C41" s="3" t="str">
        <f t="shared" si="3"/>
        <v>drab purple</v>
      </c>
      <c r="D41" s="3" t="str">
        <f t="shared" si="17"/>
        <v>ZZZ</v>
      </c>
      <c r="E41" s="3" t="b">
        <f t="array" ref="E41">OR(ISNUMBER(SEARCH(D$2:D$30,$B41,5)))</f>
        <v>0</v>
      </c>
      <c r="G41" s="3" t="str">
        <f t="shared" si="4"/>
        <v>ZZZ</v>
      </c>
      <c r="H41" s="3" t="b">
        <f t="array" ref="H41">OR(ISNUMBER(SEARCH(G$2:G$30,$B41,5)))</f>
        <v>0</v>
      </c>
      <c r="J41" s="3" t="str">
        <f t="shared" si="5"/>
        <v>ZZZ</v>
      </c>
      <c r="K41" s="3" t="b">
        <f t="array" ref="K41">OR(ISNUMBER(SEARCH(J$2:J$30,$B41,5)))</f>
        <v>0</v>
      </c>
      <c r="M41" s="3" t="str">
        <f t="shared" si="6"/>
        <v>ZZZ</v>
      </c>
      <c r="N41" s="3" t="b">
        <f t="array" ref="N41">OR(ISNUMBER(SEARCH(M$2:M$30,$B41,5)))</f>
        <v>0</v>
      </c>
      <c r="P41" s="3" t="str">
        <f t="shared" si="7"/>
        <v>ZZZ</v>
      </c>
      <c r="Q41" s="3" t="b">
        <f t="array" ref="Q41">OR(ISNUMBER(SEARCH(P$2:P$50,$B41,5)))</f>
        <v>0</v>
      </c>
      <c r="R41" s="3" t="str">
        <f>IFERROR(__xludf.DUMMYFUNCTION("""COMPUTED_VALUE"""),"posh blue")</f>
        <v>posh blue</v>
      </c>
      <c r="S41" s="3" t="str">
        <f t="shared" si="8"/>
        <v>posh blue</v>
      </c>
      <c r="T41" s="3" t="b">
        <f t="array" ref="T41">OR(ISNUMBER(SEARCH(S$2:S$100,$B41,5)))</f>
        <v>0</v>
      </c>
      <c r="U41" s="3" t="str">
        <f>IFERROR(__xludf.DUMMYFUNCTION("""COMPUTED_VALUE"""),"bright gray")</f>
        <v>bright gray</v>
      </c>
      <c r="V41" s="3" t="str">
        <f t="shared" si="9"/>
        <v>bright gray</v>
      </c>
      <c r="W41" s="3" t="b">
        <f t="array" ref="W41">OR(ISNUMBER(SEARCH(V$2:V$100,$B41,5)))</f>
        <v>0</v>
      </c>
      <c r="X41" s="3" t="str">
        <f>IFERROR(__xludf.DUMMYFUNCTION("""COMPUTED_VALUE"""),"faded lime")</f>
        <v>faded lime</v>
      </c>
      <c r="Y41" s="3" t="str">
        <f t="shared" si="10"/>
        <v>faded lime</v>
      </c>
      <c r="Z41" s="3" t="b">
        <f t="array" ref="Z41">OR(ISNUMBER(SEARCH(Y$2:Y$100,$B41,5)))</f>
        <v>0</v>
      </c>
      <c r="AB41" s="3" t="str">
        <f t="shared" si="11"/>
        <v>ZZZ</v>
      </c>
      <c r="AC41" s="3" t="b">
        <f t="array" ref="AC41">OR(ISNUMBER(SEARCH(AB$2:AB$100,$B41,5)))</f>
        <v>0</v>
      </c>
      <c r="AE41" s="3" t="str">
        <f t="shared" si="12"/>
        <v>ZZZ</v>
      </c>
      <c r="AF41" s="3" t="b">
        <f t="array" ref="AF41">OR(ISNUMBER(SEARCH(AE$2:AE$100,$B41,5)))</f>
        <v>0</v>
      </c>
      <c r="AH41" s="3" t="str">
        <f t="shared" si="13"/>
        <v>ZZZ</v>
      </c>
      <c r="AI41" s="3" t="b">
        <f t="array" ref="AI41">OR(ISNUMBER(SEARCH(AH$2:AH$100,$B41,5)))</f>
        <v>0</v>
      </c>
      <c r="AK41" s="3" t="str">
        <f t="shared" si="14"/>
        <v>ZZZ</v>
      </c>
      <c r="AL41" s="3" t="b">
        <f t="array" ref="AL41">OR(ISNUMBER(SEARCH(AK$2:AK$100,$B41,5)))</f>
        <v>0</v>
      </c>
      <c r="AP41" s="3" t="str">
        <f t="shared" ref="AP41:AZ41" si="54">INDEX($A$1:$AN$600,ROW(),COLUMN()*3-120)</f>
        <v/>
      </c>
      <c r="AQ41" s="3" t="str">
        <f t="shared" si="54"/>
        <v/>
      </c>
      <c r="AR41" s="3" t="str">
        <f t="shared" si="54"/>
        <v/>
      </c>
      <c r="AS41" s="3" t="str">
        <f t="shared" si="54"/>
        <v/>
      </c>
      <c r="AT41" s="3" t="str">
        <f t="shared" si="54"/>
        <v>posh blue</v>
      </c>
      <c r="AU41" s="3" t="str">
        <f t="shared" si="54"/>
        <v>bright gray</v>
      </c>
      <c r="AV41" s="3" t="str">
        <f t="shared" si="54"/>
        <v>faded lime</v>
      </c>
      <c r="AW41" s="3" t="str">
        <f t="shared" si="54"/>
        <v/>
      </c>
      <c r="AX41" s="3" t="str">
        <f t="shared" si="54"/>
        <v/>
      </c>
      <c r="AY41" s="3" t="str">
        <f t="shared" si="54"/>
        <v/>
      </c>
      <c r="AZ41" s="3" t="str">
        <f t="shared" si="54"/>
        <v/>
      </c>
      <c r="BA41" s="8"/>
      <c r="BB41" s="6" t="str">
        <f>IFERROR(__xludf.DUMMYFUNCTION("""COMPUTED_VALUE"""),"shiny olive")</f>
        <v>shiny olive</v>
      </c>
      <c r="BC41" s="8" t="str">
        <f>IFERROR(__xludf.DUMMYFUNCTION("""COMPUTED_VALUE"""),"dark purple")</f>
        <v>dark purple</v>
      </c>
      <c r="BD41" s="8"/>
      <c r="BE41" s="6"/>
      <c r="BF41" s="8"/>
      <c r="BG41" s="8"/>
      <c r="BH41" s="6"/>
      <c r="BI41" s="8"/>
      <c r="BJ41" s="8"/>
      <c r="BK41" s="6"/>
      <c r="BL41" s="8"/>
      <c r="BM41" s="8"/>
      <c r="BN41" s="6"/>
      <c r="BO41" s="8"/>
      <c r="BP41" s="8"/>
      <c r="BQ41" s="6"/>
      <c r="BR41" s="8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</row>
    <row r="42">
      <c r="A42" s="6"/>
      <c r="B42" s="6" t="s">
        <v>42</v>
      </c>
      <c r="C42" s="3" t="str">
        <f t="shared" si="3"/>
        <v>mirrored beige</v>
      </c>
      <c r="D42" s="3" t="str">
        <f t="shared" si="17"/>
        <v>ZZZ</v>
      </c>
      <c r="E42" s="3" t="b">
        <f t="array" ref="E42">OR(ISNUMBER(SEARCH(D$2:D$30,$B42,5)))</f>
        <v>0</v>
      </c>
      <c r="G42" s="3" t="str">
        <f t="shared" si="4"/>
        <v>ZZZ</v>
      </c>
      <c r="H42" s="3" t="b">
        <f t="array" ref="H42">OR(ISNUMBER(SEARCH(G$2:G$30,$B42,5)))</f>
        <v>0</v>
      </c>
      <c r="J42" s="3" t="str">
        <f t="shared" si="5"/>
        <v>ZZZ</v>
      </c>
      <c r="K42" s="3" t="b">
        <f t="array" ref="K42">OR(ISNUMBER(SEARCH(J$2:J$30,$B42,5)))</f>
        <v>0</v>
      </c>
      <c r="M42" s="3" t="str">
        <f t="shared" si="6"/>
        <v>ZZZ</v>
      </c>
      <c r="N42" s="3" t="b">
        <f t="array" ref="N42">OR(ISNUMBER(SEARCH(M$2:M$30,$B42,5)))</f>
        <v>0</v>
      </c>
      <c r="P42" s="3" t="str">
        <f t="shared" si="7"/>
        <v>ZZZ</v>
      </c>
      <c r="Q42" s="3" t="b">
        <f t="array" ref="Q42">OR(ISNUMBER(SEARCH(P$2:P$50,$B42,5)))</f>
        <v>0</v>
      </c>
      <c r="R42" s="3" t="str">
        <f>IFERROR(__xludf.DUMMYFUNCTION("""COMPUTED_VALUE"""),"striped violet")</f>
        <v>striped violet</v>
      </c>
      <c r="S42" s="3" t="str">
        <f t="shared" si="8"/>
        <v>striped violet</v>
      </c>
      <c r="T42" s="3" t="b">
        <f t="array" ref="T42">OR(ISNUMBER(SEARCH(S$2:S$100,$B42,5)))</f>
        <v>0</v>
      </c>
      <c r="U42" s="3" t="str">
        <f>IFERROR(__xludf.DUMMYFUNCTION("""COMPUTED_VALUE"""),"wavy silver")</f>
        <v>wavy silver</v>
      </c>
      <c r="V42" s="3" t="str">
        <f t="shared" si="9"/>
        <v>wavy silver</v>
      </c>
      <c r="W42" s="3" t="b">
        <f t="array" ref="W42">OR(ISNUMBER(SEARCH(V$2:V$100,$B42,5)))</f>
        <v>0</v>
      </c>
      <c r="X42" s="3" t="str">
        <f>IFERROR(__xludf.DUMMYFUNCTION("""COMPUTED_VALUE"""),"mirrored aqua")</f>
        <v>mirrored aqua</v>
      </c>
      <c r="Y42" s="3" t="str">
        <f t="shared" si="10"/>
        <v>mirrored aqua</v>
      </c>
      <c r="Z42" s="3" t="b">
        <f t="array" ref="Z42">OR(ISNUMBER(SEARCH(Y$2:Y$100,$B42,5)))</f>
        <v>0</v>
      </c>
      <c r="AB42" s="3" t="str">
        <f t="shared" si="11"/>
        <v>ZZZ</v>
      </c>
      <c r="AC42" s="3" t="b">
        <f t="array" ref="AC42">OR(ISNUMBER(SEARCH(AB$2:AB$100,$B42,5)))</f>
        <v>0</v>
      </c>
      <c r="AE42" s="3" t="str">
        <f t="shared" si="12"/>
        <v>ZZZ</v>
      </c>
      <c r="AF42" s="3" t="b">
        <f t="array" ref="AF42">OR(ISNUMBER(SEARCH(AE$2:AE$100,$B42,5)))</f>
        <v>0</v>
      </c>
      <c r="AH42" s="3" t="str">
        <f t="shared" si="13"/>
        <v>ZZZ</v>
      </c>
      <c r="AI42" s="3" t="b">
        <f t="array" ref="AI42">OR(ISNUMBER(SEARCH(AH$2:AH$100,$B42,5)))</f>
        <v>0</v>
      </c>
      <c r="AK42" s="3" t="str">
        <f t="shared" si="14"/>
        <v>ZZZ</v>
      </c>
      <c r="AL42" s="3" t="b">
        <f t="array" ref="AL42">OR(ISNUMBER(SEARCH(AK$2:AK$100,$B42,5)))</f>
        <v>0</v>
      </c>
      <c r="AP42" s="3" t="str">
        <f t="shared" ref="AP42:AZ42" si="55">INDEX($A$1:$AN$600,ROW(),COLUMN()*3-120)</f>
        <v/>
      </c>
      <c r="AQ42" s="3" t="str">
        <f t="shared" si="55"/>
        <v/>
      </c>
      <c r="AR42" s="3" t="str">
        <f t="shared" si="55"/>
        <v/>
      </c>
      <c r="AS42" s="3" t="str">
        <f t="shared" si="55"/>
        <v/>
      </c>
      <c r="AT42" s="3" t="str">
        <f t="shared" si="55"/>
        <v>striped violet</v>
      </c>
      <c r="AU42" s="3" t="str">
        <f t="shared" si="55"/>
        <v>wavy silver</v>
      </c>
      <c r="AV42" s="3" t="str">
        <f t="shared" si="55"/>
        <v>mirrored aqua</v>
      </c>
      <c r="AW42" s="3" t="str">
        <f t="shared" si="55"/>
        <v/>
      </c>
      <c r="AX42" s="3" t="str">
        <f t="shared" si="55"/>
        <v/>
      </c>
      <c r="AY42" s="3" t="str">
        <f t="shared" si="55"/>
        <v/>
      </c>
      <c r="AZ42" s="3" t="str">
        <f t="shared" si="55"/>
        <v/>
      </c>
      <c r="BA42" s="8"/>
      <c r="BB42" s="6" t="str">
        <f>IFERROR(__xludf.DUMMYFUNCTION("""COMPUTED_VALUE"""),"striped turquoise")</f>
        <v>striped turquoise</v>
      </c>
      <c r="BC42" s="8" t="str">
        <f>IFERROR(__xludf.DUMMYFUNCTION("""COMPUTED_VALUE"""),"striped black")</f>
        <v>striped black</v>
      </c>
      <c r="BD42" s="8"/>
      <c r="BE42" s="6"/>
      <c r="BF42" s="8"/>
      <c r="BG42" s="8"/>
      <c r="BH42" s="6"/>
      <c r="BI42" s="8"/>
      <c r="BJ42" s="8"/>
      <c r="BK42" s="6"/>
      <c r="BL42" s="8"/>
      <c r="BM42" s="8"/>
      <c r="BN42" s="6"/>
      <c r="BO42" s="8"/>
      <c r="BP42" s="8"/>
      <c r="BQ42" s="6"/>
      <c r="BR42" s="8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</row>
    <row r="43">
      <c r="A43" s="6"/>
      <c r="B43" s="6" t="s">
        <v>43</v>
      </c>
      <c r="C43" s="3" t="str">
        <f t="shared" si="3"/>
        <v>vibrant olive</v>
      </c>
      <c r="D43" s="3" t="str">
        <f t="shared" si="17"/>
        <v>ZZZ</v>
      </c>
      <c r="E43" s="3" t="b">
        <f t="array" ref="E43">OR(ISNUMBER(SEARCH(D$2:D$30,$B43,5)))</f>
        <v>0</v>
      </c>
      <c r="G43" s="3" t="str">
        <f t="shared" si="4"/>
        <v>ZZZ</v>
      </c>
      <c r="H43" s="3" t="b">
        <f t="array" ref="H43">OR(ISNUMBER(SEARCH(G$2:G$30,$B43,5)))</f>
        <v>0</v>
      </c>
      <c r="J43" s="3" t="str">
        <f t="shared" si="5"/>
        <v>ZZZ</v>
      </c>
      <c r="K43" s="3" t="b">
        <f t="array" ref="K43">OR(ISNUMBER(SEARCH(J$2:J$30,$B43,5)))</f>
        <v>0</v>
      </c>
      <c r="M43" s="3" t="str">
        <f t="shared" si="6"/>
        <v>ZZZ</v>
      </c>
      <c r="N43" s="3" t="b">
        <f t="array" ref="N43">OR(ISNUMBER(SEARCH(M$2:M$30,$B43,5)))</f>
        <v>0</v>
      </c>
      <c r="P43" s="3" t="str">
        <f t="shared" si="7"/>
        <v>ZZZ</v>
      </c>
      <c r="Q43" s="3" t="b">
        <f t="array" ref="Q43">OR(ISNUMBER(SEARCH(P$2:P$50,$B43,5)))</f>
        <v>0</v>
      </c>
      <c r="R43" s="3" t="str">
        <f>IFERROR(__xludf.DUMMYFUNCTION("""COMPUTED_VALUE"""),"dark purple")</f>
        <v>dark purple</v>
      </c>
      <c r="S43" s="3" t="str">
        <f t="shared" si="8"/>
        <v>dark purple</v>
      </c>
      <c r="T43" s="3" t="b">
        <f t="array" ref="T43">OR(ISNUMBER(SEARCH(S$2:S$100,$B43,5)))</f>
        <v>0</v>
      </c>
      <c r="U43" s="3" t="str">
        <f>IFERROR(__xludf.DUMMYFUNCTION("""COMPUTED_VALUE"""),"posh aqua")</f>
        <v>posh aqua</v>
      </c>
      <c r="V43" s="3" t="str">
        <f t="shared" si="9"/>
        <v>posh aqua</v>
      </c>
      <c r="W43" s="3" t="b">
        <f t="array" ref="W43">OR(ISNUMBER(SEARCH(V$2:V$100,$B43,5)))</f>
        <v>0</v>
      </c>
      <c r="X43" s="3" t="str">
        <f>IFERROR(__xludf.DUMMYFUNCTION("""COMPUTED_VALUE"""),"dark tomato")</f>
        <v>dark tomato</v>
      </c>
      <c r="Y43" s="3" t="str">
        <f t="shared" si="10"/>
        <v>dark tomato</v>
      </c>
      <c r="Z43" s="3" t="b">
        <f t="array" ref="Z43">OR(ISNUMBER(SEARCH(Y$2:Y$100,$B43,5)))</f>
        <v>0</v>
      </c>
      <c r="AB43" s="3" t="str">
        <f t="shared" si="11"/>
        <v>ZZZ</v>
      </c>
      <c r="AC43" s="3" t="b">
        <f t="array" ref="AC43">OR(ISNUMBER(SEARCH(AB$2:AB$100,$B43,5)))</f>
        <v>0</v>
      </c>
      <c r="AE43" s="3" t="str">
        <f t="shared" si="12"/>
        <v>ZZZ</v>
      </c>
      <c r="AF43" s="3" t="b">
        <f t="array" ref="AF43">OR(ISNUMBER(SEARCH(AE$2:AE$100,$B43,5)))</f>
        <v>0</v>
      </c>
      <c r="AH43" s="3" t="str">
        <f t="shared" si="13"/>
        <v>ZZZ</v>
      </c>
      <c r="AI43" s="3" t="b">
        <f t="array" ref="AI43">OR(ISNUMBER(SEARCH(AH$2:AH$100,$B43,5)))</f>
        <v>0</v>
      </c>
      <c r="AK43" s="3" t="str">
        <f t="shared" si="14"/>
        <v>ZZZ</v>
      </c>
      <c r="AL43" s="3" t="b">
        <f t="array" ref="AL43">OR(ISNUMBER(SEARCH(AK$2:AK$100,$B43,5)))</f>
        <v>0</v>
      </c>
      <c r="AP43" s="3" t="str">
        <f t="shared" ref="AP43:AZ43" si="56">INDEX($A$1:$AN$600,ROW(),COLUMN()*3-120)</f>
        <v/>
      </c>
      <c r="AQ43" s="3" t="str">
        <f t="shared" si="56"/>
        <v/>
      </c>
      <c r="AR43" s="3" t="str">
        <f t="shared" si="56"/>
        <v/>
      </c>
      <c r="AS43" s="3" t="str">
        <f t="shared" si="56"/>
        <v/>
      </c>
      <c r="AT43" s="3" t="str">
        <f t="shared" si="56"/>
        <v>dark purple</v>
      </c>
      <c r="AU43" s="3" t="str">
        <f t="shared" si="56"/>
        <v>posh aqua</v>
      </c>
      <c r="AV43" s="3" t="str">
        <f t="shared" si="56"/>
        <v>dark tomato</v>
      </c>
      <c r="AW43" s="3" t="str">
        <f t="shared" si="56"/>
        <v/>
      </c>
      <c r="AX43" s="3" t="str">
        <f t="shared" si="56"/>
        <v/>
      </c>
      <c r="AY43" s="3" t="str">
        <f t="shared" si="56"/>
        <v/>
      </c>
      <c r="AZ43" s="3" t="str">
        <f t="shared" si="56"/>
        <v/>
      </c>
      <c r="BA43" s="8"/>
      <c r="BB43" s="6" t="str">
        <f>IFERROR(__xludf.DUMMYFUNCTION("""COMPUTED_VALUE"""),"dim fuchsia")</f>
        <v>dim fuchsia</v>
      </c>
      <c r="BC43" s="8" t="str">
        <f>IFERROR(__xludf.DUMMYFUNCTION("""COMPUTED_VALUE"""),"clear salmon")</f>
        <v>clear salmon</v>
      </c>
      <c r="BD43" s="8"/>
      <c r="BE43" s="6"/>
      <c r="BF43" s="8"/>
      <c r="BG43" s="8"/>
      <c r="BH43" s="6"/>
      <c r="BI43" s="8"/>
      <c r="BJ43" s="8"/>
      <c r="BK43" s="6"/>
      <c r="BL43" s="8"/>
      <c r="BM43" s="8"/>
      <c r="BN43" s="6"/>
      <c r="BO43" s="8"/>
      <c r="BP43" s="8"/>
      <c r="BQ43" s="6"/>
      <c r="BR43" s="8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</row>
    <row r="44">
      <c r="A44" s="6"/>
      <c r="B44" s="6" t="s">
        <v>44</v>
      </c>
      <c r="C44" s="3" t="str">
        <f t="shared" si="3"/>
        <v>drab green</v>
      </c>
      <c r="D44" s="3" t="str">
        <f t="shared" si="17"/>
        <v>ZZZ</v>
      </c>
      <c r="E44" s="3" t="b">
        <f t="array" ref="E44">OR(ISNUMBER(SEARCH(D$2:D$30,$B44,5)))</f>
        <v>0</v>
      </c>
      <c r="G44" s="3" t="str">
        <f t="shared" si="4"/>
        <v>ZZZ</v>
      </c>
      <c r="H44" s="3" t="b">
        <f t="array" ref="H44">OR(ISNUMBER(SEARCH(G$2:G$30,$B44,5)))</f>
        <v>0</v>
      </c>
      <c r="J44" s="3" t="str">
        <f t="shared" si="5"/>
        <v>ZZZ</v>
      </c>
      <c r="K44" s="3" t="b">
        <f t="array" ref="K44">OR(ISNUMBER(SEARCH(J$2:J$30,$B44,5)))</f>
        <v>0</v>
      </c>
      <c r="M44" s="3" t="str">
        <f t="shared" si="6"/>
        <v>ZZZ</v>
      </c>
      <c r="N44" s="3" t="b">
        <f t="array" ref="N44">OR(ISNUMBER(SEARCH(M$2:M$30,$B44,5)))</f>
        <v>0</v>
      </c>
      <c r="P44" s="3" t="str">
        <f t="shared" si="7"/>
        <v>ZZZ</v>
      </c>
      <c r="Q44" s="3" t="b">
        <f t="array" ref="Q44">OR(ISNUMBER(SEARCH(P$2:P$50,$B44,5)))</f>
        <v>0</v>
      </c>
      <c r="R44" s="3" t="str">
        <f>IFERROR(__xludf.DUMMYFUNCTION("""COMPUTED_VALUE"""),"dim cyan")</f>
        <v>dim cyan</v>
      </c>
      <c r="S44" s="3" t="str">
        <f t="shared" si="8"/>
        <v>dim cyan</v>
      </c>
      <c r="T44" s="3" t="b">
        <f t="array" ref="T44">OR(ISNUMBER(SEARCH(S$2:S$100,$B44,5)))</f>
        <v>0</v>
      </c>
      <c r="U44" s="3" t="str">
        <f>IFERROR(__xludf.DUMMYFUNCTION("""COMPUTED_VALUE"""),"dotted green")</f>
        <v>dotted green</v>
      </c>
      <c r="V44" s="3" t="str">
        <f t="shared" si="9"/>
        <v>dotted green</v>
      </c>
      <c r="W44" s="3" t="b">
        <f t="array" ref="W44">OR(ISNUMBER(SEARCH(V$2:V$100,$B44,5)))</f>
        <v>0</v>
      </c>
      <c r="X44" s="3" t="str">
        <f>IFERROR(__xludf.DUMMYFUNCTION("""COMPUTED_VALUE"""),"dark salmon")</f>
        <v>dark salmon</v>
      </c>
      <c r="Y44" s="3" t="str">
        <f t="shared" si="10"/>
        <v>dark salmon</v>
      </c>
      <c r="Z44" s="3" t="b">
        <f t="array" ref="Z44">OR(ISNUMBER(SEARCH(Y$2:Y$100,$B44,5)))</f>
        <v>0</v>
      </c>
      <c r="AB44" s="3" t="str">
        <f t="shared" si="11"/>
        <v>ZZZ</v>
      </c>
      <c r="AC44" s="3" t="b">
        <f t="array" ref="AC44">OR(ISNUMBER(SEARCH(AB$2:AB$100,$B44,5)))</f>
        <v>0</v>
      </c>
      <c r="AE44" s="3" t="str">
        <f t="shared" si="12"/>
        <v>ZZZ</v>
      </c>
      <c r="AF44" s="3" t="b">
        <f t="array" ref="AF44">OR(ISNUMBER(SEARCH(AE$2:AE$100,$B44,5)))</f>
        <v>0</v>
      </c>
      <c r="AH44" s="3" t="str">
        <f t="shared" si="13"/>
        <v>ZZZ</v>
      </c>
      <c r="AI44" s="3" t="b">
        <f t="array" ref="AI44">OR(ISNUMBER(SEARCH(AH$2:AH$100,$B44,5)))</f>
        <v>0</v>
      </c>
      <c r="AK44" s="3" t="str">
        <f t="shared" si="14"/>
        <v>ZZZ</v>
      </c>
      <c r="AL44" s="3" t="b">
        <f t="array" ref="AL44">OR(ISNUMBER(SEARCH(AK$2:AK$100,$B44,5)))</f>
        <v>0</v>
      </c>
      <c r="AP44" s="3" t="str">
        <f t="shared" ref="AP44:AZ44" si="57">INDEX($A$1:$AN$600,ROW(),COLUMN()*3-120)</f>
        <v/>
      </c>
      <c r="AQ44" s="3" t="str">
        <f t="shared" si="57"/>
        <v/>
      </c>
      <c r="AR44" s="3" t="str">
        <f t="shared" si="57"/>
        <v/>
      </c>
      <c r="AS44" s="3" t="str">
        <f t="shared" si="57"/>
        <v/>
      </c>
      <c r="AT44" s="3" t="str">
        <f t="shared" si="57"/>
        <v>dim cyan</v>
      </c>
      <c r="AU44" s="3" t="str">
        <f t="shared" si="57"/>
        <v>dotted green</v>
      </c>
      <c r="AV44" s="3" t="str">
        <f t="shared" si="57"/>
        <v>dark salmon</v>
      </c>
      <c r="AW44" s="3" t="str">
        <f t="shared" si="57"/>
        <v/>
      </c>
      <c r="AX44" s="3" t="str">
        <f t="shared" si="57"/>
        <v/>
      </c>
      <c r="AY44" s="3" t="str">
        <f t="shared" si="57"/>
        <v/>
      </c>
      <c r="AZ44" s="3" t="str">
        <f t="shared" si="57"/>
        <v/>
      </c>
      <c r="BA44" s="8"/>
      <c r="BB44" s="6" t="str">
        <f>IFERROR(__xludf.DUMMYFUNCTION("""COMPUTED_VALUE"""),"vibrant gold")</f>
        <v>vibrant gold</v>
      </c>
      <c r="BC44" s="8" t="str">
        <f>IFERROR(__xludf.DUMMYFUNCTION("""COMPUTED_VALUE"""),"faded teal")</f>
        <v>faded teal</v>
      </c>
      <c r="BD44" s="8"/>
      <c r="BE44" s="6"/>
      <c r="BF44" s="8"/>
      <c r="BG44" s="8"/>
      <c r="BH44" s="6"/>
      <c r="BI44" s="8"/>
      <c r="BJ44" s="8"/>
      <c r="BK44" s="6"/>
      <c r="BL44" s="8"/>
      <c r="BM44" s="8"/>
      <c r="BN44" s="6"/>
      <c r="BO44" s="8"/>
      <c r="BP44" s="8"/>
      <c r="BQ44" s="6"/>
      <c r="BR44" s="8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</row>
    <row r="45">
      <c r="A45" s="6"/>
      <c r="B45" s="6" t="s">
        <v>45</v>
      </c>
      <c r="C45" s="3" t="str">
        <f t="shared" si="3"/>
        <v>faded turquoise</v>
      </c>
      <c r="D45" s="3" t="str">
        <f t="shared" si="17"/>
        <v>ZZZ</v>
      </c>
      <c r="E45" s="3" t="b">
        <f t="array" ref="E45">OR(ISNUMBER(SEARCH(D$2:D$30,$B45,5)))</f>
        <v>0</v>
      </c>
      <c r="G45" s="3" t="str">
        <f t="shared" si="4"/>
        <v>ZZZ</v>
      </c>
      <c r="H45" s="3" t="b">
        <f t="array" ref="H45">OR(ISNUMBER(SEARCH(G$2:G$30,$B45,5)))</f>
        <v>0</v>
      </c>
      <c r="J45" s="3" t="str">
        <f t="shared" si="5"/>
        <v>ZZZ</v>
      </c>
      <c r="K45" s="3" t="b">
        <f t="array" ref="K45">OR(ISNUMBER(SEARCH(J$2:J$30,$B45,5)))</f>
        <v>0</v>
      </c>
      <c r="M45" s="3" t="str">
        <f t="shared" si="6"/>
        <v>ZZZ</v>
      </c>
      <c r="N45" s="3" t="b">
        <f t="array" ref="N45">OR(ISNUMBER(SEARCH(M$2:M$30,$B45,5)))</f>
        <v>0</v>
      </c>
      <c r="P45" s="3" t="str">
        <f t="shared" si="7"/>
        <v>ZZZ</v>
      </c>
      <c r="Q45" s="3" t="b">
        <f t="array" ref="Q45">OR(ISNUMBER(SEARCH(P$2:P$50,$B45,5)))</f>
        <v>0</v>
      </c>
      <c r="R45" s="3" t="str">
        <f>IFERROR(__xludf.DUMMYFUNCTION("""COMPUTED_VALUE"""),"dull gray")</f>
        <v>dull gray</v>
      </c>
      <c r="S45" s="3" t="str">
        <f t="shared" si="8"/>
        <v>dull gray</v>
      </c>
      <c r="T45" s="3" t="b">
        <f t="array" ref="T45">OR(ISNUMBER(SEARCH(S$2:S$100,$B45,5)))</f>
        <v>1</v>
      </c>
      <c r="U45" s="3" t="str">
        <f>IFERROR(__xludf.DUMMYFUNCTION("""COMPUTED_VALUE"""),"plaid orange")</f>
        <v>plaid orange</v>
      </c>
      <c r="V45" s="3" t="str">
        <f t="shared" si="9"/>
        <v>plaid orange</v>
      </c>
      <c r="W45" s="3" t="b">
        <f t="array" ref="W45">OR(ISNUMBER(SEARCH(V$2:V$100,$B45,5)))</f>
        <v>0</v>
      </c>
      <c r="Y45" s="3" t="str">
        <f t="shared" si="10"/>
        <v>ZZZ</v>
      </c>
      <c r="Z45" s="3" t="b">
        <f t="array" ref="Z45">OR(ISNUMBER(SEARCH(Y$2:Y$100,$B45,5)))</f>
        <v>0</v>
      </c>
      <c r="AB45" s="3" t="str">
        <f t="shared" si="11"/>
        <v>ZZZ</v>
      </c>
      <c r="AC45" s="3" t="b">
        <f t="array" ref="AC45">OR(ISNUMBER(SEARCH(AB$2:AB$100,$B45,5)))</f>
        <v>0</v>
      </c>
      <c r="AE45" s="3" t="str">
        <f t="shared" si="12"/>
        <v>ZZZ</v>
      </c>
      <c r="AF45" s="3" t="b">
        <f t="array" ref="AF45">OR(ISNUMBER(SEARCH(AE$2:AE$100,$B45,5)))</f>
        <v>0</v>
      </c>
      <c r="AH45" s="3" t="str">
        <f t="shared" si="13"/>
        <v>ZZZ</v>
      </c>
      <c r="AI45" s="3" t="b">
        <f t="array" ref="AI45">OR(ISNUMBER(SEARCH(AH$2:AH$100,$B45,5)))</f>
        <v>0</v>
      </c>
      <c r="AK45" s="3" t="str">
        <f t="shared" si="14"/>
        <v>ZZZ</v>
      </c>
      <c r="AL45" s="3" t="b">
        <f t="array" ref="AL45">OR(ISNUMBER(SEARCH(AK$2:AK$100,$B45,5)))</f>
        <v>0</v>
      </c>
      <c r="AP45" s="3" t="str">
        <f t="shared" ref="AP45:AZ45" si="58">INDEX($A$1:$AN$600,ROW(),COLUMN()*3-120)</f>
        <v/>
      </c>
      <c r="AQ45" s="3" t="str">
        <f t="shared" si="58"/>
        <v/>
      </c>
      <c r="AR45" s="3" t="str">
        <f t="shared" si="58"/>
        <v/>
      </c>
      <c r="AS45" s="3" t="str">
        <f t="shared" si="58"/>
        <v/>
      </c>
      <c r="AT45" s="3" t="str">
        <f t="shared" si="58"/>
        <v>dull gray</v>
      </c>
      <c r="AU45" s="3" t="str">
        <f t="shared" si="58"/>
        <v>plaid orange</v>
      </c>
      <c r="AV45" s="3" t="str">
        <f t="shared" si="58"/>
        <v/>
      </c>
      <c r="AW45" s="3" t="str">
        <f t="shared" si="58"/>
        <v/>
      </c>
      <c r="AX45" s="3" t="str">
        <f t="shared" si="58"/>
        <v/>
      </c>
      <c r="AY45" s="3" t="str">
        <f t="shared" si="58"/>
        <v/>
      </c>
      <c r="AZ45" s="3" t="str">
        <f t="shared" si="58"/>
        <v/>
      </c>
      <c r="BA45" s="8"/>
      <c r="BB45" s="6" t="str">
        <f>IFERROR(__xludf.DUMMYFUNCTION("""COMPUTED_VALUE"""),"bright gray")</f>
        <v>bright gray</v>
      </c>
      <c r="BC45" s="8" t="str">
        <f>IFERROR(__xludf.DUMMYFUNCTION("""COMPUTED_VALUE"""),"dull white")</f>
        <v>dull white</v>
      </c>
      <c r="BD45" s="8"/>
      <c r="BE45" s="6"/>
      <c r="BF45" s="8"/>
      <c r="BG45" s="8"/>
      <c r="BH45" s="6"/>
      <c r="BI45" s="8"/>
      <c r="BJ45" s="8"/>
      <c r="BK45" s="6"/>
      <c r="BL45" s="8"/>
      <c r="BM45" s="8"/>
      <c r="BN45" s="6"/>
      <c r="BO45" s="8"/>
      <c r="BP45" s="8"/>
      <c r="BQ45" s="6"/>
      <c r="BR45" s="8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</row>
    <row r="46">
      <c r="A46" s="6"/>
      <c r="B46" s="6" t="s">
        <v>46</v>
      </c>
      <c r="C46" s="3" t="str">
        <f t="shared" si="3"/>
        <v>shiny maroon</v>
      </c>
      <c r="D46" s="3" t="str">
        <f t="shared" si="17"/>
        <v>ZZZ</v>
      </c>
      <c r="E46" s="3" t="b">
        <f t="array" ref="E46">OR(ISNUMBER(SEARCH(D$2:D$30,$B46,5)))</f>
        <v>0</v>
      </c>
      <c r="G46" s="3" t="str">
        <f t="shared" si="4"/>
        <v>ZZZ</v>
      </c>
      <c r="H46" s="3" t="b">
        <f t="array" ref="H46">OR(ISNUMBER(SEARCH(G$2:G$30,$B46,5)))</f>
        <v>0</v>
      </c>
      <c r="J46" s="3" t="str">
        <f t="shared" si="5"/>
        <v>ZZZ</v>
      </c>
      <c r="K46" s="3" t="b">
        <f t="array" ref="K46">OR(ISNUMBER(SEARCH(J$2:J$30,$B46,5)))</f>
        <v>0</v>
      </c>
      <c r="M46" s="3" t="str">
        <f t="shared" si="6"/>
        <v>ZZZ</v>
      </c>
      <c r="N46" s="3" t="b">
        <f t="array" ref="N46">OR(ISNUMBER(SEARCH(M$2:M$30,$B46,5)))</f>
        <v>0</v>
      </c>
      <c r="P46" s="3" t="str">
        <f t="shared" si="7"/>
        <v>ZZZ</v>
      </c>
      <c r="Q46" s="3" t="b">
        <f t="array" ref="Q46">OR(ISNUMBER(SEARCH(P$2:P$50,$B46,5)))</f>
        <v>0</v>
      </c>
      <c r="R46" s="3" t="str">
        <f>IFERROR(__xludf.DUMMYFUNCTION("""COMPUTED_VALUE"""),"dotted tan")</f>
        <v>dotted tan</v>
      </c>
      <c r="S46" s="3" t="str">
        <f t="shared" si="8"/>
        <v>dotted tan</v>
      </c>
      <c r="T46" s="3" t="b">
        <f t="array" ref="T46">OR(ISNUMBER(SEARCH(S$2:S$100,$B46,5)))</f>
        <v>0</v>
      </c>
      <c r="U46" s="3" t="str">
        <f>IFERROR(__xludf.DUMMYFUNCTION("""COMPUTED_VALUE"""),"plaid green")</f>
        <v>plaid green</v>
      </c>
      <c r="V46" s="3" t="str">
        <f t="shared" si="9"/>
        <v>plaid green</v>
      </c>
      <c r="W46" s="3" t="b">
        <f t="array" ref="W46">OR(ISNUMBER(SEARCH(V$2:V$100,$B46,5)))</f>
        <v>0</v>
      </c>
      <c r="Y46" s="3" t="str">
        <f t="shared" si="10"/>
        <v>ZZZ</v>
      </c>
      <c r="Z46" s="3" t="b">
        <f t="array" ref="Z46">OR(ISNUMBER(SEARCH(Y$2:Y$100,$B46,5)))</f>
        <v>0</v>
      </c>
      <c r="AB46" s="3" t="str">
        <f t="shared" si="11"/>
        <v>ZZZ</v>
      </c>
      <c r="AC46" s="3" t="b">
        <f t="array" ref="AC46">OR(ISNUMBER(SEARCH(AB$2:AB$100,$B46,5)))</f>
        <v>0</v>
      </c>
      <c r="AE46" s="3" t="str">
        <f t="shared" si="12"/>
        <v>ZZZ</v>
      </c>
      <c r="AF46" s="3" t="b">
        <f t="array" ref="AF46">OR(ISNUMBER(SEARCH(AE$2:AE$100,$B46,5)))</f>
        <v>0</v>
      </c>
      <c r="AH46" s="3" t="str">
        <f t="shared" si="13"/>
        <v>ZZZ</v>
      </c>
      <c r="AI46" s="3" t="b">
        <f t="array" ref="AI46">OR(ISNUMBER(SEARCH(AH$2:AH$100,$B46,5)))</f>
        <v>0</v>
      </c>
      <c r="AK46" s="3" t="str">
        <f t="shared" si="14"/>
        <v>ZZZ</v>
      </c>
      <c r="AL46" s="3" t="b">
        <f t="array" ref="AL46">OR(ISNUMBER(SEARCH(AK$2:AK$100,$B46,5)))</f>
        <v>0</v>
      </c>
      <c r="AP46" s="3" t="str">
        <f t="shared" ref="AP46:AZ46" si="59">INDEX($A$1:$AN$600,ROW(),COLUMN()*3-120)</f>
        <v/>
      </c>
      <c r="AQ46" s="3" t="str">
        <f t="shared" si="59"/>
        <v/>
      </c>
      <c r="AR46" s="3" t="str">
        <f t="shared" si="59"/>
        <v/>
      </c>
      <c r="AS46" s="3" t="str">
        <f t="shared" si="59"/>
        <v/>
      </c>
      <c r="AT46" s="3" t="str">
        <f t="shared" si="59"/>
        <v>dotted tan</v>
      </c>
      <c r="AU46" s="3" t="str">
        <f t="shared" si="59"/>
        <v>plaid green</v>
      </c>
      <c r="AV46" s="3" t="str">
        <f t="shared" si="59"/>
        <v/>
      </c>
      <c r="AW46" s="3" t="str">
        <f t="shared" si="59"/>
        <v/>
      </c>
      <c r="AX46" s="3" t="str">
        <f t="shared" si="59"/>
        <v/>
      </c>
      <c r="AY46" s="3" t="str">
        <f t="shared" si="59"/>
        <v/>
      </c>
      <c r="AZ46" s="3" t="str">
        <f t="shared" si="59"/>
        <v/>
      </c>
      <c r="BA46" s="8"/>
      <c r="BB46" s="6" t="str">
        <f>IFERROR(__xludf.DUMMYFUNCTION("""COMPUTED_VALUE"""),"dark purple")</f>
        <v>dark purple</v>
      </c>
      <c r="BC46" s="8" t="str">
        <f>IFERROR(__xludf.DUMMYFUNCTION("""COMPUTED_VALUE"""),"striped beige")</f>
        <v>striped beige</v>
      </c>
      <c r="BD46" s="8"/>
      <c r="BE46" s="6"/>
      <c r="BF46" s="8"/>
      <c r="BG46" s="8"/>
      <c r="BH46" s="6"/>
      <c r="BI46" s="8"/>
      <c r="BJ46" s="8"/>
      <c r="BK46" s="6"/>
      <c r="BL46" s="8"/>
      <c r="BM46" s="8"/>
      <c r="BN46" s="6"/>
      <c r="BO46" s="8"/>
      <c r="BP46" s="8"/>
      <c r="BQ46" s="6"/>
      <c r="BR46" s="8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</row>
    <row r="47">
      <c r="A47" s="6"/>
      <c r="B47" s="6" t="s">
        <v>47</v>
      </c>
      <c r="C47" s="3" t="str">
        <f t="shared" si="3"/>
        <v>dull white</v>
      </c>
      <c r="D47" s="3" t="str">
        <f t="shared" si="17"/>
        <v>ZZZ</v>
      </c>
      <c r="E47" s="3" t="b">
        <f t="array" ref="E47">OR(ISNUMBER(SEARCH(D$2:D$30,$B47,5)))</f>
        <v>0</v>
      </c>
      <c r="G47" s="3" t="str">
        <f t="shared" si="4"/>
        <v>ZZZ</v>
      </c>
      <c r="H47" s="3" t="b">
        <f t="array" ref="H47">OR(ISNUMBER(SEARCH(G$2:G$30,$B47,5)))</f>
        <v>0</v>
      </c>
      <c r="J47" s="3" t="str">
        <f t="shared" si="5"/>
        <v>ZZZ</v>
      </c>
      <c r="K47" s="3" t="b">
        <f t="array" ref="K47">OR(ISNUMBER(SEARCH(J$2:J$30,$B47,5)))</f>
        <v>0</v>
      </c>
      <c r="M47" s="3" t="str">
        <f t="shared" si="6"/>
        <v>ZZZ</v>
      </c>
      <c r="N47" s="3" t="b">
        <f t="array" ref="N47">OR(ISNUMBER(SEARCH(M$2:M$30,$B47,5)))</f>
        <v>0</v>
      </c>
      <c r="P47" s="3" t="str">
        <f t="shared" si="7"/>
        <v>ZZZ</v>
      </c>
      <c r="Q47" s="3" t="b">
        <f t="array" ref="Q47">OR(ISNUMBER(SEARCH(P$2:P$50,$B47,5)))</f>
        <v>0</v>
      </c>
      <c r="R47" s="3" t="str">
        <f>IFERROR(__xludf.DUMMYFUNCTION("""COMPUTED_VALUE"""),"vibrant silver")</f>
        <v>vibrant silver</v>
      </c>
      <c r="S47" s="3" t="str">
        <f t="shared" si="8"/>
        <v>vibrant silver</v>
      </c>
      <c r="T47" s="3" t="b">
        <f t="array" ref="T47">OR(ISNUMBER(SEARCH(S$2:S$100,$B47,5)))</f>
        <v>1</v>
      </c>
      <c r="U47" s="3" t="str">
        <f>IFERROR(__xludf.DUMMYFUNCTION("""COMPUTED_VALUE"""),"mirrored purple")</f>
        <v>mirrored purple</v>
      </c>
      <c r="V47" s="3" t="str">
        <f t="shared" si="9"/>
        <v>mirrored purple</v>
      </c>
      <c r="W47" s="3" t="b">
        <f t="array" ref="W47">OR(ISNUMBER(SEARCH(V$2:V$100,$B47,5)))</f>
        <v>0</v>
      </c>
      <c r="Y47" s="3" t="str">
        <f t="shared" si="10"/>
        <v>ZZZ</v>
      </c>
      <c r="Z47" s="3" t="b">
        <f t="array" ref="Z47">OR(ISNUMBER(SEARCH(Y$2:Y$100,$B47,5)))</f>
        <v>0</v>
      </c>
      <c r="AB47" s="3" t="str">
        <f t="shared" si="11"/>
        <v>ZZZ</v>
      </c>
      <c r="AC47" s="3" t="b">
        <f t="array" ref="AC47">OR(ISNUMBER(SEARCH(AB$2:AB$100,$B47,5)))</f>
        <v>0</v>
      </c>
      <c r="AE47" s="3" t="str">
        <f t="shared" si="12"/>
        <v>ZZZ</v>
      </c>
      <c r="AF47" s="3" t="b">
        <f t="array" ref="AF47">OR(ISNUMBER(SEARCH(AE$2:AE$100,$B47,5)))</f>
        <v>0</v>
      </c>
      <c r="AH47" s="3" t="str">
        <f t="shared" si="13"/>
        <v>ZZZ</v>
      </c>
      <c r="AI47" s="3" t="b">
        <f t="array" ref="AI47">OR(ISNUMBER(SEARCH(AH$2:AH$100,$B47,5)))</f>
        <v>0</v>
      </c>
      <c r="AK47" s="3" t="str">
        <f t="shared" si="14"/>
        <v>ZZZ</v>
      </c>
      <c r="AL47" s="3" t="b">
        <f t="array" ref="AL47">OR(ISNUMBER(SEARCH(AK$2:AK$100,$B47,5)))</f>
        <v>0</v>
      </c>
      <c r="AP47" s="3" t="str">
        <f t="shared" ref="AP47:AZ47" si="60">INDEX($A$1:$AN$600,ROW(),COLUMN()*3-120)</f>
        <v/>
      </c>
      <c r="AQ47" s="3" t="str">
        <f t="shared" si="60"/>
        <v/>
      </c>
      <c r="AR47" s="3" t="str">
        <f t="shared" si="60"/>
        <v/>
      </c>
      <c r="AS47" s="3" t="str">
        <f t="shared" si="60"/>
        <v/>
      </c>
      <c r="AT47" s="3" t="str">
        <f t="shared" si="60"/>
        <v>vibrant silver</v>
      </c>
      <c r="AU47" s="3" t="str">
        <f t="shared" si="60"/>
        <v>mirrored purple</v>
      </c>
      <c r="AV47" s="3" t="str">
        <f t="shared" si="60"/>
        <v/>
      </c>
      <c r="AW47" s="3" t="str">
        <f t="shared" si="60"/>
        <v/>
      </c>
      <c r="AX47" s="3" t="str">
        <f t="shared" si="60"/>
        <v/>
      </c>
      <c r="AY47" s="3" t="str">
        <f t="shared" si="60"/>
        <v/>
      </c>
      <c r="AZ47" s="3" t="str">
        <f t="shared" si="60"/>
        <v/>
      </c>
      <c r="BA47" s="8"/>
      <c r="BB47" s="6" t="str">
        <f>IFERROR(__xludf.DUMMYFUNCTION("""COMPUTED_VALUE"""),"striped black")</f>
        <v>striped black</v>
      </c>
      <c r="BC47" s="8" t="str">
        <f>IFERROR(__xludf.DUMMYFUNCTION("""COMPUTED_VALUE"""),"drab aqua")</f>
        <v>drab aqua</v>
      </c>
      <c r="BD47" s="8"/>
      <c r="BE47" s="6"/>
      <c r="BF47" s="8"/>
      <c r="BG47" s="8"/>
      <c r="BH47" s="6"/>
      <c r="BI47" s="8"/>
      <c r="BJ47" s="8"/>
      <c r="BK47" s="6"/>
      <c r="BL47" s="8"/>
      <c r="BM47" s="8"/>
      <c r="BN47" s="6"/>
      <c r="BO47" s="8"/>
      <c r="BP47" s="8"/>
      <c r="BQ47" s="6"/>
      <c r="BR47" s="8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</row>
    <row r="48">
      <c r="A48" s="6"/>
      <c r="B48" s="6" t="s">
        <v>48</v>
      </c>
      <c r="C48" s="3" t="str">
        <f t="shared" si="3"/>
        <v>dim white</v>
      </c>
      <c r="D48" s="3" t="str">
        <f t="shared" si="17"/>
        <v>ZZZ</v>
      </c>
      <c r="E48" s="3" t="b">
        <f t="array" ref="E48">OR(ISNUMBER(SEARCH(D$2:D$30,$B48,5)))</f>
        <v>0</v>
      </c>
      <c r="G48" s="3" t="str">
        <f t="shared" si="4"/>
        <v>ZZZ</v>
      </c>
      <c r="H48" s="3" t="b">
        <f t="array" ref="H48">OR(ISNUMBER(SEARCH(G$2:G$30,$B48,5)))</f>
        <v>0</v>
      </c>
      <c r="J48" s="3" t="str">
        <f t="shared" si="5"/>
        <v>ZZZ</v>
      </c>
      <c r="K48" s="3" t="b">
        <f t="array" ref="K48">OR(ISNUMBER(SEARCH(J$2:J$30,$B48,5)))</f>
        <v>0</v>
      </c>
      <c r="M48" s="3" t="str">
        <f t="shared" si="6"/>
        <v>ZZZ</v>
      </c>
      <c r="N48" s="3" t="b">
        <f t="array" ref="N48">OR(ISNUMBER(SEARCH(M$2:M$30,$B48,5)))</f>
        <v>0</v>
      </c>
      <c r="P48" s="3" t="str">
        <f t="shared" si="7"/>
        <v>ZZZ</v>
      </c>
      <c r="Q48" s="3" t="b">
        <f t="array" ref="Q48">OR(ISNUMBER(SEARCH(P$2:P$50,$B48,5)))</f>
        <v>0</v>
      </c>
      <c r="R48" s="3" t="str">
        <f>IFERROR(__xludf.DUMMYFUNCTION("""COMPUTED_VALUE"""),"dotted tomato")</f>
        <v>dotted tomato</v>
      </c>
      <c r="S48" s="3" t="str">
        <f t="shared" si="8"/>
        <v>dotted tomato</v>
      </c>
      <c r="T48" s="3" t="b">
        <f t="array" ref="T48">OR(ISNUMBER(SEARCH(S$2:S$100,$B48,5)))</f>
        <v>0</v>
      </c>
      <c r="U48" s="3" t="str">
        <f>IFERROR(__xludf.DUMMYFUNCTION("""COMPUTED_VALUE"""),"vibrant gold")</f>
        <v>vibrant gold</v>
      </c>
      <c r="V48" s="3" t="str">
        <f t="shared" si="9"/>
        <v>vibrant gold</v>
      </c>
      <c r="W48" s="3" t="b">
        <f t="array" ref="W48">OR(ISNUMBER(SEARCH(V$2:V$100,$B48,5)))</f>
        <v>0</v>
      </c>
      <c r="Y48" s="3" t="str">
        <f t="shared" si="10"/>
        <v>ZZZ</v>
      </c>
      <c r="Z48" s="3" t="b">
        <f t="array" ref="Z48">OR(ISNUMBER(SEARCH(Y$2:Y$100,$B48,5)))</f>
        <v>0</v>
      </c>
      <c r="AB48" s="3" t="str">
        <f t="shared" si="11"/>
        <v>ZZZ</v>
      </c>
      <c r="AC48" s="3" t="b">
        <f t="array" ref="AC48">OR(ISNUMBER(SEARCH(AB$2:AB$100,$B48,5)))</f>
        <v>0</v>
      </c>
      <c r="AE48" s="3" t="str">
        <f t="shared" si="12"/>
        <v>ZZZ</v>
      </c>
      <c r="AF48" s="3" t="b">
        <f t="array" ref="AF48">OR(ISNUMBER(SEARCH(AE$2:AE$100,$B48,5)))</f>
        <v>0</v>
      </c>
      <c r="AH48" s="3" t="str">
        <f t="shared" si="13"/>
        <v>ZZZ</v>
      </c>
      <c r="AI48" s="3" t="b">
        <f t="array" ref="AI48">OR(ISNUMBER(SEARCH(AH$2:AH$100,$B48,5)))</f>
        <v>0</v>
      </c>
      <c r="AK48" s="3" t="str">
        <f t="shared" si="14"/>
        <v>ZZZ</v>
      </c>
      <c r="AL48" s="3" t="b">
        <f t="array" ref="AL48">OR(ISNUMBER(SEARCH(AK$2:AK$100,$B48,5)))</f>
        <v>0</v>
      </c>
      <c r="AP48" s="3" t="str">
        <f t="shared" ref="AP48:AZ48" si="61">INDEX($A$1:$AN$600,ROW(),COLUMN()*3-120)</f>
        <v/>
      </c>
      <c r="AQ48" s="3" t="str">
        <f t="shared" si="61"/>
        <v/>
      </c>
      <c r="AR48" s="3" t="str">
        <f t="shared" si="61"/>
        <v/>
      </c>
      <c r="AS48" s="3" t="str">
        <f t="shared" si="61"/>
        <v/>
      </c>
      <c r="AT48" s="3" t="str">
        <f t="shared" si="61"/>
        <v>dotted tomato</v>
      </c>
      <c r="AU48" s="3" t="str">
        <f t="shared" si="61"/>
        <v>vibrant gold</v>
      </c>
      <c r="AV48" s="3" t="str">
        <f t="shared" si="61"/>
        <v/>
      </c>
      <c r="AW48" s="3" t="str">
        <f t="shared" si="61"/>
        <v/>
      </c>
      <c r="AX48" s="3" t="str">
        <f t="shared" si="61"/>
        <v/>
      </c>
      <c r="AY48" s="3" t="str">
        <f t="shared" si="61"/>
        <v/>
      </c>
      <c r="AZ48" s="3" t="str">
        <f t="shared" si="61"/>
        <v/>
      </c>
      <c r="BA48" s="8"/>
      <c r="BB48" s="6" t="str">
        <f>IFERROR(__xludf.DUMMYFUNCTION("""COMPUTED_VALUE"""),"clear salmon")</f>
        <v>clear salmon</v>
      </c>
      <c r="BC48" s="8" t="str">
        <f>IFERROR(__xludf.DUMMYFUNCTION("""COMPUTED_VALUE"""),"posh fuchsia")</f>
        <v>posh fuchsia</v>
      </c>
      <c r="BD48" s="8"/>
      <c r="BE48" s="6"/>
      <c r="BF48" s="8"/>
      <c r="BG48" s="8"/>
      <c r="BH48" s="6"/>
      <c r="BI48" s="8"/>
      <c r="BJ48" s="8"/>
      <c r="BK48" s="6"/>
      <c r="BL48" s="8"/>
      <c r="BM48" s="8"/>
      <c r="BN48" s="6"/>
      <c r="BO48" s="8"/>
      <c r="BP48" s="8"/>
      <c r="BQ48" s="6"/>
      <c r="BR48" s="8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</row>
    <row r="49">
      <c r="A49" s="6"/>
      <c r="B49" s="6" t="s">
        <v>49</v>
      </c>
      <c r="C49" s="3" t="str">
        <f t="shared" si="3"/>
        <v>clear beige</v>
      </c>
      <c r="D49" s="3" t="str">
        <f t="shared" si="17"/>
        <v>ZZZ</v>
      </c>
      <c r="E49" s="3" t="b">
        <f t="array" ref="E49">OR(ISNUMBER(SEARCH(D$2:D$30,$B49,5)))</f>
        <v>0</v>
      </c>
      <c r="G49" s="3" t="str">
        <f t="shared" si="4"/>
        <v>ZZZ</v>
      </c>
      <c r="H49" s="3" t="b">
        <f t="array" ref="H49">OR(ISNUMBER(SEARCH(G$2:G$30,$B49,5)))</f>
        <v>0</v>
      </c>
      <c r="J49" s="3" t="str">
        <f t="shared" si="5"/>
        <v>ZZZ</v>
      </c>
      <c r="K49" s="3" t="b">
        <f t="array" ref="K49">OR(ISNUMBER(SEARCH(J$2:J$30,$B49,5)))</f>
        <v>0</v>
      </c>
      <c r="M49" s="3" t="str">
        <f t="shared" si="6"/>
        <v>ZZZ</v>
      </c>
      <c r="N49" s="3" t="b">
        <f t="array" ref="N49">OR(ISNUMBER(SEARCH(M$2:M$30,$B49,5)))</f>
        <v>0</v>
      </c>
      <c r="P49" s="3" t="str">
        <f t="shared" si="7"/>
        <v>ZZZ</v>
      </c>
      <c r="Q49" s="3" t="b">
        <f t="array" ref="Q49">OR(ISNUMBER(SEARCH(P$2:P$50,$B49,5)))</f>
        <v>0</v>
      </c>
      <c r="R49" s="3" t="str">
        <f>IFERROR(__xludf.DUMMYFUNCTION("""COMPUTED_VALUE"""),"pale violet")</f>
        <v>pale violet</v>
      </c>
      <c r="S49" s="3" t="str">
        <f t="shared" si="8"/>
        <v>pale violet</v>
      </c>
      <c r="T49" s="3" t="b">
        <f t="array" ref="T49">OR(ISNUMBER(SEARCH(S$2:S$100,$B49,5)))</f>
        <v>0</v>
      </c>
      <c r="U49" s="3" t="str">
        <f>IFERROR(__xludf.DUMMYFUNCTION("""COMPUTED_VALUE"""),"bright aqua")</f>
        <v>bright aqua</v>
      </c>
      <c r="V49" s="3" t="str">
        <f t="shared" si="9"/>
        <v>bright aqua</v>
      </c>
      <c r="W49" s="3" t="b">
        <f t="array" ref="W49">OR(ISNUMBER(SEARCH(V$2:V$100,$B49,5)))</f>
        <v>0</v>
      </c>
      <c r="Y49" s="3" t="str">
        <f t="shared" si="10"/>
        <v>ZZZ</v>
      </c>
      <c r="Z49" s="3" t="b">
        <f t="array" ref="Z49">OR(ISNUMBER(SEARCH(Y$2:Y$100,$B49,5)))</f>
        <v>0</v>
      </c>
      <c r="AB49" s="3" t="str">
        <f t="shared" si="11"/>
        <v>ZZZ</v>
      </c>
      <c r="AC49" s="3" t="b">
        <f t="array" ref="AC49">OR(ISNUMBER(SEARCH(AB$2:AB$100,$B49,5)))</f>
        <v>0</v>
      </c>
      <c r="AE49" s="3" t="str">
        <f t="shared" si="12"/>
        <v>ZZZ</v>
      </c>
      <c r="AF49" s="3" t="b">
        <f t="array" ref="AF49">OR(ISNUMBER(SEARCH(AE$2:AE$100,$B49,5)))</f>
        <v>0</v>
      </c>
      <c r="AH49" s="3" t="str">
        <f t="shared" si="13"/>
        <v>ZZZ</v>
      </c>
      <c r="AI49" s="3" t="b">
        <f t="array" ref="AI49">OR(ISNUMBER(SEARCH(AH$2:AH$100,$B49,5)))</f>
        <v>0</v>
      </c>
      <c r="AK49" s="3" t="str">
        <f t="shared" si="14"/>
        <v>ZZZ</v>
      </c>
      <c r="AL49" s="3" t="b">
        <f t="array" ref="AL49">OR(ISNUMBER(SEARCH(AK$2:AK$100,$B49,5)))</f>
        <v>0</v>
      </c>
      <c r="AP49" s="3" t="str">
        <f t="shared" ref="AP49:AZ49" si="62">INDEX($A$1:$AN$600,ROW(),COLUMN()*3-120)</f>
        <v/>
      </c>
      <c r="AQ49" s="3" t="str">
        <f t="shared" si="62"/>
        <v/>
      </c>
      <c r="AR49" s="3" t="str">
        <f t="shared" si="62"/>
        <v/>
      </c>
      <c r="AS49" s="3" t="str">
        <f t="shared" si="62"/>
        <v/>
      </c>
      <c r="AT49" s="3" t="str">
        <f t="shared" si="62"/>
        <v>pale violet</v>
      </c>
      <c r="AU49" s="3" t="str">
        <f t="shared" si="62"/>
        <v>bright aqua</v>
      </c>
      <c r="AV49" s="3" t="str">
        <f t="shared" si="62"/>
        <v/>
      </c>
      <c r="AW49" s="3" t="str">
        <f t="shared" si="62"/>
        <v/>
      </c>
      <c r="AX49" s="3" t="str">
        <f t="shared" si="62"/>
        <v/>
      </c>
      <c r="AY49" s="3" t="str">
        <f t="shared" si="62"/>
        <v/>
      </c>
      <c r="AZ49" s="3" t="str">
        <f t="shared" si="62"/>
        <v/>
      </c>
      <c r="BA49" s="8"/>
      <c r="BB49" s="6" t="str">
        <f>IFERROR(__xludf.DUMMYFUNCTION("""COMPUTED_VALUE"""),"faded teal")</f>
        <v>faded teal</v>
      </c>
      <c r="BC49" s="8" t="str">
        <f>IFERROR(__xludf.DUMMYFUNCTION("""COMPUTED_VALUE"""),"pale blue")</f>
        <v>pale blue</v>
      </c>
      <c r="BD49" s="8"/>
      <c r="BE49" s="6"/>
      <c r="BF49" s="8"/>
      <c r="BG49" s="8"/>
      <c r="BH49" s="6"/>
      <c r="BI49" s="8"/>
      <c r="BJ49" s="8"/>
      <c r="BK49" s="6"/>
      <c r="BL49" s="8"/>
      <c r="BM49" s="8"/>
      <c r="BN49" s="6"/>
      <c r="BO49" s="8"/>
      <c r="BP49" s="8"/>
      <c r="BQ49" s="6"/>
      <c r="BR49" s="8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</row>
    <row r="50">
      <c r="A50" s="6"/>
      <c r="B50" s="6" t="s">
        <v>50</v>
      </c>
      <c r="C50" s="3" t="str">
        <f t="shared" si="3"/>
        <v>plaid tomato</v>
      </c>
      <c r="D50" s="3" t="str">
        <f t="shared" si="17"/>
        <v>ZZZ</v>
      </c>
      <c r="E50" s="3" t="b">
        <f t="array" ref="E50">OR(ISNUMBER(SEARCH(D$2:D$30,$B50,5)))</f>
        <v>0</v>
      </c>
      <c r="G50" s="3" t="str">
        <f t="shared" si="4"/>
        <v>ZZZ</v>
      </c>
      <c r="H50" s="3" t="b">
        <f t="array" ref="H50">OR(ISNUMBER(SEARCH(G$2:G$30,$B50,5)))</f>
        <v>0</v>
      </c>
      <c r="J50" s="3" t="str">
        <f t="shared" si="5"/>
        <v>ZZZ</v>
      </c>
      <c r="K50" s="3" t="b">
        <f t="array" ref="K50">OR(ISNUMBER(SEARCH(J$2:J$30,$B50,5)))</f>
        <v>0</v>
      </c>
      <c r="M50" s="3" t="str">
        <f t="shared" si="6"/>
        <v>ZZZ</v>
      </c>
      <c r="N50" s="3" t="b">
        <f t="array" ref="N50">OR(ISNUMBER(SEARCH(M$2:M$30,$B50,5)))</f>
        <v>0</v>
      </c>
      <c r="P50" s="3" t="str">
        <f t="shared" si="7"/>
        <v>ZZZ</v>
      </c>
      <c r="Q50" s="3" t="b">
        <f t="array" ref="Q50">OR(ISNUMBER(SEARCH(P$2:P$50,$B50,5)))</f>
        <v>0</v>
      </c>
      <c r="R50" s="3" t="str">
        <f>IFERROR(__xludf.DUMMYFUNCTION("""COMPUTED_VALUE"""),"posh crimson")</f>
        <v>posh crimson</v>
      </c>
      <c r="S50" s="3" t="str">
        <f t="shared" si="8"/>
        <v>posh crimson</v>
      </c>
      <c r="T50" s="3" t="b">
        <f t="array" ref="T50">OR(ISNUMBER(SEARCH(S$2:S$100,$B50,5)))</f>
        <v>0</v>
      </c>
      <c r="U50" s="3" t="str">
        <f>IFERROR(__xludf.DUMMYFUNCTION("""COMPUTED_VALUE"""),"drab beige")</f>
        <v>drab beige</v>
      </c>
      <c r="V50" s="3" t="str">
        <f t="shared" si="9"/>
        <v>drab beige</v>
      </c>
      <c r="W50" s="3" t="b">
        <f t="array" ref="W50">OR(ISNUMBER(SEARCH(V$2:V$100,$B50,5)))</f>
        <v>0</v>
      </c>
      <c r="Y50" s="3" t="str">
        <f t="shared" si="10"/>
        <v>ZZZ</v>
      </c>
      <c r="Z50" s="3" t="b">
        <f t="array" ref="Z50">OR(ISNUMBER(SEARCH(Y$2:Y$100,$B50,5)))</f>
        <v>0</v>
      </c>
      <c r="AB50" s="3" t="str">
        <f t="shared" si="11"/>
        <v>ZZZ</v>
      </c>
      <c r="AC50" s="3" t="b">
        <f t="array" ref="AC50">OR(ISNUMBER(SEARCH(AB$2:AB$100,$B50,5)))</f>
        <v>0</v>
      </c>
      <c r="AE50" s="3" t="str">
        <f t="shared" si="12"/>
        <v>ZZZ</v>
      </c>
      <c r="AF50" s="3" t="b">
        <f t="array" ref="AF50">OR(ISNUMBER(SEARCH(AE$2:AE$100,$B50,5)))</f>
        <v>0</v>
      </c>
      <c r="AH50" s="3" t="str">
        <f t="shared" si="13"/>
        <v>ZZZ</v>
      </c>
      <c r="AI50" s="3" t="b">
        <f t="array" ref="AI50">OR(ISNUMBER(SEARCH(AH$2:AH$100,$B50,5)))</f>
        <v>0</v>
      </c>
      <c r="AK50" s="3" t="str">
        <f t="shared" si="14"/>
        <v>ZZZ</v>
      </c>
      <c r="AL50" s="3" t="b">
        <f t="array" ref="AL50">OR(ISNUMBER(SEARCH(AK$2:AK$100,$B50,5)))</f>
        <v>0</v>
      </c>
      <c r="AP50" s="3" t="str">
        <f t="shared" ref="AP50:AZ50" si="63">INDEX($A$1:$AN$600,ROW(),COLUMN()*3-120)</f>
        <v/>
      </c>
      <c r="AQ50" s="3" t="str">
        <f t="shared" si="63"/>
        <v/>
      </c>
      <c r="AR50" s="3" t="str">
        <f t="shared" si="63"/>
        <v/>
      </c>
      <c r="AS50" s="3" t="str">
        <f t="shared" si="63"/>
        <v/>
      </c>
      <c r="AT50" s="3" t="str">
        <f t="shared" si="63"/>
        <v>posh crimson</v>
      </c>
      <c r="AU50" s="3" t="str">
        <f t="shared" si="63"/>
        <v>drab beige</v>
      </c>
      <c r="AV50" s="3" t="str">
        <f t="shared" si="63"/>
        <v/>
      </c>
      <c r="AW50" s="3" t="str">
        <f t="shared" si="63"/>
        <v/>
      </c>
      <c r="AX50" s="3" t="str">
        <f t="shared" si="63"/>
        <v/>
      </c>
      <c r="AY50" s="3" t="str">
        <f t="shared" si="63"/>
        <v/>
      </c>
      <c r="AZ50" s="3" t="str">
        <f t="shared" si="63"/>
        <v/>
      </c>
      <c r="BA50" s="8"/>
      <c r="BB50" s="6" t="str">
        <f>IFERROR(__xludf.DUMMYFUNCTION("""COMPUTED_VALUE"""),"dotted black")</f>
        <v>dotted black</v>
      </c>
      <c r="BC50" s="8" t="str">
        <f>IFERROR(__xludf.DUMMYFUNCTION("""COMPUTED_VALUE"""),"shiny gray")</f>
        <v>shiny gray</v>
      </c>
      <c r="BD50" s="8"/>
      <c r="BE50" s="6"/>
      <c r="BF50" s="8"/>
      <c r="BG50" s="8"/>
      <c r="BH50" s="6"/>
      <c r="BI50" s="8"/>
      <c r="BJ50" s="8"/>
      <c r="BK50" s="6"/>
      <c r="BL50" s="8"/>
      <c r="BM50" s="8"/>
      <c r="BN50" s="6"/>
      <c r="BO50" s="8"/>
      <c r="BP50" s="8"/>
      <c r="BQ50" s="6"/>
      <c r="BR50" s="8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</row>
    <row r="51">
      <c r="A51" s="6"/>
      <c r="B51" s="6" t="s">
        <v>51</v>
      </c>
      <c r="C51" s="3" t="str">
        <f t="shared" si="3"/>
        <v>bright teal</v>
      </c>
      <c r="D51" s="3" t="str">
        <f t="shared" si="17"/>
        <v>ZZZ</v>
      </c>
      <c r="E51" s="3" t="b">
        <f t="array" ref="E51">OR(ISNUMBER(SEARCH(D$2:D$30,$B51,5)))</f>
        <v>1</v>
      </c>
      <c r="G51" s="3" t="str">
        <f t="shared" si="4"/>
        <v>ZZZ</v>
      </c>
      <c r="H51" s="3" t="b">
        <f t="array" ref="H51">OR(ISNUMBER(SEARCH(G$2:G$30,$B51,5)))</f>
        <v>0</v>
      </c>
      <c r="J51" s="3" t="str">
        <f t="shared" si="5"/>
        <v>ZZZ</v>
      </c>
      <c r="K51" s="3" t="b">
        <f t="array" ref="K51">OR(ISNUMBER(SEARCH(J$2:J$30,$B51,5)))</f>
        <v>0</v>
      </c>
      <c r="M51" s="3" t="str">
        <f t="shared" si="6"/>
        <v>ZZZ</v>
      </c>
      <c r="N51" s="3" t="b">
        <f t="array" ref="N51">OR(ISNUMBER(SEARCH(M$2:M$30,$B51,5)))</f>
        <v>0</v>
      </c>
      <c r="P51" s="3" t="str">
        <f t="shared" si="7"/>
        <v>ZZZ</v>
      </c>
      <c r="Q51" s="3" t="b">
        <f t="array" ref="Q51">OR(ISNUMBER(SEARCH(P$2:P$50,$B51,5)))</f>
        <v>0</v>
      </c>
      <c r="R51" s="3" t="str">
        <f>IFERROR(__xludf.DUMMYFUNCTION("""COMPUTED_VALUE"""),"dotted green")</f>
        <v>dotted green</v>
      </c>
      <c r="S51" s="3" t="str">
        <f t="shared" si="8"/>
        <v>dotted green</v>
      </c>
      <c r="T51" s="3" t="b">
        <f t="array" ref="T51">OR(ISNUMBER(SEARCH(S$2:S$100,$B51,5)))</f>
        <v>0</v>
      </c>
      <c r="U51" s="3" t="str">
        <f>IFERROR(__xludf.DUMMYFUNCTION("""COMPUTED_VALUE"""),"striped fuchsia")</f>
        <v>striped fuchsia</v>
      </c>
      <c r="V51" s="3" t="str">
        <f t="shared" si="9"/>
        <v>striped fuchsia</v>
      </c>
      <c r="W51" s="3" t="b">
        <f t="array" ref="W51">OR(ISNUMBER(SEARCH(V$2:V$100,$B51,5)))</f>
        <v>0</v>
      </c>
      <c r="Y51" s="3" t="str">
        <f t="shared" si="10"/>
        <v>ZZZ</v>
      </c>
      <c r="Z51" s="3" t="b">
        <f t="array" ref="Z51">OR(ISNUMBER(SEARCH(Y$2:Y$100,$B51,5)))</f>
        <v>0</v>
      </c>
      <c r="AB51" s="3" t="str">
        <f t="shared" si="11"/>
        <v>ZZZ</v>
      </c>
      <c r="AC51" s="3" t="b">
        <f t="array" ref="AC51">OR(ISNUMBER(SEARCH(AB$2:AB$100,$B51,5)))</f>
        <v>0</v>
      </c>
      <c r="AE51" s="3" t="str">
        <f t="shared" si="12"/>
        <v>ZZZ</v>
      </c>
      <c r="AF51" s="3" t="b">
        <f t="array" ref="AF51">OR(ISNUMBER(SEARCH(AE$2:AE$100,$B51,5)))</f>
        <v>0</v>
      </c>
      <c r="AH51" s="3" t="str">
        <f t="shared" si="13"/>
        <v>ZZZ</v>
      </c>
      <c r="AI51" s="3" t="b">
        <f t="array" ref="AI51">OR(ISNUMBER(SEARCH(AH$2:AH$100,$B51,5)))</f>
        <v>0</v>
      </c>
      <c r="AK51" s="3" t="str">
        <f t="shared" si="14"/>
        <v>ZZZ</v>
      </c>
      <c r="AL51" s="3" t="b">
        <f t="array" ref="AL51">OR(ISNUMBER(SEARCH(AK$2:AK$100,$B51,5)))</f>
        <v>0</v>
      </c>
      <c r="AP51" s="3" t="str">
        <f t="shared" ref="AP51:AZ51" si="64">INDEX($A$1:$AN$600,ROW(),COLUMN()*3-120)</f>
        <v/>
      </c>
      <c r="AQ51" s="3" t="str">
        <f t="shared" si="64"/>
        <v/>
      </c>
      <c r="AR51" s="3" t="str">
        <f t="shared" si="64"/>
        <v/>
      </c>
      <c r="AS51" s="3" t="str">
        <f t="shared" si="64"/>
        <v/>
      </c>
      <c r="AT51" s="3" t="str">
        <f t="shared" si="64"/>
        <v>dotted green</v>
      </c>
      <c r="AU51" s="3" t="str">
        <f t="shared" si="64"/>
        <v>striped fuchsia</v>
      </c>
      <c r="AV51" s="3" t="str">
        <f t="shared" si="64"/>
        <v/>
      </c>
      <c r="AW51" s="3" t="str">
        <f t="shared" si="64"/>
        <v/>
      </c>
      <c r="AX51" s="3" t="str">
        <f t="shared" si="64"/>
        <v/>
      </c>
      <c r="AY51" s="3" t="str">
        <f t="shared" si="64"/>
        <v/>
      </c>
      <c r="AZ51" s="3" t="str">
        <f t="shared" si="64"/>
        <v/>
      </c>
      <c r="BA51" s="8"/>
      <c r="BB51" s="6" t="str">
        <f>IFERROR(__xludf.DUMMYFUNCTION("""COMPUTED_VALUE"""),"dull white")</f>
        <v>dull white</v>
      </c>
      <c r="BC51" s="8" t="str">
        <f>IFERROR(__xludf.DUMMYFUNCTION("""COMPUTED_VALUE"""),"dark white")</f>
        <v>dark white</v>
      </c>
      <c r="BD51" s="8"/>
      <c r="BE51" s="6"/>
      <c r="BF51" s="8"/>
      <c r="BG51" s="8"/>
      <c r="BH51" s="6"/>
      <c r="BI51" s="8"/>
      <c r="BJ51" s="8"/>
      <c r="BK51" s="6"/>
      <c r="BL51" s="8"/>
      <c r="BM51" s="8"/>
      <c r="BN51" s="6"/>
      <c r="BO51" s="8"/>
      <c r="BP51" s="8"/>
      <c r="BQ51" s="6"/>
      <c r="BR51" s="8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</row>
    <row r="52">
      <c r="A52" s="6"/>
      <c r="B52" s="6" t="s">
        <v>52</v>
      </c>
      <c r="C52" s="3" t="str">
        <f t="shared" si="3"/>
        <v>dotted salmon</v>
      </c>
      <c r="D52" s="3" t="str">
        <f t="shared" si="17"/>
        <v>ZZZ</v>
      </c>
      <c r="E52" s="3" t="b">
        <f t="array" ref="E52">OR(ISNUMBER(SEARCH(D$2:D$30,$B52,5)))</f>
        <v>0</v>
      </c>
      <c r="G52" s="3" t="str">
        <f t="shared" si="4"/>
        <v>ZZZ</v>
      </c>
      <c r="H52" s="3" t="b">
        <f t="array" ref="H52">OR(ISNUMBER(SEARCH(G$2:G$30,$B52,5)))</f>
        <v>0</v>
      </c>
      <c r="J52" s="3" t="str">
        <f t="shared" si="5"/>
        <v>ZZZ</v>
      </c>
      <c r="K52" s="3" t="b">
        <f t="array" ref="K52">OR(ISNUMBER(SEARCH(J$2:J$30,$B52,5)))</f>
        <v>0</v>
      </c>
      <c r="M52" s="3" t="str">
        <f t="shared" si="6"/>
        <v>ZZZ</v>
      </c>
      <c r="N52" s="3" t="b">
        <f t="array" ref="N52">OR(ISNUMBER(SEARCH(M$2:M$30,$B52,5)))</f>
        <v>0</v>
      </c>
      <c r="P52" s="3" t="str">
        <f t="shared" si="7"/>
        <v>ZZZ</v>
      </c>
      <c r="Q52" s="3" t="b">
        <f t="array" ref="Q52">OR(ISNUMBER(SEARCH(P$2:P$50,$B52,5)))</f>
        <v>0</v>
      </c>
      <c r="R52" s="3" t="str">
        <f>IFERROR(__xludf.DUMMYFUNCTION("""COMPUTED_VALUE"""),"plaid orange")</f>
        <v>plaid orange</v>
      </c>
      <c r="S52" s="3" t="str">
        <f t="shared" si="8"/>
        <v>plaid orange</v>
      </c>
      <c r="T52" s="3" t="b">
        <f t="array" ref="T52">OR(ISNUMBER(SEARCH(S$2:S$100,$B52,5)))</f>
        <v>0</v>
      </c>
      <c r="U52" s="3" t="str">
        <f>IFERROR(__xludf.DUMMYFUNCTION("""COMPUTED_VALUE"""),"dark tomato")</f>
        <v>dark tomato</v>
      </c>
      <c r="V52" s="3" t="str">
        <f t="shared" si="9"/>
        <v>dark tomato</v>
      </c>
      <c r="W52" s="3" t="b">
        <f t="array" ref="W52">OR(ISNUMBER(SEARCH(V$2:V$100,$B52,5)))</f>
        <v>0</v>
      </c>
      <c r="Y52" s="3" t="str">
        <f t="shared" si="10"/>
        <v>ZZZ</v>
      </c>
      <c r="Z52" s="3" t="b">
        <f t="array" ref="Z52">OR(ISNUMBER(SEARCH(Y$2:Y$100,$B52,5)))</f>
        <v>0</v>
      </c>
      <c r="AB52" s="3" t="str">
        <f t="shared" si="11"/>
        <v>ZZZ</v>
      </c>
      <c r="AC52" s="3" t="b">
        <f t="array" ref="AC52">OR(ISNUMBER(SEARCH(AB$2:AB$100,$B52,5)))</f>
        <v>0</v>
      </c>
      <c r="AE52" s="3" t="str">
        <f t="shared" si="12"/>
        <v>ZZZ</v>
      </c>
      <c r="AF52" s="3" t="b">
        <f t="array" ref="AF52">OR(ISNUMBER(SEARCH(AE$2:AE$100,$B52,5)))</f>
        <v>0</v>
      </c>
      <c r="AH52" s="3" t="str">
        <f t="shared" si="13"/>
        <v>ZZZ</v>
      </c>
      <c r="AI52" s="3" t="b">
        <f t="array" ref="AI52">OR(ISNUMBER(SEARCH(AH$2:AH$100,$B52,5)))</f>
        <v>0</v>
      </c>
      <c r="AK52" s="3" t="str">
        <f t="shared" si="14"/>
        <v>ZZZ</v>
      </c>
      <c r="AL52" s="3" t="b">
        <f t="array" ref="AL52">OR(ISNUMBER(SEARCH(AK$2:AK$100,$B52,5)))</f>
        <v>0</v>
      </c>
      <c r="AP52" s="3" t="str">
        <f t="shared" ref="AP52:AZ52" si="65">INDEX($A$1:$AN$600,ROW(),COLUMN()*3-120)</f>
        <v/>
      </c>
      <c r="AQ52" s="3" t="str">
        <f t="shared" si="65"/>
        <v/>
      </c>
      <c r="AR52" s="3" t="str">
        <f t="shared" si="65"/>
        <v/>
      </c>
      <c r="AS52" s="3" t="str">
        <f t="shared" si="65"/>
        <v/>
      </c>
      <c r="AT52" s="3" t="str">
        <f t="shared" si="65"/>
        <v>plaid orange</v>
      </c>
      <c r="AU52" s="3" t="str">
        <f t="shared" si="65"/>
        <v>dark tomato</v>
      </c>
      <c r="AV52" s="3" t="str">
        <f t="shared" si="65"/>
        <v/>
      </c>
      <c r="AW52" s="3" t="str">
        <f t="shared" si="65"/>
        <v/>
      </c>
      <c r="AX52" s="3" t="str">
        <f t="shared" si="65"/>
        <v/>
      </c>
      <c r="AY52" s="3" t="str">
        <f t="shared" si="65"/>
        <v/>
      </c>
      <c r="AZ52" s="3" t="str">
        <f t="shared" si="65"/>
        <v/>
      </c>
      <c r="BA52" s="8"/>
      <c r="BB52" s="6" t="str">
        <f>IFERROR(__xludf.DUMMYFUNCTION("""COMPUTED_VALUE"""),"dim fuchsia")</f>
        <v>dim fuchsia</v>
      </c>
      <c r="BC52" s="8" t="str">
        <f>IFERROR(__xludf.DUMMYFUNCTION("""COMPUTED_VALUE"""),"posh tan")</f>
        <v>posh tan</v>
      </c>
      <c r="BD52" s="8"/>
      <c r="BE52" s="6"/>
      <c r="BF52" s="8"/>
      <c r="BG52" s="8"/>
      <c r="BH52" s="6"/>
      <c r="BI52" s="8"/>
      <c r="BJ52" s="8"/>
      <c r="BK52" s="6"/>
      <c r="BL52" s="8"/>
      <c r="BM52" s="8"/>
      <c r="BN52" s="6"/>
      <c r="BO52" s="8"/>
      <c r="BP52" s="8"/>
      <c r="BQ52" s="6"/>
      <c r="BR52" s="8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</row>
    <row r="53">
      <c r="A53" s="6"/>
      <c r="B53" s="6" t="s">
        <v>53</v>
      </c>
      <c r="C53" s="3" t="str">
        <f t="shared" si="3"/>
        <v>light gold</v>
      </c>
      <c r="D53" s="3" t="str">
        <f t="shared" si="17"/>
        <v>ZZZ</v>
      </c>
      <c r="E53" s="3" t="b">
        <f t="array" ref="E53">OR(ISNUMBER(SEARCH(D$2:D$30,$B53,5)))</f>
        <v>0</v>
      </c>
      <c r="G53" s="3" t="str">
        <f t="shared" si="4"/>
        <v>ZZZ</v>
      </c>
      <c r="H53" s="3" t="b">
        <f t="array" ref="H53">OR(ISNUMBER(SEARCH(G$2:G$30,$B53,5)))</f>
        <v>0</v>
      </c>
      <c r="J53" s="3" t="str">
        <f t="shared" si="5"/>
        <v>ZZZ</v>
      </c>
      <c r="K53" s="3" t="b">
        <f t="array" ref="K53">OR(ISNUMBER(SEARCH(J$2:J$30,$B53,5)))</f>
        <v>0</v>
      </c>
      <c r="M53" s="3" t="str">
        <f t="shared" si="6"/>
        <v>ZZZ</v>
      </c>
      <c r="N53" s="3" t="b">
        <f t="array" ref="N53">OR(ISNUMBER(SEARCH(M$2:M$30,$B53,5)))</f>
        <v>0</v>
      </c>
      <c r="P53" s="3" t="str">
        <f t="shared" si="7"/>
        <v>ZZZ</v>
      </c>
      <c r="Q53" s="3" t="b">
        <f t="array" ref="Q53">OR(ISNUMBER(SEARCH(P$2:P$50,$B53,5)))</f>
        <v>0</v>
      </c>
      <c r="R53" s="3" t="str">
        <f>IFERROR(__xludf.DUMMYFUNCTION("""COMPUTED_VALUE"""),"faded aqua")</f>
        <v>faded aqua</v>
      </c>
      <c r="S53" s="3" t="str">
        <f t="shared" si="8"/>
        <v>faded aqua</v>
      </c>
      <c r="T53" s="3" t="b">
        <f t="array" ref="T53">OR(ISNUMBER(SEARCH(S$2:S$100,$B53,5)))</f>
        <v>0</v>
      </c>
      <c r="U53" s="3" t="str">
        <f>IFERROR(__xludf.DUMMYFUNCTION("""COMPUTED_VALUE"""),"mirrored tomato")</f>
        <v>mirrored tomato</v>
      </c>
      <c r="V53" s="3" t="str">
        <f t="shared" si="9"/>
        <v>mirrored tomato</v>
      </c>
      <c r="W53" s="3" t="b">
        <f t="array" ref="W53">OR(ISNUMBER(SEARCH(V$2:V$100,$B53,5)))</f>
        <v>1</v>
      </c>
      <c r="Y53" s="3" t="str">
        <f t="shared" si="10"/>
        <v>ZZZ</v>
      </c>
      <c r="Z53" s="3" t="b">
        <f t="array" ref="Z53">OR(ISNUMBER(SEARCH(Y$2:Y$100,$B53,5)))</f>
        <v>0</v>
      </c>
      <c r="AB53" s="3" t="str">
        <f t="shared" si="11"/>
        <v>ZZZ</v>
      </c>
      <c r="AC53" s="3" t="b">
        <f t="array" ref="AC53">OR(ISNUMBER(SEARCH(AB$2:AB$100,$B53,5)))</f>
        <v>0</v>
      </c>
      <c r="AE53" s="3" t="str">
        <f t="shared" si="12"/>
        <v>ZZZ</v>
      </c>
      <c r="AF53" s="3" t="b">
        <f t="array" ref="AF53">OR(ISNUMBER(SEARCH(AE$2:AE$100,$B53,5)))</f>
        <v>0</v>
      </c>
      <c r="AH53" s="3" t="str">
        <f t="shared" si="13"/>
        <v>ZZZ</v>
      </c>
      <c r="AI53" s="3" t="b">
        <f t="array" ref="AI53">OR(ISNUMBER(SEARCH(AH$2:AH$100,$B53,5)))</f>
        <v>0</v>
      </c>
      <c r="AK53" s="3" t="str">
        <f t="shared" si="14"/>
        <v>ZZZ</v>
      </c>
      <c r="AL53" s="3" t="b">
        <f t="array" ref="AL53">OR(ISNUMBER(SEARCH(AK$2:AK$100,$B53,5)))</f>
        <v>0</v>
      </c>
      <c r="AP53" s="3" t="str">
        <f t="shared" ref="AP53:AZ53" si="66">INDEX($A$1:$AN$600,ROW(),COLUMN()*3-120)</f>
        <v/>
      </c>
      <c r="AQ53" s="3" t="str">
        <f t="shared" si="66"/>
        <v/>
      </c>
      <c r="AR53" s="3" t="str">
        <f t="shared" si="66"/>
        <v/>
      </c>
      <c r="AS53" s="3" t="str">
        <f t="shared" si="66"/>
        <v/>
      </c>
      <c r="AT53" s="3" t="str">
        <f t="shared" si="66"/>
        <v>faded aqua</v>
      </c>
      <c r="AU53" s="3" t="str">
        <f t="shared" si="66"/>
        <v>mirrored tomato</v>
      </c>
      <c r="AV53" s="3" t="str">
        <f t="shared" si="66"/>
        <v/>
      </c>
      <c r="AW53" s="3" t="str">
        <f t="shared" si="66"/>
        <v/>
      </c>
      <c r="AX53" s="3" t="str">
        <f t="shared" si="66"/>
        <v/>
      </c>
      <c r="AY53" s="3" t="str">
        <f t="shared" si="66"/>
        <v/>
      </c>
      <c r="AZ53" s="3" t="str">
        <f t="shared" si="66"/>
        <v/>
      </c>
      <c r="BA53" s="8"/>
      <c r="BB53" s="6" t="str">
        <f>IFERROR(__xludf.DUMMYFUNCTION("""COMPUTED_VALUE"""),"striped beige")</f>
        <v>striped beige</v>
      </c>
      <c r="BC53" s="8" t="str">
        <f>IFERROR(__xludf.DUMMYFUNCTION("""COMPUTED_VALUE"""),"dotted magenta")</f>
        <v>dotted magenta</v>
      </c>
      <c r="BD53" s="8"/>
      <c r="BE53" s="6"/>
      <c r="BF53" s="8"/>
      <c r="BG53" s="8"/>
      <c r="BH53" s="6"/>
      <c r="BI53" s="8"/>
      <c r="BJ53" s="8"/>
      <c r="BK53" s="6"/>
      <c r="BL53" s="8"/>
      <c r="BM53" s="8"/>
      <c r="BN53" s="6"/>
      <c r="BO53" s="8"/>
      <c r="BP53" s="8"/>
      <c r="BQ53" s="6"/>
      <c r="BR53" s="8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</row>
    <row r="54">
      <c r="A54" s="6"/>
      <c r="B54" s="6" t="s">
        <v>54</v>
      </c>
      <c r="C54" s="3" t="str">
        <f t="shared" si="3"/>
        <v>faded cyan</v>
      </c>
      <c r="D54" s="3" t="str">
        <f t="shared" si="17"/>
        <v>ZZZ</v>
      </c>
      <c r="E54" s="3" t="b">
        <f t="array" ref="E54">OR(ISNUMBER(SEARCH(D$2:D$30,$B54,5)))</f>
        <v>0</v>
      </c>
      <c r="G54" s="3" t="str">
        <f t="shared" si="4"/>
        <v>ZZZ</v>
      </c>
      <c r="H54" s="3" t="b">
        <f t="array" ref="H54">OR(ISNUMBER(SEARCH(G$2:G$30,$B54,5)))</f>
        <v>0</v>
      </c>
      <c r="J54" s="3" t="str">
        <f t="shared" si="5"/>
        <v>ZZZ</v>
      </c>
      <c r="K54" s="3" t="b">
        <f t="array" ref="K54">OR(ISNUMBER(SEARCH(J$2:J$30,$B54,5)))</f>
        <v>0</v>
      </c>
      <c r="M54" s="3" t="str">
        <f t="shared" si="6"/>
        <v>ZZZ</v>
      </c>
      <c r="N54" s="3" t="b">
        <f t="array" ref="N54">OR(ISNUMBER(SEARCH(M$2:M$30,$B54,5)))</f>
        <v>1</v>
      </c>
      <c r="P54" s="3" t="str">
        <f t="shared" si="7"/>
        <v>ZZZ</v>
      </c>
      <c r="Q54" s="3" t="b">
        <f t="array" ref="Q54">OR(ISNUMBER(SEARCH(P$2:P$50,$B54,5)))</f>
        <v>0</v>
      </c>
      <c r="R54" s="3" t="str">
        <f>IFERROR(__xludf.DUMMYFUNCTION("""COMPUTED_VALUE"""),"dark chartreuse")</f>
        <v>dark chartreuse</v>
      </c>
      <c r="S54" s="3" t="str">
        <f t="shared" si="8"/>
        <v>dark chartreuse</v>
      </c>
      <c r="T54" s="3" t="b">
        <f t="array" ref="T54">OR(ISNUMBER(SEARCH(S$2:S$100,$B54,5)))</f>
        <v>0</v>
      </c>
      <c r="V54" s="3" t="str">
        <f t="shared" si="9"/>
        <v>ZZZ</v>
      </c>
      <c r="W54" s="3" t="b">
        <f t="array" ref="W54">OR(ISNUMBER(SEARCH(V$2:V$100,$B54,5)))</f>
        <v>0</v>
      </c>
      <c r="Y54" s="3" t="str">
        <f t="shared" si="10"/>
        <v>ZZZ</v>
      </c>
      <c r="Z54" s="3" t="b">
        <f t="array" ref="Z54">OR(ISNUMBER(SEARCH(Y$2:Y$100,$B54,5)))</f>
        <v>0</v>
      </c>
      <c r="AB54" s="3" t="str">
        <f t="shared" si="11"/>
        <v>ZZZ</v>
      </c>
      <c r="AC54" s="3" t="b">
        <f t="array" ref="AC54">OR(ISNUMBER(SEARCH(AB$2:AB$100,$B54,5)))</f>
        <v>0</v>
      </c>
      <c r="AE54" s="3" t="str">
        <f t="shared" si="12"/>
        <v>ZZZ</v>
      </c>
      <c r="AF54" s="3" t="b">
        <f t="array" ref="AF54">OR(ISNUMBER(SEARCH(AE$2:AE$100,$B54,5)))</f>
        <v>0</v>
      </c>
      <c r="AH54" s="3" t="str">
        <f t="shared" si="13"/>
        <v>ZZZ</v>
      </c>
      <c r="AI54" s="3" t="b">
        <f t="array" ref="AI54">OR(ISNUMBER(SEARCH(AH$2:AH$100,$B54,5)))</f>
        <v>0</v>
      </c>
      <c r="AK54" s="3" t="str">
        <f t="shared" si="14"/>
        <v>ZZZ</v>
      </c>
      <c r="AL54" s="3" t="b">
        <f t="array" ref="AL54">OR(ISNUMBER(SEARCH(AK$2:AK$100,$B54,5)))</f>
        <v>0</v>
      </c>
      <c r="AP54" s="3" t="str">
        <f t="shared" ref="AP54:AZ54" si="67">INDEX($A$1:$AN$600,ROW(),COLUMN()*3-120)</f>
        <v/>
      </c>
      <c r="AQ54" s="3" t="str">
        <f t="shared" si="67"/>
        <v/>
      </c>
      <c r="AR54" s="3" t="str">
        <f t="shared" si="67"/>
        <v/>
      </c>
      <c r="AS54" s="3" t="str">
        <f t="shared" si="67"/>
        <v/>
      </c>
      <c r="AT54" s="3" t="str">
        <f t="shared" si="67"/>
        <v>dark chartreuse</v>
      </c>
      <c r="AU54" s="3" t="str">
        <f t="shared" si="67"/>
        <v/>
      </c>
      <c r="AV54" s="3" t="str">
        <f t="shared" si="67"/>
        <v/>
      </c>
      <c r="AW54" s="3" t="str">
        <f t="shared" si="67"/>
        <v/>
      </c>
      <c r="AX54" s="3" t="str">
        <f t="shared" si="67"/>
        <v/>
      </c>
      <c r="AY54" s="3" t="str">
        <f t="shared" si="67"/>
        <v/>
      </c>
      <c r="AZ54" s="3" t="str">
        <f t="shared" si="67"/>
        <v/>
      </c>
      <c r="BA54" s="8"/>
      <c r="BB54" s="6" t="str">
        <f>IFERROR(__xludf.DUMMYFUNCTION("""COMPUTED_VALUE"""),"drab aqua")</f>
        <v>drab aqua</v>
      </c>
      <c r="BC54" s="8" t="str">
        <f>IFERROR(__xludf.DUMMYFUNCTION("""COMPUTED_VALUE"""),"drab crimson")</f>
        <v>drab crimson</v>
      </c>
      <c r="BD54" s="8"/>
      <c r="BE54" s="6"/>
      <c r="BF54" s="8"/>
      <c r="BG54" s="8"/>
      <c r="BH54" s="6"/>
      <c r="BI54" s="8"/>
      <c r="BJ54" s="8"/>
      <c r="BK54" s="6"/>
      <c r="BL54" s="8"/>
      <c r="BM54" s="8"/>
      <c r="BN54" s="6"/>
      <c r="BO54" s="8"/>
      <c r="BP54" s="8"/>
      <c r="BQ54" s="6"/>
      <c r="BR54" s="8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</row>
    <row r="55">
      <c r="A55" s="6"/>
      <c r="B55" s="6" t="s">
        <v>55</v>
      </c>
      <c r="C55" s="3" t="str">
        <f t="shared" si="3"/>
        <v>drab cyan</v>
      </c>
      <c r="D55" s="3" t="str">
        <f t="shared" si="17"/>
        <v>ZZZ</v>
      </c>
      <c r="E55" s="3" t="b">
        <f t="array" ref="E55">OR(ISNUMBER(SEARCH(D$2:D$30,$B55,5)))</f>
        <v>0</v>
      </c>
      <c r="G55" s="3" t="str">
        <f t="shared" si="4"/>
        <v>ZZZ</v>
      </c>
      <c r="H55" s="3" t="b">
        <f t="array" ref="H55">OR(ISNUMBER(SEARCH(G$2:G$30,$B55,5)))</f>
        <v>0</v>
      </c>
      <c r="J55" s="3" t="str">
        <f t="shared" si="5"/>
        <v>ZZZ</v>
      </c>
      <c r="K55" s="3" t="b">
        <f t="array" ref="K55">OR(ISNUMBER(SEARCH(J$2:J$30,$B55,5)))</f>
        <v>0</v>
      </c>
      <c r="M55" s="3" t="str">
        <f t="shared" si="6"/>
        <v>ZZZ</v>
      </c>
      <c r="N55" s="3" t="b">
        <f t="array" ref="N55">OR(ISNUMBER(SEARCH(M$2:M$30,$B55,5)))</f>
        <v>0</v>
      </c>
      <c r="P55" s="3" t="str">
        <f t="shared" si="7"/>
        <v>ZZZ</v>
      </c>
      <c r="Q55" s="3" t="b">
        <f t="array" ref="Q55">OR(ISNUMBER(SEARCH(P$2:P$50,$B55,5)))</f>
        <v>0</v>
      </c>
      <c r="R55" s="3" t="str">
        <f>IFERROR(__xludf.DUMMYFUNCTION("""COMPUTED_VALUE"""),"bright aqua")</f>
        <v>bright aqua</v>
      </c>
      <c r="S55" s="3" t="str">
        <f t="shared" si="8"/>
        <v>bright aqua</v>
      </c>
      <c r="T55" s="3" t="b">
        <f t="array" ref="T55">OR(ISNUMBER(SEARCH(S$2:S$100,$B55,5)))</f>
        <v>0</v>
      </c>
      <c r="V55" s="3" t="str">
        <f t="shared" si="9"/>
        <v>ZZZ</v>
      </c>
      <c r="W55" s="3" t="b">
        <f t="array" ref="W55">OR(ISNUMBER(SEARCH(V$2:V$100,$B55,5)))</f>
        <v>0</v>
      </c>
      <c r="Y55" s="3" t="str">
        <f t="shared" si="10"/>
        <v>ZZZ</v>
      </c>
      <c r="Z55" s="3" t="b">
        <f t="array" ref="Z55">OR(ISNUMBER(SEARCH(Y$2:Y$100,$B55,5)))</f>
        <v>0</v>
      </c>
      <c r="AB55" s="3" t="str">
        <f t="shared" si="11"/>
        <v>ZZZ</v>
      </c>
      <c r="AC55" s="3" t="b">
        <f t="array" ref="AC55">OR(ISNUMBER(SEARCH(AB$2:AB$100,$B55,5)))</f>
        <v>0</v>
      </c>
      <c r="AE55" s="3" t="str">
        <f t="shared" si="12"/>
        <v>ZZZ</v>
      </c>
      <c r="AF55" s="3" t="b">
        <f t="array" ref="AF55">OR(ISNUMBER(SEARCH(AE$2:AE$100,$B55,5)))</f>
        <v>0</v>
      </c>
      <c r="AH55" s="3" t="str">
        <f t="shared" si="13"/>
        <v>ZZZ</v>
      </c>
      <c r="AI55" s="3" t="b">
        <f t="array" ref="AI55">OR(ISNUMBER(SEARCH(AH$2:AH$100,$B55,5)))</f>
        <v>0</v>
      </c>
      <c r="AK55" s="3" t="str">
        <f t="shared" si="14"/>
        <v>ZZZ</v>
      </c>
      <c r="AL55" s="3" t="b">
        <f t="array" ref="AL55">OR(ISNUMBER(SEARCH(AK$2:AK$100,$B55,5)))</f>
        <v>0</v>
      </c>
      <c r="AP55" s="3" t="str">
        <f t="shared" ref="AP55:AZ55" si="68">INDEX($A$1:$AN$600,ROW(),COLUMN()*3-120)</f>
        <v/>
      </c>
      <c r="AQ55" s="3" t="str">
        <f t="shared" si="68"/>
        <v/>
      </c>
      <c r="AR55" s="3" t="str">
        <f t="shared" si="68"/>
        <v/>
      </c>
      <c r="AS55" s="3" t="str">
        <f t="shared" si="68"/>
        <v/>
      </c>
      <c r="AT55" s="3" t="str">
        <f t="shared" si="68"/>
        <v>bright aqua</v>
      </c>
      <c r="AU55" s="3" t="str">
        <f t="shared" si="68"/>
        <v/>
      </c>
      <c r="AV55" s="3" t="str">
        <f t="shared" si="68"/>
        <v/>
      </c>
      <c r="AW55" s="3" t="str">
        <f t="shared" si="68"/>
        <v/>
      </c>
      <c r="AX55" s="3" t="str">
        <f t="shared" si="68"/>
        <v/>
      </c>
      <c r="AY55" s="3" t="str">
        <f t="shared" si="68"/>
        <v/>
      </c>
      <c r="AZ55" s="3" t="str">
        <f t="shared" si="68"/>
        <v/>
      </c>
      <c r="BA55" s="8"/>
      <c r="BB55" s="6" t="str">
        <f>IFERROR(__xludf.DUMMYFUNCTION("""COMPUTED_VALUE"""),"posh fuchsia")</f>
        <v>posh fuchsia</v>
      </c>
      <c r="BC55" s="8" t="str">
        <f>IFERROR(__xludf.DUMMYFUNCTION("""COMPUTED_VALUE"""),"clear aqua")</f>
        <v>clear aqua</v>
      </c>
      <c r="BD55" s="8"/>
      <c r="BE55" s="6"/>
      <c r="BF55" s="8"/>
      <c r="BG55" s="8"/>
      <c r="BH55" s="6"/>
      <c r="BI55" s="8"/>
      <c r="BJ55" s="8"/>
      <c r="BK55" s="6"/>
      <c r="BL55" s="8"/>
      <c r="BM55" s="8"/>
      <c r="BN55" s="6"/>
      <c r="BO55" s="8"/>
      <c r="BP55" s="8"/>
      <c r="BQ55" s="6"/>
      <c r="BR55" s="8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</row>
    <row r="56">
      <c r="A56" s="6"/>
      <c r="B56" s="6" t="s">
        <v>56</v>
      </c>
      <c r="C56" s="3" t="str">
        <f t="shared" si="3"/>
        <v>dotted black</v>
      </c>
      <c r="D56" s="3" t="str">
        <f t="shared" si="17"/>
        <v>ZZZ</v>
      </c>
      <c r="E56" s="3" t="b">
        <f t="array" ref="E56">OR(ISNUMBER(SEARCH(D$2:D$30,$B56,5)))</f>
        <v>0</v>
      </c>
      <c r="G56" s="3" t="str">
        <f t="shared" si="4"/>
        <v>ZZZ</v>
      </c>
      <c r="H56" s="3" t="b">
        <f t="array" ref="H56">OR(ISNUMBER(SEARCH(G$2:G$30,$B56,5)))</f>
        <v>0</v>
      </c>
      <c r="J56" s="3" t="str">
        <f t="shared" si="5"/>
        <v>ZZZ</v>
      </c>
      <c r="K56" s="3" t="b">
        <f t="array" ref="K56">OR(ISNUMBER(SEARCH(J$2:J$30,$B56,5)))</f>
        <v>0</v>
      </c>
      <c r="M56" s="3" t="str">
        <f t="shared" si="6"/>
        <v>ZZZ</v>
      </c>
      <c r="N56" s="3" t="b">
        <f t="array" ref="N56">OR(ISNUMBER(SEARCH(M$2:M$30,$B56,5)))</f>
        <v>0</v>
      </c>
      <c r="P56" s="3" t="str">
        <f t="shared" si="7"/>
        <v>ZZZ</v>
      </c>
      <c r="Q56" s="3" t="b">
        <f t="array" ref="Q56">OR(ISNUMBER(SEARCH(P$2:P$50,$B56,5)))</f>
        <v>1</v>
      </c>
      <c r="R56" s="3" t="str">
        <f>IFERROR(__xludf.DUMMYFUNCTION("""COMPUTED_VALUE"""),"pale crimson")</f>
        <v>pale crimson</v>
      </c>
      <c r="S56" s="3" t="str">
        <f t="shared" si="8"/>
        <v>pale crimson</v>
      </c>
      <c r="T56" s="3" t="b">
        <f t="array" ref="T56">OR(ISNUMBER(SEARCH(S$2:S$100,$B56,5)))</f>
        <v>1</v>
      </c>
      <c r="V56" s="3" t="str">
        <f t="shared" si="9"/>
        <v>ZZZ</v>
      </c>
      <c r="W56" s="3" t="b">
        <f t="array" ref="W56">OR(ISNUMBER(SEARCH(V$2:V$100,$B56,5)))</f>
        <v>0</v>
      </c>
      <c r="Y56" s="3" t="str">
        <f t="shared" si="10"/>
        <v>ZZZ</v>
      </c>
      <c r="Z56" s="3" t="b">
        <f t="array" ref="Z56">OR(ISNUMBER(SEARCH(Y$2:Y$100,$B56,5)))</f>
        <v>1</v>
      </c>
      <c r="AB56" s="3" t="str">
        <f t="shared" si="11"/>
        <v>ZZZ</v>
      </c>
      <c r="AC56" s="3" t="b">
        <f t="array" ref="AC56">OR(ISNUMBER(SEARCH(AB$2:AB$100,$B56,5)))</f>
        <v>1</v>
      </c>
      <c r="AE56" s="3" t="str">
        <f t="shared" si="12"/>
        <v>ZZZ</v>
      </c>
      <c r="AF56" s="3" t="b">
        <f t="array" ref="AF56">OR(ISNUMBER(SEARCH(AE$2:AE$100,$B56,5)))</f>
        <v>0</v>
      </c>
      <c r="AH56" s="3" t="str">
        <f t="shared" si="13"/>
        <v>ZZZ</v>
      </c>
      <c r="AI56" s="3" t="b">
        <f t="array" ref="AI56">OR(ISNUMBER(SEARCH(AH$2:AH$100,$B56,5)))</f>
        <v>0</v>
      </c>
      <c r="AK56" s="3" t="str">
        <f t="shared" si="14"/>
        <v>ZZZ</v>
      </c>
      <c r="AL56" s="3" t="b">
        <f t="array" ref="AL56">OR(ISNUMBER(SEARCH(AK$2:AK$100,$B56,5)))</f>
        <v>0</v>
      </c>
      <c r="AP56" s="3" t="str">
        <f t="shared" ref="AP56:AZ56" si="69">INDEX($A$1:$AN$600,ROW(),COLUMN()*3-120)</f>
        <v/>
      </c>
      <c r="AQ56" s="3" t="str">
        <f t="shared" si="69"/>
        <v/>
      </c>
      <c r="AR56" s="3" t="str">
        <f t="shared" si="69"/>
        <v/>
      </c>
      <c r="AS56" s="3" t="str">
        <f t="shared" si="69"/>
        <v/>
      </c>
      <c r="AT56" s="3" t="str">
        <f t="shared" si="69"/>
        <v>pale crimson</v>
      </c>
      <c r="AU56" s="3" t="str">
        <f t="shared" si="69"/>
        <v/>
      </c>
      <c r="AV56" s="3" t="str">
        <f t="shared" si="69"/>
        <v/>
      </c>
      <c r="AW56" s="3" t="str">
        <f t="shared" si="69"/>
        <v/>
      </c>
      <c r="AX56" s="3" t="str">
        <f t="shared" si="69"/>
        <v/>
      </c>
      <c r="AY56" s="3" t="str">
        <f t="shared" si="69"/>
        <v/>
      </c>
      <c r="AZ56" s="3" t="str">
        <f t="shared" si="69"/>
        <v/>
      </c>
      <c r="BA56" s="8"/>
      <c r="BB56" s="6" t="str">
        <f>IFERROR(__xludf.DUMMYFUNCTION("""COMPUTED_VALUE"""),"pale blue")</f>
        <v>pale blue</v>
      </c>
      <c r="BC56" s="8" t="str">
        <f>IFERROR(__xludf.DUMMYFUNCTION("""COMPUTED_VALUE"""),"plaid lime")</f>
        <v>plaid lime</v>
      </c>
      <c r="BD56" s="8"/>
      <c r="BE56" s="6"/>
      <c r="BF56" s="8"/>
      <c r="BG56" s="8"/>
      <c r="BH56" s="6"/>
      <c r="BI56" s="8"/>
      <c r="BJ56" s="8"/>
      <c r="BK56" s="6"/>
      <c r="BL56" s="8"/>
      <c r="BM56" s="8"/>
      <c r="BN56" s="6"/>
      <c r="BO56" s="8"/>
      <c r="BP56" s="8"/>
      <c r="BQ56" s="6"/>
      <c r="BR56" s="8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</row>
    <row r="57">
      <c r="A57" s="6"/>
      <c r="B57" s="6" t="s">
        <v>57</v>
      </c>
      <c r="C57" s="3" t="str">
        <f t="shared" si="3"/>
        <v>faded purple</v>
      </c>
      <c r="D57" s="3" t="str">
        <f t="shared" si="17"/>
        <v>ZZZ</v>
      </c>
      <c r="E57" s="3" t="b">
        <f t="array" ref="E57">OR(ISNUMBER(SEARCH(D$2:D$30,$B57,5)))</f>
        <v>0</v>
      </c>
      <c r="G57" s="3" t="str">
        <f t="shared" si="4"/>
        <v>ZZZ</v>
      </c>
      <c r="H57" s="3" t="b">
        <f t="array" ref="H57">OR(ISNUMBER(SEARCH(G$2:G$30,$B57,5)))</f>
        <v>0</v>
      </c>
      <c r="J57" s="3" t="str">
        <f t="shared" si="5"/>
        <v>ZZZ</v>
      </c>
      <c r="K57" s="3" t="b">
        <f t="array" ref="K57">OR(ISNUMBER(SEARCH(J$2:J$30,$B57,5)))</f>
        <v>0</v>
      </c>
      <c r="M57" s="3" t="str">
        <f t="shared" si="6"/>
        <v>ZZZ</v>
      </c>
      <c r="N57" s="3" t="b">
        <f t="array" ref="N57">OR(ISNUMBER(SEARCH(M$2:M$30,$B57,5)))</f>
        <v>0</v>
      </c>
      <c r="P57" s="3" t="str">
        <f t="shared" si="7"/>
        <v>ZZZ</v>
      </c>
      <c r="Q57" s="3" t="b">
        <f t="array" ref="Q57">OR(ISNUMBER(SEARCH(P$2:P$50,$B57,5)))</f>
        <v>0</v>
      </c>
      <c r="R57" s="3" t="str">
        <f>IFERROR(__xludf.DUMMYFUNCTION("""COMPUTED_VALUE"""),"dark salmon")</f>
        <v>dark salmon</v>
      </c>
      <c r="S57" s="3" t="str">
        <f t="shared" si="8"/>
        <v>dark salmon</v>
      </c>
      <c r="T57" s="3" t="b">
        <f t="array" ref="T57">OR(ISNUMBER(SEARCH(S$2:S$100,$B57,5)))</f>
        <v>0</v>
      </c>
      <c r="V57" s="3" t="str">
        <f t="shared" si="9"/>
        <v>ZZZ</v>
      </c>
      <c r="W57" s="3" t="b">
        <f t="array" ref="W57">OR(ISNUMBER(SEARCH(V$2:V$100,$B57,5)))</f>
        <v>0</v>
      </c>
      <c r="Y57" s="3" t="str">
        <f t="shared" si="10"/>
        <v>ZZZ</v>
      </c>
      <c r="Z57" s="3" t="b">
        <f t="array" ref="Z57">OR(ISNUMBER(SEARCH(Y$2:Y$100,$B57,5)))</f>
        <v>0</v>
      </c>
      <c r="AB57" s="3" t="str">
        <f t="shared" si="11"/>
        <v>ZZZ</v>
      </c>
      <c r="AC57" s="3" t="b">
        <f t="array" ref="AC57">OR(ISNUMBER(SEARCH(AB$2:AB$100,$B57,5)))</f>
        <v>0</v>
      </c>
      <c r="AE57" s="3" t="str">
        <f t="shared" si="12"/>
        <v>ZZZ</v>
      </c>
      <c r="AF57" s="3" t="b">
        <f t="array" ref="AF57">OR(ISNUMBER(SEARCH(AE$2:AE$100,$B57,5)))</f>
        <v>0</v>
      </c>
      <c r="AH57" s="3" t="str">
        <f t="shared" si="13"/>
        <v>ZZZ</v>
      </c>
      <c r="AI57" s="3" t="b">
        <f t="array" ref="AI57">OR(ISNUMBER(SEARCH(AH$2:AH$100,$B57,5)))</f>
        <v>0</v>
      </c>
      <c r="AK57" s="3" t="str">
        <f t="shared" si="14"/>
        <v>ZZZ</v>
      </c>
      <c r="AL57" s="3" t="b">
        <f t="array" ref="AL57">OR(ISNUMBER(SEARCH(AK$2:AK$100,$B57,5)))</f>
        <v>0</v>
      </c>
      <c r="AP57" s="3" t="str">
        <f t="shared" ref="AP57:AZ57" si="70">INDEX($A$1:$AN$600,ROW(),COLUMN()*3-120)</f>
        <v/>
      </c>
      <c r="AQ57" s="3" t="str">
        <f t="shared" si="70"/>
        <v/>
      </c>
      <c r="AR57" s="3" t="str">
        <f t="shared" si="70"/>
        <v/>
      </c>
      <c r="AS57" s="3" t="str">
        <f t="shared" si="70"/>
        <v/>
      </c>
      <c r="AT57" s="3" t="str">
        <f t="shared" si="70"/>
        <v>dark salmon</v>
      </c>
      <c r="AU57" s="3" t="str">
        <f t="shared" si="70"/>
        <v/>
      </c>
      <c r="AV57" s="3" t="str">
        <f t="shared" si="70"/>
        <v/>
      </c>
      <c r="AW57" s="3" t="str">
        <f t="shared" si="70"/>
        <v/>
      </c>
      <c r="AX57" s="3" t="str">
        <f t="shared" si="70"/>
        <v/>
      </c>
      <c r="AY57" s="3" t="str">
        <f t="shared" si="70"/>
        <v/>
      </c>
      <c r="AZ57" s="3" t="str">
        <f t="shared" si="70"/>
        <v/>
      </c>
      <c r="BA57" s="8"/>
      <c r="BB57" s="6" t="str">
        <f>IFERROR(__xludf.DUMMYFUNCTION("""COMPUTED_VALUE"""),"shiny gray")</f>
        <v>shiny gray</v>
      </c>
      <c r="BC57" s="8" t="str">
        <f>IFERROR(__xludf.DUMMYFUNCTION("""COMPUTED_VALUE"""),"wavy indigo")</f>
        <v>wavy indigo</v>
      </c>
      <c r="BD57" s="8"/>
      <c r="BE57" s="6"/>
      <c r="BF57" s="8"/>
      <c r="BG57" s="8"/>
      <c r="BH57" s="6"/>
      <c r="BI57" s="8"/>
      <c r="BJ57" s="8"/>
      <c r="BK57" s="6"/>
      <c r="BL57" s="8"/>
      <c r="BM57" s="8"/>
      <c r="BN57" s="6"/>
      <c r="BO57" s="8"/>
      <c r="BP57" s="8"/>
      <c r="BQ57" s="6"/>
      <c r="BR57" s="8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</row>
    <row r="58">
      <c r="A58" s="6"/>
      <c r="B58" s="6" t="s">
        <v>58</v>
      </c>
      <c r="C58" s="3" t="str">
        <f t="shared" si="3"/>
        <v>dim violet</v>
      </c>
      <c r="D58" s="3" t="str">
        <f t="shared" si="17"/>
        <v>ZZZ</v>
      </c>
      <c r="E58" s="3" t="b">
        <f t="array" ref="E58">OR(ISNUMBER(SEARCH(D$2:D$30,$B58,5)))</f>
        <v>0</v>
      </c>
      <c r="G58" s="3" t="str">
        <f t="shared" si="4"/>
        <v>ZZZ</v>
      </c>
      <c r="H58" s="3" t="b">
        <f t="array" ref="H58">OR(ISNUMBER(SEARCH(G$2:G$30,$B58,5)))</f>
        <v>0</v>
      </c>
      <c r="J58" s="3" t="str">
        <f t="shared" si="5"/>
        <v>ZZZ</v>
      </c>
      <c r="K58" s="3" t="b">
        <f t="array" ref="K58">OR(ISNUMBER(SEARCH(J$2:J$30,$B58,5)))</f>
        <v>0</v>
      </c>
      <c r="M58" s="3" t="str">
        <f t="shared" si="6"/>
        <v>ZZZ</v>
      </c>
      <c r="N58" s="3" t="b">
        <f t="array" ref="N58">OR(ISNUMBER(SEARCH(M$2:M$30,$B58,5)))</f>
        <v>0</v>
      </c>
      <c r="P58" s="3" t="str">
        <f t="shared" si="7"/>
        <v>ZZZ</v>
      </c>
      <c r="Q58" s="3" t="b">
        <f t="array" ref="Q58">OR(ISNUMBER(SEARCH(P$2:P$50,$B58,5)))</f>
        <v>0</v>
      </c>
      <c r="R58" s="3" t="str">
        <f>IFERROR(__xludf.DUMMYFUNCTION("""COMPUTED_VALUE"""),"dotted teal")</f>
        <v>dotted teal</v>
      </c>
      <c r="S58" s="3" t="str">
        <f t="shared" si="8"/>
        <v>dotted teal</v>
      </c>
      <c r="T58" s="3" t="b">
        <f t="array" ref="T58">OR(ISNUMBER(SEARCH(S$2:S$100,$B58,5)))</f>
        <v>0</v>
      </c>
      <c r="V58" s="3" t="str">
        <f t="shared" si="9"/>
        <v>ZZZ</v>
      </c>
      <c r="W58" s="3" t="b">
        <f t="array" ref="W58">OR(ISNUMBER(SEARCH(V$2:V$100,$B58,5)))</f>
        <v>0</v>
      </c>
      <c r="Y58" s="3" t="str">
        <f t="shared" si="10"/>
        <v>ZZZ</v>
      </c>
      <c r="Z58" s="3" t="b">
        <f t="array" ref="Z58">OR(ISNUMBER(SEARCH(Y$2:Y$100,$B58,5)))</f>
        <v>0</v>
      </c>
      <c r="AB58" s="3" t="str">
        <f t="shared" si="11"/>
        <v>ZZZ</v>
      </c>
      <c r="AC58" s="3" t="b">
        <f t="array" ref="AC58">OR(ISNUMBER(SEARCH(AB$2:AB$100,$B58,5)))</f>
        <v>0</v>
      </c>
      <c r="AE58" s="3" t="str">
        <f t="shared" si="12"/>
        <v>ZZZ</v>
      </c>
      <c r="AF58" s="3" t="b">
        <f t="array" ref="AF58">OR(ISNUMBER(SEARCH(AE$2:AE$100,$B58,5)))</f>
        <v>0</v>
      </c>
      <c r="AH58" s="3" t="str">
        <f t="shared" si="13"/>
        <v>ZZZ</v>
      </c>
      <c r="AI58" s="3" t="b">
        <f t="array" ref="AI58">OR(ISNUMBER(SEARCH(AH$2:AH$100,$B58,5)))</f>
        <v>0</v>
      </c>
      <c r="AK58" s="3" t="str">
        <f t="shared" si="14"/>
        <v>ZZZ</v>
      </c>
      <c r="AL58" s="3" t="b">
        <f t="array" ref="AL58">OR(ISNUMBER(SEARCH(AK$2:AK$100,$B58,5)))</f>
        <v>0</v>
      </c>
      <c r="AP58" s="3" t="str">
        <f t="shared" ref="AP58:AZ58" si="71">INDEX($A$1:$AN$600,ROW(),COLUMN()*3-120)</f>
        <v/>
      </c>
      <c r="AQ58" s="3" t="str">
        <f t="shared" si="71"/>
        <v/>
      </c>
      <c r="AR58" s="3" t="str">
        <f t="shared" si="71"/>
        <v/>
      </c>
      <c r="AS58" s="3" t="str">
        <f t="shared" si="71"/>
        <v/>
      </c>
      <c r="AT58" s="3" t="str">
        <f t="shared" si="71"/>
        <v>dotted teal</v>
      </c>
      <c r="AU58" s="3" t="str">
        <f t="shared" si="71"/>
        <v/>
      </c>
      <c r="AV58" s="3" t="str">
        <f t="shared" si="71"/>
        <v/>
      </c>
      <c r="AW58" s="3" t="str">
        <f t="shared" si="71"/>
        <v/>
      </c>
      <c r="AX58" s="3" t="str">
        <f t="shared" si="71"/>
        <v/>
      </c>
      <c r="AY58" s="3" t="str">
        <f t="shared" si="71"/>
        <v/>
      </c>
      <c r="AZ58" s="3" t="str">
        <f t="shared" si="71"/>
        <v/>
      </c>
      <c r="BA58" s="8"/>
      <c r="BB58" s="6" t="str">
        <f>IFERROR(__xludf.DUMMYFUNCTION("""COMPUTED_VALUE"""),"dark white")</f>
        <v>dark white</v>
      </c>
      <c r="BC58" s="8" t="str">
        <f>IFERROR(__xludf.DUMMYFUNCTION("""COMPUTED_VALUE"""),"vibrant salmon")</f>
        <v>vibrant salmon</v>
      </c>
      <c r="BD58" s="8"/>
      <c r="BE58" s="6"/>
      <c r="BF58" s="8"/>
      <c r="BG58" s="8"/>
      <c r="BH58" s="6"/>
      <c r="BI58" s="8"/>
      <c r="BJ58" s="8"/>
      <c r="BK58" s="6"/>
      <c r="BL58" s="8"/>
      <c r="BM58" s="8"/>
      <c r="BN58" s="6"/>
      <c r="BO58" s="8"/>
      <c r="BP58" s="8"/>
      <c r="BQ58" s="6"/>
      <c r="BR58" s="8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</row>
    <row r="59">
      <c r="A59" s="6"/>
      <c r="B59" s="6" t="s">
        <v>59</v>
      </c>
      <c r="C59" s="3" t="str">
        <f t="shared" si="3"/>
        <v>wavy gray</v>
      </c>
      <c r="D59" s="3" t="str">
        <f t="shared" si="17"/>
        <v>ZZZ</v>
      </c>
      <c r="E59" s="3" t="b">
        <f t="array" ref="E59">OR(ISNUMBER(SEARCH(D$2:D$30,$B59,5)))</f>
        <v>0</v>
      </c>
      <c r="G59" s="3" t="str">
        <f t="shared" si="4"/>
        <v>ZZZ</v>
      </c>
      <c r="H59" s="3" t="b">
        <f t="array" ref="H59">OR(ISNUMBER(SEARCH(G$2:G$30,$B59,5)))</f>
        <v>0</v>
      </c>
      <c r="J59" s="3" t="str">
        <f t="shared" si="5"/>
        <v>ZZZ</v>
      </c>
      <c r="K59" s="3" t="b">
        <f t="array" ref="K59">OR(ISNUMBER(SEARCH(J$2:J$30,$B59,5)))</f>
        <v>0</v>
      </c>
      <c r="M59" s="3" t="str">
        <f t="shared" si="6"/>
        <v>ZZZ</v>
      </c>
      <c r="N59" s="3" t="b">
        <f t="array" ref="N59">OR(ISNUMBER(SEARCH(M$2:M$30,$B59,5)))</f>
        <v>0</v>
      </c>
      <c r="P59" s="3" t="str">
        <f t="shared" si="7"/>
        <v>ZZZ</v>
      </c>
      <c r="Q59" s="3" t="b">
        <f t="array" ref="Q59">OR(ISNUMBER(SEARCH(P$2:P$50,$B59,5)))</f>
        <v>0</v>
      </c>
      <c r="R59" s="3" t="str">
        <f>IFERROR(__xludf.DUMMYFUNCTION("""COMPUTED_VALUE"""),"pale cyan")</f>
        <v>pale cyan</v>
      </c>
      <c r="S59" s="3" t="str">
        <f t="shared" si="8"/>
        <v>pale cyan</v>
      </c>
      <c r="T59" s="3" t="b">
        <f t="array" ref="T59">OR(ISNUMBER(SEARCH(S$2:S$100,$B59,5)))</f>
        <v>0</v>
      </c>
      <c r="V59" s="3" t="str">
        <f t="shared" si="9"/>
        <v>ZZZ</v>
      </c>
      <c r="W59" s="3" t="b">
        <f t="array" ref="W59">OR(ISNUMBER(SEARCH(V$2:V$100,$B59,5)))</f>
        <v>0</v>
      </c>
      <c r="Y59" s="3" t="str">
        <f t="shared" si="10"/>
        <v>ZZZ</v>
      </c>
      <c r="Z59" s="3" t="b">
        <f t="array" ref="Z59">OR(ISNUMBER(SEARCH(Y$2:Y$100,$B59,5)))</f>
        <v>0</v>
      </c>
      <c r="AB59" s="3" t="str">
        <f t="shared" si="11"/>
        <v>ZZZ</v>
      </c>
      <c r="AC59" s="3" t="b">
        <f t="array" ref="AC59">OR(ISNUMBER(SEARCH(AB$2:AB$100,$B59,5)))</f>
        <v>0</v>
      </c>
      <c r="AE59" s="3" t="str">
        <f t="shared" si="12"/>
        <v>ZZZ</v>
      </c>
      <c r="AF59" s="3" t="b">
        <f t="array" ref="AF59">OR(ISNUMBER(SEARCH(AE$2:AE$100,$B59,5)))</f>
        <v>0</v>
      </c>
      <c r="AH59" s="3" t="str">
        <f t="shared" si="13"/>
        <v>ZZZ</v>
      </c>
      <c r="AI59" s="3" t="b">
        <f t="array" ref="AI59">OR(ISNUMBER(SEARCH(AH$2:AH$100,$B59,5)))</f>
        <v>0</v>
      </c>
      <c r="AK59" s="3" t="str">
        <f t="shared" si="14"/>
        <v>ZZZ</v>
      </c>
      <c r="AL59" s="3" t="b">
        <f t="array" ref="AL59">OR(ISNUMBER(SEARCH(AK$2:AK$100,$B59,5)))</f>
        <v>0</v>
      </c>
      <c r="AP59" s="3" t="str">
        <f t="shared" ref="AP59:AZ59" si="72">INDEX($A$1:$AN$600,ROW(),COLUMN()*3-120)</f>
        <v/>
      </c>
      <c r="AQ59" s="3" t="str">
        <f t="shared" si="72"/>
        <v/>
      </c>
      <c r="AR59" s="3" t="str">
        <f t="shared" si="72"/>
        <v/>
      </c>
      <c r="AS59" s="3" t="str">
        <f t="shared" si="72"/>
        <v/>
      </c>
      <c r="AT59" s="3" t="str">
        <f t="shared" si="72"/>
        <v>pale cyan</v>
      </c>
      <c r="AU59" s="3" t="str">
        <f t="shared" si="72"/>
        <v/>
      </c>
      <c r="AV59" s="3" t="str">
        <f t="shared" si="72"/>
        <v/>
      </c>
      <c r="AW59" s="3" t="str">
        <f t="shared" si="72"/>
        <v/>
      </c>
      <c r="AX59" s="3" t="str">
        <f t="shared" si="72"/>
        <v/>
      </c>
      <c r="AY59" s="3" t="str">
        <f t="shared" si="72"/>
        <v/>
      </c>
      <c r="AZ59" s="3" t="str">
        <f t="shared" si="72"/>
        <v/>
      </c>
      <c r="BA59" s="8"/>
      <c r="BB59" s="6" t="str">
        <f>IFERROR(__xludf.DUMMYFUNCTION("""COMPUTED_VALUE"""),"striped turquoise")</f>
        <v>striped turquoise</v>
      </c>
      <c r="BC59" s="8" t="str">
        <f>IFERROR(__xludf.DUMMYFUNCTION("""COMPUTED_VALUE"""),"dim gray")</f>
        <v>dim gray</v>
      </c>
      <c r="BD59" s="8"/>
      <c r="BE59" s="6"/>
      <c r="BF59" s="8"/>
      <c r="BG59" s="8"/>
      <c r="BH59" s="6"/>
      <c r="BI59" s="8"/>
      <c r="BJ59" s="8"/>
      <c r="BK59" s="6"/>
      <c r="BL59" s="8"/>
      <c r="BM59" s="8"/>
      <c r="BN59" s="6"/>
      <c r="BO59" s="8"/>
      <c r="BP59" s="8"/>
      <c r="BQ59" s="6"/>
      <c r="BR59" s="8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</row>
    <row r="60">
      <c r="A60" s="6"/>
      <c r="B60" s="6" t="s">
        <v>60</v>
      </c>
      <c r="C60" s="3" t="str">
        <f t="shared" si="3"/>
        <v>posh tan</v>
      </c>
      <c r="D60" s="3" t="str">
        <f t="shared" si="17"/>
        <v>ZZZ</v>
      </c>
      <c r="E60" s="3" t="b">
        <f t="array" ref="E60">OR(ISNUMBER(SEARCH(D$2:D$30,$B60,5)))</f>
        <v>0</v>
      </c>
      <c r="G60" s="3" t="str">
        <f t="shared" si="4"/>
        <v>ZZZ</v>
      </c>
      <c r="H60" s="3" t="b">
        <f t="array" ref="H60">OR(ISNUMBER(SEARCH(G$2:G$30,$B60,5)))</f>
        <v>0</v>
      </c>
      <c r="J60" s="3" t="str">
        <f t="shared" si="5"/>
        <v>ZZZ</v>
      </c>
      <c r="K60" s="3" t="b">
        <f t="array" ref="K60">OR(ISNUMBER(SEARCH(J$2:J$30,$B60,5)))</f>
        <v>0</v>
      </c>
      <c r="M60" s="3" t="str">
        <f t="shared" si="6"/>
        <v>ZZZ</v>
      </c>
      <c r="N60" s="3" t="b">
        <f t="array" ref="N60">OR(ISNUMBER(SEARCH(M$2:M$30,$B60,5)))</f>
        <v>0</v>
      </c>
      <c r="P60" s="3" t="str">
        <f t="shared" si="7"/>
        <v>ZZZ</v>
      </c>
      <c r="Q60" s="3" t="b">
        <f t="array" ref="Q60">OR(ISNUMBER(SEARCH(P$2:P$50,$B60,5)))</f>
        <v>1</v>
      </c>
      <c r="R60" s="3" t="str">
        <f>IFERROR(__xludf.DUMMYFUNCTION("""COMPUTED_VALUE"""),"faded tan")</f>
        <v>faded tan</v>
      </c>
      <c r="S60" s="3" t="str">
        <f t="shared" si="8"/>
        <v>faded tan</v>
      </c>
      <c r="T60" s="3" t="b">
        <f t="array" ref="T60">OR(ISNUMBER(SEARCH(S$2:S$100,$B60,5)))</f>
        <v>0</v>
      </c>
      <c r="V60" s="3" t="str">
        <f t="shared" si="9"/>
        <v>ZZZ</v>
      </c>
      <c r="W60" s="3" t="b">
        <f t="array" ref="W60">OR(ISNUMBER(SEARCH(V$2:V$100,$B60,5)))</f>
        <v>0</v>
      </c>
      <c r="Y60" s="3" t="str">
        <f t="shared" si="10"/>
        <v>ZZZ</v>
      </c>
      <c r="Z60" s="3" t="b">
        <f t="array" ref="Z60">OR(ISNUMBER(SEARCH(Y$2:Y$100,$B60,5)))</f>
        <v>0</v>
      </c>
      <c r="AB60" s="3" t="str">
        <f t="shared" si="11"/>
        <v>ZZZ</v>
      </c>
      <c r="AC60" s="3" t="b">
        <f t="array" ref="AC60">OR(ISNUMBER(SEARCH(AB$2:AB$100,$B60,5)))</f>
        <v>0</v>
      </c>
      <c r="AE60" s="3" t="str">
        <f t="shared" si="12"/>
        <v>ZZZ</v>
      </c>
      <c r="AF60" s="3" t="b">
        <f t="array" ref="AF60">OR(ISNUMBER(SEARCH(AE$2:AE$100,$B60,5)))</f>
        <v>0</v>
      </c>
      <c r="AH60" s="3" t="str">
        <f t="shared" si="13"/>
        <v>ZZZ</v>
      </c>
      <c r="AI60" s="3" t="b">
        <f t="array" ref="AI60">OR(ISNUMBER(SEARCH(AH$2:AH$100,$B60,5)))</f>
        <v>0</v>
      </c>
      <c r="AK60" s="3" t="str">
        <f t="shared" si="14"/>
        <v>ZZZ</v>
      </c>
      <c r="AL60" s="3" t="b">
        <f t="array" ref="AL60">OR(ISNUMBER(SEARCH(AK$2:AK$100,$B60,5)))</f>
        <v>0</v>
      </c>
      <c r="AP60" s="3" t="str">
        <f t="shared" ref="AP60:AZ60" si="73">INDEX($A$1:$AN$600,ROW(),COLUMN()*3-120)</f>
        <v/>
      </c>
      <c r="AQ60" s="3" t="str">
        <f t="shared" si="73"/>
        <v/>
      </c>
      <c r="AR60" s="3" t="str">
        <f t="shared" si="73"/>
        <v/>
      </c>
      <c r="AS60" s="3" t="str">
        <f t="shared" si="73"/>
        <v/>
      </c>
      <c r="AT60" s="3" t="str">
        <f t="shared" si="73"/>
        <v>faded tan</v>
      </c>
      <c r="AU60" s="3" t="str">
        <f t="shared" si="73"/>
        <v/>
      </c>
      <c r="AV60" s="3" t="str">
        <f t="shared" si="73"/>
        <v/>
      </c>
      <c r="AW60" s="3" t="str">
        <f t="shared" si="73"/>
        <v/>
      </c>
      <c r="AX60" s="3" t="str">
        <f t="shared" si="73"/>
        <v/>
      </c>
      <c r="AY60" s="3" t="str">
        <f t="shared" si="73"/>
        <v/>
      </c>
      <c r="AZ60" s="3" t="str">
        <f t="shared" si="73"/>
        <v/>
      </c>
      <c r="BA60" s="8"/>
      <c r="BB60" s="6" t="str">
        <f>IFERROR(__xludf.DUMMYFUNCTION("""COMPUTED_VALUE"""),"posh tan")</f>
        <v>posh tan</v>
      </c>
      <c r="BC60" s="8" t="str">
        <f>IFERROR(__xludf.DUMMYFUNCTION("""COMPUTED_VALUE"""),"dark magenta")</f>
        <v>dark magenta</v>
      </c>
      <c r="BD60" s="8"/>
      <c r="BE60" s="6"/>
      <c r="BF60" s="8"/>
      <c r="BG60" s="8"/>
      <c r="BH60" s="6"/>
      <c r="BI60" s="8"/>
      <c r="BJ60" s="8"/>
      <c r="BK60" s="6"/>
      <c r="BL60" s="8"/>
      <c r="BM60" s="8"/>
      <c r="BN60" s="6"/>
      <c r="BO60" s="8"/>
      <c r="BP60" s="8"/>
      <c r="BQ60" s="6"/>
      <c r="BR60" s="8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</row>
    <row r="61">
      <c r="A61" s="6"/>
      <c r="B61" s="6" t="s">
        <v>61</v>
      </c>
      <c r="C61" s="3" t="str">
        <f t="shared" si="3"/>
        <v>mirrored magenta</v>
      </c>
      <c r="D61" s="3" t="str">
        <f t="shared" si="17"/>
        <v>ZZZ</v>
      </c>
      <c r="E61" s="3" t="b">
        <f t="array" ref="E61">OR(ISNUMBER(SEARCH(D$2:D$30,$B61,5)))</f>
        <v>0</v>
      </c>
      <c r="G61" s="3" t="str">
        <f t="shared" si="4"/>
        <v>ZZZ</v>
      </c>
      <c r="H61" s="3" t="b">
        <f t="array" ref="H61">OR(ISNUMBER(SEARCH(G$2:G$30,$B61,5)))</f>
        <v>0</v>
      </c>
      <c r="J61" s="3" t="str">
        <f t="shared" si="5"/>
        <v>ZZZ</v>
      </c>
      <c r="K61" s="3" t="b">
        <f t="array" ref="K61">OR(ISNUMBER(SEARCH(J$2:J$30,$B61,5)))</f>
        <v>0</v>
      </c>
      <c r="M61" s="3" t="str">
        <f t="shared" si="6"/>
        <v>ZZZ</v>
      </c>
      <c r="N61" s="3" t="b">
        <f t="array" ref="N61">OR(ISNUMBER(SEARCH(M$2:M$30,$B61,5)))</f>
        <v>0</v>
      </c>
      <c r="P61" s="3" t="str">
        <f t="shared" si="7"/>
        <v>ZZZ</v>
      </c>
      <c r="Q61" s="3" t="b">
        <f t="array" ref="Q61">OR(ISNUMBER(SEARCH(P$2:P$50,$B61,5)))</f>
        <v>0</v>
      </c>
      <c r="S61" s="3" t="str">
        <f t="shared" si="8"/>
        <v>ZZZ</v>
      </c>
      <c r="T61" s="3" t="b">
        <f t="array" ref="T61">OR(ISNUMBER(SEARCH(S$2:S$100,$B61,5)))</f>
        <v>0</v>
      </c>
      <c r="V61" s="3" t="str">
        <f t="shared" si="9"/>
        <v>ZZZ</v>
      </c>
      <c r="W61" s="3" t="b">
        <f t="array" ref="W61">OR(ISNUMBER(SEARCH(V$2:V$100,$B61,5)))</f>
        <v>0</v>
      </c>
      <c r="Y61" s="3" t="str">
        <f t="shared" si="10"/>
        <v>ZZZ</v>
      </c>
      <c r="Z61" s="3" t="b">
        <f t="array" ref="Z61">OR(ISNUMBER(SEARCH(Y$2:Y$100,$B61,5)))</f>
        <v>0</v>
      </c>
      <c r="AB61" s="3" t="str">
        <f t="shared" si="11"/>
        <v>ZZZ</v>
      </c>
      <c r="AC61" s="3" t="b">
        <f t="array" ref="AC61">OR(ISNUMBER(SEARCH(AB$2:AB$100,$B61,5)))</f>
        <v>0</v>
      </c>
      <c r="AE61" s="3" t="str">
        <f t="shared" si="12"/>
        <v>ZZZ</v>
      </c>
      <c r="AF61" s="3" t="b">
        <f t="array" ref="AF61">OR(ISNUMBER(SEARCH(AE$2:AE$100,$B61,5)))</f>
        <v>0</v>
      </c>
      <c r="AH61" s="3" t="str">
        <f t="shared" si="13"/>
        <v>ZZZ</v>
      </c>
      <c r="AI61" s="3" t="b">
        <f t="array" ref="AI61">OR(ISNUMBER(SEARCH(AH$2:AH$100,$B61,5)))</f>
        <v>0</v>
      </c>
      <c r="AK61" s="3" t="str">
        <f t="shared" si="14"/>
        <v>ZZZ</v>
      </c>
      <c r="AL61" s="3" t="b">
        <f t="array" ref="AL61">OR(ISNUMBER(SEARCH(AK$2:AK$100,$B61,5)))</f>
        <v>0</v>
      </c>
      <c r="AP61" s="3" t="str">
        <f t="shared" ref="AP61:AZ61" si="74">INDEX($A$1:$AN$600,ROW(),COLUMN()*3-120)</f>
        <v/>
      </c>
      <c r="AQ61" s="3" t="str">
        <f t="shared" si="74"/>
        <v/>
      </c>
      <c r="AR61" s="3" t="str">
        <f t="shared" si="74"/>
        <v/>
      </c>
      <c r="AS61" s="3" t="str">
        <f t="shared" si="74"/>
        <v/>
      </c>
      <c r="AT61" s="3" t="str">
        <f t="shared" si="74"/>
        <v/>
      </c>
      <c r="AU61" s="3" t="str">
        <f t="shared" si="74"/>
        <v/>
      </c>
      <c r="AV61" s="3" t="str">
        <f t="shared" si="74"/>
        <v/>
      </c>
      <c r="AW61" s="3" t="str">
        <f t="shared" si="74"/>
        <v/>
      </c>
      <c r="AX61" s="3" t="str">
        <f t="shared" si="74"/>
        <v/>
      </c>
      <c r="AY61" s="3" t="str">
        <f t="shared" si="74"/>
        <v/>
      </c>
      <c r="AZ61" s="3" t="str">
        <f t="shared" si="74"/>
        <v/>
      </c>
      <c r="BA61" s="8"/>
      <c r="BB61" s="6" t="str">
        <f>IFERROR(__xludf.DUMMYFUNCTION("""COMPUTED_VALUE"""),"dotted black")</f>
        <v>dotted black</v>
      </c>
      <c r="BC61" s="8" t="str">
        <f>IFERROR(__xludf.DUMMYFUNCTION("""COMPUTED_VALUE"""),"pale brown")</f>
        <v>pale brown</v>
      </c>
      <c r="BD61" s="8"/>
      <c r="BE61" s="6"/>
      <c r="BF61" s="8"/>
      <c r="BG61" s="8"/>
      <c r="BH61" s="6"/>
      <c r="BI61" s="8"/>
      <c r="BJ61" s="8"/>
      <c r="BK61" s="6"/>
      <c r="BL61" s="8"/>
      <c r="BM61" s="8"/>
      <c r="BN61" s="6"/>
      <c r="BO61" s="8"/>
      <c r="BP61" s="8"/>
      <c r="BQ61" s="6"/>
      <c r="BR61" s="8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</row>
    <row r="62">
      <c r="A62" s="6"/>
      <c r="B62" s="6" t="s">
        <v>62</v>
      </c>
      <c r="C62" s="3" t="str">
        <f t="shared" si="3"/>
        <v>plaid brown</v>
      </c>
      <c r="D62" s="3" t="str">
        <f t="shared" si="17"/>
        <v>ZZZ</v>
      </c>
      <c r="E62" s="3" t="b">
        <f t="array" ref="E62">OR(ISNUMBER(SEARCH(D$2:D$30,$B62,5)))</f>
        <v>0</v>
      </c>
      <c r="G62" s="3" t="str">
        <f t="shared" si="4"/>
        <v>ZZZ</v>
      </c>
      <c r="H62" s="3" t="b">
        <f t="array" ref="H62">OR(ISNUMBER(SEARCH(G$2:G$30,$B62,5)))</f>
        <v>0</v>
      </c>
      <c r="J62" s="3" t="str">
        <f t="shared" si="5"/>
        <v>ZZZ</v>
      </c>
      <c r="K62" s="3" t="b">
        <f t="array" ref="K62">OR(ISNUMBER(SEARCH(J$2:J$30,$B62,5)))</f>
        <v>0</v>
      </c>
      <c r="M62" s="3" t="str">
        <f t="shared" si="6"/>
        <v>ZZZ</v>
      </c>
      <c r="N62" s="3" t="b">
        <f t="array" ref="N62">OR(ISNUMBER(SEARCH(M$2:M$30,$B62,5)))</f>
        <v>0</v>
      </c>
      <c r="P62" s="3" t="str">
        <f t="shared" si="7"/>
        <v>ZZZ</v>
      </c>
      <c r="Q62" s="3" t="b">
        <f t="array" ref="Q62">OR(ISNUMBER(SEARCH(P$2:P$50,$B62,5)))</f>
        <v>0</v>
      </c>
      <c r="S62" s="3" t="str">
        <f t="shared" si="8"/>
        <v>ZZZ</v>
      </c>
      <c r="T62" s="3" t="b">
        <f t="array" ref="T62">OR(ISNUMBER(SEARCH(S$2:S$100,$B62,5)))</f>
        <v>0</v>
      </c>
      <c r="V62" s="3" t="str">
        <f t="shared" si="9"/>
        <v>ZZZ</v>
      </c>
      <c r="W62" s="3" t="b">
        <f t="array" ref="W62">OR(ISNUMBER(SEARCH(V$2:V$100,$B62,5)))</f>
        <v>0</v>
      </c>
      <c r="Y62" s="3" t="str">
        <f t="shared" si="10"/>
        <v>ZZZ</v>
      </c>
      <c r="Z62" s="3" t="b">
        <f t="array" ref="Z62">OR(ISNUMBER(SEARCH(Y$2:Y$100,$B62,5)))</f>
        <v>0</v>
      </c>
      <c r="AB62" s="3" t="str">
        <f t="shared" si="11"/>
        <v>ZZZ</v>
      </c>
      <c r="AC62" s="3" t="b">
        <f t="array" ref="AC62">OR(ISNUMBER(SEARCH(AB$2:AB$100,$B62,5)))</f>
        <v>0</v>
      </c>
      <c r="AE62" s="3" t="str">
        <f t="shared" si="12"/>
        <v>ZZZ</v>
      </c>
      <c r="AF62" s="3" t="b">
        <f t="array" ref="AF62">OR(ISNUMBER(SEARCH(AE$2:AE$100,$B62,5)))</f>
        <v>0</v>
      </c>
      <c r="AH62" s="3" t="str">
        <f t="shared" si="13"/>
        <v>ZZZ</v>
      </c>
      <c r="AI62" s="3" t="b">
        <f t="array" ref="AI62">OR(ISNUMBER(SEARCH(AH$2:AH$100,$B62,5)))</f>
        <v>0</v>
      </c>
      <c r="AK62" s="3" t="str">
        <f t="shared" si="14"/>
        <v>ZZZ</v>
      </c>
      <c r="AL62" s="3" t="b">
        <f t="array" ref="AL62">OR(ISNUMBER(SEARCH(AK$2:AK$100,$B62,5)))</f>
        <v>0</v>
      </c>
      <c r="AP62" s="3" t="str">
        <f t="shared" ref="AP62:AZ62" si="75">INDEX($A$1:$AN$600,ROW(),COLUMN()*3-120)</f>
        <v/>
      </c>
      <c r="AQ62" s="3" t="str">
        <f t="shared" si="75"/>
        <v/>
      </c>
      <c r="AR62" s="3" t="str">
        <f t="shared" si="75"/>
        <v/>
      </c>
      <c r="AS62" s="3" t="str">
        <f t="shared" si="75"/>
        <v/>
      </c>
      <c r="AT62" s="3" t="str">
        <f t="shared" si="75"/>
        <v/>
      </c>
      <c r="AU62" s="3" t="str">
        <f t="shared" si="75"/>
        <v/>
      </c>
      <c r="AV62" s="3" t="str">
        <f t="shared" si="75"/>
        <v/>
      </c>
      <c r="AW62" s="3" t="str">
        <f t="shared" si="75"/>
        <v/>
      </c>
      <c r="AX62" s="3" t="str">
        <f t="shared" si="75"/>
        <v/>
      </c>
      <c r="AY62" s="3" t="str">
        <f t="shared" si="75"/>
        <v/>
      </c>
      <c r="AZ62" s="3" t="str">
        <f t="shared" si="75"/>
        <v/>
      </c>
      <c r="BA62" s="8"/>
      <c r="BB62" s="6" t="str">
        <f>IFERROR(__xludf.DUMMYFUNCTION("""COMPUTED_VALUE"""),"dotted magenta")</f>
        <v>dotted magenta</v>
      </c>
      <c r="BC62" s="8" t="str">
        <f>IFERROR(__xludf.DUMMYFUNCTION("""COMPUTED_VALUE"""),"shiny red")</f>
        <v>shiny red</v>
      </c>
      <c r="BD62" s="8"/>
      <c r="BE62" s="6"/>
      <c r="BF62" s="8"/>
      <c r="BG62" s="8"/>
      <c r="BH62" s="6"/>
      <c r="BI62" s="8"/>
      <c r="BJ62" s="8"/>
      <c r="BK62" s="6"/>
      <c r="BL62" s="8"/>
      <c r="BM62" s="8"/>
      <c r="BN62" s="6"/>
      <c r="BO62" s="8"/>
      <c r="BP62" s="8"/>
      <c r="BQ62" s="6"/>
      <c r="BR62" s="8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</row>
    <row r="63">
      <c r="A63" s="6"/>
      <c r="B63" s="6" t="s">
        <v>63</v>
      </c>
      <c r="C63" s="3" t="str">
        <f t="shared" si="3"/>
        <v>drab orange</v>
      </c>
      <c r="D63" s="3" t="str">
        <f t="shared" si="17"/>
        <v>ZZZ</v>
      </c>
      <c r="E63" s="3" t="b">
        <f t="array" ref="E63">OR(ISNUMBER(SEARCH(D$2:D$30,$B63,5)))</f>
        <v>0</v>
      </c>
      <c r="G63" s="3" t="str">
        <f t="shared" si="4"/>
        <v>ZZZ</v>
      </c>
      <c r="H63" s="3" t="b">
        <f t="array" ref="H63">OR(ISNUMBER(SEARCH(G$2:G$30,$B63,5)))</f>
        <v>0</v>
      </c>
      <c r="J63" s="3" t="str">
        <f t="shared" si="5"/>
        <v>ZZZ</v>
      </c>
      <c r="K63" s="3" t="b">
        <f t="array" ref="K63">OR(ISNUMBER(SEARCH(J$2:J$30,$B63,5)))</f>
        <v>0</v>
      </c>
      <c r="M63" s="3" t="str">
        <f t="shared" si="6"/>
        <v>ZZZ</v>
      </c>
      <c r="N63" s="3" t="b">
        <f t="array" ref="N63">OR(ISNUMBER(SEARCH(M$2:M$30,$B63,5)))</f>
        <v>0</v>
      </c>
      <c r="P63" s="3" t="str">
        <f t="shared" si="7"/>
        <v>ZZZ</v>
      </c>
      <c r="Q63" s="3" t="b">
        <f t="array" ref="Q63">OR(ISNUMBER(SEARCH(P$2:P$50,$B63,5)))</f>
        <v>0</v>
      </c>
      <c r="S63" s="3" t="str">
        <f t="shared" si="8"/>
        <v>ZZZ</v>
      </c>
      <c r="T63" s="3" t="b">
        <f t="array" ref="T63">OR(ISNUMBER(SEARCH(S$2:S$100,$B63,5)))</f>
        <v>0</v>
      </c>
      <c r="V63" s="3" t="str">
        <f t="shared" si="9"/>
        <v>ZZZ</v>
      </c>
      <c r="W63" s="3" t="b">
        <f t="array" ref="W63">OR(ISNUMBER(SEARCH(V$2:V$100,$B63,5)))</f>
        <v>0</v>
      </c>
      <c r="Y63" s="3" t="str">
        <f t="shared" si="10"/>
        <v>ZZZ</v>
      </c>
      <c r="Z63" s="3" t="b">
        <f t="array" ref="Z63">OR(ISNUMBER(SEARCH(Y$2:Y$100,$B63,5)))</f>
        <v>0</v>
      </c>
      <c r="AB63" s="3" t="str">
        <f t="shared" si="11"/>
        <v>ZZZ</v>
      </c>
      <c r="AC63" s="3" t="b">
        <f t="array" ref="AC63">OR(ISNUMBER(SEARCH(AB$2:AB$100,$B63,5)))</f>
        <v>0</v>
      </c>
      <c r="AE63" s="3" t="str">
        <f t="shared" si="12"/>
        <v>ZZZ</v>
      </c>
      <c r="AF63" s="3" t="b">
        <f t="array" ref="AF63">OR(ISNUMBER(SEARCH(AE$2:AE$100,$B63,5)))</f>
        <v>0</v>
      </c>
      <c r="AH63" s="3" t="str">
        <f t="shared" si="13"/>
        <v>ZZZ</v>
      </c>
      <c r="AI63" s="3" t="b">
        <f t="array" ref="AI63">OR(ISNUMBER(SEARCH(AH$2:AH$100,$B63,5)))</f>
        <v>0</v>
      </c>
      <c r="AK63" s="3" t="str">
        <f t="shared" si="14"/>
        <v>ZZZ</v>
      </c>
      <c r="AL63" s="3" t="b">
        <f t="array" ref="AL63">OR(ISNUMBER(SEARCH(AK$2:AK$100,$B63,5)))</f>
        <v>0</v>
      </c>
      <c r="AP63" s="3" t="str">
        <f t="shared" ref="AP63:AZ63" si="76">INDEX($A$1:$AN$600,ROW(),COLUMN()*3-120)</f>
        <v/>
      </c>
      <c r="AQ63" s="3" t="str">
        <f t="shared" si="76"/>
        <v/>
      </c>
      <c r="AR63" s="3" t="str">
        <f t="shared" si="76"/>
        <v/>
      </c>
      <c r="AS63" s="3" t="str">
        <f t="shared" si="76"/>
        <v/>
      </c>
      <c r="AT63" s="3" t="str">
        <f t="shared" si="76"/>
        <v/>
      </c>
      <c r="AU63" s="3" t="str">
        <f t="shared" si="76"/>
        <v/>
      </c>
      <c r="AV63" s="3" t="str">
        <f t="shared" si="76"/>
        <v/>
      </c>
      <c r="AW63" s="3" t="str">
        <f t="shared" si="76"/>
        <v/>
      </c>
      <c r="AX63" s="3" t="str">
        <f t="shared" si="76"/>
        <v/>
      </c>
      <c r="AY63" s="3" t="str">
        <f t="shared" si="76"/>
        <v/>
      </c>
      <c r="AZ63" s="3" t="str">
        <f t="shared" si="76"/>
        <v/>
      </c>
      <c r="BA63" s="8"/>
      <c r="BB63" s="6" t="str">
        <f>IFERROR(__xludf.DUMMYFUNCTION("""COMPUTED_VALUE"""),"drab crimson")</f>
        <v>drab crimson</v>
      </c>
      <c r="BC63" s="8" t="str">
        <f>IFERROR(__xludf.DUMMYFUNCTION("""COMPUTED_VALUE"""),"bright yellow")</f>
        <v>bright yellow</v>
      </c>
      <c r="BD63" s="8"/>
      <c r="BE63" s="6"/>
      <c r="BF63" s="8"/>
      <c r="BG63" s="8"/>
      <c r="BH63" s="6"/>
      <c r="BI63" s="8"/>
      <c r="BJ63" s="8"/>
      <c r="BK63" s="6"/>
      <c r="BL63" s="8"/>
      <c r="BM63" s="8"/>
      <c r="BN63" s="6"/>
      <c r="BO63" s="8"/>
      <c r="BP63" s="8"/>
      <c r="BQ63" s="6"/>
      <c r="BR63" s="8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</row>
    <row r="64">
      <c r="A64" s="6"/>
      <c r="B64" s="6" t="s">
        <v>64</v>
      </c>
      <c r="C64" s="3" t="str">
        <f t="shared" si="3"/>
        <v>dim green</v>
      </c>
      <c r="D64" s="3" t="str">
        <f t="shared" si="17"/>
        <v>ZZZ</v>
      </c>
      <c r="E64" s="3" t="b">
        <f t="array" ref="E64">OR(ISNUMBER(SEARCH(D$2:D$30,$B64,5)))</f>
        <v>0</v>
      </c>
      <c r="G64" s="3" t="str">
        <f t="shared" si="4"/>
        <v>ZZZ</v>
      </c>
      <c r="H64" s="3" t="b">
        <f t="array" ref="H64">OR(ISNUMBER(SEARCH(G$2:G$30,$B64,5)))</f>
        <v>0</v>
      </c>
      <c r="J64" s="3" t="str">
        <f t="shared" si="5"/>
        <v>ZZZ</v>
      </c>
      <c r="K64" s="3" t="b">
        <f t="array" ref="K64">OR(ISNUMBER(SEARCH(J$2:J$30,$B64,5)))</f>
        <v>0</v>
      </c>
      <c r="M64" s="3" t="str">
        <f t="shared" si="6"/>
        <v>ZZZ</v>
      </c>
      <c r="N64" s="3" t="b">
        <f t="array" ref="N64">OR(ISNUMBER(SEARCH(M$2:M$30,$B64,5)))</f>
        <v>0</v>
      </c>
      <c r="P64" s="3" t="str">
        <f t="shared" si="7"/>
        <v>ZZZ</v>
      </c>
      <c r="Q64" s="3" t="b">
        <f t="array" ref="Q64">OR(ISNUMBER(SEARCH(P$2:P$50,$B64,5)))</f>
        <v>0</v>
      </c>
      <c r="S64" s="3" t="str">
        <f t="shared" si="8"/>
        <v>ZZZ</v>
      </c>
      <c r="T64" s="3" t="b">
        <f t="array" ref="T64">OR(ISNUMBER(SEARCH(S$2:S$100,$B64,5)))</f>
        <v>0</v>
      </c>
      <c r="V64" s="3" t="str">
        <f t="shared" si="9"/>
        <v>ZZZ</v>
      </c>
      <c r="W64" s="3" t="b">
        <f t="array" ref="W64">OR(ISNUMBER(SEARCH(V$2:V$100,$B64,5)))</f>
        <v>0</v>
      </c>
      <c r="Y64" s="3" t="str">
        <f t="shared" si="10"/>
        <v>ZZZ</v>
      </c>
      <c r="Z64" s="3" t="b">
        <f t="array" ref="Z64">OR(ISNUMBER(SEARCH(Y$2:Y$100,$B64,5)))</f>
        <v>0</v>
      </c>
      <c r="AB64" s="3" t="str">
        <f t="shared" si="11"/>
        <v>ZZZ</v>
      </c>
      <c r="AC64" s="3" t="b">
        <f t="array" ref="AC64">OR(ISNUMBER(SEARCH(AB$2:AB$100,$B64,5)))</f>
        <v>0</v>
      </c>
      <c r="AE64" s="3" t="str">
        <f t="shared" si="12"/>
        <v>ZZZ</v>
      </c>
      <c r="AF64" s="3" t="b">
        <f t="array" ref="AF64">OR(ISNUMBER(SEARCH(AE$2:AE$100,$B64,5)))</f>
        <v>0</v>
      </c>
      <c r="AH64" s="3" t="str">
        <f t="shared" si="13"/>
        <v>ZZZ</v>
      </c>
      <c r="AI64" s="3" t="b">
        <f t="array" ref="AI64">OR(ISNUMBER(SEARCH(AH$2:AH$100,$B64,5)))</f>
        <v>0</v>
      </c>
      <c r="AK64" s="3" t="str">
        <f t="shared" si="14"/>
        <v>ZZZ</v>
      </c>
      <c r="AL64" s="3" t="b">
        <f t="array" ref="AL64">OR(ISNUMBER(SEARCH(AK$2:AK$100,$B64,5)))</f>
        <v>0</v>
      </c>
      <c r="AP64" s="3" t="str">
        <f t="shared" ref="AP64:AZ64" si="77">INDEX($A$1:$AN$600,ROW(),COLUMN()*3-120)</f>
        <v/>
      </c>
      <c r="AQ64" s="3" t="str">
        <f t="shared" si="77"/>
        <v/>
      </c>
      <c r="AR64" s="3" t="str">
        <f t="shared" si="77"/>
        <v/>
      </c>
      <c r="AS64" s="3" t="str">
        <f t="shared" si="77"/>
        <v/>
      </c>
      <c r="AT64" s="3" t="str">
        <f t="shared" si="77"/>
        <v/>
      </c>
      <c r="AU64" s="3" t="str">
        <f t="shared" si="77"/>
        <v/>
      </c>
      <c r="AV64" s="3" t="str">
        <f t="shared" si="77"/>
        <v/>
      </c>
      <c r="AW64" s="3" t="str">
        <f t="shared" si="77"/>
        <v/>
      </c>
      <c r="AX64" s="3" t="str">
        <f t="shared" si="77"/>
        <v/>
      </c>
      <c r="AY64" s="3" t="str">
        <f t="shared" si="77"/>
        <v/>
      </c>
      <c r="AZ64" s="3" t="str">
        <f t="shared" si="77"/>
        <v/>
      </c>
      <c r="BA64" s="8"/>
      <c r="BB64" s="6" t="str">
        <f>IFERROR(__xludf.DUMMYFUNCTION("""COMPUTED_VALUE"""),"clear aqua")</f>
        <v>clear aqua</v>
      </c>
      <c r="BC64" s="8" t="str">
        <f>IFERROR(__xludf.DUMMYFUNCTION("""COMPUTED_VALUE"""),"pale indigo")</f>
        <v>pale indigo</v>
      </c>
      <c r="BD64" s="8"/>
      <c r="BE64" s="6"/>
      <c r="BF64" s="8"/>
      <c r="BG64" s="8"/>
      <c r="BH64" s="6"/>
      <c r="BI64" s="8"/>
      <c r="BJ64" s="8"/>
      <c r="BK64" s="6"/>
      <c r="BL64" s="8"/>
      <c r="BM64" s="8"/>
      <c r="BN64" s="6"/>
      <c r="BO64" s="8"/>
      <c r="BP64" s="8"/>
      <c r="BQ64" s="6"/>
      <c r="BR64" s="8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</row>
    <row r="65">
      <c r="A65" s="6"/>
      <c r="B65" s="6" t="s">
        <v>65</v>
      </c>
      <c r="C65" s="3" t="str">
        <f t="shared" si="3"/>
        <v>faded teal</v>
      </c>
      <c r="D65" s="3" t="str">
        <f t="shared" si="17"/>
        <v>ZZZ</v>
      </c>
      <c r="E65" s="3" t="b">
        <f t="array" ref="E65">OR(ISNUMBER(SEARCH(D$2:D$30,$B65,5)))</f>
        <v>0</v>
      </c>
      <c r="G65" s="3" t="str">
        <f t="shared" si="4"/>
        <v>ZZZ</v>
      </c>
      <c r="H65" s="3" t="b">
        <f t="array" ref="H65">OR(ISNUMBER(SEARCH(G$2:G$30,$B65,5)))</f>
        <v>0</v>
      </c>
      <c r="J65" s="3" t="str">
        <f t="shared" si="5"/>
        <v>ZZZ</v>
      </c>
      <c r="K65" s="3" t="b">
        <f t="array" ref="K65">OR(ISNUMBER(SEARCH(J$2:J$30,$B65,5)))</f>
        <v>0</v>
      </c>
      <c r="M65" s="3" t="str">
        <f t="shared" si="6"/>
        <v>ZZZ</v>
      </c>
      <c r="N65" s="3" t="b">
        <f t="array" ref="N65">OR(ISNUMBER(SEARCH(M$2:M$30,$B65,5)))</f>
        <v>1</v>
      </c>
      <c r="P65" s="3" t="str">
        <f t="shared" si="7"/>
        <v>ZZZ</v>
      </c>
      <c r="Q65" s="3" t="b">
        <f t="array" ref="Q65">OR(ISNUMBER(SEARCH(P$2:P$50,$B65,5)))</f>
        <v>0</v>
      </c>
      <c r="S65" s="3" t="str">
        <f t="shared" si="8"/>
        <v>ZZZ</v>
      </c>
      <c r="T65" s="3" t="b">
        <f t="array" ref="T65">OR(ISNUMBER(SEARCH(S$2:S$100,$B65,5)))</f>
        <v>0</v>
      </c>
      <c r="V65" s="3" t="str">
        <f t="shared" si="9"/>
        <v>ZZZ</v>
      </c>
      <c r="W65" s="3" t="b">
        <f t="array" ref="W65">OR(ISNUMBER(SEARCH(V$2:V$100,$B65,5)))</f>
        <v>0</v>
      </c>
      <c r="Y65" s="3" t="str">
        <f t="shared" si="10"/>
        <v>ZZZ</v>
      </c>
      <c r="Z65" s="3" t="b">
        <f t="array" ref="Z65">OR(ISNUMBER(SEARCH(Y$2:Y$100,$B65,5)))</f>
        <v>0</v>
      </c>
      <c r="AB65" s="3" t="str">
        <f t="shared" si="11"/>
        <v>ZZZ</v>
      </c>
      <c r="AC65" s="3" t="b">
        <f t="array" ref="AC65">OR(ISNUMBER(SEARCH(AB$2:AB$100,$B65,5)))</f>
        <v>0</v>
      </c>
      <c r="AE65" s="3" t="str">
        <f t="shared" si="12"/>
        <v>ZZZ</v>
      </c>
      <c r="AF65" s="3" t="b">
        <f t="array" ref="AF65">OR(ISNUMBER(SEARCH(AE$2:AE$100,$B65,5)))</f>
        <v>0</v>
      </c>
      <c r="AH65" s="3" t="str">
        <f t="shared" si="13"/>
        <v>ZZZ</v>
      </c>
      <c r="AI65" s="3" t="b">
        <f t="array" ref="AI65">OR(ISNUMBER(SEARCH(AH$2:AH$100,$B65,5)))</f>
        <v>0</v>
      </c>
      <c r="AK65" s="3" t="str">
        <f t="shared" si="14"/>
        <v>ZZZ</v>
      </c>
      <c r="AL65" s="3" t="b">
        <f t="array" ref="AL65">OR(ISNUMBER(SEARCH(AK$2:AK$100,$B65,5)))</f>
        <v>0</v>
      </c>
      <c r="AP65" s="3" t="str">
        <f t="shared" ref="AP65:AZ65" si="78">INDEX($A$1:$AN$600,ROW(),COLUMN()*3-120)</f>
        <v/>
      </c>
      <c r="AQ65" s="3" t="str">
        <f t="shared" si="78"/>
        <v/>
      </c>
      <c r="AR65" s="3" t="str">
        <f t="shared" si="78"/>
        <v/>
      </c>
      <c r="AS65" s="3" t="str">
        <f t="shared" si="78"/>
        <v/>
      </c>
      <c r="AT65" s="3" t="str">
        <f t="shared" si="78"/>
        <v/>
      </c>
      <c r="AU65" s="3" t="str">
        <f t="shared" si="78"/>
        <v/>
      </c>
      <c r="AV65" s="3" t="str">
        <f t="shared" si="78"/>
        <v/>
      </c>
      <c r="AW65" s="3" t="str">
        <f t="shared" si="78"/>
        <v/>
      </c>
      <c r="AX65" s="3" t="str">
        <f t="shared" si="78"/>
        <v/>
      </c>
      <c r="AY65" s="3" t="str">
        <f t="shared" si="78"/>
        <v/>
      </c>
      <c r="AZ65" s="3" t="str">
        <f t="shared" si="78"/>
        <v/>
      </c>
      <c r="BA65" s="8"/>
      <c r="BB65" s="6" t="str">
        <f>IFERROR(__xludf.DUMMYFUNCTION("""COMPUTED_VALUE"""),"muted silver")</f>
        <v>muted silver</v>
      </c>
      <c r="BC65" s="8" t="str">
        <f>IFERROR(__xludf.DUMMYFUNCTION("""COMPUTED_VALUE"""),"striped orange")</f>
        <v>striped orange</v>
      </c>
      <c r="BD65" s="8"/>
      <c r="BE65" s="6"/>
      <c r="BF65" s="8"/>
      <c r="BG65" s="8"/>
      <c r="BH65" s="6"/>
      <c r="BI65" s="8"/>
      <c r="BJ65" s="8"/>
      <c r="BK65" s="6"/>
      <c r="BL65" s="8"/>
      <c r="BM65" s="8"/>
      <c r="BN65" s="6"/>
      <c r="BO65" s="8"/>
      <c r="BP65" s="8"/>
      <c r="BQ65" s="6"/>
      <c r="BR65" s="8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</row>
    <row r="66">
      <c r="A66" s="6"/>
      <c r="B66" s="6" t="s">
        <v>66</v>
      </c>
      <c r="C66" s="3" t="str">
        <f t="shared" si="3"/>
        <v>dim gray</v>
      </c>
      <c r="D66" s="3" t="str">
        <f t="shared" si="17"/>
        <v>ZZZ</v>
      </c>
      <c r="E66" s="3" t="b">
        <f t="array" ref="E66">OR(ISNUMBER(SEARCH(D$2:D$30,$B66,5)))</f>
        <v>0</v>
      </c>
      <c r="G66" s="3" t="str">
        <f t="shared" si="4"/>
        <v>ZZZ</v>
      </c>
      <c r="H66" s="3" t="b">
        <f t="array" ref="H66">OR(ISNUMBER(SEARCH(G$2:G$30,$B66,5)))</f>
        <v>0</v>
      </c>
      <c r="J66" s="3" t="str">
        <f t="shared" si="5"/>
        <v>ZZZ</v>
      </c>
      <c r="K66" s="3" t="b">
        <f t="array" ref="K66">OR(ISNUMBER(SEARCH(J$2:J$30,$B66,5)))</f>
        <v>0</v>
      </c>
      <c r="M66" s="3" t="str">
        <f t="shared" si="6"/>
        <v>ZZZ</v>
      </c>
      <c r="N66" s="3" t="b">
        <f t="array" ref="N66">OR(ISNUMBER(SEARCH(M$2:M$30,$B66,5)))</f>
        <v>0</v>
      </c>
      <c r="P66" s="3" t="str">
        <f t="shared" si="7"/>
        <v>ZZZ</v>
      </c>
      <c r="Q66" s="3" t="b">
        <f t="array" ref="Q66">OR(ISNUMBER(SEARCH(P$2:P$50,$B66,5)))</f>
        <v>0</v>
      </c>
      <c r="S66" s="3" t="str">
        <f t="shared" si="8"/>
        <v>ZZZ</v>
      </c>
      <c r="T66" s="3" t="b">
        <f t="array" ref="T66">OR(ISNUMBER(SEARCH(S$2:S$100,$B66,5)))</f>
        <v>1</v>
      </c>
      <c r="V66" s="3" t="str">
        <f t="shared" si="9"/>
        <v>ZZZ</v>
      </c>
      <c r="W66" s="3" t="b">
        <f t="array" ref="W66">OR(ISNUMBER(SEARCH(V$2:V$100,$B66,5)))</f>
        <v>0</v>
      </c>
      <c r="Y66" s="3" t="str">
        <f t="shared" si="10"/>
        <v>ZZZ</v>
      </c>
      <c r="Z66" s="3" t="b">
        <f t="array" ref="Z66">OR(ISNUMBER(SEARCH(Y$2:Y$100,$B66,5)))</f>
        <v>0</v>
      </c>
      <c r="AB66" s="3" t="str">
        <f t="shared" si="11"/>
        <v>ZZZ</v>
      </c>
      <c r="AC66" s="3" t="b">
        <f t="array" ref="AC66">OR(ISNUMBER(SEARCH(AB$2:AB$100,$B66,5)))</f>
        <v>0</v>
      </c>
      <c r="AE66" s="3" t="str">
        <f t="shared" si="12"/>
        <v>ZZZ</v>
      </c>
      <c r="AF66" s="3" t="b">
        <f t="array" ref="AF66">OR(ISNUMBER(SEARCH(AE$2:AE$100,$B66,5)))</f>
        <v>0</v>
      </c>
      <c r="AH66" s="3" t="str">
        <f t="shared" si="13"/>
        <v>ZZZ</v>
      </c>
      <c r="AI66" s="3" t="b">
        <f t="array" ref="AI66">OR(ISNUMBER(SEARCH(AH$2:AH$100,$B66,5)))</f>
        <v>0</v>
      </c>
      <c r="AK66" s="3" t="str">
        <f t="shared" si="14"/>
        <v>ZZZ</v>
      </c>
      <c r="AL66" s="3" t="b">
        <f t="array" ref="AL66">OR(ISNUMBER(SEARCH(AK$2:AK$100,$B66,5)))</f>
        <v>0</v>
      </c>
      <c r="AP66" s="3" t="str">
        <f t="shared" ref="AP66:AZ66" si="79">INDEX($A$1:$AN$600,ROW(),COLUMN()*3-120)</f>
        <v/>
      </c>
      <c r="AQ66" s="3" t="str">
        <f t="shared" si="79"/>
        <v/>
      </c>
      <c r="AR66" s="3" t="str">
        <f t="shared" si="79"/>
        <v/>
      </c>
      <c r="AS66" s="3" t="str">
        <f t="shared" si="79"/>
        <v/>
      </c>
      <c r="AT66" s="3" t="str">
        <f t="shared" si="79"/>
        <v/>
      </c>
      <c r="AU66" s="3" t="str">
        <f t="shared" si="79"/>
        <v/>
      </c>
      <c r="AV66" s="3" t="str">
        <f t="shared" si="79"/>
        <v/>
      </c>
      <c r="AW66" s="3" t="str">
        <f t="shared" si="79"/>
        <v/>
      </c>
      <c r="AX66" s="3" t="str">
        <f t="shared" si="79"/>
        <v/>
      </c>
      <c r="AY66" s="3" t="str">
        <f t="shared" si="79"/>
        <v/>
      </c>
      <c r="AZ66" s="3" t="str">
        <f t="shared" si="79"/>
        <v/>
      </c>
      <c r="BA66" s="8"/>
      <c r="BB66" s="6" t="str">
        <f>IFERROR(__xludf.DUMMYFUNCTION("""COMPUTED_VALUE"""),"plaid lime")</f>
        <v>plaid lime</v>
      </c>
      <c r="BC66" s="8" t="str">
        <f>IFERROR(__xludf.DUMMYFUNCTION("""COMPUTED_VALUE"""),"pale green")</f>
        <v>pale green</v>
      </c>
      <c r="BD66" s="8"/>
      <c r="BE66" s="6"/>
      <c r="BF66" s="8"/>
      <c r="BG66" s="8"/>
      <c r="BH66" s="6"/>
      <c r="BI66" s="8"/>
      <c r="BJ66" s="8"/>
      <c r="BK66" s="6"/>
      <c r="BL66" s="8"/>
      <c r="BM66" s="8"/>
      <c r="BN66" s="6"/>
      <c r="BO66" s="8"/>
      <c r="BP66" s="8"/>
      <c r="BQ66" s="6"/>
      <c r="BR66" s="8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</row>
    <row r="67">
      <c r="A67" s="6"/>
      <c r="B67" s="6" t="s">
        <v>67</v>
      </c>
      <c r="C67" s="3" t="str">
        <f t="shared" si="3"/>
        <v>light crimson</v>
      </c>
      <c r="D67" s="3" t="str">
        <f t="shared" si="17"/>
        <v>ZZZ</v>
      </c>
      <c r="E67" s="3" t="b">
        <f t="array" ref="E67">OR(ISNUMBER(SEARCH(D$2:D$30,$B67,5)))</f>
        <v>0</v>
      </c>
      <c r="G67" s="3" t="str">
        <f t="shared" si="4"/>
        <v>ZZZ</v>
      </c>
      <c r="H67" s="3" t="b">
        <f t="array" ref="H67">OR(ISNUMBER(SEARCH(G$2:G$30,$B67,5)))</f>
        <v>0</v>
      </c>
      <c r="J67" s="3" t="str">
        <f t="shared" si="5"/>
        <v>ZZZ</v>
      </c>
      <c r="K67" s="3" t="b">
        <f t="array" ref="K67">OR(ISNUMBER(SEARCH(J$2:J$30,$B67,5)))</f>
        <v>0</v>
      </c>
      <c r="M67" s="3" t="str">
        <f t="shared" si="6"/>
        <v>ZZZ</v>
      </c>
      <c r="N67" s="3" t="b">
        <f t="array" ref="N67">OR(ISNUMBER(SEARCH(M$2:M$30,$B67,5)))</f>
        <v>0</v>
      </c>
      <c r="P67" s="3" t="str">
        <f t="shared" si="7"/>
        <v>ZZZ</v>
      </c>
      <c r="Q67" s="3" t="b">
        <f t="array" ref="Q67">OR(ISNUMBER(SEARCH(P$2:P$50,$B67,5)))</f>
        <v>0</v>
      </c>
      <c r="S67" s="3" t="str">
        <f t="shared" si="8"/>
        <v>ZZZ</v>
      </c>
      <c r="T67" s="3" t="b">
        <f t="array" ref="T67">OR(ISNUMBER(SEARCH(S$2:S$100,$B67,5)))</f>
        <v>0</v>
      </c>
      <c r="V67" s="3" t="str">
        <f t="shared" si="9"/>
        <v>ZZZ</v>
      </c>
      <c r="W67" s="3" t="b">
        <f t="array" ref="W67">OR(ISNUMBER(SEARCH(V$2:V$100,$B67,5)))</f>
        <v>0</v>
      </c>
      <c r="Y67" s="3" t="str">
        <f t="shared" si="10"/>
        <v>ZZZ</v>
      </c>
      <c r="Z67" s="3" t="b">
        <f t="array" ref="Z67">OR(ISNUMBER(SEARCH(Y$2:Y$100,$B67,5)))</f>
        <v>0</v>
      </c>
      <c r="AB67" s="3" t="str">
        <f t="shared" si="11"/>
        <v>ZZZ</v>
      </c>
      <c r="AC67" s="3" t="b">
        <f t="array" ref="AC67">OR(ISNUMBER(SEARCH(AB$2:AB$100,$B67,5)))</f>
        <v>0</v>
      </c>
      <c r="AE67" s="3" t="str">
        <f t="shared" si="12"/>
        <v>ZZZ</v>
      </c>
      <c r="AF67" s="3" t="b">
        <f t="array" ref="AF67">OR(ISNUMBER(SEARCH(AE$2:AE$100,$B67,5)))</f>
        <v>0</v>
      </c>
      <c r="AH67" s="3" t="str">
        <f t="shared" si="13"/>
        <v>ZZZ</v>
      </c>
      <c r="AI67" s="3" t="b">
        <f t="array" ref="AI67">OR(ISNUMBER(SEARCH(AH$2:AH$100,$B67,5)))</f>
        <v>0</v>
      </c>
      <c r="AK67" s="3" t="str">
        <f t="shared" si="14"/>
        <v>ZZZ</v>
      </c>
      <c r="AL67" s="3" t="b">
        <f t="array" ref="AL67">OR(ISNUMBER(SEARCH(AK$2:AK$100,$B67,5)))</f>
        <v>0</v>
      </c>
      <c r="AP67" s="3" t="str">
        <f t="shared" ref="AP67:AZ67" si="80">INDEX($A$1:$AN$600,ROW(),COLUMN()*3-120)</f>
        <v/>
      </c>
      <c r="AQ67" s="3" t="str">
        <f t="shared" si="80"/>
        <v/>
      </c>
      <c r="AR67" s="3" t="str">
        <f t="shared" si="80"/>
        <v/>
      </c>
      <c r="AS67" s="3" t="str">
        <f t="shared" si="80"/>
        <v/>
      </c>
      <c r="AT67" s="3" t="str">
        <f t="shared" si="80"/>
        <v/>
      </c>
      <c r="AU67" s="3" t="str">
        <f t="shared" si="80"/>
        <v/>
      </c>
      <c r="AV67" s="3" t="str">
        <f t="shared" si="80"/>
        <v/>
      </c>
      <c r="AW67" s="3" t="str">
        <f t="shared" si="80"/>
        <v/>
      </c>
      <c r="AX67" s="3" t="str">
        <f t="shared" si="80"/>
        <v/>
      </c>
      <c r="AY67" s="3" t="str">
        <f t="shared" si="80"/>
        <v/>
      </c>
      <c r="AZ67" s="3" t="str">
        <f t="shared" si="80"/>
        <v/>
      </c>
      <c r="BA67" s="8"/>
      <c r="BB67" s="6" t="str">
        <f>IFERROR(__xludf.DUMMYFUNCTION("""COMPUTED_VALUE"""),"wavy indigo")</f>
        <v>wavy indigo</v>
      </c>
      <c r="BC67" s="8" t="str">
        <f>IFERROR(__xludf.DUMMYFUNCTION("""COMPUTED_VALUE"""),"faded gray")</f>
        <v>faded gray</v>
      </c>
      <c r="BD67" s="8"/>
      <c r="BE67" s="6"/>
      <c r="BF67" s="8"/>
      <c r="BG67" s="8"/>
      <c r="BH67" s="6"/>
      <c r="BI67" s="8"/>
      <c r="BJ67" s="8"/>
      <c r="BK67" s="6"/>
      <c r="BL67" s="8"/>
      <c r="BM67" s="8"/>
      <c r="BN67" s="6"/>
      <c r="BO67" s="8"/>
      <c r="BP67" s="8"/>
      <c r="BQ67" s="6"/>
      <c r="BR67" s="8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</row>
    <row r="68">
      <c r="A68" s="6"/>
      <c r="B68" s="6" t="s">
        <v>68</v>
      </c>
      <c r="C68" s="3" t="str">
        <f t="shared" si="3"/>
        <v>clear white</v>
      </c>
      <c r="D68" s="3" t="str">
        <f t="shared" si="17"/>
        <v>ZZZ</v>
      </c>
      <c r="E68" s="3" t="b">
        <f t="array" ref="E68">OR(ISNUMBER(SEARCH(D$2:D$30,$B68,5)))</f>
        <v>0</v>
      </c>
      <c r="G68" s="3" t="str">
        <f t="shared" si="4"/>
        <v>ZZZ</v>
      </c>
      <c r="H68" s="3" t="b">
        <f t="array" ref="H68">OR(ISNUMBER(SEARCH(G$2:G$30,$B68,5)))</f>
        <v>0</v>
      </c>
      <c r="J68" s="3" t="str">
        <f t="shared" si="5"/>
        <v>ZZZ</v>
      </c>
      <c r="K68" s="3" t="b">
        <f t="array" ref="K68">OR(ISNUMBER(SEARCH(J$2:J$30,$B68,5)))</f>
        <v>0</v>
      </c>
      <c r="M68" s="3" t="str">
        <f t="shared" si="6"/>
        <v>ZZZ</v>
      </c>
      <c r="N68" s="3" t="b">
        <f t="array" ref="N68">OR(ISNUMBER(SEARCH(M$2:M$30,$B68,5)))</f>
        <v>0</v>
      </c>
      <c r="P68" s="3" t="str">
        <f t="shared" si="7"/>
        <v>ZZZ</v>
      </c>
      <c r="Q68" s="3" t="b">
        <f t="array" ref="Q68">OR(ISNUMBER(SEARCH(P$2:P$50,$B68,5)))</f>
        <v>0</v>
      </c>
      <c r="S68" s="3" t="str">
        <f t="shared" si="8"/>
        <v>ZZZ</v>
      </c>
      <c r="T68" s="3" t="b">
        <f t="array" ref="T68">OR(ISNUMBER(SEARCH(S$2:S$100,$B68,5)))</f>
        <v>0</v>
      </c>
      <c r="V68" s="3" t="str">
        <f t="shared" si="9"/>
        <v>ZZZ</v>
      </c>
      <c r="W68" s="3" t="b">
        <f t="array" ref="W68">OR(ISNUMBER(SEARCH(V$2:V$100,$B68,5)))</f>
        <v>0</v>
      </c>
      <c r="Y68" s="3" t="str">
        <f t="shared" si="10"/>
        <v>ZZZ</v>
      </c>
      <c r="Z68" s="3" t="b">
        <f t="array" ref="Z68">OR(ISNUMBER(SEARCH(Y$2:Y$100,$B68,5)))</f>
        <v>0</v>
      </c>
      <c r="AB68" s="3" t="str">
        <f t="shared" si="11"/>
        <v>ZZZ</v>
      </c>
      <c r="AC68" s="3" t="b">
        <f t="array" ref="AC68">OR(ISNUMBER(SEARCH(AB$2:AB$100,$B68,5)))</f>
        <v>0</v>
      </c>
      <c r="AE68" s="3" t="str">
        <f t="shared" si="12"/>
        <v>ZZZ</v>
      </c>
      <c r="AF68" s="3" t="b">
        <f t="array" ref="AF68">OR(ISNUMBER(SEARCH(AE$2:AE$100,$B68,5)))</f>
        <v>0</v>
      </c>
      <c r="AH68" s="3" t="str">
        <f t="shared" si="13"/>
        <v>ZZZ</v>
      </c>
      <c r="AI68" s="3" t="b">
        <f t="array" ref="AI68">OR(ISNUMBER(SEARCH(AH$2:AH$100,$B68,5)))</f>
        <v>0</v>
      </c>
      <c r="AK68" s="3" t="str">
        <f t="shared" si="14"/>
        <v>ZZZ</v>
      </c>
      <c r="AL68" s="3" t="b">
        <f t="array" ref="AL68">OR(ISNUMBER(SEARCH(AK$2:AK$100,$B68,5)))</f>
        <v>0</v>
      </c>
      <c r="AP68" s="3" t="str">
        <f t="shared" ref="AP68:AZ68" si="81">INDEX($A$1:$AN$600,ROW(),COLUMN()*3-120)</f>
        <v/>
      </c>
      <c r="AQ68" s="3" t="str">
        <f t="shared" si="81"/>
        <v/>
      </c>
      <c r="AR68" s="3" t="str">
        <f t="shared" si="81"/>
        <v/>
      </c>
      <c r="AS68" s="3" t="str">
        <f t="shared" si="81"/>
        <v/>
      </c>
      <c r="AT68" s="3" t="str">
        <f t="shared" si="81"/>
        <v/>
      </c>
      <c r="AU68" s="3" t="str">
        <f t="shared" si="81"/>
        <v/>
      </c>
      <c r="AV68" s="3" t="str">
        <f t="shared" si="81"/>
        <v/>
      </c>
      <c r="AW68" s="3" t="str">
        <f t="shared" si="81"/>
        <v/>
      </c>
      <c r="AX68" s="3" t="str">
        <f t="shared" si="81"/>
        <v/>
      </c>
      <c r="AY68" s="3" t="str">
        <f t="shared" si="81"/>
        <v/>
      </c>
      <c r="AZ68" s="3" t="str">
        <f t="shared" si="81"/>
        <v/>
      </c>
      <c r="BA68" s="8"/>
      <c r="BB68" s="6" t="str">
        <f>IFERROR(__xludf.DUMMYFUNCTION("""COMPUTED_VALUE"""),"vibrant salmon")</f>
        <v>vibrant salmon</v>
      </c>
      <c r="BC68" s="8" t="str">
        <f>IFERROR(__xludf.DUMMYFUNCTION("""COMPUTED_VALUE"""),"dark silver")</f>
        <v>dark silver</v>
      </c>
      <c r="BD68" s="8"/>
      <c r="BE68" s="6"/>
      <c r="BF68" s="8"/>
      <c r="BG68" s="8"/>
      <c r="BH68" s="6"/>
      <c r="BI68" s="8"/>
      <c r="BJ68" s="8"/>
      <c r="BK68" s="6"/>
      <c r="BL68" s="8"/>
      <c r="BM68" s="8"/>
      <c r="BN68" s="6"/>
      <c r="BO68" s="8"/>
      <c r="BP68" s="8"/>
      <c r="BQ68" s="6"/>
      <c r="BR68" s="8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</row>
    <row r="69">
      <c r="A69" s="6"/>
      <c r="B69" s="6" t="s">
        <v>69</v>
      </c>
      <c r="C69" s="3" t="str">
        <f t="shared" si="3"/>
        <v>drab magenta</v>
      </c>
      <c r="D69" s="3" t="str">
        <f t="shared" si="17"/>
        <v>ZZZ</v>
      </c>
      <c r="E69" s="3" t="b">
        <f t="array" ref="E69">OR(ISNUMBER(SEARCH(D$2:D$30,$B69,5)))</f>
        <v>0</v>
      </c>
      <c r="G69" s="3" t="str">
        <f t="shared" si="4"/>
        <v>ZZZ</v>
      </c>
      <c r="H69" s="3" t="b">
        <f t="array" ref="H69">OR(ISNUMBER(SEARCH(G$2:G$30,$B69,5)))</f>
        <v>0</v>
      </c>
      <c r="J69" s="3" t="str">
        <f t="shared" si="5"/>
        <v>ZZZ</v>
      </c>
      <c r="K69" s="3" t="b">
        <f t="array" ref="K69">OR(ISNUMBER(SEARCH(J$2:J$30,$B69,5)))</f>
        <v>0</v>
      </c>
      <c r="M69" s="3" t="str">
        <f t="shared" si="6"/>
        <v>ZZZ</v>
      </c>
      <c r="N69" s="3" t="b">
        <f t="array" ref="N69">OR(ISNUMBER(SEARCH(M$2:M$30,$B69,5)))</f>
        <v>0</v>
      </c>
      <c r="P69" s="3" t="str">
        <f t="shared" si="7"/>
        <v>ZZZ</v>
      </c>
      <c r="Q69" s="3" t="b">
        <f t="array" ref="Q69">OR(ISNUMBER(SEARCH(P$2:P$50,$B69,5)))</f>
        <v>0</v>
      </c>
      <c r="S69" s="3" t="str">
        <f t="shared" si="8"/>
        <v>ZZZ</v>
      </c>
      <c r="T69" s="3" t="b">
        <f t="array" ref="T69">OR(ISNUMBER(SEARCH(S$2:S$100,$B69,5)))</f>
        <v>0</v>
      </c>
      <c r="V69" s="3" t="str">
        <f t="shared" si="9"/>
        <v>ZZZ</v>
      </c>
      <c r="W69" s="3" t="b">
        <f t="array" ref="W69">OR(ISNUMBER(SEARCH(V$2:V$100,$B69,5)))</f>
        <v>0</v>
      </c>
      <c r="Y69" s="3" t="str">
        <f t="shared" si="10"/>
        <v>ZZZ</v>
      </c>
      <c r="Z69" s="3" t="b">
        <f t="array" ref="Z69">OR(ISNUMBER(SEARCH(Y$2:Y$100,$B69,5)))</f>
        <v>0</v>
      </c>
      <c r="AB69" s="3" t="str">
        <f t="shared" si="11"/>
        <v>ZZZ</v>
      </c>
      <c r="AC69" s="3" t="b">
        <f t="array" ref="AC69">OR(ISNUMBER(SEARCH(AB$2:AB$100,$B69,5)))</f>
        <v>0</v>
      </c>
      <c r="AE69" s="3" t="str">
        <f t="shared" si="12"/>
        <v>ZZZ</v>
      </c>
      <c r="AF69" s="3" t="b">
        <f t="array" ref="AF69">OR(ISNUMBER(SEARCH(AE$2:AE$100,$B69,5)))</f>
        <v>0</v>
      </c>
      <c r="AH69" s="3" t="str">
        <f t="shared" si="13"/>
        <v>ZZZ</v>
      </c>
      <c r="AI69" s="3" t="b">
        <f t="array" ref="AI69">OR(ISNUMBER(SEARCH(AH$2:AH$100,$B69,5)))</f>
        <v>0</v>
      </c>
      <c r="AK69" s="3" t="str">
        <f t="shared" si="14"/>
        <v>ZZZ</v>
      </c>
      <c r="AL69" s="3" t="b">
        <f t="array" ref="AL69">OR(ISNUMBER(SEARCH(AK$2:AK$100,$B69,5)))</f>
        <v>0</v>
      </c>
      <c r="AP69" s="3" t="str">
        <f t="shared" ref="AP69:AZ69" si="82">INDEX($A$1:$AN$600,ROW(),COLUMN()*3-120)</f>
        <v/>
      </c>
      <c r="AQ69" s="3" t="str">
        <f t="shared" si="82"/>
        <v/>
      </c>
      <c r="AR69" s="3" t="str">
        <f t="shared" si="82"/>
        <v/>
      </c>
      <c r="AS69" s="3" t="str">
        <f t="shared" si="82"/>
        <v/>
      </c>
      <c r="AT69" s="3" t="str">
        <f t="shared" si="82"/>
        <v/>
      </c>
      <c r="AU69" s="3" t="str">
        <f t="shared" si="82"/>
        <v/>
      </c>
      <c r="AV69" s="3" t="str">
        <f t="shared" si="82"/>
        <v/>
      </c>
      <c r="AW69" s="3" t="str">
        <f t="shared" si="82"/>
        <v/>
      </c>
      <c r="AX69" s="3" t="str">
        <f t="shared" si="82"/>
        <v/>
      </c>
      <c r="AY69" s="3" t="str">
        <f t="shared" si="82"/>
        <v/>
      </c>
      <c r="AZ69" s="3" t="str">
        <f t="shared" si="82"/>
        <v/>
      </c>
      <c r="BA69" s="8"/>
      <c r="BB69" s="6" t="str">
        <f>IFERROR(__xludf.DUMMYFUNCTION("""COMPUTED_VALUE"""),"dim gray")</f>
        <v>dim gray</v>
      </c>
      <c r="BC69" s="8" t="str">
        <f>IFERROR(__xludf.DUMMYFUNCTION("""COMPUTED_VALUE"""),"dull plum")</f>
        <v>dull plum</v>
      </c>
      <c r="BD69" s="8"/>
      <c r="BE69" s="6"/>
      <c r="BF69" s="8"/>
      <c r="BG69" s="8"/>
      <c r="BH69" s="6"/>
      <c r="BI69" s="8"/>
      <c r="BJ69" s="8"/>
      <c r="BK69" s="6"/>
      <c r="BL69" s="8"/>
      <c r="BM69" s="8"/>
      <c r="BN69" s="6"/>
      <c r="BO69" s="8"/>
      <c r="BP69" s="8"/>
      <c r="BQ69" s="6"/>
      <c r="BR69" s="8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</row>
    <row r="70">
      <c r="A70" s="6"/>
      <c r="B70" s="6" t="s">
        <v>70</v>
      </c>
      <c r="C70" s="3" t="str">
        <f t="shared" si="3"/>
        <v>plaid silver</v>
      </c>
      <c r="D70" s="3" t="str">
        <f t="shared" si="17"/>
        <v>ZZZ</v>
      </c>
      <c r="E70" s="3" t="b">
        <f t="array" ref="E70">OR(ISNUMBER(SEARCH(D$2:D$30,$B70,5)))</f>
        <v>0</v>
      </c>
      <c r="G70" s="3" t="str">
        <f t="shared" si="4"/>
        <v>ZZZ</v>
      </c>
      <c r="H70" s="3" t="b">
        <f t="array" ref="H70">OR(ISNUMBER(SEARCH(G$2:G$30,$B70,5)))</f>
        <v>0</v>
      </c>
      <c r="J70" s="3" t="str">
        <f t="shared" si="5"/>
        <v>ZZZ</v>
      </c>
      <c r="K70" s="3" t="b">
        <f t="array" ref="K70">OR(ISNUMBER(SEARCH(J$2:J$30,$B70,5)))</f>
        <v>0</v>
      </c>
      <c r="M70" s="3" t="str">
        <f t="shared" si="6"/>
        <v>ZZZ</v>
      </c>
      <c r="N70" s="3" t="b">
        <f t="array" ref="N70">OR(ISNUMBER(SEARCH(M$2:M$30,$B70,5)))</f>
        <v>0</v>
      </c>
      <c r="P70" s="3" t="str">
        <f t="shared" si="7"/>
        <v>ZZZ</v>
      </c>
      <c r="Q70" s="3" t="b">
        <f t="array" ref="Q70">OR(ISNUMBER(SEARCH(P$2:P$50,$B70,5)))</f>
        <v>0</v>
      </c>
      <c r="S70" s="3" t="str">
        <f t="shared" si="8"/>
        <v>ZZZ</v>
      </c>
      <c r="T70" s="3" t="b">
        <f t="array" ref="T70">OR(ISNUMBER(SEARCH(S$2:S$100,$B70,5)))</f>
        <v>0</v>
      </c>
      <c r="V70" s="3" t="str">
        <f t="shared" si="9"/>
        <v>ZZZ</v>
      </c>
      <c r="W70" s="3" t="b">
        <f t="array" ref="W70">OR(ISNUMBER(SEARCH(V$2:V$100,$B70,5)))</f>
        <v>0</v>
      </c>
      <c r="Y70" s="3" t="str">
        <f t="shared" si="10"/>
        <v>ZZZ</v>
      </c>
      <c r="Z70" s="3" t="b">
        <f t="array" ref="Z70">OR(ISNUMBER(SEARCH(Y$2:Y$100,$B70,5)))</f>
        <v>0</v>
      </c>
      <c r="AB70" s="3" t="str">
        <f t="shared" si="11"/>
        <v>ZZZ</v>
      </c>
      <c r="AC70" s="3" t="b">
        <f t="array" ref="AC70">OR(ISNUMBER(SEARCH(AB$2:AB$100,$B70,5)))</f>
        <v>0</v>
      </c>
      <c r="AE70" s="3" t="str">
        <f t="shared" si="12"/>
        <v>ZZZ</v>
      </c>
      <c r="AF70" s="3" t="b">
        <f t="array" ref="AF70">OR(ISNUMBER(SEARCH(AE$2:AE$100,$B70,5)))</f>
        <v>0</v>
      </c>
      <c r="AH70" s="3" t="str">
        <f t="shared" si="13"/>
        <v>ZZZ</v>
      </c>
      <c r="AI70" s="3" t="b">
        <f t="array" ref="AI70">OR(ISNUMBER(SEARCH(AH$2:AH$100,$B70,5)))</f>
        <v>0</v>
      </c>
      <c r="AK70" s="3" t="str">
        <f t="shared" si="14"/>
        <v>ZZZ</v>
      </c>
      <c r="AL70" s="3" t="b">
        <f t="array" ref="AL70">OR(ISNUMBER(SEARCH(AK$2:AK$100,$B70,5)))</f>
        <v>0</v>
      </c>
      <c r="AP70" s="3" t="str">
        <f t="shared" ref="AP70:AZ70" si="83">INDEX($A$1:$AN$600,ROW(),COLUMN()*3-120)</f>
        <v/>
      </c>
      <c r="AQ70" s="3" t="str">
        <f t="shared" si="83"/>
        <v/>
      </c>
      <c r="AR70" s="3" t="str">
        <f t="shared" si="83"/>
        <v/>
      </c>
      <c r="AS70" s="3" t="str">
        <f t="shared" si="83"/>
        <v/>
      </c>
      <c r="AT70" s="3" t="str">
        <f t="shared" si="83"/>
        <v/>
      </c>
      <c r="AU70" s="3" t="str">
        <f t="shared" si="83"/>
        <v/>
      </c>
      <c r="AV70" s="3" t="str">
        <f t="shared" si="83"/>
        <v/>
      </c>
      <c r="AW70" s="3" t="str">
        <f t="shared" si="83"/>
        <v/>
      </c>
      <c r="AX70" s="3" t="str">
        <f t="shared" si="83"/>
        <v/>
      </c>
      <c r="AY70" s="3" t="str">
        <f t="shared" si="83"/>
        <v/>
      </c>
      <c r="AZ70" s="3" t="str">
        <f t="shared" si="83"/>
        <v/>
      </c>
      <c r="BA70" s="8"/>
      <c r="BB70" s="6" t="str">
        <f>IFERROR(__xludf.DUMMYFUNCTION("""COMPUTED_VALUE"""),"dark magenta")</f>
        <v>dark magenta</v>
      </c>
      <c r="BC70" s="8" t="str">
        <f>IFERROR(__xludf.DUMMYFUNCTION("""COMPUTED_VALUE"""),"pale silver")</f>
        <v>pale silver</v>
      </c>
      <c r="BD70" s="8"/>
      <c r="BE70" s="6"/>
      <c r="BF70" s="8"/>
      <c r="BG70" s="8"/>
      <c r="BH70" s="6"/>
      <c r="BI70" s="8"/>
      <c r="BJ70" s="8"/>
      <c r="BK70" s="6"/>
      <c r="BL70" s="8"/>
      <c r="BM70" s="8"/>
      <c r="BN70" s="6"/>
      <c r="BO70" s="8"/>
      <c r="BP70" s="8"/>
      <c r="BQ70" s="6"/>
      <c r="BR70" s="8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</row>
    <row r="71">
      <c r="A71" s="6"/>
      <c r="B71" s="6" t="s">
        <v>71</v>
      </c>
      <c r="C71" s="3" t="str">
        <f t="shared" si="3"/>
        <v>bright bronze</v>
      </c>
      <c r="D71" s="3" t="str">
        <f t="shared" si="17"/>
        <v>ZZZ</v>
      </c>
      <c r="E71" s="3" t="b">
        <f t="array" ref="E71">OR(ISNUMBER(SEARCH(D$2:D$30,$B71,5)))</f>
        <v>0</v>
      </c>
      <c r="G71" s="3" t="str">
        <f t="shared" si="4"/>
        <v>ZZZ</v>
      </c>
      <c r="H71" s="3" t="b">
        <f t="array" ref="H71">OR(ISNUMBER(SEARCH(G$2:G$30,$B71,5)))</f>
        <v>0</v>
      </c>
      <c r="J71" s="3" t="str">
        <f t="shared" si="5"/>
        <v>ZZZ</v>
      </c>
      <c r="K71" s="3" t="b">
        <f t="array" ref="K71">OR(ISNUMBER(SEARCH(J$2:J$30,$B71,5)))</f>
        <v>0</v>
      </c>
      <c r="M71" s="3" t="str">
        <f t="shared" si="6"/>
        <v>ZZZ</v>
      </c>
      <c r="N71" s="3" t="b">
        <f t="array" ref="N71">OR(ISNUMBER(SEARCH(M$2:M$30,$B71,5)))</f>
        <v>0</v>
      </c>
      <c r="P71" s="3" t="str">
        <f t="shared" si="7"/>
        <v>ZZZ</v>
      </c>
      <c r="Q71" s="3" t="b">
        <f t="array" ref="Q71">OR(ISNUMBER(SEARCH(P$2:P$50,$B71,5)))</f>
        <v>0</v>
      </c>
      <c r="S71" s="3" t="str">
        <f t="shared" si="8"/>
        <v>ZZZ</v>
      </c>
      <c r="T71" s="3" t="b">
        <f t="array" ref="T71">OR(ISNUMBER(SEARCH(S$2:S$100,$B71,5)))</f>
        <v>0</v>
      </c>
      <c r="V71" s="3" t="str">
        <f t="shared" si="9"/>
        <v>ZZZ</v>
      </c>
      <c r="W71" s="3" t="b">
        <f t="array" ref="W71">OR(ISNUMBER(SEARCH(V$2:V$100,$B71,5)))</f>
        <v>0</v>
      </c>
      <c r="Y71" s="3" t="str">
        <f t="shared" si="10"/>
        <v>ZZZ</v>
      </c>
      <c r="Z71" s="3" t="b">
        <f t="array" ref="Z71">OR(ISNUMBER(SEARCH(Y$2:Y$100,$B71,5)))</f>
        <v>0</v>
      </c>
      <c r="AB71" s="3" t="str">
        <f t="shared" si="11"/>
        <v>ZZZ</v>
      </c>
      <c r="AC71" s="3" t="b">
        <f t="array" ref="AC71">OR(ISNUMBER(SEARCH(AB$2:AB$100,$B71,5)))</f>
        <v>0</v>
      </c>
      <c r="AE71" s="3" t="str">
        <f t="shared" si="12"/>
        <v>ZZZ</v>
      </c>
      <c r="AF71" s="3" t="b">
        <f t="array" ref="AF71">OR(ISNUMBER(SEARCH(AE$2:AE$100,$B71,5)))</f>
        <v>0</v>
      </c>
      <c r="AH71" s="3" t="str">
        <f t="shared" si="13"/>
        <v>ZZZ</v>
      </c>
      <c r="AI71" s="3" t="b">
        <f t="array" ref="AI71">OR(ISNUMBER(SEARCH(AH$2:AH$100,$B71,5)))</f>
        <v>0</v>
      </c>
      <c r="AK71" s="3" t="str">
        <f t="shared" si="14"/>
        <v>ZZZ</v>
      </c>
      <c r="AL71" s="3" t="b">
        <f t="array" ref="AL71">OR(ISNUMBER(SEARCH(AK$2:AK$100,$B71,5)))</f>
        <v>0</v>
      </c>
      <c r="AP71" s="3" t="str">
        <f t="shared" ref="AP71:AZ71" si="84">INDEX($A$1:$AN$600,ROW(),COLUMN()*3-120)</f>
        <v/>
      </c>
      <c r="AQ71" s="3" t="str">
        <f t="shared" si="84"/>
        <v/>
      </c>
      <c r="AR71" s="3" t="str">
        <f t="shared" si="84"/>
        <v/>
      </c>
      <c r="AS71" s="3" t="str">
        <f t="shared" si="84"/>
        <v/>
      </c>
      <c r="AT71" s="3" t="str">
        <f t="shared" si="84"/>
        <v/>
      </c>
      <c r="AU71" s="3" t="str">
        <f t="shared" si="84"/>
        <v/>
      </c>
      <c r="AV71" s="3" t="str">
        <f t="shared" si="84"/>
        <v/>
      </c>
      <c r="AW71" s="3" t="str">
        <f t="shared" si="84"/>
        <v/>
      </c>
      <c r="AX71" s="3" t="str">
        <f t="shared" si="84"/>
        <v/>
      </c>
      <c r="AY71" s="3" t="str">
        <f t="shared" si="84"/>
        <v/>
      </c>
      <c r="AZ71" s="3" t="str">
        <f t="shared" si="84"/>
        <v/>
      </c>
      <c r="BA71" s="8"/>
      <c r="BB71" s="6" t="str">
        <f>IFERROR(__xludf.DUMMYFUNCTION("""COMPUTED_VALUE"""),"dull teal")</f>
        <v>dull teal</v>
      </c>
      <c r="BC71" s="8" t="str">
        <f>IFERROR(__xludf.DUMMYFUNCTION("""COMPUTED_VALUE"""),"muted turquoise")</f>
        <v>muted turquoise</v>
      </c>
      <c r="BD71" s="8"/>
      <c r="BE71" s="6"/>
      <c r="BF71" s="8"/>
      <c r="BG71" s="8"/>
      <c r="BH71" s="6"/>
      <c r="BI71" s="8"/>
      <c r="BJ71" s="8"/>
      <c r="BK71" s="6"/>
      <c r="BL71" s="8"/>
      <c r="BM71" s="8"/>
      <c r="BN71" s="6"/>
      <c r="BO71" s="8"/>
      <c r="BP71" s="8"/>
      <c r="BQ71" s="6"/>
      <c r="BR71" s="8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</row>
    <row r="72">
      <c r="A72" s="6"/>
      <c r="B72" s="6" t="s">
        <v>72</v>
      </c>
      <c r="C72" s="3" t="str">
        <f t="shared" si="3"/>
        <v>drab maroon</v>
      </c>
      <c r="D72" s="3" t="str">
        <f t="shared" si="17"/>
        <v>ZZZ</v>
      </c>
      <c r="E72" s="3" t="b">
        <f t="array" ref="E72">OR(ISNUMBER(SEARCH(D$2:D$30,$B72,5)))</f>
        <v>0</v>
      </c>
      <c r="G72" s="3" t="str">
        <f t="shared" si="4"/>
        <v>ZZZ</v>
      </c>
      <c r="H72" s="3" t="b">
        <f t="array" ref="H72">OR(ISNUMBER(SEARCH(G$2:G$30,$B72,5)))</f>
        <v>0</v>
      </c>
      <c r="J72" s="3" t="str">
        <f t="shared" si="5"/>
        <v>ZZZ</v>
      </c>
      <c r="K72" s="3" t="b">
        <f t="array" ref="K72">OR(ISNUMBER(SEARCH(J$2:J$30,$B72,5)))</f>
        <v>0</v>
      </c>
      <c r="M72" s="3" t="str">
        <f t="shared" si="6"/>
        <v>ZZZ</v>
      </c>
      <c r="N72" s="3" t="b">
        <f t="array" ref="N72">OR(ISNUMBER(SEARCH(M$2:M$30,$B72,5)))</f>
        <v>0</v>
      </c>
      <c r="P72" s="3" t="str">
        <f t="shared" si="7"/>
        <v>ZZZ</v>
      </c>
      <c r="Q72" s="3" t="b">
        <f t="array" ref="Q72">OR(ISNUMBER(SEARCH(P$2:P$50,$B72,5)))</f>
        <v>0</v>
      </c>
      <c r="S72" s="3" t="str">
        <f t="shared" si="8"/>
        <v>ZZZ</v>
      </c>
      <c r="T72" s="3" t="b">
        <f t="array" ref="T72">OR(ISNUMBER(SEARCH(S$2:S$100,$B72,5)))</f>
        <v>0</v>
      </c>
      <c r="V72" s="3" t="str">
        <f t="shared" si="9"/>
        <v>ZZZ</v>
      </c>
      <c r="W72" s="3" t="b">
        <f t="array" ref="W72">OR(ISNUMBER(SEARCH(V$2:V$100,$B72,5)))</f>
        <v>0</v>
      </c>
      <c r="Y72" s="3" t="str">
        <f t="shared" si="10"/>
        <v>ZZZ</v>
      </c>
      <c r="Z72" s="3" t="b">
        <f t="array" ref="Z72">OR(ISNUMBER(SEARCH(Y$2:Y$100,$B72,5)))</f>
        <v>0</v>
      </c>
      <c r="AB72" s="3" t="str">
        <f t="shared" si="11"/>
        <v>ZZZ</v>
      </c>
      <c r="AC72" s="3" t="b">
        <f t="array" ref="AC72">OR(ISNUMBER(SEARCH(AB$2:AB$100,$B72,5)))</f>
        <v>0</v>
      </c>
      <c r="AE72" s="3" t="str">
        <f t="shared" si="12"/>
        <v>ZZZ</v>
      </c>
      <c r="AF72" s="3" t="b">
        <f t="array" ref="AF72">OR(ISNUMBER(SEARCH(AE$2:AE$100,$B72,5)))</f>
        <v>0</v>
      </c>
      <c r="AH72" s="3" t="str">
        <f t="shared" si="13"/>
        <v>ZZZ</v>
      </c>
      <c r="AI72" s="3" t="b">
        <f t="array" ref="AI72">OR(ISNUMBER(SEARCH(AH$2:AH$100,$B72,5)))</f>
        <v>0</v>
      </c>
      <c r="AK72" s="3" t="str">
        <f t="shared" si="14"/>
        <v>ZZZ</v>
      </c>
      <c r="AL72" s="3" t="b">
        <f t="array" ref="AL72">OR(ISNUMBER(SEARCH(AK$2:AK$100,$B72,5)))</f>
        <v>0</v>
      </c>
      <c r="AP72" s="3" t="str">
        <f t="shared" ref="AP72:AZ72" si="85">INDEX($A$1:$AN$600,ROW(),COLUMN()*3-120)</f>
        <v/>
      </c>
      <c r="AQ72" s="3" t="str">
        <f t="shared" si="85"/>
        <v/>
      </c>
      <c r="AR72" s="3" t="str">
        <f t="shared" si="85"/>
        <v/>
      </c>
      <c r="AS72" s="3" t="str">
        <f t="shared" si="85"/>
        <v/>
      </c>
      <c r="AT72" s="3" t="str">
        <f t="shared" si="85"/>
        <v/>
      </c>
      <c r="AU72" s="3" t="str">
        <f t="shared" si="85"/>
        <v/>
      </c>
      <c r="AV72" s="3" t="str">
        <f t="shared" si="85"/>
        <v/>
      </c>
      <c r="AW72" s="3" t="str">
        <f t="shared" si="85"/>
        <v/>
      </c>
      <c r="AX72" s="3" t="str">
        <f t="shared" si="85"/>
        <v/>
      </c>
      <c r="AY72" s="3" t="str">
        <f t="shared" si="85"/>
        <v/>
      </c>
      <c r="AZ72" s="3" t="str">
        <f t="shared" si="85"/>
        <v/>
      </c>
      <c r="BA72" s="8"/>
      <c r="BB72" s="6" t="str">
        <f>IFERROR(__xludf.DUMMYFUNCTION("""COMPUTED_VALUE"""),"pale brown")</f>
        <v>pale brown</v>
      </c>
      <c r="BC72" s="8" t="str">
        <f>IFERROR(__xludf.DUMMYFUNCTION("""COMPUTED_VALUE"""),"pale lavender")</f>
        <v>pale lavender</v>
      </c>
      <c r="BD72" s="8"/>
      <c r="BE72" s="6"/>
      <c r="BF72" s="8"/>
      <c r="BG72" s="8"/>
      <c r="BH72" s="6"/>
      <c r="BI72" s="8"/>
      <c r="BJ72" s="8"/>
      <c r="BK72" s="6"/>
      <c r="BL72" s="8"/>
      <c r="BM72" s="8"/>
      <c r="BN72" s="6"/>
      <c r="BO72" s="8"/>
      <c r="BP72" s="8"/>
      <c r="BQ72" s="6"/>
      <c r="BR72" s="8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</row>
    <row r="73">
      <c r="A73" s="6"/>
      <c r="B73" s="6" t="s">
        <v>73</v>
      </c>
      <c r="C73" s="3" t="str">
        <f t="shared" si="3"/>
        <v>dark fuchsia</v>
      </c>
      <c r="D73" s="3" t="str">
        <f t="shared" si="17"/>
        <v>ZZZ</v>
      </c>
      <c r="E73" s="3" t="b">
        <f t="array" ref="E73">OR(ISNUMBER(SEARCH(D$2:D$30,$B73,5)))</f>
        <v>0</v>
      </c>
      <c r="G73" s="3" t="str">
        <f t="shared" si="4"/>
        <v>ZZZ</v>
      </c>
      <c r="H73" s="3" t="b">
        <f t="array" ref="H73">OR(ISNUMBER(SEARCH(G$2:G$30,$B73,5)))</f>
        <v>0</v>
      </c>
      <c r="J73" s="3" t="str">
        <f t="shared" si="5"/>
        <v>ZZZ</v>
      </c>
      <c r="K73" s="3" t="b">
        <f t="array" ref="K73">OR(ISNUMBER(SEARCH(J$2:J$30,$B73,5)))</f>
        <v>0</v>
      </c>
      <c r="M73" s="3" t="str">
        <f t="shared" si="6"/>
        <v>ZZZ</v>
      </c>
      <c r="N73" s="3" t="b">
        <f t="array" ref="N73">OR(ISNUMBER(SEARCH(M$2:M$30,$B73,5)))</f>
        <v>0</v>
      </c>
      <c r="P73" s="3" t="str">
        <f t="shared" si="7"/>
        <v>ZZZ</v>
      </c>
      <c r="Q73" s="3" t="b">
        <f t="array" ref="Q73">OR(ISNUMBER(SEARCH(P$2:P$50,$B73,5)))</f>
        <v>0</v>
      </c>
      <c r="S73" s="3" t="str">
        <f t="shared" si="8"/>
        <v>ZZZ</v>
      </c>
      <c r="T73" s="3" t="b">
        <f t="array" ref="T73">OR(ISNUMBER(SEARCH(S$2:S$100,$B73,5)))</f>
        <v>0</v>
      </c>
      <c r="V73" s="3" t="str">
        <f t="shared" si="9"/>
        <v>ZZZ</v>
      </c>
      <c r="W73" s="3" t="b">
        <f t="array" ref="W73">OR(ISNUMBER(SEARCH(V$2:V$100,$B73,5)))</f>
        <v>0</v>
      </c>
      <c r="Y73" s="3" t="str">
        <f t="shared" si="10"/>
        <v>ZZZ</v>
      </c>
      <c r="Z73" s="3" t="b">
        <f t="array" ref="Z73">OR(ISNUMBER(SEARCH(Y$2:Y$100,$B73,5)))</f>
        <v>0</v>
      </c>
      <c r="AB73" s="3" t="str">
        <f t="shared" si="11"/>
        <v>ZZZ</v>
      </c>
      <c r="AC73" s="3" t="b">
        <f t="array" ref="AC73">OR(ISNUMBER(SEARCH(AB$2:AB$100,$B73,5)))</f>
        <v>0</v>
      </c>
      <c r="AE73" s="3" t="str">
        <f t="shared" si="12"/>
        <v>ZZZ</v>
      </c>
      <c r="AF73" s="3" t="b">
        <f t="array" ref="AF73">OR(ISNUMBER(SEARCH(AE$2:AE$100,$B73,5)))</f>
        <v>0</v>
      </c>
      <c r="AH73" s="3" t="str">
        <f t="shared" si="13"/>
        <v>ZZZ</v>
      </c>
      <c r="AI73" s="3" t="b">
        <f t="array" ref="AI73">OR(ISNUMBER(SEARCH(AH$2:AH$100,$B73,5)))</f>
        <v>0</v>
      </c>
      <c r="AK73" s="3" t="str">
        <f t="shared" si="14"/>
        <v>ZZZ</v>
      </c>
      <c r="AL73" s="3" t="b">
        <f t="array" ref="AL73">OR(ISNUMBER(SEARCH(AK$2:AK$100,$B73,5)))</f>
        <v>0</v>
      </c>
      <c r="AP73" s="3" t="str">
        <f t="shared" ref="AP73:AZ73" si="86">INDEX($A$1:$AN$600,ROW(),COLUMN()*3-120)</f>
        <v/>
      </c>
      <c r="AQ73" s="3" t="str">
        <f t="shared" si="86"/>
        <v/>
      </c>
      <c r="AR73" s="3" t="str">
        <f t="shared" si="86"/>
        <v/>
      </c>
      <c r="AS73" s="3" t="str">
        <f t="shared" si="86"/>
        <v/>
      </c>
      <c r="AT73" s="3" t="str">
        <f t="shared" si="86"/>
        <v/>
      </c>
      <c r="AU73" s="3" t="str">
        <f t="shared" si="86"/>
        <v/>
      </c>
      <c r="AV73" s="3" t="str">
        <f t="shared" si="86"/>
        <v/>
      </c>
      <c r="AW73" s="3" t="str">
        <f t="shared" si="86"/>
        <v/>
      </c>
      <c r="AX73" s="3" t="str">
        <f t="shared" si="86"/>
        <v/>
      </c>
      <c r="AY73" s="3" t="str">
        <f t="shared" si="86"/>
        <v/>
      </c>
      <c r="AZ73" s="3" t="str">
        <f t="shared" si="86"/>
        <v/>
      </c>
      <c r="BA73" s="8"/>
      <c r="BB73" s="6" t="str">
        <f>IFERROR(__xludf.DUMMYFUNCTION("""COMPUTED_VALUE"""),"shiny red")</f>
        <v>shiny red</v>
      </c>
      <c r="BC73" s="8" t="str">
        <f>IFERROR(__xludf.DUMMYFUNCTION("""COMPUTED_VALUE"""),"clear tan")</f>
        <v>clear tan</v>
      </c>
      <c r="BD73" s="8"/>
      <c r="BE73" s="6"/>
      <c r="BF73" s="8"/>
      <c r="BG73" s="8"/>
      <c r="BH73" s="6"/>
      <c r="BI73" s="8"/>
      <c r="BJ73" s="8"/>
      <c r="BK73" s="6"/>
      <c r="BL73" s="8"/>
      <c r="BM73" s="8"/>
      <c r="BN73" s="6"/>
      <c r="BO73" s="8"/>
      <c r="BP73" s="8"/>
      <c r="BQ73" s="6"/>
      <c r="BR73" s="8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</row>
    <row r="74">
      <c r="A74" s="6"/>
      <c r="B74" s="6" t="s">
        <v>74</v>
      </c>
      <c r="C74" s="3" t="str">
        <f t="shared" si="3"/>
        <v>vibrant salmon</v>
      </c>
      <c r="D74" s="3" t="str">
        <f t="shared" si="17"/>
        <v>ZZZ</v>
      </c>
      <c r="E74" s="3" t="b">
        <f t="array" ref="E74">OR(ISNUMBER(SEARCH(D$2:D$30,$B74,5)))</f>
        <v>0</v>
      </c>
      <c r="G74" s="3" t="str">
        <f t="shared" si="4"/>
        <v>ZZZ</v>
      </c>
      <c r="H74" s="3" t="b">
        <f t="array" ref="H74">OR(ISNUMBER(SEARCH(G$2:G$30,$B74,5)))</f>
        <v>0</v>
      </c>
      <c r="J74" s="3" t="str">
        <f t="shared" si="5"/>
        <v>ZZZ</v>
      </c>
      <c r="K74" s="3" t="b">
        <f t="array" ref="K74">OR(ISNUMBER(SEARCH(J$2:J$30,$B74,5)))</f>
        <v>0</v>
      </c>
      <c r="M74" s="3" t="str">
        <f t="shared" si="6"/>
        <v>ZZZ</v>
      </c>
      <c r="N74" s="3" t="b">
        <f t="array" ref="N74">OR(ISNUMBER(SEARCH(M$2:M$30,$B74,5)))</f>
        <v>0</v>
      </c>
      <c r="P74" s="3" t="str">
        <f t="shared" si="7"/>
        <v>ZZZ</v>
      </c>
      <c r="Q74" s="3" t="b">
        <f t="array" ref="Q74">OR(ISNUMBER(SEARCH(P$2:P$50,$B74,5)))</f>
        <v>1</v>
      </c>
      <c r="S74" s="3" t="str">
        <f t="shared" si="8"/>
        <v>ZZZ</v>
      </c>
      <c r="T74" s="3" t="b">
        <f t="array" ref="T74">OR(ISNUMBER(SEARCH(S$2:S$100,$B74,5)))</f>
        <v>0</v>
      </c>
      <c r="V74" s="3" t="str">
        <f t="shared" si="9"/>
        <v>ZZZ</v>
      </c>
      <c r="W74" s="3" t="b">
        <f t="array" ref="W74">OR(ISNUMBER(SEARCH(V$2:V$100,$B74,5)))</f>
        <v>0</v>
      </c>
      <c r="Y74" s="3" t="str">
        <f t="shared" si="10"/>
        <v>ZZZ</v>
      </c>
      <c r="Z74" s="3" t="b">
        <f t="array" ref="Z74">OR(ISNUMBER(SEARCH(Y$2:Y$100,$B74,5)))</f>
        <v>0</v>
      </c>
      <c r="AB74" s="3" t="str">
        <f t="shared" si="11"/>
        <v>ZZZ</v>
      </c>
      <c r="AC74" s="3" t="b">
        <f t="array" ref="AC74">OR(ISNUMBER(SEARCH(AB$2:AB$100,$B74,5)))</f>
        <v>0</v>
      </c>
      <c r="AE74" s="3" t="str">
        <f t="shared" si="12"/>
        <v>ZZZ</v>
      </c>
      <c r="AF74" s="3" t="b">
        <f t="array" ref="AF74">OR(ISNUMBER(SEARCH(AE$2:AE$100,$B74,5)))</f>
        <v>0</v>
      </c>
      <c r="AH74" s="3" t="str">
        <f t="shared" si="13"/>
        <v>ZZZ</v>
      </c>
      <c r="AI74" s="3" t="b">
        <f t="array" ref="AI74">OR(ISNUMBER(SEARCH(AH$2:AH$100,$B74,5)))</f>
        <v>0</v>
      </c>
      <c r="AK74" s="3" t="str">
        <f t="shared" si="14"/>
        <v>ZZZ</v>
      </c>
      <c r="AL74" s="3" t="b">
        <f t="array" ref="AL74">OR(ISNUMBER(SEARCH(AK$2:AK$100,$B74,5)))</f>
        <v>0</v>
      </c>
      <c r="AP74" s="3" t="str">
        <f t="shared" ref="AP74:AZ74" si="87">INDEX($A$1:$AN$600,ROW(),COLUMN()*3-120)</f>
        <v/>
      </c>
      <c r="AQ74" s="3" t="str">
        <f t="shared" si="87"/>
        <v/>
      </c>
      <c r="AR74" s="3" t="str">
        <f t="shared" si="87"/>
        <v/>
      </c>
      <c r="AS74" s="3" t="str">
        <f t="shared" si="87"/>
        <v/>
      </c>
      <c r="AT74" s="3" t="str">
        <f t="shared" si="87"/>
        <v/>
      </c>
      <c r="AU74" s="3" t="str">
        <f t="shared" si="87"/>
        <v/>
      </c>
      <c r="AV74" s="3" t="str">
        <f t="shared" si="87"/>
        <v/>
      </c>
      <c r="AW74" s="3" t="str">
        <f t="shared" si="87"/>
        <v/>
      </c>
      <c r="AX74" s="3" t="str">
        <f t="shared" si="87"/>
        <v/>
      </c>
      <c r="AY74" s="3" t="str">
        <f t="shared" si="87"/>
        <v/>
      </c>
      <c r="AZ74" s="3" t="str">
        <f t="shared" si="87"/>
        <v/>
      </c>
      <c r="BA74" s="8"/>
      <c r="BB74" s="6" t="str">
        <f>IFERROR(__xludf.DUMMYFUNCTION("""COMPUTED_VALUE"""),"bright yellow")</f>
        <v>bright yellow</v>
      </c>
      <c r="BC74" s="8" t="str">
        <f>IFERROR(__xludf.DUMMYFUNCTION("""COMPUTED_VALUE"""),"plaid yellow")</f>
        <v>plaid yellow</v>
      </c>
      <c r="BD74" s="8"/>
      <c r="BE74" s="6"/>
      <c r="BF74" s="8"/>
      <c r="BG74" s="8"/>
      <c r="BH74" s="6"/>
      <c r="BI74" s="8"/>
      <c r="BJ74" s="8"/>
      <c r="BK74" s="6"/>
      <c r="BL74" s="8"/>
      <c r="BM74" s="8"/>
      <c r="BN74" s="6"/>
      <c r="BO74" s="8"/>
      <c r="BP74" s="8"/>
      <c r="BQ74" s="6"/>
      <c r="BR74" s="8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</row>
    <row r="75">
      <c r="A75" s="6"/>
      <c r="B75" s="6" t="s">
        <v>75</v>
      </c>
      <c r="C75" s="3" t="str">
        <f t="shared" si="3"/>
        <v>shiny crimson</v>
      </c>
      <c r="D75" s="3" t="str">
        <f t="shared" si="17"/>
        <v>ZZZ</v>
      </c>
      <c r="E75" s="3" t="b">
        <f t="array" ref="E75">OR(ISNUMBER(SEARCH(D$2:D$30,$B75,5)))</f>
        <v>0</v>
      </c>
      <c r="G75" s="3" t="str">
        <f t="shared" si="4"/>
        <v>ZZZ</v>
      </c>
      <c r="H75" s="3" t="b">
        <f t="array" ref="H75">OR(ISNUMBER(SEARCH(G$2:G$30,$B75,5)))</f>
        <v>0</v>
      </c>
      <c r="J75" s="3" t="str">
        <f t="shared" si="5"/>
        <v>ZZZ</v>
      </c>
      <c r="K75" s="3" t="b">
        <f t="array" ref="K75">OR(ISNUMBER(SEARCH(J$2:J$30,$B75,5)))</f>
        <v>0</v>
      </c>
      <c r="M75" s="3" t="str">
        <f t="shared" si="6"/>
        <v>ZZZ</v>
      </c>
      <c r="N75" s="3" t="b">
        <f t="array" ref="N75">OR(ISNUMBER(SEARCH(M$2:M$30,$B75,5)))</f>
        <v>0</v>
      </c>
      <c r="P75" s="3" t="str">
        <f t="shared" si="7"/>
        <v>ZZZ</v>
      </c>
      <c r="Q75" s="3" t="b">
        <f t="array" ref="Q75">OR(ISNUMBER(SEARCH(P$2:P$50,$B75,5)))</f>
        <v>0</v>
      </c>
      <c r="S75" s="3" t="str">
        <f t="shared" si="8"/>
        <v>ZZZ</v>
      </c>
      <c r="T75" s="3" t="b">
        <f t="array" ref="T75">OR(ISNUMBER(SEARCH(S$2:S$100,$B75,5)))</f>
        <v>0</v>
      </c>
      <c r="V75" s="3" t="str">
        <f t="shared" si="9"/>
        <v>ZZZ</v>
      </c>
      <c r="W75" s="3" t="b">
        <f t="array" ref="W75">OR(ISNUMBER(SEARCH(V$2:V$100,$B75,5)))</f>
        <v>0</v>
      </c>
      <c r="Y75" s="3" t="str">
        <f t="shared" si="10"/>
        <v>ZZZ</v>
      </c>
      <c r="Z75" s="3" t="b">
        <f t="array" ref="Z75">OR(ISNUMBER(SEARCH(Y$2:Y$100,$B75,5)))</f>
        <v>0</v>
      </c>
      <c r="AB75" s="3" t="str">
        <f t="shared" si="11"/>
        <v>ZZZ</v>
      </c>
      <c r="AC75" s="3" t="b">
        <f t="array" ref="AC75">OR(ISNUMBER(SEARCH(AB$2:AB$100,$B75,5)))</f>
        <v>0</v>
      </c>
      <c r="AE75" s="3" t="str">
        <f t="shared" si="12"/>
        <v>ZZZ</v>
      </c>
      <c r="AF75" s="3" t="b">
        <f t="array" ref="AF75">OR(ISNUMBER(SEARCH(AE$2:AE$100,$B75,5)))</f>
        <v>0</v>
      </c>
      <c r="AH75" s="3" t="str">
        <f t="shared" si="13"/>
        <v>ZZZ</v>
      </c>
      <c r="AI75" s="3" t="b">
        <f t="array" ref="AI75">OR(ISNUMBER(SEARCH(AH$2:AH$100,$B75,5)))</f>
        <v>0</v>
      </c>
      <c r="AK75" s="3" t="str">
        <f t="shared" si="14"/>
        <v>ZZZ</v>
      </c>
      <c r="AL75" s="3" t="b">
        <f t="array" ref="AL75">OR(ISNUMBER(SEARCH(AK$2:AK$100,$B75,5)))</f>
        <v>0</v>
      </c>
      <c r="AP75" s="3" t="str">
        <f t="shared" ref="AP75:AZ75" si="88">INDEX($A$1:$AN$600,ROW(),COLUMN()*3-120)</f>
        <v/>
      </c>
      <c r="AQ75" s="3" t="str">
        <f t="shared" si="88"/>
        <v/>
      </c>
      <c r="AR75" s="3" t="str">
        <f t="shared" si="88"/>
        <v/>
      </c>
      <c r="AS75" s="3" t="str">
        <f t="shared" si="88"/>
        <v/>
      </c>
      <c r="AT75" s="3" t="str">
        <f t="shared" si="88"/>
        <v/>
      </c>
      <c r="AU75" s="3" t="str">
        <f t="shared" si="88"/>
        <v/>
      </c>
      <c r="AV75" s="3" t="str">
        <f t="shared" si="88"/>
        <v/>
      </c>
      <c r="AW75" s="3" t="str">
        <f t="shared" si="88"/>
        <v/>
      </c>
      <c r="AX75" s="3" t="str">
        <f t="shared" si="88"/>
        <v/>
      </c>
      <c r="AY75" s="3" t="str">
        <f t="shared" si="88"/>
        <v/>
      </c>
      <c r="AZ75" s="3" t="str">
        <f t="shared" si="88"/>
        <v/>
      </c>
      <c r="BA75" s="8"/>
      <c r="BB75" s="6" t="str">
        <f>IFERROR(__xludf.DUMMYFUNCTION("""COMPUTED_VALUE"""),"pale indigo")</f>
        <v>pale indigo</v>
      </c>
      <c r="BC75" s="8" t="str">
        <f>IFERROR(__xludf.DUMMYFUNCTION("""COMPUTED_VALUE"""),"muted teal")</f>
        <v>muted teal</v>
      </c>
      <c r="BD75" s="8"/>
      <c r="BE75" s="6"/>
      <c r="BF75" s="8"/>
      <c r="BG75" s="8"/>
      <c r="BH75" s="6"/>
      <c r="BI75" s="8"/>
      <c r="BJ75" s="8"/>
      <c r="BK75" s="6"/>
      <c r="BL75" s="8"/>
      <c r="BM75" s="8"/>
      <c r="BN75" s="6"/>
      <c r="BO75" s="8"/>
      <c r="BP75" s="8"/>
      <c r="BQ75" s="6"/>
      <c r="BR75" s="8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</row>
    <row r="76">
      <c r="A76" s="6"/>
      <c r="B76" s="6" t="s">
        <v>76</v>
      </c>
      <c r="C76" s="3" t="str">
        <f t="shared" si="3"/>
        <v>plaid crimson</v>
      </c>
      <c r="D76" s="3" t="str">
        <f t="shared" si="17"/>
        <v>ZZZ</v>
      </c>
      <c r="E76" s="3" t="b">
        <f t="array" ref="E76">OR(ISNUMBER(SEARCH(D$2:D$30,$B76,5)))</f>
        <v>0</v>
      </c>
      <c r="G76" s="3" t="str">
        <f t="shared" si="4"/>
        <v>ZZZ</v>
      </c>
      <c r="H76" s="3" t="b">
        <f t="array" ref="H76">OR(ISNUMBER(SEARCH(G$2:G$30,$B76,5)))</f>
        <v>0</v>
      </c>
      <c r="J76" s="3" t="str">
        <f t="shared" si="5"/>
        <v>ZZZ</v>
      </c>
      <c r="K76" s="3" t="b">
        <f t="array" ref="K76">OR(ISNUMBER(SEARCH(J$2:J$30,$B76,5)))</f>
        <v>0</v>
      </c>
      <c r="M76" s="3" t="str">
        <f t="shared" si="6"/>
        <v>ZZZ</v>
      </c>
      <c r="N76" s="3" t="b">
        <f t="array" ref="N76">OR(ISNUMBER(SEARCH(M$2:M$30,$B76,5)))</f>
        <v>0</v>
      </c>
      <c r="P76" s="3" t="str">
        <f t="shared" si="7"/>
        <v>ZZZ</v>
      </c>
      <c r="Q76" s="3" t="b">
        <f t="array" ref="Q76">OR(ISNUMBER(SEARCH(P$2:P$50,$B76,5)))</f>
        <v>0</v>
      </c>
      <c r="S76" s="3" t="str">
        <f t="shared" si="8"/>
        <v>ZZZ</v>
      </c>
      <c r="T76" s="3" t="b">
        <f t="array" ref="T76">OR(ISNUMBER(SEARCH(S$2:S$100,$B76,5)))</f>
        <v>1</v>
      </c>
      <c r="V76" s="3" t="str">
        <f t="shared" si="9"/>
        <v>ZZZ</v>
      </c>
      <c r="W76" s="3" t="b">
        <f t="array" ref="W76">OR(ISNUMBER(SEARCH(V$2:V$100,$B76,5)))</f>
        <v>0</v>
      </c>
      <c r="Y76" s="3" t="str">
        <f t="shared" si="10"/>
        <v>ZZZ</v>
      </c>
      <c r="Z76" s="3" t="b">
        <f t="array" ref="Z76">OR(ISNUMBER(SEARCH(Y$2:Y$100,$B76,5)))</f>
        <v>1</v>
      </c>
      <c r="AB76" s="3" t="str">
        <f t="shared" si="11"/>
        <v>ZZZ</v>
      </c>
      <c r="AC76" s="3" t="b">
        <f t="array" ref="AC76">OR(ISNUMBER(SEARCH(AB$2:AB$100,$B76,5)))</f>
        <v>1</v>
      </c>
      <c r="AE76" s="3" t="str">
        <f t="shared" si="12"/>
        <v>ZZZ</v>
      </c>
      <c r="AF76" s="3" t="b">
        <f t="array" ref="AF76">OR(ISNUMBER(SEARCH(AE$2:AE$100,$B76,5)))</f>
        <v>0</v>
      </c>
      <c r="AH76" s="3" t="str">
        <f t="shared" si="13"/>
        <v>ZZZ</v>
      </c>
      <c r="AI76" s="3" t="b">
        <f t="array" ref="AI76">OR(ISNUMBER(SEARCH(AH$2:AH$100,$B76,5)))</f>
        <v>0</v>
      </c>
      <c r="AK76" s="3" t="str">
        <f t="shared" si="14"/>
        <v>ZZZ</v>
      </c>
      <c r="AL76" s="3" t="b">
        <f t="array" ref="AL76">OR(ISNUMBER(SEARCH(AK$2:AK$100,$B76,5)))</f>
        <v>0</v>
      </c>
      <c r="AP76" s="3" t="str">
        <f t="shared" ref="AP76:AZ76" si="89">INDEX($A$1:$AN$600,ROW(),COLUMN()*3-120)</f>
        <v/>
      </c>
      <c r="AQ76" s="3" t="str">
        <f t="shared" si="89"/>
        <v/>
      </c>
      <c r="AR76" s="3" t="str">
        <f t="shared" si="89"/>
        <v/>
      </c>
      <c r="AS76" s="3" t="str">
        <f t="shared" si="89"/>
        <v/>
      </c>
      <c r="AT76" s="3" t="str">
        <f t="shared" si="89"/>
        <v/>
      </c>
      <c r="AU76" s="3" t="str">
        <f t="shared" si="89"/>
        <v/>
      </c>
      <c r="AV76" s="3" t="str">
        <f t="shared" si="89"/>
        <v/>
      </c>
      <c r="AW76" s="3" t="str">
        <f t="shared" si="89"/>
        <v/>
      </c>
      <c r="AX76" s="3" t="str">
        <f t="shared" si="89"/>
        <v/>
      </c>
      <c r="AY76" s="3" t="str">
        <f t="shared" si="89"/>
        <v/>
      </c>
      <c r="AZ76" s="3" t="str">
        <f t="shared" si="89"/>
        <v/>
      </c>
      <c r="BA76" s="8"/>
      <c r="BB76" s="6" t="str">
        <f>IFERROR(__xludf.DUMMYFUNCTION("""COMPUTED_VALUE"""),"striped turquoise")</f>
        <v>striped turquoise</v>
      </c>
      <c r="BC76" s="8" t="str">
        <f>IFERROR(__xludf.DUMMYFUNCTION("""COMPUTED_VALUE"""),"shiny blue")</f>
        <v>shiny blue</v>
      </c>
      <c r="BD76" s="8"/>
      <c r="BE76" s="6"/>
      <c r="BF76" s="8"/>
      <c r="BG76" s="8"/>
      <c r="BH76" s="6"/>
      <c r="BI76" s="8"/>
      <c r="BJ76" s="8"/>
      <c r="BK76" s="6"/>
      <c r="BL76" s="8"/>
      <c r="BM76" s="8"/>
      <c r="BN76" s="6"/>
      <c r="BO76" s="8"/>
      <c r="BP76" s="8"/>
      <c r="BQ76" s="6"/>
      <c r="BR76" s="8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</row>
    <row r="77">
      <c r="A77" s="6"/>
      <c r="B77" s="6" t="s">
        <v>77</v>
      </c>
      <c r="C77" s="3" t="str">
        <f t="shared" si="3"/>
        <v>dim turquoise</v>
      </c>
      <c r="D77" s="3" t="str">
        <f t="shared" si="17"/>
        <v>ZZZ</v>
      </c>
      <c r="E77" s="3" t="b">
        <f t="array" ref="E77">OR(ISNUMBER(SEARCH(D$2:D$30,$B77,5)))</f>
        <v>0</v>
      </c>
      <c r="G77" s="3" t="str">
        <f t="shared" si="4"/>
        <v>ZZZ</v>
      </c>
      <c r="H77" s="3" t="b">
        <f t="array" ref="H77">OR(ISNUMBER(SEARCH(G$2:G$30,$B77,5)))</f>
        <v>0</v>
      </c>
      <c r="J77" s="3" t="str">
        <f t="shared" si="5"/>
        <v>ZZZ</v>
      </c>
      <c r="K77" s="3" t="b">
        <f t="array" ref="K77">OR(ISNUMBER(SEARCH(J$2:J$30,$B77,5)))</f>
        <v>0</v>
      </c>
      <c r="M77" s="3" t="str">
        <f t="shared" si="6"/>
        <v>ZZZ</v>
      </c>
      <c r="N77" s="3" t="b">
        <f t="array" ref="N77">OR(ISNUMBER(SEARCH(M$2:M$30,$B77,5)))</f>
        <v>0</v>
      </c>
      <c r="P77" s="3" t="str">
        <f t="shared" si="7"/>
        <v>ZZZ</v>
      </c>
      <c r="Q77" s="3" t="b">
        <f t="array" ref="Q77">OR(ISNUMBER(SEARCH(P$2:P$50,$B77,5)))</f>
        <v>0</v>
      </c>
      <c r="S77" s="3" t="str">
        <f t="shared" si="8"/>
        <v>ZZZ</v>
      </c>
      <c r="T77" s="3" t="b">
        <f t="array" ref="T77">OR(ISNUMBER(SEARCH(S$2:S$100,$B77,5)))</f>
        <v>0</v>
      </c>
      <c r="V77" s="3" t="str">
        <f t="shared" si="9"/>
        <v>ZZZ</v>
      </c>
      <c r="W77" s="3" t="b">
        <f t="array" ref="W77">OR(ISNUMBER(SEARCH(V$2:V$100,$B77,5)))</f>
        <v>0</v>
      </c>
      <c r="Y77" s="3" t="str">
        <f t="shared" si="10"/>
        <v>ZZZ</v>
      </c>
      <c r="Z77" s="3" t="b">
        <f t="array" ref="Z77">OR(ISNUMBER(SEARCH(Y$2:Y$100,$B77,5)))</f>
        <v>0</v>
      </c>
      <c r="AB77" s="3" t="str">
        <f t="shared" si="11"/>
        <v>ZZZ</v>
      </c>
      <c r="AC77" s="3" t="b">
        <f t="array" ref="AC77">OR(ISNUMBER(SEARCH(AB$2:AB$100,$B77,5)))</f>
        <v>0</v>
      </c>
      <c r="AE77" s="3" t="str">
        <f t="shared" si="12"/>
        <v>ZZZ</v>
      </c>
      <c r="AF77" s="3" t="b">
        <f t="array" ref="AF77">OR(ISNUMBER(SEARCH(AE$2:AE$100,$B77,5)))</f>
        <v>0</v>
      </c>
      <c r="AH77" s="3" t="str">
        <f t="shared" si="13"/>
        <v>ZZZ</v>
      </c>
      <c r="AI77" s="3" t="b">
        <f t="array" ref="AI77">OR(ISNUMBER(SEARCH(AH$2:AH$100,$B77,5)))</f>
        <v>0</v>
      </c>
      <c r="AK77" s="3" t="str">
        <f t="shared" si="14"/>
        <v>ZZZ</v>
      </c>
      <c r="AL77" s="3" t="b">
        <f t="array" ref="AL77">OR(ISNUMBER(SEARCH(AK$2:AK$100,$B77,5)))</f>
        <v>0</v>
      </c>
      <c r="AP77" s="3" t="str">
        <f t="shared" ref="AP77:AZ77" si="90">INDEX($A$1:$AN$600,ROW(),COLUMN()*3-120)</f>
        <v/>
      </c>
      <c r="AQ77" s="3" t="str">
        <f t="shared" si="90"/>
        <v/>
      </c>
      <c r="AR77" s="3" t="str">
        <f t="shared" si="90"/>
        <v/>
      </c>
      <c r="AS77" s="3" t="str">
        <f t="shared" si="90"/>
        <v/>
      </c>
      <c r="AT77" s="3" t="str">
        <f t="shared" si="90"/>
        <v/>
      </c>
      <c r="AU77" s="3" t="str">
        <f t="shared" si="90"/>
        <v/>
      </c>
      <c r="AV77" s="3" t="str">
        <f t="shared" si="90"/>
        <v/>
      </c>
      <c r="AW77" s="3" t="str">
        <f t="shared" si="90"/>
        <v/>
      </c>
      <c r="AX77" s="3" t="str">
        <f t="shared" si="90"/>
        <v/>
      </c>
      <c r="AY77" s="3" t="str">
        <f t="shared" si="90"/>
        <v/>
      </c>
      <c r="AZ77" s="3" t="str">
        <f t="shared" si="90"/>
        <v/>
      </c>
      <c r="BA77" s="8"/>
      <c r="BB77" s="6" t="str">
        <f>IFERROR(__xludf.DUMMYFUNCTION("""COMPUTED_VALUE"""),"plaid crimson")</f>
        <v>plaid crimson</v>
      </c>
      <c r="BC77" s="8" t="str">
        <f>IFERROR(__xludf.DUMMYFUNCTION("""COMPUTED_VALUE"""),"plaid olive")</f>
        <v>plaid olive</v>
      </c>
      <c r="BD77" s="8"/>
      <c r="BE77" s="6"/>
      <c r="BF77" s="8"/>
      <c r="BG77" s="8"/>
      <c r="BH77" s="6"/>
      <c r="BI77" s="8"/>
      <c r="BJ77" s="8"/>
      <c r="BK77" s="6"/>
      <c r="BL77" s="8"/>
      <c r="BM77" s="8"/>
      <c r="BN77" s="6"/>
      <c r="BO77" s="8"/>
      <c r="BP77" s="8"/>
      <c r="BQ77" s="6"/>
      <c r="BR77" s="8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</row>
    <row r="78">
      <c r="A78" s="6"/>
      <c r="B78" s="6" t="s">
        <v>78</v>
      </c>
      <c r="C78" s="3" t="str">
        <f t="shared" si="3"/>
        <v>clear crimson</v>
      </c>
      <c r="D78" s="3" t="str">
        <f t="shared" si="17"/>
        <v>ZZZ</v>
      </c>
      <c r="E78" s="3" t="b">
        <f t="array" ref="E78">OR(ISNUMBER(SEARCH(D$2:D$30,$B78,5)))</f>
        <v>0</v>
      </c>
      <c r="G78" s="3" t="str">
        <f t="shared" si="4"/>
        <v>ZZZ</v>
      </c>
      <c r="H78" s="3" t="b">
        <f t="array" ref="H78">OR(ISNUMBER(SEARCH(G$2:G$30,$B78,5)))</f>
        <v>0</v>
      </c>
      <c r="J78" s="3" t="str">
        <f t="shared" si="5"/>
        <v>ZZZ</v>
      </c>
      <c r="K78" s="3" t="b">
        <f t="array" ref="K78">OR(ISNUMBER(SEARCH(J$2:J$30,$B78,5)))</f>
        <v>0</v>
      </c>
      <c r="M78" s="3" t="str">
        <f t="shared" si="6"/>
        <v>ZZZ</v>
      </c>
      <c r="N78" s="3" t="b">
        <f t="array" ref="N78">OR(ISNUMBER(SEARCH(M$2:M$30,$B78,5)))</f>
        <v>0</v>
      </c>
      <c r="P78" s="3" t="str">
        <f t="shared" si="7"/>
        <v>ZZZ</v>
      </c>
      <c r="Q78" s="3" t="b">
        <f t="array" ref="Q78">OR(ISNUMBER(SEARCH(P$2:P$50,$B78,5)))</f>
        <v>0</v>
      </c>
      <c r="S78" s="3" t="str">
        <f t="shared" si="8"/>
        <v>ZZZ</v>
      </c>
      <c r="T78" s="3" t="b">
        <f t="array" ref="T78">OR(ISNUMBER(SEARCH(S$2:S$100,$B78,5)))</f>
        <v>0</v>
      </c>
      <c r="V78" s="3" t="str">
        <f t="shared" si="9"/>
        <v>ZZZ</v>
      </c>
      <c r="W78" s="3" t="b">
        <f t="array" ref="W78">OR(ISNUMBER(SEARCH(V$2:V$100,$B78,5)))</f>
        <v>0</v>
      </c>
      <c r="Y78" s="3" t="str">
        <f t="shared" si="10"/>
        <v>ZZZ</v>
      </c>
      <c r="Z78" s="3" t="b">
        <f t="array" ref="Z78">OR(ISNUMBER(SEARCH(Y$2:Y$100,$B78,5)))</f>
        <v>0</v>
      </c>
      <c r="AB78" s="3" t="str">
        <f t="shared" si="11"/>
        <v>ZZZ</v>
      </c>
      <c r="AC78" s="3" t="b">
        <f t="array" ref="AC78">OR(ISNUMBER(SEARCH(AB$2:AB$100,$B78,5)))</f>
        <v>0</v>
      </c>
      <c r="AE78" s="3" t="str">
        <f t="shared" si="12"/>
        <v>ZZZ</v>
      </c>
      <c r="AF78" s="3" t="b">
        <f t="array" ref="AF78">OR(ISNUMBER(SEARCH(AE$2:AE$100,$B78,5)))</f>
        <v>0</v>
      </c>
      <c r="AH78" s="3" t="str">
        <f t="shared" si="13"/>
        <v>ZZZ</v>
      </c>
      <c r="AI78" s="3" t="b">
        <f t="array" ref="AI78">OR(ISNUMBER(SEARCH(AH$2:AH$100,$B78,5)))</f>
        <v>0</v>
      </c>
      <c r="AK78" s="3" t="str">
        <f t="shared" si="14"/>
        <v>ZZZ</v>
      </c>
      <c r="AL78" s="3" t="b">
        <f t="array" ref="AL78">OR(ISNUMBER(SEARCH(AK$2:AK$100,$B78,5)))</f>
        <v>0</v>
      </c>
      <c r="AP78" s="3" t="str">
        <f t="shared" ref="AP78:AZ78" si="91">INDEX($A$1:$AN$600,ROW(),COLUMN()*3-120)</f>
        <v/>
      </c>
      <c r="AQ78" s="3" t="str">
        <f t="shared" si="91"/>
        <v/>
      </c>
      <c r="AR78" s="3" t="str">
        <f t="shared" si="91"/>
        <v/>
      </c>
      <c r="AS78" s="3" t="str">
        <f t="shared" si="91"/>
        <v/>
      </c>
      <c r="AT78" s="3" t="str">
        <f t="shared" si="91"/>
        <v/>
      </c>
      <c r="AU78" s="3" t="str">
        <f t="shared" si="91"/>
        <v/>
      </c>
      <c r="AV78" s="3" t="str">
        <f t="shared" si="91"/>
        <v/>
      </c>
      <c r="AW78" s="3" t="str">
        <f t="shared" si="91"/>
        <v/>
      </c>
      <c r="AX78" s="3" t="str">
        <f t="shared" si="91"/>
        <v/>
      </c>
      <c r="AY78" s="3" t="str">
        <f t="shared" si="91"/>
        <v/>
      </c>
      <c r="AZ78" s="3" t="str">
        <f t="shared" si="91"/>
        <v/>
      </c>
      <c r="BA78" s="8"/>
      <c r="BB78" s="6" t="str">
        <f>IFERROR(__xludf.DUMMYFUNCTION("""COMPUTED_VALUE"""),"light gray")</f>
        <v>light gray</v>
      </c>
      <c r="BC78" s="8" t="str">
        <f>IFERROR(__xludf.DUMMYFUNCTION("""COMPUTED_VALUE"""),"plaid magenta")</f>
        <v>plaid magenta</v>
      </c>
      <c r="BD78" s="8"/>
      <c r="BE78" s="6"/>
      <c r="BF78" s="8"/>
      <c r="BG78" s="8"/>
      <c r="BH78" s="6"/>
      <c r="BI78" s="8"/>
      <c r="BJ78" s="8"/>
      <c r="BK78" s="6"/>
      <c r="BL78" s="8"/>
      <c r="BM78" s="8"/>
      <c r="BN78" s="6"/>
      <c r="BO78" s="8"/>
      <c r="BP78" s="8"/>
      <c r="BQ78" s="6"/>
      <c r="BR78" s="8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</row>
    <row r="79">
      <c r="A79" s="6"/>
      <c r="B79" s="6" t="s">
        <v>79</v>
      </c>
      <c r="C79" s="3" t="str">
        <f t="shared" si="3"/>
        <v>pale tomato</v>
      </c>
      <c r="D79" s="3" t="str">
        <f t="shared" si="17"/>
        <v>ZZZ</v>
      </c>
      <c r="E79" s="3" t="b">
        <f t="array" ref="E79">OR(ISNUMBER(SEARCH(D$2:D$30,$B79,5)))</f>
        <v>0</v>
      </c>
      <c r="G79" s="3" t="str">
        <f t="shared" si="4"/>
        <v>ZZZ</v>
      </c>
      <c r="H79" s="3" t="b">
        <f t="array" ref="H79">OR(ISNUMBER(SEARCH(G$2:G$30,$B79,5)))</f>
        <v>0</v>
      </c>
      <c r="J79" s="3" t="str">
        <f t="shared" si="5"/>
        <v>ZZZ</v>
      </c>
      <c r="K79" s="3" t="b">
        <f t="array" ref="K79">OR(ISNUMBER(SEARCH(J$2:J$30,$B79,5)))</f>
        <v>0</v>
      </c>
      <c r="M79" s="3" t="str">
        <f t="shared" si="6"/>
        <v>ZZZ</v>
      </c>
      <c r="N79" s="3" t="b">
        <f t="array" ref="N79">OR(ISNUMBER(SEARCH(M$2:M$30,$B79,5)))</f>
        <v>0</v>
      </c>
      <c r="P79" s="3" t="str">
        <f t="shared" si="7"/>
        <v>ZZZ</v>
      </c>
      <c r="Q79" s="3" t="b">
        <f t="array" ref="Q79">OR(ISNUMBER(SEARCH(P$2:P$50,$B79,5)))</f>
        <v>0</v>
      </c>
      <c r="S79" s="3" t="str">
        <f t="shared" si="8"/>
        <v>ZZZ</v>
      </c>
      <c r="T79" s="3" t="b">
        <f t="array" ref="T79">OR(ISNUMBER(SEARCH(S$2:S$100,$B79,5)))</f>
        <v>0</v>
      </c>
      <c r="V79" s="3" t="str">
        <f t="shared" si="9"/>
        <v>ZZZ</v>
      </c>
      <c r="W79" s="3" t="b">
        <f t="array" ref="W79">OR(ISNUMBER(SEARCH(V$2:V$100,$B79,5)))</f>
        <v>0</v>
      </c>
      <c r="Y79" s="3" t="str">
        <f t="shared" si="10"/>
        <v>ZZZ</v>
      </c>
      <c r="Z79" s="3" t="b">
        <f t="array" ref="Z79">OR(ISNUMBER(SEARCH(Y$2:Y$100,$B79,5)))</f>
        <v>0</v>
      </c>
      <c r="AB79" s="3" t="str">
        <f t="shared" si="11"/>
        <v>ZZZ</v>
      </c>
      <c r="AC79" s="3" t="b">
        <f t="array" ref="AC79">OR(ISNUMBER(SEARCH(AB$2:AB$100,$B79,5)))</f>
        <v>0</v>
      </c>
      <c r="AE79" s="3" t="str">
        <f t="shared" si="12"/>
        <v>ZZZ</v>
      </c>
      <c r="AF79" s="3" t="b">
        <f t="array" ref="AF79">OR(ISNUMBER(SEARCH(AE$2:AE$100,$B79,5)))</f>
        <v>0</v>
      </c>
      <c r="AH79" s="3" t="str">
        <f t="shared" si="13"/>
        <v>ZZZ</v>
      </c>
      <c r="AI79" s="3" t="b">
        <f t="array" ref="AI79">OR(ISNUMBER(SEARCH(AH$2:AH$100,$B79,5)))</f>
        <v>0</v>
      </c>
      <c r="AK79" s="3" t="str">
        <f t="shared" si="14"/>
        <v>ZZZ</v>
      </c>
      <c r="AL79" s="3" t="b">
        <f t="array" ref="AL79">OR(ISNUMBER(SEARCH(AK$2:AK$100,$B79,5)))</f>
        <v>0</v>
      </c>
      <c r="AU79" s="8"/>
      <c r="AV79" s="6"/>
      <c r="AW79" s="8"/>
      <c r="AX79" s="8"/>
      <c r="AY79" s="6"/>
      <c r="AZ79" s="8"/>
      <c r="BA79" s="8"/>
      <c r="BB79" s="6" t="str">
        <f>IFERROR(__xludf.DUMMYFUNCTION("""COMPUTED_VALUE"""),"striped orange")</f>
        <v>striped orange</v>
      </c>
      <c r="BC79" s="8" t="str">
        <f>IFERROR(__xludf.DUMMYFUNCTION("""COMPUTED_VALUE"""),"pale orange")</f>
        <v>pale orange</v>
      </c>
      <c r="BD79" s="8"/>
      <c r="BE79" s="6"/>
      <c r="BF79" s="8"/>
      <c r="BG79" s="8"/>
      <c r="BH79" s="6"/>
      <c r="BI79" s="8"/>
      <c r="BJ79" s="8"/>
      <c r="BK79" s="6"/>
      <c r="BL79" s="8"/>
      <c r="BM79" s="8"/>
      <c r="BN79" s="6"/>
      <c r="BO79" s="8"/>
      <c r="BP79" s="8"/>
      <c r="BQ79" s="6"/>
      <c r="BR79" s="8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</row>
    <row r="80">
      <c r="A80" s="6"/>
      <c r="B80" s="6" t="s">
        <v>80</v>
      </c>
      <c r="C80" s="3" t="str">
        <f t="shared" si="3"/>
        <v>dim orange</v>
      </c>
      <c r="D80" s="3" t="str">
        <f t="shared" si="17"/>
        <v>ZZZ</v>
      </c>
      <c r="E80" s="3" t="b">
        <f t="array" ref="E80">OR(ISNUMBER(SEARCH(D$2:D$30,$B80,5)))</f>
        <v>0</v>
      </c>
      <c r="G80" s="3" t="str">
        <f t="shared" si="4"/>
        <v>ZZZ</v>
      </c>
      <c r="H80" s="3" t="b">
        <f t="array" ref="H80">OR(ISNUMBER(SEARCH(G$2:G$30,$B80,5)))</f>
        <v>0</v>
      </c>
      <c r="J80" s="3" t="str">
        <f t="shared" si="5"/>
        <v>ZZZ</v>
      </c>
      <c r="K80" s="3" t="b">
        <f t="array" ref="K80">OR(ISNUMBER(SEARCH(J$2:J$30,$B80,5)))</f>
        <v>0</v>
      </c>
      <c r="M80" s="3" t="str">
        <f t="shared" si="6"/>
        <v>ZZZ</v>
      </c>
      <c r="N80" s="3" t="b">
        <f t="array" ref="N80">OR(ISNUMBER(SEARCH(M$2:M$30,$B80,5)))</f>
        <v>0</v>
      </c>
      <c r="P80" s="3" t="str">
        <f t="shared" si="7"/>
        <v>ZZZ</v>
      </c>
      <c r="Q80" s="3" t="b">
        <f t="array" ref="Q80">OR(ISNUMBER(SEARCH(P$2:P$50,$B80,5)))</f>
        <v>0</v>
      </c>
      <c r="S80" s="3" t="str">
        <f t="shared" si="8"/>
        <v>ZZZ</v>
      </c>
      <c r="T80" s="3" t="b">
        <f t="array" ref="T80">OR(ISNUMBER(SEARCH(S$2:S$100,$B80,5)))</f>
        <v>0</v>
      </c>
      <c r="V80" s="3" t="str">
        <f t="shared" si="9"/>
        <v>ZZZ</v>
      </c>
      <c r="W80" s="3" t="b">
        <f t="array" ref="W80">OR(ISNUMBER(SEARCH(V$2:V$100,$B80,5)))</f>
        <v>0</v>
      </c>
      <c r="Y80" s="3" t="str">
        <f t="shared" si="10"/>
        <v>ZZZ</v>
      </c>
      <c r="Z80" s="3" t="b">
        <f t="array" ref="Z80">OR(ISNUMBER(SEARCH(Y$2:Y$100,$B80,5)))</f>
        <v>0</v>
      </c>
      <c r="AB80" s="3" t="str">
        <f t="shared" si="11"/>
        <v>ZZZ</v>
      </c>
      <c r="AC80" s="3" t="b">
        <f t="array" ref="AC80">OR(ISNUMBER(SEARCH(AB$2:AB$100,$B80,5)))</f>
        <v>1</v>
      </c>
      <c r="AE80" s="3" t="str">
        <f t="shared" si="12"/>
        <v>ZZZ</v>
      </c>
      <c r="AF80" s="3" t="b">
        <f t="array" ref="AF80">OR(ISNUMBER(SEARCH(AE$2:AE$100,$B80,5)))</f>
        <v>0</v>
      </c>
      <c r="AH80" s="3" t="str">
        <f t="shared" si="13"/>
        <v>ZZZ</v>
      </c>
      <c r="AI80" s="3" t="b">
        <f t="array" ref="AI80">OR(ISNUMBER(SEARCH(AH$2:AH$100,$B80,5)))</f>
        <v>0</v>
      </c>
      <c r="AK80" s="3" t="str">
        <f t="shared" si="14"/>
        <v>ZZZ</v>
      </c>
      <c r="AL80" s="3" t="b">
        <f t="array" ref="AL80">OR(ISNUMBER(SEARCH(AK$2:AK$100,$B80,5)))</f>
        <v>0</v>
      </c>
      <c r="AU80" s="8"/>
      <c r="AV80" s="6"/>
      <c r="AW80" s="8"/>
      <c r="AX80" s="8"/>
      <c r="AY80" s="6"/>
      <c r="AZ80" s="8"/>
      <c r="BA80" s="8"/>
      <c r="BB80" s="6" t="str">
        <f>IFERROR(__xludf.DUMMYFUNCTION("""COMPUTED_VALUE"""),"light turquoise")</f>
        <v>light turquoise</v>
      </c>
      <c r="BC80" s="8" t="str">
        <f>IFERROR(__xludf.DUMMYFUNCTION("""COMPUTED_VALUE"""),"dim gold")</f>
        <v>dim gold</v>
      </c>
      <c r="BD80" s="8"/>
      <c r="BE80" s="6"/>
      <c r="BF80" s="8"/>
      <c r="BG80" s="8"/>
      <c r="BH80" s="6"/>
      <c r="BI80" s="8"/>
      <c r="BJ80" s="8"/>
      <c r="BK80" s="6"/>
      <c r="BL80" s="8"/>
      <c r="BM80" s="8"/>
      <c r="BN80" s="6"/>
      <c r="BO80" s="8"/>
      <c r="BP80" s="8"/>
      <c r="BQ80" s="6"/>
      <c r="BR80" s="8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</row>
    <row r="81">
      <c r="A81" s="6"/>
      <c r="B81" s="6" t="s">
        <v>81</v>
      </c>
      <c r="C81" s="3" t="str">
        <f t="shared" si="3"/>
        <v>mirrored orange</v>
      </c>
      <c r="D81" s="3" t="str">
        <f t="shared" si="17"/>
        <v>ZZZ</v>
      </c>
      <c r="E81" s="3" t="b">
        <f t="array" ref="E81">OR(ISNUMBER(SEARCH(D$2:D$30,$B81,5)))</f>
        <v>0</v>
      </c>
      <c r="G81" s="3" t="str">
        <f t="shared" si="4"/>
        <v>ZZZ</v>
      </c>
      <c r="H81" s="3" t="b">
        <f t="array" ref="H81">OR(ISNUMBER(SEARCH(G$2:G$30,$B81,5)))</f>
        <v>0</v>
      </c>
      <c r="J81" s="3" t="str">
        <f t="shared" si="5"/>
        <v>ZZZ</v>
      </c>
      <c r="K81" s="3" t="b">
        <f t="array" ref="K81">OR(ISNUMBER(SEARCH(J$2:J$30,$B81,5)))</f>
        <v>0</v>
      </c>
      <c r="M81" s="3" t="str">
        <f t="shared" si="6"/>
        <v>ZZZ</v>
      </c>
      <c r="N81" s="3" t="b">
        <f t="array" ref="N81">OR(ISNUMBER(SEARCH(M$2:M$30,$B81,5)))</f>
        <v>0</v>
      </c>
      <c r="P81" s="3" t="str">
        <f t="shared" si="7"/>
        <v>ZZZ</v>
      </c>
      <c r="Q81" s="3" t="b">
        <f t="array" ref="Q81">OR(ISNUMBER(SEARCH(P$2:P$50,$B81,5)))</f>
        <v>0</v>
      </c>
      <c r="S81" s="3" t="str">
        <f t="shared" si="8"/>
        <v>ZZZ</v>
      </c>
      <c r="T81" s="3" t="b">
        <f t="array" ref="T81">OR(ISNUMBER(SEARCH(S$2:S$100,$B81,5)))</f>
        <v>0</v>
      </c>
      <c r="V81" s="3" t="str">
        <f t="shared" si="9"/>
        <v>ZZZ</v>
      </c>
      <c r="W81" s="3" t="b">
        <f t="array" ref="W81">OR(ISNUMBER(SEARCH(V$2:V$100,$B81,5)))</f>
        <v>0</v>
      </c>
      <c r="Y81" s="3" t="str">
        <f t="shared" si="10"/>
        <v>ZZZ</v>
      </c>
      <c r="Z81" s="3" t="b">
        <f t="array" ref="Z81">OR(ISNUMBER(SEARCH(Y$2:Y$100,$B81,5)))</f>
        <v>0</v>
      </c>
      <c r="AB81" s="3" t="str">
        <f t="shared" si="11"/>
        <v>ZZZ</v>
      </c>
      <c r="AC81" s="3" t="b">
        <f t="array" ref="AC81">OR(ISNUMBER(SEARCH(AB$2:AB$100,$B81,5)))</f>
        <v>0</v>
      </c>
      <c r="AE81" s="3" t="str">
        <f t="shared" si="12"/>
        <v>ZZZ</v>
      </c>
      <c r="AF81" s="3" t="b">
        <f t="array" ref="AF81">OR(ISNUMBER(SEARCH(AE$2:AE$100,$B81,5)))</f>
        <v>0</v>
      </c>
      <c r="AH81" s="3" t="str">
        <f t="shared" si="13"/>
        <v>ZZZ</v>
      </c>
      <c r="AI81" s="3" t="b">
        <f t="array" ref="AI81">OR(ISNUMBER(SEARCH(AH$2:AH$100,$B81,5)))</f>
        <v>0</v>
      </c>
      <c r="AK81" s="3" t="str">
        <f t="shared" si="14"/>
        <v>ZZZ</v>
      </c>
      <c r="AL81" s="3" t="b">
        <f t="array" ref="AL81">OR(ISNUMBER(SEARCH(AK$2:AK$100,$B81,5)))</f>
        <v>0</v>
      </c>
      <c r="AU81" s="8"/>
      <c r="AV81" s="6"/>
      <c r="AW81" s="8"/>
      <c r="AX81" s="8"/>
      <c r="AY81" s="6"/>
      <c r="AZ81" s="8"/>
      <c r="BA81" s="8"/>
      <c r="BB81" s="6" t="str">
        <f>IFERROR(__xludf.DUMMYFUNCTION("""COMPUTED_VALUE"""),"pale green")</f>
        <v>pale green</v>
      </c>
      <c r="BC81" s="8" t="str">
        <f>IFERROR(__xludf.DUMMYFUNCTION("""COMPUTED_VALUE"""),"pale turquoise")</f>
        <v>pale turquoise</v>
      </c>
      <c r="BD81" s="8"/>
      <c r="BE81" s="6"/>
      <c r="BF81" s="8"/>
      <c r="BG81" s="8"/>
      <c r="BH81" s="6"/>
      <c r="BI81" s="8"/>
      <c r="BJ81" s="8"/>
      <c r="BK81" s="6"/>
      <c r="BL81" s="8"/>
      <c r="BM81" s="8"/>
      <c r="BN81" s="6"/>
      <c r="BO81" s="8"/>
      <c r="BP81" s="8"/>
      <c r="BQ81" s="6"/>
      <c r="BR81" s="8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</row>
    <row r="82">
      <c r="A82" s="6"/>
      <c r="B82" s="6" t="s">
        <v>82</v>
      </c>
      <c r="C82" s="3" t="str">
        <f t="shared" si="3"/>
        <v>striped turquoise</v>
      </c>
      <c r="D82" s="3" t="str">
        <f t="shared" si="17"/>
        <v>ZZZ</v>
      </c>
      <c r="E82" s="3" t="b">
        <f t="array" ref="E82">OR(ISNUMBER(SEARCH(D$2:D$30,$B82,5)))</f>
        <v>0</v>
      </c>
      <c r="G82" s="3" t="str">
        <f t="shared" si="4"/>
        <v>ZZZ</v>
      </c>
      <c r="H82" s="3" t="b">
        <f t="array" ref="H82">OR(ISNUMBER(SEARCH(G$2:G$30,$B82,5)))</f>
        <v>0</v>
      </c>
      <c r="J82" s="3" t="str">
        <f t="shared" si="5"/>
        <v>ZZZ</v>
      </c>
      <c r="K82" s="3" t="b">
        <f t="array" ref="K82">OR(ISNUMBER(SEARCH(J$2:J$30,$B82,5)))</f>
        <v>0</v>
      </c>
      <c r="M82" s="3" t="str">
        <f t="shared" si="6"/>
        <v>ZZZ</v>
      </c>
      <c r="N82" s="3" t="b">
        <f t="array" ref="N82">OR(ISNUMBER(SEARCH(M$2:M$30,$B82,5)))</f>
        <v>1</v>
      </c>
      <c r="P82" s="3" t="str">
        <f t="shared" si="7"/>
        <v>ZZZ</v>
      </c>
      <c r="Q82" s="3" t="b">
        <f t="array" ref="Q82">OR(ISNUMBER(SEARCH(P$2:P$50,$B82,5)))</f>
        <v>1</v>
      </c>
      <c r="S82" s="3" t="str">
        <f t="shared" si="8"/>
        <v>ZZZ</v>
      </c>
      <c r="T82" s="3" t="b">
        <f t="array" ref="T82">OR(ISNUMBER(SEARCH(S$2:S$100,$B82,5)))</f>
        <v>0</v>
      </c>
      <c r="V82" s="3" t="str">
        <f t="shared" si="9"/>
        <v>ZZZ</v>
      </c>
      <c r="W82" s="3" t="b">
        <f t="array" ref="W82">OR(ISNUMBER(SEARCH(V$2:V$100,$B82,5)))</f>
        <v>1</v>
      </c>
      <c r="Y82" s="3" t="str">
        <f t="shared" si="10"/>
        <v>ZZZ</v>
      </c>
      <c r="Z82" s="3" t="b">
        <f t="array" ref="Z82">OR(ISNUMBER(SEARCH(Y$2:Y$100,$B82,5)))</f>
        <v>1</v>
      </c>
      <c r="AB82" s="3" t="str">
        <f t="shared" si="11"/>
        <v>ZZZ</v>
      </c>
      <c r="AC82" s="3" t="b">
        <f t="array" ref="AC82">OR(ISNUMBER(SEARCH(AB$2:AB$100,$B82,5)))</f>
        <v>0</v>
      </c>
      <c r="AE82" s="3" t="str">
        <f t="shared" si="12"/>
        <v>ZZZ</v>
      </c>
      <c r="AF82" s="3" t="b">
        <f t="array" ref="AF82">OR(ISNUMBER(SEARCH(AE$2:AE$100,$B82,5)))</f>
        <v>0</v>
      </c>
      <c r="AH82" s="3" t="str">
        <f t="shared" si="13"/>
        <v>ZZZ</v>
      </c>
      <c r="AI82" s="3" t="b">
        <f t="array" ref="AI82">OR(ISNUMBER(SEARCH(AH$2:AH$100,$B82,5)))</f>
        <v>0</v>
      </c>
      <c r="AK82" s="3" t="str">
        <f t="shared" si="14"/>
        <v>ZZZ</v>
      </c>
      <c r="AL82" s="3" t="b">
        <f t="array" ref="AL82">OR(ISNUMBER(SEARCH(AK$2:AK$100,$B82,5)))</f>
        <v>0</v>
      </c>
      <c r="AU82" s="8"/>
      <c r="AV82" s="6"/>
      <c r="AW82" s="8"/>
      <c r="AX82" s="8"/>
      <c r="AY82" s="6"/>
      <c r="AZ82" s="8"/>
      <c r="BA82" s="8"/>
      <c r="BB82" s="6" t="str">
        <f>IFERROR(__xludf.DUMMYFUNCTION("""COMPUTED_VALUE"""),"light gray")</f>
        <v>light gray</v>
      </c>
      <c r="BC82" s="8" t="str">
        <f>IFERROR(__xludf.DUMMYFUNCTION("""COMPUTED_VALUE"""),"dotted red")</f>
        <v>dotted red</v>
      </c>
      <c r="BD82" s="8"/>
      <c r="BE82" s="6"/>
      <c r="BF82" s="8"/>
      <c r="BG82" s="8"/>
      <c r="BH82" s="6"/>
      <c r="BI82" s="8"/>
      <c r="BJ82" s="8"/>
      <c r="BK82" s="6"/>
      <c r="BL82" s="8"/>
      <c r="BM82" s="8"/>
      <c r="BN82" s="6"/>
      <c r="BO82" s="8"/>
      <c r="BP82" s="8"/>
      <c r="BQ82" s="6"/>
      <c r="BR82" s="8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</row>
    <row r="83">
      <c r="A83" s="6"/>
      <c r="B83" s="6" t="s">
        <v>83</v>
      </c>
      <c r="C83" s="3" t="str">
        <f t="shared" si="3"/>
        <v>dotted coral</v>
      </c>
      <c r="D83" s="3" t="str">
        <f t="shared" si="17"/>
        <v>ZZZ</v>
      </c>
      <c r="E83" s="3" t="b">
        <f t="array" ref="E83">OR(ISNUMBER(SEARCH(D$2:D$30,$B83,5)))</f>
        <v>0</v>
      </c>
      <c r="G83" s="3" t="str">
        <f t="shared" si="4"/>
        <v>ZZZ</v>
      </c>
      <c r="H83" s="3" t="b">
        <f t="array" ref="H83">OR(ISNUMBER(SEARCH(G$2:G$30,$B83,5)))</f>
        <v>0</v>
      </c>
      <c r="J83" s="3" t="str">
        <f t="shared" si="5"/>
        <v>ZZZ</v>
      </c>
      <c r="K83" s="3" t="b">
        <f t="array" ref="K83">OR(ISNUMBER(SEARCH(J$2:J$30,$B83,5)))</f>
        <v>0</v>
      </c>
      <c r="M83" s="3" t="str">
        <f t="shared" si="6"/>
        <v>ZZZ</v>
      </c>
      <c r="N83" s="3" t="b">
        <f t="array" ref="N83">OR(ISNUMBER(SEARCH(M$2:M$30,$B83,5)))</f>
        <v>0</v>
      </c>
      <c r="P83" s="3" t="str">
        <f t="shared" si="7"/>
        <v>ZZZ</v>
      </c>
      <c r="Q83" s="3" t="b">
        <f t="array" ref="Q83">OR(ISNUMBER(SEARCH(P$2:P$50,$B83,5)))</f>
        <v>0</v>
      </c>
      <c r="S83" s="3" t="str">
        <f t="shared" si="8"/>
        <v>ZZZ</v>
      </c>
      <c r="T83" s="3" t="b">
        <f t="array" ref="T83">OR(ISNUMBER(SEARCH(S$2:S$100,$B83,5)))</f>
        <v>0</v>
      </c>
      <c r="V83" s="3" t="str">
        <f t="shared" si="9"/>
        <v>ZZZ</v>
      </c>
      <c r="W83" s="3" t="b">
        <f t="array" ref="W83">OR(ISNUMBER(SEARCH(V$2:V$100,$B83,5)))</f>
        <v>0</v>
      </c>
      <c r="Y83" s="3" t="str">
        <f t="shared" si="10"/>
        <v>ZZZ</v>
      </c>
      <c r="Z83" s="3" t="b">
        <f t="array" ref="Z83">OR(ISNUMBER(SEARCH(Y$2:Y$100,$B83,5)))</f>
        <v>0</v>
      </c>
      <c r="AB83" s="3" t="str">
        <f t="shared" si="11"/>
        <v>ZZZ</v>
      </c>
      <c r="AC83" s="3" t="b">
        <f t="array" ref="AC83">OR(ISNUMBER(SEARCH(AB$2:AB$100,$B83,5)))</f>
        <v>0</v>
      </c>
      <c r="AE83" s="3" t="str">
        <f t="shared" si="12"/>
        <v>ZZZ</v>
      </c>
      <c r="AF83" s="3" t="b">
        <f t="array" ref="AF83">OR(ISNUMBER(SEARCH(AE$2:AE$100,$B83,5)))</f>
        <v>0</v>
      </c>
      <c r="AH83" s="3" t="str">
        <f t="shared" si="13"/>
        <v>ZZZ</v>
      </c>
      <c r="AI83" s="3" t="b">
        <f t="array" ref="AI83">OR(ISNUMBER(SEARCH(AH$2:AH$100,$B83,5)))</f>
        <v>0</v>
      </c>
      <c r="AK83" s="3" t="str">
        <f t="shared" si="14"/>
        <v>ZZZ</v>
      </c>
      <c r="AL83" s="3" t="b">
        <f t="array" ref="AL83">OR(ISNUMBER(SEARCH(AK$2:AK$100,$B83,5)))</f>
        <v>0</v>
      </c>
      <c r="AU83" s="8"/>
      <c r="AV83" s="6"/>
      <c r="AW83" s="8"/>
      <c r="AX83" s="8"/>
      <c r="AY83" s="6"/>
      <c r="AZ83" s="8"/>
      <c r="BA83" s="8"/>
      <c r="BB83" s="6" t="str">
        <f>IFERROR(__xludf.DUMMYFUNCTION("""COMPUTED_VALUE"""),"wavy indigo")</f>
        <v>wavy indigo</v>
      </c>
      <c r="BC83" s="8" t="str">
        <f>IFERROR(__xludf.DUMMYFUNCTION("""COMPUTED_VALUE"""),"muted gold")</f>
        <v>muted gold</v>
      </c>
      <c r="BD83" s="8"/>
      <c r="BE83" s="6"/>
      <c r="BF83" s="8"/>
      <c r="BG83" s="8"/>
      <c r="BH83" s="6"/>
      <c r="BI83" s="8"/>
      <c r="BJ83" s="8"/>
      <c r="BK83" s="6"/>
      <c r="BL83" s="8"/>
      <c r="BM83" s="8"/>
      <c r="BN83" s="6"/>
      <c r="BO83" s="8"/>
      <c r="BP83" s="8"/>
      <c r="BQ83" s="6"/>
      <c r="BR83" s="8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</row>
    <row r="84">
      <c r="A84" s="6"/>
      <c r="B84" s="6" t="s">
        <v>84</v>
      </c>
      <c r="C84" s="3" t="str">
        <f t="shared" si="3"/>
        <v>wavy maroon</v>
      </c>
      <c r="D84" s="3" t="str">
        <f t="shared" si="17"/>
        <v>ZZZ</v>
      </c>
      <c r="E84" s="3" t="b">
        <f t="array" ref="E84">OR(ISNUMBER(SEARCH(D$2:D$30,$B84,5)))</f>
        <v>0</v>
      </c>
      <c r="G84" s="3" t="str">
        <f t="shared" si="4"/>
        <v>ZZZ</v>
      </c>
      <c r="H84" s="3" t="b">
        <f t="array" ref="H84">OR(ISNUMBER(SEARCH(G$2:G$30,$B84,5)))</f>
        <v>0</v>
      </c>
      <c r="J84" s="3" t="str">
        <f t="shared" si="5"/>
        <v>ZZZ</v>
      </c>
      <c r="K84" s="3" t="b">
        <f t="array" ref="K84">OR(ISNUMBER(SEARCH(J$2:J$30,$B84,5)))</f>
        <v>0</v>
      </c>
      <c r="M84" s="3" t="str">
        <f t="shared" si="6"/>
        <v>ZZZ</v>
      </c>
      <c r="N84" s="3" t="b">
        <f t="array" ref="N84">OR(ISNUMBER(SEARCH(M$2:M$30,$B84,5)))</f>
        <v>0</v>
      </c>
      <c r="P84" s="3" t="str">
        <f t="shared" si="7"/>
        <v>ZZZ</v>
      </c>
      <c r="Q84" s="3" t="b">
        <f t="array" ref="Q84">OR(ISNUMBER(SEARCH(P$2:P$50,$B84,5)))</f>
        <v>0</v>
      </c>
      <c r="S84" s="3" t="str">
        <f t="shared" si="8"/>
        <v>ZZZ</v>
      </c>
      <c r="T84" s="3" t="b">
        <f t="array" ref="T84">OR(ISNUMBER(SEARCH(S$2:S$100,$B84,5)))</f>
        <v>0</v>
      </c>
      <c r="V84" s="3" t="str">
        <f t="shared" si="9"/>
        <v>ZZZ</v>
      </c>
      <c r="W84" s="3" t="b">
        <f t="array" ref="W84">OR(ISNUMBER(SEARCH(V$2:V$100,$B84,5)))</f>
        <v>0</v>
      </c>
      <c r="Y84" s="3" t="str">
        <f t="shared" si="10"/>
        <v>ZZZ</v>
      </c>
      <c r="Z84" s="3" t="b">
        <f t="array" ref="Z84">OR(ISNUMBER(SEARCH(Y$2:Y$100,$B84,5)))</f>
        <v>0</v>
      </c>
      <c r="AB84" s="3" t="str">
        <f t="shared" si="11"/>
        <v>ZZZ</v>
      </c>
      <c r="AC84" s="3" t="b">
        <f t="array" ref="AC84">OR(ISNUMBER(SEARCH(AB$2:AB$100,$B84,5)))</f>
        <v>0</v>
      </c>
      <c r="AE84" s="3" t="str">
        <f t="shared" si="12"/>
        <v>ZZZ</v>
      </c>
      <c r="AF84" s="3" t="b">
        <f t="array" ref="AF84">OR(ISNUMBER(SEARCH(AE$2:AE$100,$B84,5)))</f>
        <v>0</v>
      </c>
      <c r="AH84" s="3" t="str">
        <f t="shared" si="13"/>
        <v>ZZZ</v>
      </c>
      <c r="AI84" s="3" t="b">
        <f t="array" ref="AI84">OR(ISNUMBER(SEARCH(AH$2:AH$100,$B84,5)))</f>
        <v>0</v>
      </c>
      <c r="AK84" s="3" t="str">
        <f t="shared" si="14"/>
        <v>ZZZ</v>
      </c>
      <c r="AL84" s="3" t="b">
        <f t="array" ref="AL84">OR(ISNUMBER(SEARCH(AK$2:AK$100,$B84,5)))</f>
        <v>0</v>
      </c>
      <c r="AU84" s="8"/>
      <c r="AV84" s="6"/>
      <c r="AW84" s="8"/>
      <c r="AX84" s="8"/>
      <c r="AY84" s="6"/>
      <c r="AZ84" s="8"/>
      <c r="BA84" s="8"/>
      <c r="BB84" s="6" t="str">
        <f>IFERROR(__xludf.DUMMYFUNCTION("""COMPUTED_VALUE"""),"dim fuchsia")</f>
        <v>dim fuchsia</v>
      </c>
      <c r="BC84" s="8" t="str">
        <f>IFERROR(__xludf.DUMMYFUNCTION("""COMPUTED_VALUE"""),"wavy magenta")</f>
        <v>wavy magenta</v>
      </c>
      <c r="BD84" s="8"/>
      <c r="BE84" s="6"/>
      <c r="BF84" s="8"/>
      <c r="BG84" s="8"/>
      <c r="BH84" s="6"/>
      <c r="BI84" s="8"/>
      <c r="BJ84" s="8"/>
      <c r="BK84" s="6"/>
      <c r="BL84" s="8"/>
      <c r="BM84" s="8"/>
      <c r="BN84" s="6"/>
      <c r="BO84" s="8"/>
      <c r="BP84" s="8"/>
      <c r="BQ84" s="6"/>
      <c r="BR84" s="8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</row>
    <row r="85">
      <c r="A85" s="6"/>
      <c r="B85" s="6" t="s">
        <v>85</v>
      </c>
      <c r="C85" s="3" t="str">
        <f t="shared" si="3"/>
        <v>mirrored indigo</v>
      </c>
      <c r="D85" s="3" t="str">
        <f t="shared" si="17"/>
        <v>ZZZ</v>
      </c>
      <c r="E85" s="3" t="b">
        <f t="array" ref="E85">OR(ISNUMBER(SEARCH(D$2:D$30,$B85,5)))</f>
        <v>0</v>
      </c>
      <c r="G85" s="3" t="str">
        <f t="shared" si="4"/>
        <v>ZZZ</v>
      </c>
      <c r="H85" s="3" t="b">
        <f t="array" ref="H85">OR(ISNUMBER(SEARCH(G$2:G$30,$B85,5)))</f>
        <v>0</v>
      </c>
      <c r="J85" s="3" t="str">
        <f t="shared" si="5"/>
        <v>ZZZ</v>
      </c>
      <c r="K85" s="3" t="b">
        <f t="array" ref="K85">OR(ISNUMBER(SEARCH(J$2:J$30,$B85,5)))</f>
        <v>0</v>
      </c>
      <c r="M85" s="3" t="str">
        <f t="shared" si="6"/>
        <v>ZZZ</v>
      </c>
      <c r="N85" s="3" t="b">
        <f t="array" ref="N85">OR(ISNUMBER(SEARCH(M$2:M$30,$B85,5)))</f>
        <v>0</v>
      </c>
      <c r="P85" s="3" t="str">
        <f t="shared" si="7"/>
        <v>ZZZ</v>
      </c>
      <c r="Q85" s="3" t="b">
        <f t="array" ref="Q85">OR(ISNUMBER(SEARCH(P$2:P$50,$B85,5)))</f>
        <v>0</v>
      </c>
      <c r="S85" s="3" t="str">
        <f t="shared" si="8"/>
        <v>ZZZ</v>
      </c>
      <c r="T85" s="3" t="b">
        <f t="array" ref="T85">OR(ISNUMBER(SEARCH(S$2:S$100,$B85,5)))</f>
        <v>0</v>
      </c>
      <c r="V85" s="3" t="str">
        <f t="shared" si="9"/>
        <v>ZZZ</v>
      </c>
      <c r="W85" s="3" t="b">
        <f t="array" ref="W85">OR(ISNUMBER(SEARCH(V$2:V$100,$B85,5)))</f>
        <v>0</v>
      </c>
      <c r="Y85" s="3" t="str">
        <f t="shared" si="10"/>
        <v>ZZZ</v>
      </c>
      <c r="Z85" s="3" t="b">
        <f t="array" ref="Z85">OR(ISNUMBER(SEARCH(Y$2:Y$100,$B85,5)))</f>
        <v>0</v>
      </c>
      <c r="AB85" s="3" t="str">
        <f t="shared" si="11"/>
        <v>ZZZ</v>
      </c>
      <c r="AC85" s="3" t="b">
        <f t="array" ref="AC85">OR(ISNUMBER(SEARCH(AB$2:AB$100,$B85,5)))</f>
        <v>0</v>
      </c>
      <c r="AE85" s="3" t="str">
        <f t="shared" si="12"/>
        <v>ZZZ</v>
      </c>
      <c r="AF85" s="3" t="b">
        <f t="array" ref="AF85">OR(ISNUMBER(SEARCH(AE$2:AE$100,$B85,5)))</f>
        <v>0</v>
      </c>
      <c r="AH85" s="3" t="str">
        <f t="shared" si="13"/>
        <v>ZZZ</v>
      </c>
      <c r="AI85" s="3" t="b">
        <f t="array" ref="AI85">OR(ISNUMBER(SEARCH(AH$2:AH$100,$B85,5)))</f>
        <v>0</v>
      </c>
      <c r="AK85" s="3" t="str">
        <f t="shared" si="14"/>
        <v>ZZZ</v>
      </c>
      <c r="AL85" s="3" t="b">
        <f t="array" ref="AL85">OR(ISNUMBER(SEARCH(AK$2:AK$100,$B85,5)))</f>
        <v>0</v>
      </c>
      <c r="AU85" s="8"/>
      <c r="AV85" s="6"/>
      <c r="AW85" s="8"/>
      <c r="AX85" s="8"/>
      <c r="AY85" s="6"/>
      <c r="AZ85" s="8"/>
      <c r="BA85" s="8"/>
      <c r="BB85" s="6" t="str">
        <f>IFERROR(__xludf.DUMMYFUNCTION("""COMPUTED_VALUE"""),"faded gray")</f>
        <v>faded gray</v>
      </c>
      <c r="BC85" s="8" t="str">
        <f>IFERROR(__xludf.DUMMYFUNCTION("""COMPUTED_VALUE"""),"dull olive")</f>
        <v>dull olive</v>
      </c>
      <c r="BD85" s="8"/>
      <c r="BE85" s="6"/>
      <c r="BF85" s="8"/>
      <c r="BG85" s="8"/>
      <c r="BH85" s="6"/>
      <c r="BI85" s="8"/>
      <c r="BJ85" s="8"/>
      <c r="BK85" s="6"/>
      <c r="BL85" s="8"/>
      <c r="BM85" s="8"/>
      <c r="BN85" s="6"/>
      <c r="BO85" s="8"/>
      <c r="BP85" s="8"/>
      <c r="BQ85" s="6"/>
      <c r="BR85" s="8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</row>
    <row r="86">
      <c r="A86" s="6"/>
      <c r="B86" s="6" t="s">
        <v>86</v>
      </c>
      <c r="C86" s="3" t="str">
        <f t="shared" si="3"/>
        <v>wavy indigo</v>
      </c>
      <c r="D86" s="3" t="str">
        <f t="shared" si="17"/>
        <v>ZZZ</v>
      </c>
      <c r="E86" s="3" t="b">
        <f t="array" ref="E86">OR(ISNUMBER(SEARCH(D$2:D$30,$B86,5)))</f>
        <v>0</v>
      </c>
      <c r="G86" s="3" t="str">
        <f t="shared" si="4"/>
        <v>ZZZ</v>
      </c>
      <c r="H86" s="3" t="b">
        <f t="array" ref="H86">OR(ISNUMBER(SEARCH(G$2:G$30,$B86,5)))</f>
        <v>0</v>
      </c>
      <c r="J86" s="3" t="str">
        <f t="shared" si="5"/>
        <v>ZZZ</v>
      </c>
      <c r="K86" s="3" t="b">
        <f t="array" ref="K86">OR(ISNUMBER(SEARCH(J$2:J$30,$B86,5)))</f>
        <v>0</v>
      </c>
      <c r="M86" s="3" t="str">
        <f t="shared" si="6"/>
        <v>ZZZ</v>
      </c>
      <c r="N86" s="3" t="b">
        <f t="array" ref="N86">OR(ISNUMBER(SEARCH(M$2:M$30,$B86,5)))</f>
        <v>1</v>
      </c>
      <c r="P86" s="3" t="str">
        <f t="shared" si="7"/>
        <v>ZZZ</v>
      </c>
      <c r="Q86" s="3" t="b">
        <f t="array" ref="Q86">OR(ISNUMBER(SEARCH(P$2:P$50,$B86,5)))</f>
        <v>1</v>
      </c>
      <c r="S86" s="3" t="str">
        <f t="shared" si="8"/>
        <v>ZZZ</v>
      </c>
      <c r="T86" s="3" t="b">
        <f t="array" ref="T86">OR(ISNUMBER(SEARCH(S$2:S$100,$B86,5)))</f>
        <v>0</v>
      </c>
      <c r="V86" s="3" t="str">
        <f t="shared" si="9"/>
        <v>ZZZ</v>
      </c>
      <c r="W86" s="3" t="b">
        <f t="array" ref="W86">OR(ISNUMBER(SEARCH(V$2:V$100,$B86,5)))</f>
        <v>0</v>
      </c>
      <c r="Y86" s="3" t="str">
        <f t="shared" si="10"/>
        <v>ZZZ</v>
      </c>
      <c r="Z86" s="3" t="b">
        <f t="array" ref="Z86">OR(ISNUMBER(SEARCH(Y$2:Y$100,$B86,5)))</f>
        <v>0</v>
      </c>
      <c r="AB86" s="3" t="str">
        <f t="shared" si="11"/>
        <v>ZZZ</v>
      </c>
      <c r="AC86" s="3" t="b">
        <f t="array" ref="AC86">OR(ISNUMBER(SEARCH(AB$2:AB$100,$B86,5)))</f>
        <v>0</v>
      </c>
      <c r="AE86" s="3" t="str">
        <f t="shared" si="12"/>
        <v>ZZZ</v>
      </c>
      <c r="AF86" s="3" t="b">
        <f t="array" ref="AF86">OR(ISNUMBER(SEARCH(AE$2:AE$100,$B86,5)))</f>
        <v>0</v>
      </c>
      <c r="AH86" s="3" t="str">
        <f t="shared" si="13"/>
        <v>ZZZ</v>
      </c>
      <c r="AI86" s="3" t="b">
        <f t="array" ref="AI86">OR(ISNUMBER(SEARCH(AH$2:AH$100,$B86,5)))</f>
        <v>0</v>
      </c>
      <c r="AK86" s="3" t="str">
        <f t="shared" si="14"/>
        <v>ZZZ</v>
      </c>
      <c r="AL86" s="3" t="b">
        <f t="array" ref="AL86">OR(ISNUMBER(SEARCH(AK$2:AK$100,$B86,5)))</f>
        <v>0</v>
      </c>
      <c r="AU86" s="8"/>
      <c r="AV86" s="6"/>
      <c r="AW86" s="8"/>
      <c r="AX86" s="8"/>
      <c r="AY86" s="6"/>
      <c r="AZ86" s="8"/>
      <c r="BA86" s="8"/>
      <c r="BB86" s="6" t="str">
        <f>IFERROR(__xludf.DUMMYFUNCTION("""COMPUTED_VALUE"""),"dark silver")</f>
        <v>dark silver</v>
      </c>
      <c r="BC86" s="8" t="str">
        <f>IFERROR(__xludf.DUMMYFUNCTION("""COMPUTED_VALUE"""),"muted tan")</f>
        <v>muted tan</v>
      </c>
      <c r="BD86" s="8"/>
      <c r="BE86" s="6"/>
      <c r="BF86" s="8"/>
      <c r="BG86" s="8"/>
      <c r="BH86" s="6"/>
      <c r="BI86" s="8"/>
      <c r="BJ86" s="8"/>
      <c r="BK86" s="6"/>
      <c r="BL86" s="8"/>
      <c r="BM86" s="8"/>
      <c r="BN86" s="6"/>
      <c r="BO86" s="8"/>
      <c r="BP86" s="8"/>
      <c r="BQ86" s="6"/>
      <c r="BR86" s="8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</row>
    <row r="87">
      <c r="A87" s="6"/>
      <c r="B87" s="6" t="s">
        <v>87</v>
      </c>
      <c r="C87" s="3" t="str">
        <f t="shared" si="3"/>
        <v>striped tomato</v>
      </c>
      <c r="D87" s="3" t="str">
        <f t="shared" si="17"/>
        <v>ZZZ</v>
      </c>
      <c r="E87" s="3" t="b">
        <f t="array" ref="E87">OR(ISNUMBER(SEARCH(D$2:D$30,$B87,5)))</f>
        <v>0</v>
      </c>
      <c r="G87" s="3" t="str">
        <f t="shared" si="4"/>
        <v>ZZZ</v>
      </c>
      <c r="H87" s="3" t="b">
        <f t="array" ref="H87">OR(ISNUMBER(SEARCH(G$2:G$30,$B87,5)))</f>
        <v>0</v>
      </c>
      <c r="J87" s="3" t="str">
        <f t="shared" si="5"/>
        <v>ZZZ</v>
      </c>
      <c r="K87" s="3" t="b">
        <f t="array" ref="K87">OR(ISNUMBER(SEARCH(J$2:J$30,$B87,5)))</f>
        <v>0</v>
      </c>
      <c r="M87" s="3" t="str">
        <f t="shared" si="6"/>
        <v>ZZZ</v>
      </c>
      <c r="N87" s="3" t="b">
        <f t="array" ref="N87">OR(ISNUMBER(SEARCH(M$2:M$30,$B87,5)))</f>
        <v>0</v>
      </c>
      <c r="P87" s="3" t="str">
        <f t="shared" si="7"/>
        <v>ZZZ</v>
      </c>
      <c r="Q87" s="3" t="b">
        <f t="array" ref="Q87">OR(ISNUMBER(SEARCH(P$2:P$50,$B87,5)))</f>
        <v>0</v>
      </c>
      <c r="S87" s="3" t="str">
        <f t="shared" si="8"/>
        <v>ZZZ</v>
      </c>
      <c r="T87" s="3" t="b">
        <f t="array" ref="T87">OR(ISNUMBER(SEARCH(S$2:S$100,$B87,5)))</f>
        <v>0</v>
      </c>
      <c r="V87" s="3" t="str">
        <f t="shared" si="9"/>
        <v>ZZZ</v>
      </c>
      <c r="W87" s="3" t="b">
        <f t="array" ref="W87">OR(ISNUMBER(SEARCH(V$2:V$100,$B87,5)))</f>
        <v>0</v>
      </c>
      <c r="Y87" s="3" t="str">
        <f t="shared" si="10"/>
        <v>ZZZ</v>
      </c>
      <c r="Z87" s="3" t="b">
        <f t="array" ref="Z87">OR(ISNUMBER(SEARCH(Y$2:Y$100,$B87,5)))</f>
        <v>0</v>
      </c>
      <c r="AB87" s="3" t="str">
        <f t="shared" si="11"/>
        <v>ZZZ</v>
      </c>
      <c r="AC87" s="3" t="b">
        <f t="array" ref="AC87">OR(ISNUMBER(SEARCH(AB$2:AB$100,$B87,5)))</f>
        <v>0</v>
      </c>
      <c r="AE87" s="3" t="str">
        <f t="shared" si="12"/>
        <v>ZZZ</v>
      </c>
      <c r="AF87" s="3" t="b">
        <f t="array" ref="AF87">OR(ISNUMBER(SEARCH(AE$2:AE$100,$B87,5)))</f>
        <v>0</v>
      </c>
      <c r="AH87" s="3" t="str">
        <f t="shared" si="13"/>
        <v>ZZZ</v>
      </c>
      <c r="AI87" s="3" t="b">
        <f t="array" ref="AI87">OR(ISNUMBER(SEARCH(AH$2:AH$100,$B87,5)))</f>
        <v>0</v>
      </c>
      <c r="AK87" s="3" t="str">
        <f t="shared" si="14"/>
        <v>ZZZ</v>
      </c>
      <c r="AL87" s="3" t="b">
        <f t="array" ref="AL87">OR(ISNUMBER(SEARCH(AK$2:AK$100,$B87,5)))</f>
        <v>0</v>
      </c>
      <c r="AU87" s="8"/>
      <c r="AV87" s="6"/>
      <c r="AW87" s="8"/>
      <c r="AX87" s="8"/>
      <c r="AY87" s="6"/>
      <c r="AZ87" s="8"/>
      <c r="BA87" s="8"/>
      <c r="BB87" s="6" t="str">
        <f>IFERROR(__xludf.DUMMYFUNCTION("""COMPUTED_VALUE"""),"drab blue")</f>
        <v>drab blue</v>
      </c>
      <c r="BC87" s="8" t="str">
        <f>IFERROR(__xludf.DUMMYFUNCTION("""COMPUTED_VALUE"""),"light violet")</f>
        <v>light violet</v>
      </c>
      <c r="BD87" s="8"/>
      <c r="BE87" s="6"/>
      <c r="BF87" s="8"/>
      <c r="BG87" s="8"/>
      <c r="BH87" s="6"/>
      <c r="BI87" s="8"/>
      <c r="BJ87" s="8"/>
      <c r="BK87" s="6"/>
      <c r="BL87" s="8"/>
      <c r="BM87" s="8"/>
      <c r="BN87" s="6"/>
      <c r="BO87" s="8"/>
      <c r="BP87" s="8"/>
      <c r="BQ87" s="6"/>
      <c r="BR87" s="8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</row>
    <row r="88">
      <c r="A88" s="6"/>
      <c r="B88" s="6" t="s">
        <v>88</v>
      </c>
      <c r="C88" s="3" t="str">
        <f t="shared" si="3"/>
        <v>pale lime</v>
      </c>
      <c r="D88" s="3" t="str">
        <f t="shared" si="17"/>
        <v>ZZZ</v>
      </c>
      <c r="E88" s="3" t="b">
        <f t="array" ref="E88">OR(ISNUMBER(SEARCH(D$2:D$30,$B88,5)))</f>
        <v>0</v>
      </c>
      <c r="G88" s="3" t="str">
        <f t="shared" si="4"/>
        <v>ZZZ</v>
      </c>
      <c r="H88" s="3" t="b">
        <f t="array" ref="H88">OR(ISNUMBER(SEARCH(G$2:G$30,$B88,5)))</f>
        <v>0</v>
      </c>
      <c r="J88" s="3" t="str">
        <f t="shared" si="5"/>
        <v>ZZZ</v>
      </c>
      <c r="K88" s="3" t="b">
        <f t="array" ref="K88">OR(ISNUMBER(SEARCH(J$2:J$30,$B88,5)))</f>
        <v>0</v>
      </c>
      <c r="M88" s="3" t="str">
        <f t="shared" si="6"/>
        <v>ZZZ</v>
      </c>
      <c r="N88" s="3" t="b">
        <f t="array" ref="N88">OR(ISNUMBER(SEARCH(M$2:M$30,$B88,5)))</f>
        <v>0</v>
      </c>
      <c r="P88" s="3" t="str">
        <f t="shared" si="7"/>
        <v>ZZZ</v>
      </c>
      <c r="Q88" s="3" t="b">
        <f t="array" ref="Q88">OR(ISNUMBER(SEARCH(P$2:P$50,$B88,5)))</f>
        <v>0</v>
      </c>
      <c r="S88" s="3" t="str">
        <f t="shared" si="8"/>
        <v>ZZZ</v>
      </c>
      <c r="T88" s="3" t="b">
        <f t="array" ref="T88">OR(ISNUMBER(SEARCH(S$2:S$100,$B88,5)))</f>
        <v>0</v>
      </c>
      <c r="V88" s="3" t="str">
        <f t="shared" si="9"/>
        <v>ZZZ</v>
      </c>
      <c r="W88" s="3" t="b">
        <f t="array" ref="W88">OR(ISNUMBER(SEARCH(V$2:V$100,$B88,5)))</f>
        <v>0</v>
      </c>
      <c r="Y88" s="3" t="str">
        <f t="shared" si="10"/>
        <v>ZZZ</v>
      </c>
      <c r="Z88" s="3" t="b">
        <f t="array" ref="Z88">OR(ISNUMBER(SEARCH(Y$2:Y$100,$B88,5)))</f>
        <v>0</v>
      </c>
      <c r="AB88" s="3" t="str">
        <f t="shared" si="11"/>
        <v>ZZZ</v>
      </c>
      <c r="AC88" s="3" t="b">
        <f t="array" ref="AC88">OR(ISNUMBER(SEARCH(AB$2:AB$100,$B88,5)))</f>
        <v>0</v>
      </c>
      <c r="AE88" s="3" t="str">
        <f t="shared" si="12"/>
        <v>ZZZ</v>
      </c>
      <c r="AF88" s="3" t="b">
        <f t="array" ref="AF88">OR(ISNUMBER(SEARCH(AE$2:AE$100,$B88,5)))</f>
        <v>0</v>
      </c>
      <c r="AH88" s="3" t="str">
        <f t="shared" si="13"/>
        <v>ZZZ</v>
      </c>
      <c r="AI88" s="3" t="b">
        <f t="array" ref="AI88">OR(ISNUMBER(SEARCH(AH$2:AH$100,$B88,5)))</f>
        <v>0</v>
      </c>
      <c r="AK88" s="3" t="str">
        <f t="shared" si="14"/>
        <v>ZZZ</v>
      </c>
      <c r="AL88" s="3" t="b">
        <f t="array" ref="AL88">OR(ISNUMBER(SEARCH(AK$2:AK$100,$B88,5)))</f>
        <v>0</v>
      </c>
      <c r="AU88" s="8"/>
      <c r="AV88" s="6"/>
      <c r="AW88" s="8"/>
      <c r="AX88" s="8"/>
      <c r="AY88" s="6"/>
      <c r="AZ88" s="8"/>
      <c r="BA88" s="8"/>
      <c r="BB88" s="6" t="str">
        <f>IFERROR(__xludf.DUMMYFUNCTION("""COMPUTED_VALUE"""),"light fuchsia")</f>
        <v>light fuchsia</v>
      </c>
      <c r="BC88" s="8" t="str">
        <f>IFERROR(__xludf.DUMMYFUNCTION("""COMPUTED_VALUE"""),"pale magenta")</f>
        <v>pale magenta</v>
      </c>
      <c r="BD88" s="8"/>
      <c r="BE88" s="6"/>
      <c r="BF88" s="8"/>
      <c r="BG88" s="8"/>
      <c r="BH88" s="6"/>
      <c r="BI88" s="8"/>
      <c r="BJ88" s="8"/>
      <c r="BK88" s="6"/>
      <c r="BL88" s="8"/>
      <c r="BM88" s="8"/>
      <c r="BN88" s="6"/>
      <c r="BO88" s="8"/>
      <c r="BP88" s="8"/>
      <c r="BQ88" s="6"/>
      <c r="BR88" s="8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</row>
    <row r="89">
      <c r="A89" s="6"/>
      <c r="B89" s="6" t="s">
        <v>89</v>
      </c>
      <c r="C89" s="3" t="str">
        <f t="shared" si="3"/>
        <v>muted maroon</v>
      </c>
      <c r="D89" s="3" t="str">
        <f t="shared" si="17"/>
        <v>ZZZ</v>
      </c>
      <c r="E89" s="3" t="b">
        <f t="array" ref="E89">OR(ISNUMBER(SEARCH(D$2:D$30,$B89,5)))</f>
        <v>0</v>
      </c>
      <c r="G89" s="3" t="str">
        <f t="shared" si="4"/>
        <v>ZZZ</v>
      </c>
      <c r="H89" s="3" t="b">
        <f t="array" ref="H89">OR(ISNUMBER(SEARCH(G$2:G$30,$B89,5)))</f>
        <v>0</v>
      </c>
      <c r="J89" s="3" t="str">
        <f t="shared" si="5"/>
        <v>ZZZ</v>
      </c>
      <c r="K89" s="3" t="b">
        <f t="array" ref="K89">OR(ISNUMBER(SEARCH(J$2:J$30,$B89,5)))</f>
        <v>0</v>
      </c>
      <c r="M89" s="3" t="str">
        <f t="shared" si="6"/>
        <v>ZZZ</v>
      </c>
      <c r="N89" s="3" t="b">
        <f t="array" ref="N89">OR(ISNUMBER(SEARCH(M$2:M$30,$B89,5)))</f>
        <v>0</v>
      </c>
      <c r="P89" s="3" t="str">
        <f t="shared" si="7"/>
        <v>ZZZ</v>
      </c>
      <c r="Q89" s="3" t="b">
        <f t="array" ref="Q89">OR(ISNUMBER(SEARCH(P$2:P$50,$B89,5)))</f>
        <v>0</v>
      </c>
      <c r="S89" s="3" t="str">
        <f t="shared" si="8"/>
        <v>ZZZ</v>
      </c>
      <c r="T89" s="3" t="b">
        <f t="array" ref="T89">OR(ISNUMBER(SEARCH(S$2:S$100,$B89,5)))</f>
        <v>0</v>
      </c>
      <c r="V89" s="3" t="str">
        <f t="shared" si="9"/>
        <v>ZZZ</v>
      </c>
      <c r="W89" s="3" t="b">
        <f t="array" ref="W89">OR(ISNUMBER(SEARCH(V$2:V$100,$B89,5)))</f>
        <v>0</v>
      </c>
      <c r="Y89" s="3" t="str">
        <f t="shared" si="10"/>
        <v>ZZZ</v>
      </c>
      <c r="Z89" s="3" t="b">
        <f t="array" ref="Z89">OR(ISNUMBER(SEARCH(Y$2:Y$100,$B89,5)))</f>
        <v>0</v>
      </c>
      <c r="AB89" s="3" t="str">
        <f t="shared" si="11"/>
        <v>ZZZ</v>
      </c>
      <c r="AC89" s="3" t="b">
        <f t="array" ref="AC89">OR(ISNUMBER(SEARCH(AB$2:AB$100,$B89,5)))</f>
        <v>0</v>
      </c>
      <c r="AE89" s="3" t="str">
        <f t="shared" si="12"/>
        <v>ZZZ</v>
      </c>
      <c r="AF89" s="3" t="b">
        <f t="array" ref="AF89">OR(ISNUMBER(SEARCH(AE$2:AE$100,$B89,5)))</f>
        <v>0</v>
      </c>
      <c r="AH89" s="3" t="str">
        <f t="shared" si="13"/>
        <v>ZZZ</v>
      </c>
      <c r="AI89" s="3" t="b">
        <f t="array" ref="AI89">OR(ISNUMBER(SEARCH(AH$2:AH$100,$B89,5)))</f>
        <v>0</v>
      </c>
      <c r="AK89" s="3" t="str">
        <f t="shared" si="14"/>
        <v>ZZZ</v>
      </c>
      <c r="AL89" s="3" t="b">
        <f t="array" ref="AL89">OR(ISNUMBER(SEARCH(AK$2:AK$100,$B89,5)))</f>
        <v>0</v>
      </c>
      <c r="AU89" s="8"/>
      <c r="AV89" s="6"/>
      <c r="AW89" s="8"/>
      <c r="AX89" s="8"/>
      <c r="AY89" s="6"/>
      <c r="AZ89" s="8"/>
      <c r="BA89" s="8"/>
      <c r="BB89" s="6" t="str">
        <f>IFERROR(__xludf.DUMMYFUNCTION("""COMPUTED_VALUE"""),"dull plum")</f>
        <v>dull plum</v>
      </c>
      <c r="BC89" s="8" t="str">
        <f>IFERROR(__xludf.DUMMYFUNCTION("""COMPUTED_VALUE"""),"clear indigo")</f>
        <v>clear indigo</v>
      </c>
      <c r="BD89" s="8"/>
      <c r="BE89" s="6"/>
      <c r="BF89" s="8"/>
      <c r="BG89" s="8"/>
      <c r="BH89" s="6"/>
      <c r="BI89" s="8"/>
      <c r="BJ89" s="8"/>
      <c r="BK89" s="6"/>
      <c r="BL89" s="8"/>
      <c r="BM89" s="8"/>
      <c r="BN89" s="6"/>
      <c r="BO89" s="8"/>
      <c r="BP89" s="8"/>
      <c r="BQ89" s="6"/>
      <c r="BR89" s="8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</row>
    <row r="90">
      <c r="A90" s="6"/>
      <c r="B90" s="6" t="s">
        <v>90</v>
      </c>
      <c r="C90" s="3" t="str">
        <f t="shared" si="3"/>
        <v>drab lavender</v>
      </c>
      <c r="D90" s="3" t="str">
        <f t="shared" si="17"/>
        <v>ZZZ</v>
      </c>
      <c r="E90" s="3" t="b">
        <f t="array" ref="E90">OR(ISNUMBER(SEARCH(D$2:D$30,$B90,5)))</f>
        <v>0</v>
      </c>
      <c r="G90" s="3" t="str">
        <f t="shared" si="4"/>
        <v>ZZZ</v>
      </c>
      <c r="H90" s="3" t="b">
        <f t="array" ref="H90">OR(ISNUMBER(SEARCH(G$2:G$30,$B90,5)))</f>
        <v>0</v>
      </c>
      <c r="J90" s="3" t="str">
        <f t="shared" si="5"/>
        <v>ZZZ</v>
      </c>
      <c r="K90" s="3" t="b">
        <f t="array" ref="K90">OR(ISNUMBER(SEARCH(J$2:J$30,$B90,5)))</f>
        <v>0</v>
      </c>
      <c r="M90" s="3" t="str">
        <f t="shared" si="6"/>
        <v>ZZZ</v>
      </c>
      <c r="N90" s="3" t="b">
        <f t="array" ref="N90">OR(ISNUMBER(SEARCH(M$2:M$30,$B90,5)))</f>
        <v>0</v>
      </c>
      <c r="P90" s="3" t="str">
        <f t="shared" si="7"/>
        <v>ZZZ</v>
      </c>
      <c r="Q90" s="3" t="b">
        <f t="array" ref="Q90">OR(ISNUMBER(SEARCH(P$2:P$50,$B90,5)))</f>
        <v>0</v>
      </c>
      <c r="S90" s="3" t="str">
        <f t="shared" si="8"/>
        <v>ZZZ</v>
      </c>
      <c r="T90" s="3" t="b">
        <f t="array" ref="T90">OR(ISNUMBER(SEARCH(S$2:S$100,$B90,5)))</f>
        <v>0</v>
      </c>
      <c r="V90" s="3" t="str">
        <f t="shared" si="9"/>
        <v>ZZZ</v>
      </c>
      <c r="W90" s="3" t="b">
        <f t="array" ref="W90">OR(ISNUMBER(SEARCH(V$2:V$100,$B90,5)))</f>
        <v>0</v>
      </c>
      <c r="Y90" s="3" t="str">
        <f t="shared" si="10"/>
        <v>ZZZ</v>
      </c>
      <c r="Z90" s="3" t="b">
        <f t="array" ref="Z90">OR(ISNUMBER(SEARCH(Y$2:Y$100,$B90,5)))</f>
        <v>0</v>
      </c>
      <c r="AB90" s="3" t="str">
        <f t="shared" si="11"/>
        <v>ZZZ</v>
      </c>
      <c r="AC90" s="3" t="b">
        <f t="array" ref="AC90">OR(ISNUMBER(SEARCH(AB$2:AB$100,$B90,5)))</f>
        <v>0</v>
      </c>
      <c r="AE90" s="3" t="str">
        <f t="shared" si="12"/>
        <v>ZZZ</v>
      </c>
      <c r="AF90" s="3" t="b">
        <f t="array" ref="AF90">OR(ISNUMBER(SEARCH(AE$2:AE$100,$B90,5)))</f>
        <v>0</v>
      </c>
      <c r="AH90" s="3" t="str">
        <f t="shared" si="13"/>
        <v>ZZZ</v>
      </c>
      <c r="AI90" s="3" t="b">
        <f t="array" ref="AI90">OR(ISNUMBER(SEARCH(AH$2:AH$100,$B90,5)))</f>
        <v>0</v>
      </c>
      <c r="AK90" s="3" t="str">
        <f t="shared" si="14"/>
        <v>ZZZ</v>
      </c>
      <c r="AL90" s="3" t="b">
        <f t="array" ref="AL90">OR(ISNUMBER(SEARCH(AK$2:AK$100,$B90,5)))</f>
        <v>0</v>
      </c>
      <c r="AU90" s="8"/>
      <c r="AV90" s="6"/>
      <c r="AW90" s="8"/>
      <c r="AX90" s="8"/>
      <c r="AY90" s="6"/>
      <c r="AZ90" s="8"/>
      <c r="BA90" s="8"/>
      <c r="BB90" s="6" t="str">
        <f>IFERROR(__xludf.DUMMYFUNCTION("""COMPUTED_VALUE"""),"pale silver")</f>
        <v>pale silver</v>
      </c>
      <c r="BC90" s="8" t="str">
        <f>IFERROR(__xludf.DUMMYFUNCTION("""COMPUTED_VALUE"""),"light aqua")</f>
        <v>light aqua</v>
      </c>
      <c r="BD90" s="8"/>
      <c r="BE90" s="6"/>
      <c r="BF90" s="8"/>
      <c r="BG90" s="8"/>
      <c r="BH90" s="6"/>
      <c r="BI90" s="8"/>
      <c r="BJ90" s="8"/>
      <c r="BK90" s="6"/>
      <c r="BL90" s="8"/>
      <c r="BM90" s="8"/>
      <c r="BN90" s="6"/>
      <c r="BO90" s="8"/>
      <c r="BP90" s="8"/>
      <c r="BQ90" s="6"/>
      <c r="BR90" s="8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</row>
    <row r="91">
      <c r="A91" s="6"/>
      <c r="B91" s="6" t="s">
        <v>91</v>
      </c>
      <c r="C91" s="3" t="str">
        <f t="shared" si="3"/>
        <v>bright fuchsia</v>
      </c>
      <c r="D91" s="3" t="str">
        <f t="shared" si="17"/>
        <v>ZZZ</v>
      </c>
      <c r="E91" s="3" t="b">
        <f t="array" ref="E91">OR(ISNUMBER(SEARCH(D$2:D$30,$B91,5)))</f>
        <v>0</v>
      </c>
      <c r="G91" s="3" t="str">
        <f t="shared" si="4"/>
        <v>ZZZ</v>
      </c>
      <c r="H91" s="3" t="b">
        <f t="array" ref="H91">OR(ISNUMBER(SEARCH(G$2:G$30,$B91,5)))</f>
        <v>1</v>
      </c>
      <c r="J91" s="3" t="str">
        <f t="shared" si="5"/>
        <v>ZZZ</v>
      </c>
      <c r="K91" s="3" t="b">
        <f t="array" ref="K91">OR(ISNUMBER(SEARCH(J$2:J$30,$B91,5)))</f>
        <v>0</v>
      </c>
      <c r="M91" s="3" t="str">
        <f t="shared" si="6"/>
        <v>ZZZ</v>
      </c>
      <c r="N91" s="3" t="b">
        <f t="array" ref="N91">OR(ISNUMBER(SEARCH(M$2:M$30,$B91,5)))</f>
        <v>0</v>
      </c>
      <c r="P91" s="3" t="str">
        <f t="shared" si="7"/>
        <v>ZZZ</v>
      </c>
      <c r="Q91" s="3" t="b">
        <f t="array" ref="Q91">OR(ISNUMBER(SEARCH(P$2:P$50,$B91,5)))</f>
        <v>0</v>
      </c>
      <c r="S91" s="3" t="str">
        <f t="shared" si="8"/>
        <v>ZZZ</v>
      </c>
      <c r="T91" s="3" t="b">
        <f t="array" ref="T91">OR(ISNUMBER(SEARCH(S$2:S$100,$B91,5)))</f>
        <v>0</v>
      </c>
      <c r="V91" s="3" t="str">
        <f t="shared" si="9"/>
        <v>ZZZ</v>
      </c>
      <c r="W91" s="3" t="b">
        <f t="array" ref="W91">OR(ISNUMBER(SEARCH(V$2:V$100,$B91,5)))</f>
        <v>0</v>
      </c>
      <c r="Y91" s="3" t="str">
        <f t="shared" si="10"/>
        <v>ZZZ</v>
      </c>
      <c r="Z91" s="3" t="b">
        <f t="array" ref="Z91">OR(ISNUMBER(SEARCH(Y$2:Y$100,$B91,5)))</f>
        <v>0</v>
      </c>
      <c r="AB91" s="3" t="str">
        <f t="shared" si="11"/>
        <v>ZZZ</v>
      </c>
      <c r="AC91" s="3" t="b">
        <f t="array" ref="AC91">OR(ISNUMBER(SEARCH(AB$2:AB$100,$B91,5)))</f>
        <v>0</v>
      </c>
      <c r="AE91" s="3" t="str">
        <f t="shared" si="12"/>
        <v>ZZZ</v>
      </c>
      <c r="AF91" s="3" t="b">
        <f t="array" ref="AF91">OR(ISNUMBER(SEARCH(AE$2:AE$100,$B91,5)))</f>
        <v>0</v>
      </c>
      <c r="AH91" s="3" t="str">
        <f t="shared" si="13"/>
        <v>ZZZ</v>
      </c>
      <c r="AI91" s="3" t="b">
        <f t="array" ref="AI91">OR(ISNUMBER(SEARCH(AH$2:AH$100,$B91,5)))</f>
        <v>0</v>
      </c>
      <c r="AK91" s="3" t="str">
        <f t="shared" si="14"/>
        <v>ZZZ</v>
      </c>
      <c r="AL91" s="3" t="b">
        <f t="array" ref="AL91">OR(ISNUMBER(SEARCH(AK$2:AK$100,$B91,5)))</f>
        <v>0</v>
      </c>
      <c r="AU91" s="8"/>
      <c r="AV91" s="6"/>
      <c r="AW91" s="8"/>
      <c r="AX91" s="8"/>
      <c r="AY91" s="6"/>
      <c r="AZ91" s="8"/>
      <c r="BA91" s="8"/>
      <c r="BB91" s="6" t="str">
        <f>IFERROR(__xludf.DUMMYFUNCTION("""COMPUTED_VALUE"""),"pale indigo")</f>
        <v>pale indigo</v>
      </c>
      <c r="BC91" s="8" t="str">
        <f>IFERROR(__xludf.DUMMYFUNCTION("""COMPUTED_VALUE"""),"light chartreuse")</f>
        <v>light chartreuse</v>
      </c>
      <c r="BD91" s="8"/>
      <c r="BE91" s="6"/>
      <c r="BF91" s="8"/>
      <c r="BG91" s="8"/>
      <c r="BH91" s="6"/>
      <c r="BI91" s="8"/>
      <c r="BJ91" s="8"/>
      <c r="BK91" s="6"/>
      <c r="BL91" s="8"/>
      <c r="BM91" s="8"/>
      <c r="BN91" s="6"/>
      <c r="BO91" s="8"/>
      <c r="BP91" s="8"/>
      <c r="BQ91" s="6"/>
      <c r="BR91" s="8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</row>
    <row r="92">
      <c r="A92" s="6"/>
      <c r="B92" s="6" t="s">
        <v>92</v>
      </c>
      <c r="C92" s="3" t="str">
        <f t="shared" si="3"/>
        <v>wavy beige</v>
      </c>
      <c r="D92" s="3" t="str">
        <f t="shared" si="17"/>
        <v>ZZZ</v>
      </c>
      <c r="E92" s="3" t="b">
        <f t="array" ref="E92">OR(ISNUMBER(SEARCH(D$2:D$30,$B92,5)))</f>
        <v>0</v>
      </c>
      <c r="G92" s="3" t="str">
        <f t="shared" si="4"/>
        <v>ZZZ</v>
      </c>
      <c r="H92" s="3" t="b">
        <f t="array" ref="H92">OR(ISNUMBER(SEARCH(G$2:G$30,$B92,5)))</f>
        <v>0</v>
      </c>
      <c r="J92" s="3" t="str">
        <f t="shared" si="5"/>
        <v>ZZZ</v>
      </c>
      <c r="K92" s="3" t="b">
        <f t="array" ref="K92">OR(ISNUMBER(SEARCH(J$2:J$30,$B92,5)))</f>
        <v>0</v>
      </c>
      <c r="M92" s="3" t="str">
        <f t="shared" si="6"/>
        <v>ZZZ</v>
      </c>
      <c r="N92" s="3" t="b">
        <f t="array" ref="N92">OR(ISNUMBER(SEARCH(M$2:M$30,$B92,5)))</f>
        <v>0</v>
      </c>
      <c r="P92" s="3" t="str">
        <f t="shared" si="7"/>
        <v>ZZZ</v>
      </c>
      <c r="Q92" s="3" t="b">
        <f t="array" ref="Q92">OR(ISNUMBER(SEARCH(P$2:P$50,$B92,5)))</f>
        <v>0</v>
      </c>
      <c r="S92" s="3" t="str">
        <f t="shared" si="8"/>
        <v>ZZZ</v>
      </c>
      <c r="T92" s="3" t="b">
        <f t="array" ref="T92">OR(ISNUMBER(SEARCH(S$2:S$100,$B92,5)))</f>
        <v>0</v>
      </c>
      <c r="V92" s="3" t="str">
        <f t="shared" si="9"/>
        <v>ZZZ</v>
      </c>
      <c r="W92" s="3" t="b">
        <f t="array" ref="W92">OR(ISNUMBER(SEARCH(V$2:V$100,$B92,5)))</f>
        <v>0</v>
      </c>
      <c r="Y92" s="3" t="str">
        <f t="shared" si="10"/>
        <v>ZZZ</v>
      </c>
      <c r="Z92" s="3" t="b">
        <f t="array" ref="Z92">OR(ISNUMBER(SEARCH(Y$2:Y$100,$B92,5)))</f>
        <v>0</v>
      </c>
      <c r="AB92" s="3" t="str">
        <f t="shared" si="11"/>
        <v>ZZZ</v>
      </c>
      <c r="AC92" s="3" t="b">
        <f t="array" ref="AC92">OR(ISNUMBER(SEARCH(AB$2:AB$100,$B92,5)))</f>
        <v>0</v>
      </c>
      <c r="AE92" s="3" t="str">
        <f t="shared" si="12"/>
        <v>ZZZ</v>
      </c>
      <c r="AF92" s="3" t="b">
        <f t="array" ref="AF92">OR(ISNUMBER(SEARCH(AE$2:AE$100,$B92,5)))</f>
        <v>0</v>
      </c>
      <c r="AH92" s="3" t="str">
        <f t="shared" si="13"/>
        <v>ZZZ</v>
      </c>
      <c r="AI92" s="3" t="b">
        <f t="array" ref="AI92">OR(ISNUMBER(SEARCH(AH$2:AH$100,$B92,5)))</f>
        <v>0</v>
      </c>
      <c r="AK92" s="3" t="str">
        <f t="shared" si="14"/>
        <v>ZZZ</v>
      </c>
      <c r="AL92" s="3" t="b">
        <f t="array" ref="AL92">OR(ISNUMBER(SEARCH(AK$2:AK$100,$B92,5)))</f>
        <v>0</v>
      </c>
      <c r="AU92" s="8"/>
      <c r="AV92" s="6"/>
      <c r="AW92" s="8"/>
      <c r="AX92" s="8"/>
      <c r="AY92" s="6"/>
      <c r="AZ92" s="8"/>
      <c r="BA92" s="8"/>
      <c r="BB92" s="6" t="str">
        <f>IFERROR(__xludf.DUMMYFUNCTION("""COMPUTED_VALUE"""),"muted turquoise")</f>
        <v>muted turquoise</v>
      </c>
      <c r="BC92" s="8" t="str">
        <f>IFERROR(__xludf.DUMMYFUNCTION("""COMPUTED_VALUE"""),"drab red")</f>
        <v>drab red</v>
      </c>
      <c r="BD92" s="8"/>
      <c r="BE92" s="6"/>
      <c r="BF92" s="8"/>
      <c r="BG92" s="8"/>
      <c r="BH92" s="6"/>
      <c r="BI92" s="8"/>
      <c r="BJ92" s="8"/>
      <c r="BK92" s="6"/>
      <c r="BL92" s="8"/>
      <c r="BM92" s="8"/>
      <c r="BN92" s="6"/>
      <c r="BO92" s="8"/>
      <c r="BP92" s="8"/>
      <c r="BQ92" s="6"/>
      <c r="BR92" s="8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</row>
    <row r="93">
      <c r="A93" s="6"/>
      <c r="B93" s="6" t="s">
        <v>93</v>
      </c>
      <c r="C93" s="3" t="str">
        <f t="shared" si="3"/>
        <v>shiny olive</v>
      </c>
      <c r="D93" s="3" t="str">
        <f t="shared" si="17"/>
        <v>ZZZ</v>
      </c>
      <c r="E93" s="3" t="b">
        <f t="array" ref="E93">OR(ISNUMBER(SEARCH(D$2:D$30,$B93,5)))</f>
        <v>0</v>
      </c>
      <c r="G93" s="3" t="str">
        <f t="shared" si="4"/>
        <v>ZZZ</v>
      </c>
      <c r="H93" s="3" t="b">
        <f t="array" ref="H93">OR(ISNUMBER(SEARCH(G$2:G$30,$B93,5)))</f>
        <v>0</v>
      </c>
      <c r="J93" s="3" t="str">
        <f t="shared" si="5"/>
        <v>ZZZ</v>
      </c>
      <c r="K93" s="3" t="b">
        <f t="array" ref="K93">OR(ISNUMBER(SEARCH(J$2:J$30,$B93,5)))</f>
        <v>0</v>
      </c>
      <c r="M93" s="3" t="str">
        <f t="shared" si="6"/>
        <v>ZZZ</v>
      </c>
      <c r="N93" s="3" t="b">
        <f t="array" ref="N93">OR(ISNUMBER(SEARCH(M$2:M$30,$B93,5)))</f>
        <v>0</v>
      </c>
      <c r="P93" s="3" t="str">
        <f t="shared" si="7"/>
        <v>ZZZ</v>
      </c>
      <c r="Q93" s="3" t="b">
        <f t="array" ref="Q93">OR(ISNUMBER(SEARCH(P$2:P$50,$B93,5)))</f>
        <v>0</v>
      </c>
      <c r="S93" s="3" t="str">
        <f t="shared" si="8"/>
        <v>ZZZ</v>
      </c>
      <c r="T93" s="3" t="b">
        <f t="array" ref="T93">OR(ISNUMBER(SEARCH(S$2:S$100,$B93,5)))</f>
        <v>0</v>
      </c>
      <c r="V93" s="3" t="str">
        <f t="shared" si="9"/>
        <v>ZZZ</v>
      </c>
      <c r="W93" s="3" t="b">
        <f t="array" ref="W93">OR(ISNUMBER(SEARCH(V$2:V$100,$B93,5)))</f>
        <v>1</v>
      </c>
      <c r="Y93" s="3" t="str">
        <f t="shared" si="10"/>
        <v>ZZZ</v>
      </c>
      <c r="Z93" s="3" t="b">
        <f t="array" ref="Z93">OR(ISNUMBER(SEARCH(Y$2:Y$100,$B93,5)))</f>
        <v>0</v>
      </c>
      <c r="AB93" s="3" t="str">
        <f t="shared" si="11"/>
        <v>ZZZ</v>
      </c>
      <c r="AC93" s="3" t="b">
        <f t="array" ref="AC93">OR(ISNUMBER(SEARCH(AB$2:AB$100,$B93,5)))</f>
        <v>0</v>
      </c>
      <c r="AE93" s="3" t="str">
        <f t="shared" si="12"/>
        <v>ZZZ</v>
      </c>
      <c r="AF93" s="3" t="b">
        <f t="array" ref="AF93">OR(ISNUMBER(SEARCH(AE$2:AE$100,$B93,5)))</f>
        <v>0</v>
      </c>
      <c r="AH93" s="3" t="str">
        <f t="shared" si="13"/>
        <v>ZZZ</v>
      </c>
      <c r="AI93" s="3" t="b">
        <f t="array" ref="AI93">OR(ISNUMBER(SEARCH(AH$2:AH$100,$B93,5)))</f>
        <v>0</v>
      </c>
      <c r="AK93" s="3" t="str">
        <f t="shared" si="14"/>
        <v>ZZZ</v>
      </c>
      <c r="AL93" s="3" t="b">
        <f t="array" ref="AL93">OR(ISNUMBER(SEARCH(AK$2:AK$100,$B93,5)))</f>
        <v>0</v>
      </c>
      <c r="AU93" s="8"/>
      <c r="AV93" s="6"/>
      <c r="AW93" s="8"/>
      <c r="AX93" s="8"/>
      <c r="AY93" s="6"/>
      <c r="AZ93" s="8"/>
      <c r="BA93" s="8"/>
      <c r="BB93" s="6" t="str">
        <f>IFERROR(__xludf.DUMMYFUNCTION("""COMPUTED_VALUE"""),"pale lavender")</f>
        <v>pale lavender</v>
      </c>
      <c r="BC93" s="8" t="str">
        <f>IFERROR(__xludf.DUMMYFUNCTION("""COMPUTED_VALUE"""),"dotted bronze")</f>
        <v>dotted bronze</v>
      </c>
      <c r="BD93" s="8"/>
      <c r="BE93" s="6"/>
      <c r="BF93" s="8"/>
      <c r="BG93" s="8"/>
      <c r="BH93" s="6"/>
      <c r="BI93" s="8"/>
      <c r="BJ93" s="8"/>
      <c r="BK93" s="6"/>
      <c r="BL93" s="8"/>
      <c r="BM93" s="8"/>
      <c r="BN93" s="6"/>
      <c r="BO93" s="8"/>
      <c r="BP93" s="8"/>
      <c r="BQ93" s="6"/>
      <c r="BR93" s="8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</row>
    <row r="94">
      <c r="A94" s="6"/>
      <c r="B94" s="6" t="s">
        <v>94</v>
      </c>
      <c r="C94" s="3" t="str">
        <f t="shared" si="3"/>
        <v>posh coral</v>
      </c>
      <c r="D94" s="3" t="str">
        <f t="shared" si="17"/>
        <v>ZZZ</v>
      </c>
      <c r="E94" s="3" t="b">
        <f t="array" ref="E94">OR(ISNUMBER(SEARCH(D$2:D$30,$B94,5)))</f>
        <v>0</v>
      </c>
      <c r="G94" s="3" t="str">
        <f t="shared" si="4"/>
        <v>ZZZ</v>
      </c>
      <c r="H94" s="3" t="b">
        <f t="array" ref="H94">OR(ISNUMBER(SEARCH(G$2:G$30,$B94,5)))</f>
        <v>0</v>
      </c>
      <c r="J94" s="3" t="str">
        <f t="shared" si="5"/>
        <v>ZZZ</v>
      </c>
      <c r="K94" s="3" t="b">
        <f t="array" ref="K94">OR(ISNUMBER(SEARCH(J$2:J$30,$B94,5)))</f>
        <v>0</v>
      </c>
      <c r="M94" s="3" t="str">
        <f t="shared" si="6"/>
        <v>ZZZ</v>
      </c>
      <c r="N94" s="3" t="b">
        <f t="array" ref="N94">OR(ISNUMBER(SEARCH(M$2:M$30,$B94,5)))</f>
        <v>0</v>
      </c>
      <c r="P94" s="3" t="str">
        <f t="shared" si="7"/>
        <v>ZZZ</v>
      </c>
      <c r="Q94" s="3" t="b">
        <f t="array" ref="Q94">OR(ISNUMBER(SEARCH(P$2:P$50,$B94,5)))</f>
        <v>0</v>
      </c>
      <c r="S94" s="3" t="str">
        <f t="shared" si="8"/>
        <v>ZZZ</v>
      </c>
      <c r="T94" s="3" t="b">
        <f t="array" ref="T94">OR(ISNUMBER(SEARCH(S$2:S$100,$B94,5)))</f>
        <v>0</v>
      </c>
      <c r="V94" s="3" t="str">
        <f t="shared" si="9"/>
        <v>ZZZ</v>
      </c>
      <c r="W94" s="3" t="b">
        <f t="array" ref="W94">OR(ISNUMBER(SEARCH(V$2:V$100,$B94,5)))</f>
        <v>0</v>
      </c>
      <c r="Y94" s="3" t="str">
        <f t="shared" si="10"/>
        <v>ZZZ</v>
      </c>
      <c r="Z94" s="3" t="b">
        <f t="array" ref="Z94">OR(ISNUMBER(SEARCH(Y$2:Y$100,$B94,5)))</f>
        <v>0</v>
      </c>
      <c r="AB94" s="3" t="str">
        <f t="shared" si="11"/>
        <v>ZZZ</v>
      </c>
      <c r="AC94" s="3" t="b">
        <f t="array" ref="AC94">OR(ISNUMBER(SEARCH(AB$2:AB$100,$B94,5)))</f>
        <v>0</v>
      </c>
      <c r="AE94" s="3" t="str">
        <f t="shared" si="12"/>
        <v>ZZZ</v>
      </c>
      <c r="AF94" s="3" t="b">
        <f t="array" ref="AF94">OR(ISNUMBER(SEARCH(AE$2:AE$100,$B94,5)))</f>
        <v>0</v>
      </c>
      <c r="AH94" s="3" t="str">
        <f t="shared" si="13"/>
        <v>ZZZ</v>
      </c>
      <c r="AI94" s="3" t="b">
        <f t="array" ref="AI94">OR(ISNUMBER(SEARCH(AH$2:AH$100,$B94,5)))</f>
        <v>0</v>
      </c>
      <c r="AK94" s="3" t="str">
        <f t="shared" si="14"/>
        <v>ZZZ</v>
      </c>
      <c r="AL94" s="3" t="b">
        <f t="array" ref="AL94">OR(ISNUMBER(SEARCH(AK$2:AK$100,$B94,5)))</f>
        <v>0</v>
      </c>
      <c r="AU94" s="8"/>
      <c r="AV94" s="6"/>
      <c r="AW94" s="8"/>
      <c r="AX94" s="8"/>
      <c r="AY94" s="6"/>
      <c r="AZ94" s="8"/>
      <c r="BA94" s="8"/>
      <c r="BB94" s="6" t="str">
        <f>IFERROR(__xludf.DUMMYFUNCTION("""COMPUTED_VALUE"""),"clear tan")</f>
        <v>clear tan</v>
      </c>
      <c r="BC94" s="8" t="str">
        <f>IFERROR(__xludf.DUMMYFUNCTION("""COMPUTED_VALUE"""),"dotted tan")</f>
        <v>dotted tan</v>
      </c>
      <c r="BD94" s="8"/>
      <c r="BE94" s="6"/>
      <c r="BF94" s="8"/>
      <c r="BG94" s="8"/>
      <c r="BH94" s="6"/>
      <c r="BI94" s="8"/>
      <c r="BJ94" s="8"/>
      <c r="BK94" s="6"/>
      <c r="BL94" s="8"/>
      <c r="BM94" s="8"/>
      <c r="BN94" s="6"/>
      <c r="BO94" s="8"/>
      <c r="BP94" s="8"/>
      <c r="BQ94" s="6"/>
      <c r="BR94" s="8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</row>
    <row r="95">
      <c r="A95" s="6"/>
      <c r="B95" s="6" t="s">
        <v>95</v>
      </c>
      <c r="C95" s="3" t="str">
        <f t="shared" si="3"/>
        <v>dark green</v>
      </c>
      <c r="D95" s="3" t="str">
        <f t="shared" si="17"/>
        <v>ZZZ</v>
      </c>
      <c r="E95" s="3" t="b">
        <f t="array" ref="E95">OR(ISNUMBER(SEARCH(D$2:D$30,$B95,5)))</f>
        <v>0</v>
      </c>
      <c r="G95" s="3" t="str">
        <f t="shared" si="4"/>
        <v>ZZZ</v>
      </c>
      <c r="H95" s="3" t="b">
        <f t="array" ref="H95">OR(ISNUMBER(SEARCH(G$2:G$30,$B95,5)))</f>
        <v>0</v>
      </c>
      <c r="J95" s="3" t="str">
        <f t="shared" si="5"/>
        <v>ZZZ</v>
      </c>
      <c r="K95" s="3" t="b">
        <f t="array" ref="K95">OR(ISNUMBER(SEARCH(J$2:J$30,$B95,5)))</f>
        <v>1</v>
      </c>
      <c r="M95" s="3" t="str">
        <f t="shared" si="6"/>
        <v>ZZZ</v>
      </c>
      <c r="N95" s="3" t="b">
        <f t="array" ref="N95">OR(ISNUMBER(SEARCH(M$2:M$30,$B95,5)))</f>
        <v>0</v>
      </c>
      <c r="P95" s="3" t="str">
        <f t="shared" si="7"/>
        <v>ZZZ</v>
      </c>
      <c r="Q95" s="3" t="b">
        <f t="array" ref="Q95">OR(ISNUMBER(SEARCH(P$2:P$50,$B95,5)))</f>
        <v>0</v>
      </c>
      <c r="S95" s="3" t="str">
        <f t="shared" si="8"/>
        <v>ZZZ</v>
      </c>
      <c r="T95" s="3" t="b">
        <f t="array" ref="T95">OR(ISNUMBER(SEARCH(S$2:S$100,$B95,5)))</f>
        <v>0</v>
      </c>
      <c r="V95" s="3" t="str">
        <f t="shared" si="9"/>
        <v>ZZZ</v>
      </c>
      <c r="W95" s="3" t="b">
        <f t="array" ref="W95">OR(ISNUMBER(SEARCH(V$2:V$100,$B95,5)))</f>
        <v>0</v>
      </c>
      <c r="Y95" s="3" t="str">
        <f t="shared" si="10"/>
        <v>ZZZ</v>
      </c>
      <c r="Z95" s="3" t="b">
        <f t="array" ref="Z95">OR(ISNUMBER(SEARCH(Y$2:Y$100,$B95,5)))</f>
        <v>0</v>
      </c>
      <c r="AB95" s="3" t="str">
        <f t="shared" si="11"/>
        <v>ZZZ</v>
      </c>
      <c r="AC95" s="3" t="b">
        <f t="array" ref="AC95">OR(ISNUMBER(SEARCH(AB$2:AB$100,$B95,5)))</f>
        <v>0</v>
      </c>
      <c r="AE95" s="3" t="str">
        <f t="shared" si="12"/>
        <v>ZZZ</v>
      </c>
      <c r="AF95" s="3" t="b">
        <f t="array" ref="AF95">OR(ISNUMBER(SEARCH(AE$2:AE$100,$B95,5)))</f>
        <v>0</v>
      </c>
      <c r="AH95" s="3" t="str">
        <f t="shared" si="13"/>
        <v>ZZZ</v>
      </c>
      <c r="AI95" s="3" t="b">
        <f t="array" ref="AI95">OR(ISNUMBER(SEARCH(AH$2:AH$100,$B95,5)))</f>
        <v>0</v>
      </c>
      <c r="AK95" s="3" t="str">
        <f t="shared" si="14"/>
        <v>ZZZ</v>
      </c>
      <c r="AL95" s="3" t="b">
        <f t="array" ref="AL95">OR(ISNUMBER(SEARCH(AK$2:AK$100,$B95,5)))</f>
        <v>0</v>
      </c>
      <c r="AU95" s="8"/>
      <c r="AV95" s="6"/>
      <c r="AW95" s="8"/>
      <c r="AX95" s="8"/>
      <c r="AY95" s="6"/>
      <c r="AZ95" s="8"/>
      <c r="BA95" s="8"/>
      <c r="BB95" s="6" t="str">
        <f>IFERROR(__xludf.DUMMYFUNCTION("""COMPUTED_VALUE"""),"plaid yellow")</f>
        <v>plaid yellow</v>
      </c>
      <c r="BC95" s="8" t="str">
        <f>IFERROR(__xludf.DUMMYFUNCTION("""COMPUTED_VALUE"""),"posh beige")</f>
        <v>posh beige</v>
      </c>
      <c r="BD95" s="8"/>
      <c r="BE95" s="6"/>
      <c r="BF95" s="8"/>
      <c r="BG95" s="8"/>
      <c r="BH95" s="6"/>
      <c r="BI95" s="8"/>
      <c r="BJ95" s="8"/>
      <c r="BK95" s="6"/>
      <c r="BL95" s="8"/>
      <c r="BM95" s="8"/>
      <c r="BN95" s="6"/>
      <c r="BO95" s="8"/>
      <c r="BP95" s="8"/>
      <c r="BQ95" s="6"/>
      <c r="BR95" s="8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</row>
    <row r="96">
      <c r="A96" s="6"/>
      <c r="B96" s="6" t="s">
        <v>96</v>
      </c>
      <c r="C96" s="3" t="str">
        <f t="shared" si="3"/>
        <v>shiny green</v>
      </c>
      <c r="D96" s="3" t="str">
        <f t="shared" si="17"/>
        <v>ZZZ</v>
      </c>
      <c r="E96" s="3" t="b">
        <f t="array" ref="E96">OR(ISNUMBER(SEARCH(D$2:D$30,$B96,5)))</f>
        <v>0</v>
      </c>
      <c r="G96" s="3" t="str">
        <f t="shared" si="4"/>
        <v>ZZZ</v>
      </c>
      <c r="H96" s="3" t="b">
        <f t="array" ref="H96">OR(ISNUMBER(SEARCH(G$2:G$30,$B96,5)))</f>
        <v>0</v>
      </c>
      <c r="J96" s="3" t="str">
        <f t="shared" si="5"/>
        <v>ZZZ</v>
      </c>
      <c r="K96" s="3" t="b">
        <f t="array" ref="K96">OR(ISNUMBER(SEARCH(J$2:J$30,$B96,5)))</f>
        <v>0</v>
      </c>
      <c r="M96" s="3" t="str">
        <f t="shared" si="6"/>
        <v>ZZZ</v>
      </c>
      <c r="N96" s="3" t="b">
        <f t="array" ref="N96">OR(ISNUMBER(SEARCH(M$2:M$30,$B96,5)))</f>
        <v>0</v>
      </c>
      <c r="P96" s="3" t="str">
        <f t="shared" si="7"/>
        <v>ZZZ</v>
      </c>
      <c r="Q96" s="3" t="b">
        <f t="array" ref="Q96">OR(ISNUMBER(SEARCH(P$2:P$50,$B96,5)))</f>
        <v>0</v>
      </c>
      <c r="S96" s="3" t="str">
        <f t="shared" si="8"/>
        <v>ZZZ</v>
      </c>
      <c r="T96" s="3" t="b">
        <f t="array" ref="T96">OR(ISNUMBER(SEARCH(S$2:S$100,$B96,5)))</f>
        <v>0</v>
      </c>
      <c r="V96" s="3" t="str">
        <f t="shared" si="9"/>
        <v>ZZZ</v>
      </c>
      <c r="W96" s="3" t="b">
        <f t="array" ref="W96">OR(ISNUMBER(SEARCH(V$2:V$100,$B96,5)))</f>
        <v>0</v>
      </c>
      <c r="Y96" s="3" t="str">
        <f t="shared" si="10"/>
        <v>ZZZ</v>
      </c>
      <c r="Z96" s="3" t="b">
        <f t="array" ref="Z96">OR(ISNUMBER(SEARCH(Y$2:Y$100,$B96,5)))</f>
        <v>0</v>
      </c>
      <c r="AB96" s="3" t="str">
        <f t="shared" si="11"/>
        <v>ZZZ</v>
      </c>
      <c r="AC96" s="3" t="b">
        <f t="array" ref="AC96">OR(ISNUMBER(SEARCH(AB$2:AB$100,$B96,5)))</f>
        <v>0</v>
      </c>
      <c r="AE96" s="3" t="str">
        <f t="shared" si="12"/>
        <v>ZZZ</v>
      </c>
      <c r="AF96" s="3" t="b">
        <f t="array" ref="AF96">OR(ISNUMBER(SEARCH(AE$2:AE$100,$B96,5)))</f>
        <v>0</v>
      </c>
      <c r="AH96" s="3" t="str">
        <f t="shared" si="13"/>
        <v>ZZZ</v>
      </c>
      <c r="AI96" s="3" t="b">
        <f t="array" ref="AI96">OR(ISNUMBER(SEARCH(AH$2:AH$100,$B96,5)))</f>
        <v>0</v>
      </c>
      <c r="AK96" s="3" t="str">
        <f t="shared" si="14"/>
        <v>ZZZ</v>
      </c>
      <c r="AL96" s="3" t="b">
        <f t="array" ref="AL96">OR(ISNUMBER(SEARCH(AK$2:AK$100,$B96,5)))</f>
        <v>0</v>
      </c>
      <c r="AU96" s="8"/>
      <c r="AV96" s="6"/>
      <c r="AW96" s="8"/>
      <c r="AX96" s="8"/>
      <c r="AY96" s="6"/>
      <c r="AZ96" s="8"/>
      <c r="BA96" s="8"/>
      <c r="BB96" s="6" t="str">
        <f>IFERROR(__xludf.DUMMYFUNCTION("""COMPUTED_VALUE"""),"muted teal")</f>
        <v>muted teal</v>
      </c>
      <c r="BC96" s="8" t="str">
        <f>IFERROR(__xludf.DUMMYFUNCTION("""COMPUTED_VALUE"""),"clear brown")</f>
        <v>clear brown</v>
      </c>
      <c r="BD96" s="8"/>
      <c r="BE96" s="6"/>
      <c r="BF96" s="8"/>
      <c r="BG96" s="8"/>
      <c r="BH96" s="6"/>
      <c r="BI96" s="8"/>
      <c r="BJ96" s="8"/>
      <c r="BK96" s="6"/>
      <c r="BL96" s="8"/>
      <c r="BM96" s="8"/>
      <c r="BN96" s="6"/>
      <c r="BO96" s="8"/>
      <c r="BP96" s="8"/>
      <c r="BQ96" s="6"/>
      <c r="BR96" s="8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</row>
    <row r="97">
      <c r="A97" s="6"/>
      <c r="B97" s="6" t="s">
        <v>97</v>
      </c>
      <c r="C97" s="3" t="str">
        <f t="shared" si="3"/>
        <v>clear coral</v>
      </c>
      <c r="D97" s="3" t="str">
        <f t="shared" si="17"/>
        <v>ZZZ</v>
      </c>
      <c r="E97" s="3" t="b">
        <f t="array" ref="E97">OR(ISNUMBER(SEARCH(D$2:D$30,$B97,5)))</f>
        <v>0</v>
      </c>
      <c r="G97" s="3" t="str">
        <f t="shared" si="4"/>
        <v>ZZZ</v>
      </c>
      <c r="H97" s="3" t="b">
        <f t="array" ref="H97">OR(ISNUMBER(SEARCH(G$2:G$30,$B97,5)))</f>
        <v>0</v>
      </c>
      <c r="J97" s="3" t="str">
        <f t="shared" si="5"/>
        <v>ZZZ</v>
      </c>
      <c r="K97" s="3" t="b">
        <f t="array" ref="K97">OR(ISNUMBER(SEARCH(J$2:J$30,$B97,5)))</f>
        <v>0</v>
      </c>
      <c r="M97" s="3" t="str">
        <f t="shared" si="6"/>
        <v>ZZZ</v>
      </c>
      <c r="N97" s="3" t="b">
        <f t="array" ref="N97">OR(ISNUMBER(SEARCH(M$2:M$30,$B97,5)))</f>
        <v>0</v>
      </c>
      <c r="P97" s="3" t="str">
        <f t="shared" si="7"/>
        <v>ZZZ</v>
      </c>
      <c r="Q97" s="3" t="b">
        <f t="array" ref="Q97">OR(ISNUMBER(SEARCH(P$2:P$50,$B97,5)))</f>
        <v>0</v>
      </c>
      <c r="S97" s="3" t="str">
        <f t="shared" si="8"/>
        <v>ZZZ</v>
      </c>
      <c r="T97" s="3" t="b">
        <f t="array" ref="T97">OR(ISNUMBER(SEARCH(S$2:S$100,$B97,5)))</f>
        <v>0</v>
      </c>
      <c r="V97" s="3" t="str">
        <f t="shared" si="9"/>
        <v>ZZZ</v>
      </c>
      <c r="W97" s="3" t="b">
        <f t="array" ref="W97">OR(ISNUMBER(SEARCH(V$2:V$100,$B97,5)))</f>
        <v>0</v>
      </c>
      <c r="Y97" s="3" t="str">
        <f t="shared" si="10"/>
        <v>ZZZ</v>
      </c>
      <c r="Z97" s="3" t="b">
        <f t="array" ref="Z97">OR(ISNUMBER(SEARCH(Y$2:Y$100,$B97,5)))</f>
        <v>0</v>
      </c>
      <c r="AB97" s="3" t="str">
        <f t="shared" si="11"/>
        <v>ZZZ</v>
      </c>
      <c r="AC97" s="3" t="b">
        <f t="array" ref="AC97">OR(ISNUMBER(SEARCH(AB$2:AB$100,$B97,5)))</f>
        <v>0</v>
      </c>
      <c r="AE97" s="3" t="str">
        <f t="shared" si="12"/>
        <v>ZZZ</v>
      </c>
      <c r="AF97" s="3" t="b">
        <f t="array" ref="AF97">OR(ISNUMBER(SEARCH(AE$2:AE$100,$B97,5)))</f>
        <v>0</v>
      </c>
      <c r="AH97" s="3" t="str">
        <f t="shared" si="13"/>
        <v>ZZZ</v>
      </c>
      <c r="AI97" s="3" t="b">
        <f t="array" ref="AI97">OR(ISNUMBER(SEARCH(AH$2:AH$100,$B97,5)))</f>
        <v>0</v>
      </c>
      <c r="AK97" s="3" t="str">
        <f t="shared" si="14"/>
        <v>ZZZ</v>
      </c>
      <c r="AL97" s="3" t="b">
        <f t="array" ref="AL97">OR(ISNUMBER(SEARCH(AK$2:AK$100,$B97,5)))</f>
        <v>0</v>
      </c>
      <c r="AU97" s="8"/>
      <c r="AV97" s="6"/>
      <c r="AW97" s="8"/>
      <c r="AX97" s="8"/>
      <c r="AY97" s="6"/>
      <c r="AZ97" s="8"/>
      <c r="BA97" s="8"/>
      <c r="BB97" s="6" t="str">
        <f>IFERROR(__xludf.DUMMYFUNCTION("""COMPUTED_VALUE"""),"dark magenta")</f>
        <v>dark magenta</v>
      </c>
      <c r="BC97" s="8" t="str">
        <f>IFERROR(__xludf.DUMMYFUNCTION("""COMPUTED_VALUE"""),"clear turquoise")</f>
        <v>clear turquoise</v>
      </c>
      <c r="BD97" s="8"/>
      <c r="BE97" s="6"/>
      <c r="BF97" s="8"/>
      <c r="BG97" s="8"/>
      <c r="BH97" s="6"/>
      <c r="BI97" s="8"/>
      <c r="BJ97" s="8"/>
      <c r="BK97" s="6"/>
      <c r="BL97" s="8"/>
      <c r="BM97" s="8"/>
      <c r="BN97" s="6"/>
      <c r="BO97" s="8"/>
      <c r="BP97" s="8"/>
      <c r="BQ97" s="6"/>
      <c r="BR97" s="8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</row>
    <row r="98">
      <c r="A98" s="6"/>
      <c r="B98" s="6" t="s">
        <v>98</v>
      </c>
      <c r="C98" s="3" t="str">
        <f t="shared" si="3"/>
        <v>dull salmon</v>
      </c>
      <c r="D98" s="3" t="str">
        <f t="shared" si="17"/>
        <v>ZZZ</v>
      </c>
      <c r="E98" s="3" t="b">
        <f t="array" ref="E98">OR(ISNUMBER(SEARCH(D$2:D$30,$B98,5)))</f>
        <v>0</v>
      </c>
      <c r="G98" s="3" t="str">
        <f t="shared" si="4"/>
        <v>ZZZ</v>
      </c>
      <c r="H98" s="3" t="b">
        <f t="array" ref="H98">OR(ISNUMBER(SEARCH(G$2:G$30,$B98,5)))</f>
        <v>0</v>
      </c>
      <c r="J98" s="3" t="str">
        <f t="shared" si="5"/>
        <v>ZZZ</v>
      </c>
      <c r="K98" s="3" t="b">
        <f t="array" ref="K98">OR(ISNUMBER(SEARCH(J$2:J$30,$B98,5)))</f>
        <v>0</v>
      </c>
      <c r="M98" s="3" t="str">
        <f t="shared" si="6"/>
        <v>ZZZ</v>
      </c>
      <c r="N98" s="3" t="b">
        <f t="array" ref="N98">OR(ISNUMBER(SEARCH(M$2:M$30,$B98,5)))</f>
        <v>0</v>
      </c>
      <c r="P98" s="3" t="str">
        <f t="shared" si="7"/>
        <v>ZZZ</v>
      </c>
      <c r="Q98" s="3" t="b">
        <f t="array" ref="Q98">OR(ISNUMBER(SEARCH(P$2:P$50,$B98,5)))</f>
        <v>0</v>
      </c>
      <c r="S98" s="3" t="str">
        <f t="shared" si="8"/>
        <v>ZZZ</v>
      </c>
      <c r="T98" s="3" t="b">
        <f t="array" ref="T98">OR(ISNUMBER(SEARCH(S$2:S$100,$B98,5)))</f>
        <v>0</v>
      </c>
      <c r="V98" s="3" t="str">
        <f t="shared" si="9"/>
        <v>ZZZ</v>
      </c>
      <c r="W98" s="3" t="b">
        <f t="array" ref="W98">OR(ISNUMBER(SEARCH(V$2:V$100,$B98,5)))</f>
        <v>0</v>
      </c>
      <c r="Y98" s="3" t="str">
        <f t="shared" si="10"/>
        <v>ZZZ</v>
      </c>
      <c r="Z98" s="3" t="b">
        <f t="array" ref="Z98">OR(ISNUMBER(SEARCH(Y$2:Y$100,$B98,5)))</f>
        <v>0</v>
      </c>
      <c r="AB98" s="3" t="str">
        <f t="shared" si="11"/>
        <v>ZZZ</v>
      </c>
      <c r="AC98" s="3" t="b">
        <f t="array" ref="AC98">OR(ISNUMBER(SEARCH(AB$2:AB$100,$B98,5)))</f>
        <v>0</v>
      </c>
      <c r="AE98" s="3" t="str">
        <f t="shared" si="12"/>
        <v>ZZZ</v>
      </c>
      <c r="AF98" s="3" t="b">
        <f t="array" ref="AF98">OR(ISNUMBER(SEARCH(AE$2:AE$100,$B98,5)))</f>
        <v>0</v>
      </c>
      <c r="AH98" s="3" t="str">
        <f t="shared" si="13"/>
        <v>ZZZ</v>
      </c>
      <c r="AI98" s="3" t="b">
        <f t="array" ref="AI98">OR(ISNUMBER(SEARCH(AH$2:AH$100,$B98,5)))</f>
        <v>0</v>
      </c>
      <c r="AK98" s="3" t="str">
        <f t="shared" si="14"/>
        <v>ZZZ</v>
      </c>
      <c r="AL98" s="3" t="b">
        <f t="array" ref="AL98">OR(ISNUMBER(SEARCH(AK$2:AK$100,$B98,5)))</f>
        <v>0</v>
      </c>
      <c r="AU98" s="8"/>
      <c r="AV98" s="6"/>
      <c r="AW98" s="8"/>
      <c r="AX98" s="8"/>
      <c r="AY98" s="6"/>
      <c r="AZ98" s="8"/>
      <c r="BA98" s="8"/>
      <c r="BB98" s="6" t="str">
        <f>IFERROR(__xludf.DUMMYFUNCTION("""COMPUTED_VALUE"""),"striped beige")</f>
        <v>striped beige</v>
      </c>
      <c r="BC98" s="8" t="str">
        <f>IFERROR(__xludf.DUMMYFUNCTION("""COMPUTED_VALUE"""),"pale violet")</f>
        <v>pale violet</v>
      </c>
      <c r="BD98" s="8"/>
      <c r="BE98" s="6"/>
      <c r="BF98" s="8"/>
      <c r="BG98" s="8"/>
      <c r="BH98" s="6"/>
      <c r="BI98" s="8"/>
      <c r="BJ98" s="8"/>
      <c r="BK98" s="6"/>
      <c r="BL98" s="8"/>
      <c r="BM98" s="8"/>
      <c r="BN98" s="6"/>
      <c r="BO98" s="8"/>
      <c r="BP98" s="8"/>
      <c r="BQ98" s="6"/>
      <c r="BR98" s="8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</row>
    <row r="99">
      <c r="A99" s="6"/>
      <c r="B99" s="6" t="s">
        <v>99</v>
      </c>
      <c r="C99" s="3" t="str">
        <f t="shared" si="3"/>
        <v>dark lavender</v>
      </c>
      <c r="D99" s="3" t="str">
        <f t="shared" si="17"/>
        <v>ZZZ</v>
      </c>
      <c r="E99" s="3" t="b">
        <f t="array" ref="E99">OR(ISNUMBER(SEARCH(D$2:D$30,$B99,5)))</f>
        <v>0</v>
      </c>
      <c r="G99" s="3" t="str">
        <f t="shared" si="4"/>
        <v>ZZZ</v>
      </c>
      <c r="H99" s="3" t="b">
        <f t="array" ref="H99">OR(ISNUMBER(SEARCH(G$2:G$30,$B99,5)))</f>
        <v>0</v>
      </c>
      <c r="J99" s="3" t="str">
        <f t="shared" si="5"/>
        <v>ZZZ</v>
      </c>
      <c r="K99" s="3" t="b">
        <f t="array" ref="K99">OR(ISNUMBER(SEARCH(J$2:J$30,$B99,5)))</f>
        <v>0</v>
      </c>
      <c r="M99" s="3" t="str">
        <f t="shared" si="6"/>
        <v>ZZZ</v>
      </c>
      <c r="N99" s="3" t="b">
        <f t="array" ref="N99">OR(ISNUMBER(SEARCH(M$2:M$30,$B99,5)))</f>
        <v>0</v>
      </c>
      <c r="P99" s="3" t="str">
        <f t="shared" si="7"/>
        <v>ZZZ</v>
      </c>
      <c r="Q99" s="3" t="b">
        <f t="array" ref="Q99">OR(ISNUMBER(SEARCH(P$2:P$50,$B99,5)))</f>
        <v>0</v>
      </c>
      <c r="S99" s="3" t="str">
        <f t="shared" si="8"/>
        <v>ZZZ</v>
      </c>
      <c r="T99" s="3" t="b">
        <f t="array" ref="T99">OR(ISNUMBER(SEARCH(S$2:S$100,$B99,5)))</f>
        <v>0</v>
      </c>
      <c r="V99" s="3" t="str">
        <f t="shared" si="9"/>
        <v>ZZZ</v>
      </c>
      <c r="W99" s="3" t="b">
        <f t="array" ref="W99">OR(ISNUMBER(SEARCH(V$2:V$100,$B99,5)))</f>
        <v>0</v>
      </c>
      <c r="Y99" s="3" t="str">
        <f t="shared" si="10"/>
        <v>ZZZ</v>
      </c>
      <c r="Z99" s="3" t="b">
        <f t="array" ref="Z99">OR(ISNUMBER(SEARCH(Y$2:Y$100,$B99,5)))</f>
        <v>0</v>
      </c>
      <c r="AB99" s="3" t="str">
        <f t="shared" si="11"/>
        <v>ZZZ</v>
      </c>
      <c r="AC99" s="3" t="b">
        <f t="array" ref="AC99">OR(ISNUMBER(SEARCH(AB$2:AB$100,$B99,5)))</f>
        <v>0</v>
      </c>
      <c r="AE99" s="3" t="str">
        <f t="shared" si="12"/>
        <v>ZZZ</v>
      </c>
      <c r="AF99" s="3" t="b">
        <f t="array" ref="AF99">OR(ISNUMBER(SEARCH(AE$2:AE$100,$B99,5)))</f>
        <v>0</v>
      </c>
      <c r="AH99" s="3" t="str">
        <f t="shared" si="13"/>
        <v>ZZZ</v>
      </c>
      <c r="AI99" s="3" t="b">
        <f t="array" ref="AI99">OR(ISNUMBER(SEARCH(AH$2:AH$100,$B99,5)))</f>
        <v>0</v>
      </c>
      <c r="AK99" s="3" t="str">
        <f t="shared" si="14"/>
        <v>ZZZ</v>
      </c>
      <c r="AL99" s="3" t="b">
        <f t="array" ref="AL99">OR(ISNUMBER(SEARCH(AK$2:AK$100,$B99,5)))</f>
        <v>0</v>
      </c>
      <c r="AU99" s="8"/>
      <c r="AV99" s="6"/>
      <c r="AW99" s="8"/>
      <c r="AX99" s="8"/>
      <c r="AY99" s="6"/>
      <c r="AZ99" s="8"/>
      <c r="BA99" s="8"/>
      <c r="BB99" s="6" t="str">
        <f>IFERROR(__xludf.DUMMYFUNCTION("""COMPUTED_VALUE"""),"dark white")</f>
        <v>dark white</v>
      </c>
      <c r="BC99" s="8" t="str">
        <f>IFERROR(__xludf.DUMMYFUNCTION("""COMPUTED_VALUE"""),"dark violet")</f>
        <v>dark violet</v>
      </c>
      <c r="BD99" s="8"/>
      <c r="BE99" s="6"/>
      <c r="BF99" s="8"/>
      <c r="BG99" s="8"/>
      <c r="BH99" s="6"/>
      <c r="BI99" s="8"/>
      <c r="BJ99" s="8"/>
      <c r="BK99" s="6"/>
      <c r="BL99" s="8"/>
      <c r="BM99" s="8"/>
      <c r="BN99" s="6"/>
      <c r="BO99" s="8"/>
      <c r="BP99" s="8"/>
      <c r="BQ99" s="6"/>
      <c r="BR99" s="8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</row>
    <row r="100">
      <c r="A100" s="6"/>
      <c r="B100" s="6" t="s">
        <v>100</v>
      </c>
      <c r="C100" s="3" t="str">
        <f t="shared" si="3"/>
        <v>bright silver</v>
      </c>
      <c r="D100" s="3" t="str">
        <f t="shared" si="17"/>
        <v>ZZZ</v>
      </c>
      <c r="E100" s="3" t="b">
        <f t="array" ref="E100">OR(ISNUMBER(SEARCH(D$2:D$30,$B100,5)))</f>
        <v>0</v>
      </c>
      <c r="G100" s="3" t="str">
        <f t="shared" si="4"/>
        <v>ZZZ</v>
      </c>
      <c r="H100" s="3" t="b">
        <f t="array" ref="H100">OR(ISNUMBER(SEARCH(G$2:G$30,$B100,5)))</f>
        <v>0</v>
      </c>
      <c r="J100" s="3" t="str">
        <f t="shared" si="5"/>
        <v>ZZZ</v>
      </c>
      <c r="K100" s="3" t="b">
        <f t="array" ref="K100">OR(ISNUMBER(SEARCH(J$2:J$30,$B100,5)))</f>
        <v>0</v>
      </c>
      <c r="M100" s="3" t="str">
        <f t="shared" si="6"/>
        <v>ZZZ</v>
      </c>
      <c r="N100" s="3" t="b">
        <f t="array" ref="N100">OR(ISNUMBER(SEARCH(M$2:M$30,$B100,5)))</f>
        <v>0</v>
      </c>
      <c r="P100" s="3" t="str">
        <f t="shared" si="7"/>
        <v>ZZZ</v>
      </c>
      <c r="Q100" s="3" t="b">
        <f t="array" ref="Q100">OR(ISNUMBER(SEARCH(P$2:P$50,$B100,5)))</f>
        <v>0</v>
      </c>
      <c r="S100" s="3" t="str">
        <f t="shared" si="8"/>
        <v>ZZZ</v>
      </c>
      <c r="T100" s="3" t="b">
        <f t="array" ref="T100">OR(ISNUMBER(SEARCH(S$2:S$100,$B100,5)))</f>
        <v>0</v>
      </c>
      <c r="V100" s="3" t="str">
        <f t="shared" si="9"/>
        <v>ZZZ</v>
      </c>
      <c r="W100" s="3" t="b">
        <f t="array" ref="W100">OR(ISNUMBER(SEARCH(V$2:V$100,$B100,5)))</f>
        <v>0</v>
      </c>
      <c r="Y100" s="3" t="str">
        <f t="shared" si="10"/>
        <v>ZZZ</v>
      </c>
      <c r="Z100" s="3" t="b">
        <f t="array" ref="Z100">OR(ISNUMBER(SEARCH(Y$2:Y$100,$B100,5)))</f>
        <v>0</v>
      </c>
      <c r="AB100" s="3" t="str">
        <f t="shared" si="11"/>
        <v>ZZZ</v>
      </c>
      <c r="AC100" s="3" t="b">
        <f t="array" ref="AC100">OR(ISNUMBER(SEARCH(AB$2:AB$100,$B100,5)))</f>
        <v>0</v>
      </c>
      <c r="AE100" s="3" t="str">
        <f t="shared" si="12"/>
        <v>ZZZ</v>
      </c>
      <c r="AF100" s="3" t="b">
        <f t="array" ref="AF100">OR(ISNUMBER(SEARCH(AE$2:AE$100,$B100,5)))</f>
        <v>0</v>
      </c>
      <c r="AH100" s="3" t="str">
        <f t="shared" si="13"/>
        <v>ZZZ</v>
      </c>
      <c r="AI100" s="3" t="b">
        <f t="array" ref="AI100">OR(ISNUMBER(SEARCH(AH$2:AH$100,$B100,5)))</f>
        <v>0</v>
      </c>
      <c r="AK100" s="3" t="str">
        <f t="shared" si="14"/>
        <v>ZZZ</v>
      </c>
      <c r="AL100" s="3" t="b">
        <f t="array" ref="AL100">OR(ISNUMBER(SEARCH(AK$2:AK$100,$B100,5)))</f>
        <v>0</v>
      </c>
      <c r="AU100" s="8"/>
      <c r="AV100" s="6"/>
      <c r="AW100" s="8"/>
      <c r="AX100" s="8"/>
      <c r="AY100" s="6"/>
      <c r="AZ100" s="8"/>
      <c r="BA100" s="8"/>
      <c r="BB100" s="6" t="str">
        <f>IFERROR(__xludf.DUMMYFUNCTION("""COMPUTED_VALUE"""),"shiny blue")</f>
        <v>shiny blue</v>
      </c>
      <c r="BC100" s="8" t="str">
        <f>IFERROR(__xludf.DUMMYFUNCTION("""COMPUTED_VALUE"""),"bright gold")</f>
        <v>bright gold</v>
      </c>
      <c r="BD100" s="8"/>
      <c r="BE100" s="6"/>
      <c r="BF100" s="8"/>
      <c r="BG100" s="8"/>
      <c r="BH100" s="6"/>
      <c r="BI100" s="8"/>
      <c r="BJ100" s="8"/>
      <c r="BK100" s="6"/>
      <c r="BL100" s="8"/>
      <c r="BM100" s="8"/>
      <c r="BN100" s="6"/>
      <c r="BO100" s="8"/>
      <c r="BP100" s="8"/>
      <c r="BQ100" s="6"/>
      <c r="BR100" s="8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</row>
    <row r="101">
      <c r="A101" s="6"/>
      <c r="B101" s="6" t="s">
        <v>101</v>
      </c>
      <c r="C101" s="3" t="str">
        <f t="shared" si="3"/>
        <v>posh green</v>
      </c>
      <c r="D101" s="3" t="str">
        <f t="shared" si="17"/>
        <v>ZZZ</v>
      </c>
      <c r="E101" s="3" t="b">
        <f t="array" ref="E101">OR(ISNUMBER(SEARCH(D$2:D$30,$B101,5)))</f>
        <v>0</v>
      </c>
      <c r="G101" s="3" t="str">
        <f t="shared" si="4"/>
        <v>ZZZ</v>
      </c>
      <c r="H101" s="3" t="b">
        <f t="array" ref="H101">OR(ISNUMBER(SEARCH(G$2:G$30,$B101,5)))</f>
        <v>0</v>
      </c>
      <c r="J101" s="3" t="str">
        <f t="shared" si="5"/>
        <v>ZZZ</v>
      </c>
      <c r="K101" s="3" t="b">
        <f t="array" ref="K101">OR(ISNUMBER(SEARCH(J$2:J$30,$B101,5)))</f>
        <v>0</v>
      </c>
      <c r="M101" s="3" t="str">
        <f t="shared" si="6"/>
        <v>ZZZ</v>
      </c>
      <c r="N101" s="3" t="b">
        <f t="array" ref="N101">OR(ISNUMBER(SEARCH(M$2:M$30,$B101,5)))</f>
        <v>0</v>
      </c>
      <c r="P101" s="3" t="str">
        <f t="shared" si="7"/>
        <v>ZZZ</v>
      </c>
      <c r="Q101" s="3" t="b">
        <f t="array" ref="Q101">OR(ISNUMBER(SEARCH(P$2:P$50,$B101,5)))</f>
        <v>0</v>
      </c>
      <c r="S101" s="3" t="str">
        <f t="shared" si="8"/>
        <v>ZZZ</v>
      </c>
      <c r="T101" s="3" t="b">
        <f t="array" ref="T101">OR(ISNUMBER(SEARCH(S$2:S$100,$B101,5)))</f>
        <v>0</v>
      </c>
      <c r="V101" s="3" t="str">
        <f t="shared" si="9"/>
        <v>ZZZ</v>
      </c>
      <c r="W101" s="3" t="b">
        <f t="array" ref="W101">OR(ISNUMBER(SEARCH(V$2:V$100,$B101,5)))</f>
        <v>0</v>
      </c>
      <c r="Y101" s="3" t="str">
        <f t="shared" si="10"/>
        <v>ZZZ</v>
      </c>
      <c r="Z101" s="3" t="b">
        <f t="array" ref="Z101">OR(ISNUMBER(SEARCH(Y$2:Y$100,$B101,5)))</f>
        <v>0</v>
      </c>
      <c r="AB101" s="3" t="str">
        <f t="shared" si="11"/>
        <v>ZZZ</v>
      </c>
      <c r="AC101" s="3" t="b">
        <f t="array" ref="AC101">OR(ISNUMBER(SEARCH(AB$2:AB$100,$B101,5)))</f>
        <v>0</v>
      </c>
      <c r="AE101" s="3" t="str">
        <f t="shared" si="12"/>
        <v>ZZZ</v>
      </c>
      <c r="AF101" s="3" t="b">
        <f t="array" ref="AF101">OR(ISNUMBER(SEARCH(AE$2:AE$100,$B101,5)))</f>
        <v>0</v>
      </c>
      <c r="AH101" s="3" t="str">
        <f t="shared" si="13"/>
        <v>ZZZ</v>
      </c>
      <c r="AI101" s="3" t="b">
        <f t="array" ref="AI101">OR(ISNUMBER(SEARCH(AH$2:AH$100,$B101,5)))</f>
        <v>0</v>
      </c>
      <c r="AK101" s="3" t="str">
        <f t="shared" si="14"/>
        <v>ZZZ</v>
      </c>
      <c r="AL101" s="3" t="b">
        <f t="array" ref="AL101">OR(ISNUMBER(SEARCH(AK$2:AK$100,$B101,5)))</f>
        <v>0</v>
      </c>
      <c r="AU101" s="8"/>
      <c r="AV101" s="6"/>
      <c r="AW101" s="8"/>
      <c r="AX101" s="8"/>
      <c r="AY101" s="6"/>
      <c r="AZ101" s="8"/>
      <c r="BA101" s="8"/>
      <c r="BB101" s="6" t="str">
        <f>IFERROR(__xludf.DUMMYFUNCTION("""COMPUTED_VALUE"""),"plaid olive")</f>
        <v>plaid olive</v>
      </c>
      <c r="BC101" s="8" t="str">
        <f>IFERROR(__xludf.DUMMYFUNCTION("""COMPUTED_VALUE"""),"clear plum")</f>
        <v>clear plum</v>
      </c>
      <c r="BD101" s="8"/>
      <c r="BE101" s="6"/>
      <c r="BF101" s="8"/>
      <c r="BG101" s="8"/>
      <c r="BH101" s="6"/>
      <c r="BI101" s="8"/>
      <c r="BJ101" s="8"/>
      <c r="BK101" s="6"/>
      <c r="BL101" s="8"/>
      <c r="BM101" s="8"/>
      <c r="BN101" s="6"/>
      <c r="BO101" s="8"/>
      <c r="BP101" s="8"/>
      <c r="BQ101" s="6"/>
      <c r="BR101" s="8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</row>
    <row r="102">
      <c r="A102" s="6"/>
      <c r="B102" s="6" t="s">
        <v>102</v>
      </c>
      <c r="C102" s="3" t="str">
        <f t="shared" si="3"/>
        <v>dotted fuchsia</v>
      </c>
      <c r="D102" s="3" t="str">
        <f t="shared" si="17"/>
        <v>ZZZ</v>
      </c>
      <c r="E102" s="3" t="b">
        <f t="array" ref="E102">OR(ISNUMBER(SEARCH(D$2:D$30,$B102,5)))</f>
        <v>0</v>
      </c>
      <c r="G102" s="3" t="str">
        <f t="shared" si="4"/>
        <v>ZZZ</v>
      </c>
      <c r="H102" s="3" t="b">
        <f t="array" ref="H102">OR(ISNUMBER(SEARCH(G$2:G$30,$B102,5)))</f>
        <v>0</v>
      </c>
      <c r="J102" s="3" t="str">
        <f t="shared" si="5"/>
        <v>ZZZ</v>
      </c>
      <c r="K102" s="3" t="b">
        <f t="array" ref="K102">OR(ISNUMBER(SEARCH(J$2:J$30,$B102,5)))</f>
        <v>0</v>
      </c>
      <c r="M102" s="3" t="str">
        <f t="shared" si="6"/>
        <v>ZZZ</v>
      </c>
      <c r="N102" s="3" t="b">
        <f t="array" ref="N102">OR(ISNUMBER(SEARCH(M$2:M$30,$B102,5)))</f>
        <v>0</v>
      </c>
      <c r="P102" s="3" t="str">
        <f t="shared" si="7"/>
        <v>ZZZ</v>
      </c>
      <c r="Q102" s="3" t="b">
        <f t="array" ref="Q102">OR(ISNUMBER(SEARCH(P$2:P$50,$B102,5)))</f>
        <v>0</v>
      </c>
      <c r="S102" s="3" t="str">
        <f t="shared" si="8"/>
        <v>ZZZ</v>
      </c>
      <c r="T102" s="3" t="b">
        <f t="array" ref="T102">OR(ISNUMBER(SEARCH(S$2:S$100,$B102,5)))</f>
        <v>0</v>
      </c>
      <c r="V102" s="3" t="str">
        <f t="shared" si="9"/>
        <v>ZZZ</v>
      </c>
      <c r="W102" s="3" t="b">
        <f t="array" ref="W102">OR(ISNUMBER(SEARCH(V$2:V$100,$B102,5)))</f>
        <v>0</v>
      </c>
      <c r="Y102" s="3" t="str">
        <f t="shared" si="10"/>
        <v>ZZZ</v>
      </c>
      <c r="Z102" s="3" t="b">
        <f t="array" ref="Z102">OR(ISNUMBER(SEARCH(Y$2:Y$100,$B102,5)))</f>
        <v>0</v>
      </c>
      <c r="AB102" s="3" t="str">
        <f t="shared" si="11"/>
        <v>ZZZ</v>
      </c>
      <c r="AC102" s="3" t="b">
        <f t="array" ref="AC102">OR(ISNUMBER(SEARCH(AB$2:AB$100,$B102,5)))</f>
        <v>0</v>
      </c>
      <c r="AE102" s="3" t="str">
        <f t="shared" si="12"/>
        <v>ZZZ</v>
      </c>
      <c r="AF102" s="3" t="b">
        <f t="array" ref="AF102">OR(ISNUMBER(SEARCH(AE$2:AE$100,$B102,5)))</f>
        <v>0</v>
      </c>
      <c r="AH102" s="3" t="str">
        <f t="shared" si="13"/>
        <v>ZZZ</v>
      </c>
      <c r="AI102" s="3" t="b">
        <f t="array" ref="AI102">OR(ISNUMBER(SEARCH(AH$2:AH$100,$B102,5)))</f>
        <v>0</v>
      </c>
      <c r="AK102" s="3" t="str">
        <f t="shared" si="14"/>
        <v>ZZZ</v>
      </c>
      <c r="AL102" s="3" t="b">
        <f t="array" ref="AL102">OR(ISNUMBER(SEARCH(AK$2:AK$100,$B102,5)))</f>
        <v>0</v>
      </c>
      <c r="AU102" s="8"/>
      <c r="AV102" s="6"/>
      <c r="AW102" s="8"/>
      <c r="AX102" s="8"/>
      <c r="AY102" s="6"/>
      <c r="AZ102" s="8"/>
      <c r="BA102" s="8"/>
      <c r="BB102" s="6" t="str">
        <f>IFERROR(__xludf.DUMMYFUNCTION("""COMPUTED_VALUE"""),"plaid magenta")</f>
        <v>plaid magenta</v>
      </c>
      <c r="BC102" s="8" t="str">
        <f>IFERROR(__xludf.DUMMYFUNCTION("""COMPUTED_VALUE"""),"drab black")</f>
        <v>drab black</v>
      </c>
      <c r="BD102" s="8"/>
      <c r="BE102" s="6"/>
      <c r="BF102" s="8"/>
      <c r="BG102" s="8"/>
      <c r="BH102" s="6"/>
      <c r="BI102" s="8"/>
      <c r="BJ102" s="8"/>
      <c r="BK102" s="6"/>
      <c r="BL102" s="8"/>
      <c r="BM102" s="8"/>
      <c r="BN102" s="6"/>
      <c r="BO102" s="8"/>
      <c r="BP102" s="8"/>
      <c r="BQ102" s="6"/>
      <c r="BR102" s="8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</row>
    <row r="103">
      <c r="A103" s="6"/>
      <c r="B103" s="6" t="s">
        <v>103</v>
      </c>
      <c r="C103" s="3" t="str">
        <f t="shared" si="3"/>
        <v>dim fuchsia</v>
      </c>
      <c r="D103" s="3" t="str">
        <f t="shared" si="17"/>
        <v>ZZZ</v>
      </c>
      <c r="E103" s="3" t="b">
        <f t="array" ref="E103">OR(ISNUMBER(SEARCH(D$2:D$30,$B103,5)))</f>
        <v>0</v>
      </c>
      <c r="G103" s="3" t="str">
        <f t="shared" si="4"/>
        <v>ZZZ</v>
      </c>
      <c r="H103" s="3" t="b">
        <f t="array" ref="H103">OR(ISNUMBER(SEARCH(G$2:G$30,$B103,5)))</f>
        <v>0</v>
      </c>
      <c r="J103" s="3" t="str">
        <f t="shared" si="5"/>
        <v>ZZZ</v>
      </c>
      <c r="K103" s="3" t="b">
        <f t="array" ref="K103">OR(ISNUMBER(SEARCH(J$2:J$30,$B103,5)))</f>
        <v>0</v>
      </c>
      <c r="M103" s="3" t="str">
        <f t="shared" si="6"/>
        <v>ZZZ</v>
      </c>
      <c r="N103" s="3" t="b">
        <f t="array" ref="N103">OR(ISNUMBER(SEARCH(M$2:M$30,$B103,5)))</f>
        <v>0</v>
      </c>
      <c r="P103" s="3" t="str">
        <f t="shared" si="7"/>
        <v>ZZZ</v>
      </c>
      <c r="Q103" s="3" t="b">
        <f t="array" ref="Q103">OR(ISNUMBER(SEARCH(P$2:P$50,$B103,5)))</f>
        <v>0</v>
      </c>
      <c r="S103" s="3" t="str">
        <f t="shared" si="8"/>
        <v>ZZZ</v>
      </c>
      <c r="T103" s="3" t="b">
        <f t="array" ref="T103">OR(ISNUMBER(SEARCH(S$2:S$100,$B103,5)))</f>
        <v>1</v>
      </c>
      <c r="V103" s="3" t="str">
        <f t="shared" si="9"/>
        <v>ZZZ</v>
      </c>
      <c r="W103" s="3" t="b">
        <f t="array" ref="W103">OR(ISNUMBER(SEARCH(V$2:V$100,$B103,5)))</f>
        <v>1</v>
      </c>
      <c r="Y103" s="3" t="str">
        <f t="shared" si="10"/>
        <v>ZZZ</v>
      </c>
      <c r="Z103" s="3" t="b">
        <f t="array" ref="Z103">OR(ISNUMBER(SEARCH(Y$2:Y$100,$B103,5)))</f>
        <v>0</v>
      </c>
      <c r="AB103" s="3" t="str">
        <f t="shared" si="11"/>
        <v>ZZZ</v>
      </c>
      <c r="AC103" s="3" t="b">
        <f t="array" ref="AC103">OR(ISNUMBER(SEARCH(AB$2:AB$100,$B103,5)))</f>
        <v>1</v>
      </c>
      <c r="AE103" s="3" t="str">
        <f t="shared" si="12"/>
        <v>ZZZ</v>
      </c>
      <c r="AF103" s="3" t="b">
        <f t="array" ref="AF103">OR(ISNUMBER(SEARCH(AE$2:AE$100,$B103,5)))</f>
        <v>0</v>
      </c>
      <c r="AH103" s="3" t="str">
        <f t="shared" si="13"/>
        <v>ZZZ</v>
      </c>
      <c r="AI103" s="3" t="b">
        <f t="array" ref="AI103">OR(ISNUMBER(SEARCH(AH$2:AH$100,$B103,5)))</f>
        <v>0</v>
      </c>
      <c r="AK103" s="3" t="str">
        <f t="shared" si="14"/>
        <v>ZZZ</v>
      </c>
      <c r="AL103" s="3" t="b">
        <f t="array" ref="AL103">OR(ISNUMBER(SEARCH(AK$2:AK$100,$B103,5)))</f>
        <v>0</v>
      </c>
      <c r="AU103" s="8"/>
      <c r="AV103" s="6"/>
      <c r="AW103" s="8"/>
      <c r="AX103" s="8"/>
      <c r="AY103" s="6"/>
      <c r="AZ103" s="8"/>
      <c r="BA103" s="8"/>
      <c r="BB103" s="6" t="str">
        <f>IFERROR(__xludf.DUMMYFUNCTION("""COMPUTED_VALUE"""),"pale orange")</f>
        <v>pale orange</v>
      </c>
      <c r="BC103" s="8" t="str">
        <f>IFERROR(__xludf.DUMMYFUNCTION("""COMPUTED_VALUE"""),"vibrant magenta")</f>
        <v>vibrant magenta</v>
      </c>
      <c r="BD103" s="8"/>
      <c r="BE103" s="6"/>
      <c r="BF103" s="8"/>
      <c r="BG103" s="8"/>
      <c r="BH103" s="6"/>
      <c r="BI103" s="8"/>
      <c r="BJ103" s="8"/>
      <c r="BK103" s="6"/>
      <c r="BL103" s="8"/>
      <c r="BM103" s="8"/>
      <c r="BN103" s="6"/>
      <c r="BO103" s="8"/>
      <c r="BP103" s="8"/>
      <c r="BQ103" s="6"/>
      <c r="BR103" s="8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</row>
    <row r="104">
      <c r="A104" s="6"/>
      <c r="B104" s="6" t="s">
        <v>104</v>
      </c>
      <c r="C104" s="3" t="str">
        <f t="shared" si="3"/>
        <v>dotted cyan</v>
      </c>
      <c r="D104" s="3" t="str">
        <f t="shared" si="17"/>
        <v>ZZZ</v>
      </c>
      <c r="E104" s="3" t="b">
        <f t="array" ref="E104">OR(ISNUMBER(SEARCH(D$2:D$30,$B104,5)))</f>
        <v>0</v>
      </c>
      <c r="G104" s="3" t="str">
        <f t="shared" si="4"/>
        <v>ZZZ</v>
      </c>
      <c r="H104" s="3" t="b">
        <f t="array" ref="H104">OR(ISNUMBER(SEARCH(G$2:G$30,$B104,5)))</f>
        <v>0</v>
      </c>
      <c r="J104" s="3" t="str">
        <f t="shared" si="5"/>
        <v>ZZZ</v>
      </c>
      <c r="K104" s="3" t="b">
        <f t="array" ref="K104">OR(ISNUMBER(SEARCH(J$2:J$30,$B104,5)))</f>
        <v>0</v>
      </c>
      <c r="M104" s="3" t="str">
        <f t="shared" si="6"/>
        <v>ZZZ</v>
      </c>
      <c r="N104" s="3" t="b">
        <f t="array" ref="N104">OR(ISNUMBER(SEARCH(M$2:M$30,$B104,5)))</f>
        <v>0</v>
      </c>
      <c r="P104" s="3" t="str">
        <f t="shared" si="7"/>
        <v>ZZZ</v>
      </c>
      <c r="Q104" s="3" t="b">
        <f t="array" ref="Q104">OR(ISNUMBER(SEARCH(P$2:P$50,$B104,5)))</f>
        <v>0</v>
      </c>
      <c r="S104" s="3" t="str">
        <f t="shared" si="8"/>
        <v>ZZZ</v>
      </c>
      <c r="T104" s="3" t="b">
        <f t="array" ref="T104">OR(ISNUMBER(SEARCH(S$2:S$100,$B104,5)))</f>
        <v>0</v>
      </c>
      <c r="V104" s="3" t="str">
        <f t="shared" si="9"/>
        <v>ZZZ</v>
      </c>
      <c r="W104" s="3" t="b">
        <f t="array" ref="W104">OR(ISNUMBER(SEARCH(V$2:V$100,$B104,5)))</f>
        <v>0</v>
      </c>
      <c r="Y104" s="3" t="str">
        <f t="shared" si="10"/>
        <v>ZZZ</v>
      </c>
      <c r="Z104" s="3" t="b">
        <f t="array" ref="Z104">OR(ISNUMBER(SEARCH(Y$2:Y$100,$B104,5)))</f>
        <v>0</v>
      </c>
      <c r="AB104" s="3" t="str">
        <f t="shared" si="11"/>
        <v>ZZZ</v>
      </c>
      <c r="AC104" s="3" t="b">
        <f t="array" ref="AC104">OR(ISNUMBER(SEARCH(AB$2:AB$100,$B104,5)))</f>
        <v>0</v>
      </c>
      <c r="AE104" s="3" t="str">
        <f t="shared" si="12"/>
        <v>ZZZ</v>
      </c>
      <c r="AF104" s="3" t="b">
        <f t="array" ref="AF104">OR(ISNUMBER(SEARCH(AE$2:AE$100,$B104,5)))</f>
        <v>0</v>
      </c>
      <c r="AH104" s="3" t="str">
        <f t="shared" si="13"/>
        <v>ZZZ</v>
      </c>
      <c r="AI104" s="3" t="b">
        <f t="array" ref="AI104">OR(ISNUMBER(SEARCH(AH$2:AH$100,$B104,5)))</f>
        <v>0</v>
      </c>
      <c r="AK104" s="3" t="str">
        <f t="shared" si="14"/>
        <v>ZZZ</v>
      </c>
      <c r="AL104" s="3" t="b">
        <f t="array" ref="AL104">OR(ISNUMBER(SEARCH(AK$2:AK$100,$B104,5)))</f>
        <v>0</v>
      </c>
      <c r="AU104" s="8"/>
      <c r="AV104" s="6"/>
      <c r="AW104" s="8"/>
      <c r="AX104" s="8"/>
      <c r="AY104" s="6"/>
      <c r="AZ104" s="8"/>
      <c r="BA104" s="8"/>
      <c r="BB104" s="6" t="str">
        <f>IFERROR(__xludf.DUMMYFUNCTION("""COMPUTED_VALUE"""),"dim gold")</f>
        <v>dim gold</v>
      </c>
      <c r="BC104" s="8" t="str">
        <f>IFERROR(__xludf.DUMMYFUNCTION("""COMPUTED_VALUE"""),"bright purple")</f>
        <v>bright purple</v>
      </c>
      <c r="BD104" s="8"/>
      <c r="BE104" s="6"/>
      <c r="BF104" s="8"/>
      <c r="BG104" s="8"/>
      <c r="BH104" s="6"/>
      <c r="BI104" s="8"/>
      <c r="BJ104" s="8"/>
      <c r="BK104" s="6"/>
      <c r="BL104" s="8"/>
      <c r="BM104" s="8"/>
      <c r="BN104" s="6"/>
      <c r="BO104" s="8"/>
      <c r="BP104" s="8"/>
      <c r="BQ104" s="6"/>
      <c r="BR104" s="8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</row>
    <row r="105">
      <c r="A105" s="6"/>
      <c r="B105" s="6" t="s">
        <v>105</v>
      </c>
      <c r="C105" s="3" t="str">
        <f t="shared" si="3"/>
        <v>dark beige</v>
      </c>
      <c r="D105" s="3" t="str">
        <f t="shared" si="17"/>
        <v>ZZZ</v>
      </c>
      <c r="E105" s="3" t="b">
        <f t="array" ref="E105">OR(ISNUMBER(SEARCH(D$2:D$30,$B105,5)))</f>
        <v>0</v>
      </c>
      <c r="G105" s="3" t="str">
        <f t="shared" si="4"/>
        <v>ZZZ</v>
      </c>
      <c r="H105" s="3" t="b">
        <f t="array" ref="H105">OR(ISNUMBER(SEARCH(G$2:G$30,$B105,5)))</f>
        <v>0</v>
      </c>
      <c r="J105" s="3" t="str">
        <f t="shared" si="5"/>
        <v>ZZZ</v>
      </c>
      <c r="K105" s="3" t="b">
        <f t="array" ref="K105">OR(ISNUMBER(SEARCH(J$2:J$30,$B105,5)))</f>
        <v>0</v>
      </c>
      <c r="M105" s="3" t="str">
        <f t="shared" si="6"/>
        <v>ZZZ</v>
      </c>
      <c r="N105" s="3" t="b">
        <f t="array" ref="N105">OR(ISNUMBER(SEARCH(M$2:M$30,$B105,5)))</f>
        <v>0</v>
      </c>
      <c r="P105" s="3" t="str">
        <f t="shared" si="7"/>
        <v>ZZZ</v>
      </c>
      <c r="Q105" s="3" t="b">
        <f t="array" ref="Q105">OR(ISNUMBER(SEARCH(P$2:P$50,$B105,5)))</f>
        <v>0</v>
      </c>
      <c r="S105" s="3" t="str">
        <f t="shared" si="8"/>
        <v>ZZZ</v>
      </c>
      <c r="T105" s="3" t="b">
        <f t="array" ref="T105">OR(ISNUMBER(SEARCH(S$2:S$100,$B105,5)))</f>
        <v>0</v>
      </c>
      <c r="V105" s="3" t="str">
        <f t="shared" si="9"/>
        <v>ZZZ</v>
      </c>
      <c r="W105" s="3" t="b">
        <f t="array" ref="W105">OR(ISNUMBER(SEARCH(V$2:V$100,$B105,5)))</f>
        <v>0</v>
      </c>
      <c r="Y105" s="3" t="str">
        <f t="shared" si="10"/>
        <v>ZZZ</v>
      </c>
      <c r="Z105" s="3" t="b">
        <f t="array" ref="Z105">OR(ISNUMBER(SEARCH(Y$2:Y$100,$B105,5)))</f>
        <v>0</v>
      </c>
      <c r="AB105" s="3" t="str">
        <f t="shared" si="11"/>
        <v>ZZZ</v>
      </c>
      <c r="AC105" s="3" t="b">
        <f t="array" ref="AC105">OR(ISNUMBER(SEARCH(AB$2:AB$100,$B105,5)))</f>
        <v>0</v>
      </c>
      <c r="AE105" s="3" t="str">
        <f t="shared" si="12"/>
        <v>ZZZ</v>
      </c>
      <c r="AF105" s="3" t="b">
        <f t="array" ref="AF105">OR(ISNUMBER(SEARCH(AE$2:AE$100,$B105,5)))</f>
        <v>0</v>
      </c>
      <c r="AH105" s="3" t="str">
        <f t="shared" si="13"/>
        <v>ZZZ</v>
      </c>
      <c r="AI105" s="3" t="b">
        <f t="array" ref="AI105">OR(ISNUMBER(SEARCH(AH$2:AH$100,$B105,5)))</f>
        <v>0</v>
      </c>
      <c r="AK105" s="3" t="str">
        <f t="shared" si="14"/>
        <v>ZZZ</v>
      </c>
      <c r="AL105" s="3" t="b">
        <f t="array" ref="AL105">OR(ISNUMBER(SEARCH(AK$2:AK$100,$B105,5)))</f>
        <v>0</v>
      </c>
      <c r="AU105" s="8"/>
      <c r="AV105" s="6"/>
      <c r="AW105" s="8"/>
      <c r="AX105" s="8"/>
      <c r="AY105" s="6"/>
      <c r="AZ105" s="8"/>
      <c r="BA105" s="8"/>
      <c r="BB105" s="6" t="str">
        <f>IFERROR(__xludf.DUMMYFUNCTION("""COMPUTED_VALUE"""),"light gray")</f>
        <v>light gray</v>
      </c>
      <c r="BC105" s="8" t="str">
        <f>IFERROR(__xludf.DUMMYFUNCTION("""COMPUTED_VALUE"""),"dull red")</f>
        <v>dull red</v>
      </c>
      <c r="BD105" s="8"/>
      <c r="BE105" s="6"/>
      <c r="BF105" s="8"/>
      <c r="BG105" s="8"/>
      <c r="BH105" s="6"/>
      <c r="BI105" s="8"/>
      <c r="BJ105" s="8"/>
      <c r="BK105" s="6"/>
      <c r="BL105" s="8"/>
      <c r="BM105" s="8"/>
      <c r="BN105" s="6"/>
      <c r="BO105" s="8"/>
      <c r="BP105" s="8"/>
      <c r="BQ105" s="6"/>
      <c r="BR105" s="8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</row>
    <row r="106">
      <c r="A106" s="6"/>
      <c r="B106" s="6" t="s">
        <v>106</v>
      </c>
      <c r="C106" s="3" t="str">
        <f t="shared" si="3"/>
        <v>striped magenta</v>
      </c>
      <c r="D106" s="3" t="str">
        <f t="shared" si="17"/>
        <v>ZZZ</v>
      </c>
      <c r="E106" s="3" t="b">
        <f t="array" ref="E106">OR(ISNUMBER(SEARCH(D$2:D$30,$B106,5)))</f>
        <v>0</v>
      </c>
      <c r="G106" s="3" t="str">
        <f t="shared" si="4"/>
        <v>ZZZ</v>
      </c>
      <c r="H106" s="3" t="b">
        <f t="array" ref="H106">OR(ISNUMBER(SEARCH(G$2:G$30,$B106,5)))</f>
        <v>0</v>
      </c>
      <c r="J106" s="3" t="str">
        <f t="shared" si="5"/>
        <v>ZZZ</v>
      </c>
      <c r="K106" s="3" t="b">
        <f t="array" ref="K106">OR(ISNUMBER(SEARCH(J$2:J$30,$B106,5)))</f>
        <v>0</v>
      </c>
      <c r="M106" s="3" t="str">
        <f t="shared" si="6"/>
        <v>ZZZ</v>
      </c>
      <c r="N106" s="3" t="b">
        <f t="array" ref="N106">OR(ISNUMBER(SEARCH(M$2:M$30,$B106,5)))</f>
        <v>0</v>
      </c>
      <c r="P106" s="3" t="str">
        <f t="shared" si="7"/>
        <v>ZZZ</v>
      </c>
      <c r="Q106" s="3" t="b">
        <f t="array" ref="Q106">OR(ISNUMBER(SEARCH(P$2:P$50,$B106,5)))</f>
        <v>0</v>
      </c>
      <c r="S106" s="3" t="str">
        <f t="shared" si="8"/>
        <v>ZZZ</v>
      </c>
      <c r="T106" s="3" t="b">
        <f t="array" ref="T106">OR(ISNUMBER(SEARCH(S$2:S$100,$B106,5)))</f>
        <v>0</v>
      </c>
      <c r="V106" s="3" t="str">
        <f t="shared" si="9"/>
        <v>ZZZ</v>
      </c>
      <c r="W106" s="3" t="b">
        <f t="array" ref="W106">OR(ISNUMBER(SEARCH(V$2:V$100,$B106,5)))</f>
        <v>0</v>
      </c>
      <c r="Y106" s="3" t="str">
        <f t="shared" si="10"/>
        <v>ZZZ</v>
      </c>
      <c r="Z106" s="3" t="b">
        <f t="array" ref="Z106">OR(ISNUMBER(SEARCH(Y$2:Y$100,$B106,5)))</f>
        <v>0</v>
      </c>
      <c r="AB106" s="3" t="str">
        <f t="shared" si="11"/>
        <v>ZZZ</v>
      </c>
      <c r="AC106" s="3" t="b">
        <f t="array" ref="AC106">OR(ISNUMBER(SEARCH(AB$2:AB$100,$B106,5)))</f>
        <v>0</v>
      </c>
      <c r="AE106" s="3" t="str">
        <f t="shared" si="12"/>
        <v>ZZZ</v>
      </c>
      <c r="AF106" s="3" t="b">
        <f t="array" ref="AF106">OR(ISNUMBER(SEARCH(AE$2:AE$100,$B106,5)))</f>
        <v>0</v>
      </c>
      <c r="AH106" s="3" t="str">
        <f t="shared" si="13"/>
        <v>ZZZ</v>
      </c>
      <c r="AI106" s="3" t="b">
        <f t="array" ref="AI106">OR(ISNUMBER(SEARCH(AH$2:AH$100,$B106,5)))</f>
        <v>0</v>
      </c>
      <c r="AK106" s="3" t="str">
        <f t="shared" si="14"/>
        <v>ZZZ</v>
      </c>
      <c r="AL106" s="3" t="b">
        <f t="array" ref="AL106">OR(ISNUMBER(SEARCH(AK$2:AK$100,$B106,5)))</f>
        <v>0</v>
      </c>
      <c r="AU106" s="8"/>
      <c r="AV106" s="6"/>
      <c r="AW106" s="8"/>
      <c r="AX106" s="8"/>
      <c r="AY106" s="6"/>
      <c r="AZ106" s="8"/>
      <c r="BA106" s="8"/>
      <c r="BB106" s="6" t="str">
        <f>IFERROR(__xludf.DUMMYFUNCTION("""COMPUTED_VALUE"""),"pale turquoise")</f>
        <v>pale turquoise</v>
      </c>
      <c r="BC106" s="8" t="str">
        <f>IFERROR(__xludf.DUMMYFUNCTION("""COMPUTED_VALUE"""),"posh teal")</f>
        <v>posh teal</v>
      </c>
      <c r="BD106" s="8"/>
      <c r="BE106" s="6"/>
      <c r="BF106" s="8"/>
      <c r="BG106" s="8"/>
      <c r="BH106" s="6"/>
      <c r="BI106" s="8"/>
      <c r="BJ106" s="8"/>
      <c r="BK106" s="6"/>
      <c r="BL106" s="8"/>
      <c r="BM106" s="8"/>
      <c r="BN106" s="6"/>
      <c r="BO106" s="8"/>
      <c r="BP106" s="8"/>
      <c r="BQ106" s="6"/>
      <c r="BR106" s="8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</row>
    <row r="107">
      <c r="A107" s="6"/>
      <c r="B107" s="6" t="s">
        <v>107</v>
      </c>
      <c r="C107" s="3" t="str">
        <f t="shared" si="3"/>
        <v>striped blue</v>
      </c>
      <c r="D107" s="3" t="str">
        <f t="shared" si="17"/>
        <v>ZZZ</v>
      </c>
      <c r="E107" s="3" t="b">
        <f t="array" ref="E107">OR(ISNUMBER(SEARCH(D$2:D$30,$B107,5)))</f>
        <v>0</v>
      </c>
      <c r="G107" s="3" t="str">
        <f t="shared" si="4"/>
        <v>ZZZ</v>
      </c>
      <c r="H107" s="3" t="b">
        <f t="array" ref="H107">OR(ISNUMBER(SEARCH(G$2:G$30,$B107,5)))</f>
        <v>0</v>
      </c>
      <c r="J107" s="3" t="str">
        <f t="shared" si="5"/>
        <v>ZZZ</v>
      </c>
      <c r="K107" s="3" t="b">
        <f t="array" ref="K107">OR(ISNUMBER(SEARCH(J$2:J$30,$B107,5)))</f>
        <v>0</v>
      </c>
      <c r="M107" s="3" t="str">
        <f t="shared" si="6"/>
        <v>ZZZ</v>
      </c>
      <c r="N107" s="3" t="b">
        <f t="array" ref="N107">OR(ISNUMBER(SEARCH(M$2:M$30,$B107,5)))</f>
        <v>0</v>
      </c>
      <c r="P107" s="3" t="str">
        <f t="shared" si="7"/>
        <v>ZZZ</v>
      </c>
      <c r="Q107" s="3" t="b">
        <f t="array" ref="Q107">OR(ISNUMBER(SEARCH(P$2:P$50,$B107,5)))</f>
        <v>0</v>
      </c>
      <c r="S107" s="3" t="str">
        <f t="shared" si="8"/>
        <v>ZZZ</v>
      </c>
      <c r="T107" s="3" t="b">
        <f t="array" ref="T107">OR(ISNUMBER(SEARCH(S$2:S$100,$B107,5)))</f>
        <v>0</v>
      </c>
      <c r="V107" s="3" t="str">
        <f t="shared" si="9"/>
        <v>ZZZ</v>
      </c>
      <c r="W107" s="3" t="b">
        <f t="array" ref="W107">OR(ISNUMBER(SEARCH(V$2:V$100,$B107,5)))</f>
        <v>0</v>
      </c>
      <c r="Y107" s="3" t="str">
        <f t="shared" si="10"/>
        <v>ZZZ</v>
      </c>
      <c r="Z107" s="3" t="b">
        <f t="array" ref="Z107">OR(ISNUMBER(SEARCH(Y$2:Y$100,$B107,5)))</f>
        <v>0</v>
      </c>
      <c r="AB107" s="3" t="str">
        <f t="shared" si="11"/>
        <v>ZZZ</v>
      </c>
      <c r="AC107" s="3" t="b">
        <f t="array" ref="AC107">OR(ISNUMBER(SEARCH(AB$2:AB$100,$B107,5)))</f>
        <v>0</v>
      </c>
      <c r="AE107" s="3" t="str">
        <f t="shared" si="12"/>
        <v>ZZZ</v>
      </c>
      <c r="AF107" s="3" t="b">
        <f t="array" ref="AF107">OR(ISNUMBER(SEARCH(AE$2:AE$100,$B107,5)))</f>
        <v>0</v>
      </c>
      <c r="AH107" s="3" t="str">
        <f t="shared" si="13"/>
        <v>ZZZ</v>
      </c>
      <c r="AI107" s="3" t="b">
        <f t="array" ref="AI107">OR(ISNUMBER(SEARCH(AH$2:AH$100,$B107,5)))</f>
        <v>0</v>
      </c>
      <c r="AK107" s="3" t="str">
        <f t="shared" si="14"/>
        <v>ZZZ</v>
      </c>
      <c r="AL107" s="3" t="b">
        <f t="array" ref="AL107">OR(ISNUMBER(SEARCH(AK$2:AK$100,$B107,5)))</f>
        <v>0</v>
      </c>
      <c r="AU107" s="8"/>
      <c r="AV107" s="6"/>
      <c r="AW107" s="8"/>
      <c r="AX107" s="8"/>
      <c r="AY107" s="6"/>
      <c r="AZ107" s="8"/>
      <c r="BA107" s="8"/>
      <c r="BB107" s="6" t="str">
        <f>IFERROR(__xludf.DUMMYFUNCTION("""COMPUTED_VALUE"""),"dotted red")</f>
        <v>dotted red</v>
      </c>
      <c r="BC107" s="8" t="str">
        <f>IFERROR(__xludf.DUMMYFUNCTION("""COMPUTED_VALUE"""),"wavy lime")</f>
        <v>wavy lime</v>
      </c>
      <c r="BD107" s="8"/>
      <c r="BE107" s="6"/>
      <c r="BF107" s="8"/>
      <c r="BG107" s="8"/>
      <c r="BH107" s="6"/>
      <c r="BI107" s="8"/>
      <c r="BJ107" s="8"/>
      <c r="BK107" s="6"/>
      <c r="BL107" s="8"/>
      <c r="BM107" s="8"/>
      <c r="BN107" s="6"/>
      <c r="BO107" s="8"/>
      <c r="BP107" s="8"/>
      <c r="BQ107" s="6"/>
      <c r="BR107" s="8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</row>
    <row r="108">
      <c r="A108" s="6"/>
      <c r="B108" s="6" t="s">
        <v>108</v>
      </c>
      <c r="C108" s="3" t="str">
        <f t="shared" si="3"/>
        <v>light silver</v>
      </c>
      <c r="D108" s="3" t="str">
        <f t="shared" si="17"/>
        <v>ZZZ</v>
      </c>
      <c r="E108" s="3" t="b">
        <f t="array" ref="E108">OR(ISNUMBER(SEARCH(D$2:D$30,$B108,5)))</f>
        <v>0</v>
      </c>
      <c r="G108" s="3" t="str">
        <f t="shared" si="4"/>
        <v>ZZZ</v>
      </c>
      <c r="H108" s="3" t="b">
        <f t="array" ref="H108">OR(ISNUMBER(SEARCH(G$2:G$30,$B108,5)))</f>
        <v>0</v>
      </c>
      <c r="J108" s="3" t="str">
        <f t="shared" si="5"/>
        <v>ZZZ</v>
      </c>
      <c r="K108" s="3" t="b">
        <f t="array" ref="K108">OR(ISNUMBER(SEARCH(J$2:J$30,$B108,5)))</f>
        <v>0</v>
      </c>
      <c r="M108" s="3" t="str">
        <f t="shared" si="6"/>
        <v>ZZZ</v>
      </c>
      <c r="N108" s="3" t="b">
        <f t="array" ref="N108">OR(ISNUMBER(SEARCH(M$2:M$30,$B108,5)))</f>
        <v>0</v>
      </c>
      <c r="P108" s="3" t="str">
        <f t="shared" si="7"/>
        <v>ZZZ</v>
      </c>
      <c r="Q108" s="3" t="b">
        <f t="array" ref="Q108">OR(ISNUMBER(SEARCH(P$2:P$50,$B108,5)))</f>
        <v>0</v>
      </c>
      <c r="S108" s="3" t="str">
        <f t="shared" si="8"/>
        <v>ZZZ</v>
      </c>
      <c r="T108" s="3" t="b">
        <f t="array" ref="T108">OR(ISNUMBER(SEARCH(S$2:S$100,$B108,5)))</f>
        <v>0</v>
      </c>
      <c r="V108" s="3" t="str">
        <f t="shared" si="9"/>
        <v>ZZZ</v>
      </c>
      <c r="W108" s="3" t="b">
        <f t="array" ref="W108">OR(ISNUMBER(SEARCH(V$2:V$100,$B108,5)))</f>
        <v>0</v>
      </c>
      <c r="Y108" s="3" t="str">
        <f t="shared" si="10"/>
        <v>ZZZ</v>
      </c>
      <c r="Z108" s="3" t="b">
        <f t="array" ref="Z108">OR(ISNUMBER(SEARCH(Y$2:Y$100,$B108,5)))</f>
        <v>0</v>
      </c>
      <c r="AB108" s="3" t="str">
        <f t="shared" si="11"/>
        <v>ZZZ</v>
      </c>
      <c r="AC108" s="3" t="b">
        <f t="array" ref="AC108">OR(ISNUMBER(SEARCH(AB$2:AB$100,$B108,5)))</f>
        <v>0</v>
      </c>
      <c r="AE108" s="3" t="str">
        <f t="shared" si="12"/>
        <v>ZZZ</v>
      </c>
      <c r="AF108" s="3" t="b">
        <f t="array" ref="AF108">OR(ISNUMBER(SEARCH(AE$2:AE$100,$B108,5)))</f>
        <v>0</v>
      </c>
      <c r="AH108" s="3" t="str">
        <f t="shared" si="13"/>
        <v>ZZZ</v>
      </c>
      <c r="AI108" s="3" t="b">
        <f t="array" ref="AI108">OR(ISNUMBER(SEARCH(AH$2:AH$100,$B108,5)))</f>
        <v>0</v>
      </c>
      <c r="AK108" s="3" t="str">
        <f t="shared" si="14"/>
        <v>ZZZ</v>
      </c>
      <c r="AL108" s="3" t="b">
        <f t="array" ref="AL108">OR(ISNUMBER(SEARCH(AK$2:AK$100,$B108,5)))</f>
        <v>0</v>
      </c>
      <c r="AU108" s="8"/>
      <c r="AV108" s="6"/>
      <c r="AW108" s="8"/>
      <c r="AX108" s="8"/>
      <c r="AY108" s="6"/>
      <c r="AZ108" s="8"/>
      <c r="BA108" s="8"/>
      <c r="BB108" s="6" t="str">
        <f>IFERROR(__xludf.DUMMYFUNCTION("""COMPUTED_VALUE"""),"muted gold")</f>
        <v>muted gold</v>
      </c>
      <c r="BC108" s="8" t="str">
        <f>IFERROR(__xludf.DUMMYFUNCTION("""COMPUTED_VALUE"""),"dotted violet")</f>
        <v>dotted violet</v>
      </c>
      <c r="BD108" s="8"/>
      <c r="BE108" s="6"/>
      <c r="BF108" s="8"/>
      <c r="BG108" s="8"/>
      <c r="BH108" s="6"/>
      <c r="BI108" s="8"/>
      <c r="BJ108" s="8"/>
      <c r="BK108" s="6"/>
      <c r="BL108" s="8"/>
      <c r="BM108" s="8"/>
      <c r="BN108" s="6"/>
      <c r="BO108" s="8"/>
      <c r="BP108" s="8"/>
      <c r="BQ108" s="6"/>
      <c r="BR108" s="8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</row>
    <row r="109">
      <c r="A109" s="6"/>
      <c r="B109" s="6" t="s">
        <v>109</v>
      </c>
      <c r="C109" s="3" t="str">
        <f t="shared" si="3"/>
        <v>pale indigo</v>
      </c>
      <c r="D109" s="3" t="str">
        <f t="shared" si="17"/>
        <v>ZZZ</v>
      </c>
      <c r="E109" s="3" t="b">
        <f t="array" ref="E109">OR(ISNUMBER(SEARCH(D$2:D$30,$B109,5)))</f>
        <v>0</v>
      </c>
      <c r="G109" s="3" t="str">
        <f t="shared" si="4"/>
        <v>ZZZ</v>
      </c>
      <c r="H109" s="3" t="b">
        <f t="array" ref="H109">OR(ISNUMBER(SEARCH(G$2:G$30,$B109,5)))</f>
        <v>0</v>
      </c>
      <c r="J109" s="3" t="str">
        <f t="shared" si="5"/>
        <v>ZZZ</v>
      </c>
      <c r="K109" s="3" t="b">
        <f t="array" ref="K109">OR(ISNUMBER(SEARCH(J$2:J$30,$B109,5)))</f>
        <v>0</v>
      </c>
      <c r="M109" s="3" t="str">
        <f t="shared" si="6"/>
        <v>ZZZ</v>
      </c>
      <c r="N109" s="3" t="b">
        <f t="array" ref="N109">OR(ISNUMBER(SEARCH(M$2:M$30,$B109,5)))</f>
        <v>1</v>
      </c>
      <c r="P109" s="3" t="str">
        <f t="shared" si="7"/>
        <v>ZZZ</v>
      </c>
      <c r="Q109" s="3" t="b">
        <f t="array" ref="Q109">OR(ISNUMBER(SEARCH(P$2:P$50,$B109,5)))</f>
        <v>0</v>
      </c>
      <c r="S109" s="3" t="str">
        <f t="shared" si="8"/>
        <v>ZZZ</v>
      </c>
      <c r="T109" s="3" t="b">
        <f t="array" ref="T109">OR(ISNUMBER(SEARCH(S$2:S$100,$B109,5)))</f>
        <v>1</v>
      </c>
      <c r="V109" s="3" t="str">
        <f t="shared" si="9"/>
        <v>ZZZ</v>
      </c>
      <c r="W109" s="3" t="b">
        <f t="array" ref="W109">OR(ISNUMBER(SEARCH(V$2:V$100,$B109,5)))</f>
        <v>0</v>
      </c>
      <c r="Y109" s="3" t="str">
        <f t="shared" si="10"/>
        <v>ZZZ</v>
      </c>
      <c r="Z109" s="3" t="b">
        <f t="array" ref="Z109">OR(ISNUMBER(SEARCH(Y$2:Y$100,$B109,5)))</f>
        <v>0</v>
      </c>
      <c r="AB109" s="3" t="str">
        <f t="shared" si="11"/>
        <v>ZZZ</v>
      </c>
      <c r="AC109" s="3" t="b">
        <f t="array" ref="AC109">OR(ISNUMBER(SEARCH(AB$2:AB$100,$B109,5)))</f>
        <v>0</v>
      </c>
      <c r="AE109" s="3" t="str">
        <f t="shared" si="12"/>
        <v>ZZZ</v>
      </c>
      <c r="AF109" s="3" t="b">
        <f t="array" ref="AF109">OR(ISNUMBER(SEARCH(AE$2:AE$100,$B109,5)))</f>
        <v>0</v>
      </c>
      <c r="AH109" s="3" t="str">
        <f t="shared" si="13"/>
        <v>ZZZ</v>
      </c>
      <c r="AI109" s="3" t="b">
        <f t="array" ref="AI109">OR(ISNUMBER(SEARCH(AH$2:AH$100,$B109,5)))</f>
        <v>0</v>
      </c>
      <c r="AK109" s="3" t="str">
        <f t="shared" si="14"/>
        <v>ZZZ</v>
      </c>
      <c r="AL109" s="3" t="b">
        <f t="array" ref="AL109">OR(ISNUMBER(SEARCH(AK$2:AK$100,$B109,5)))</f>
        <v>0</v>
      </c>
      <c r="AU109" s="8"/>
      <c r="AV109" s="6"/>
      <c r="AW109" s="8"/>
      <c r="AX109" s="8"/>
      <c r="AY109" s="6"/>
      <c r="AZ109" s="8"/>
      <c r="BA109" s="8"/>
      <c r="BB109" s="6" t="str">
        <f>IFERROR(__xludf.DUMMYFUNCTION("""COMPUTED_VALUE"""),"wavy magenta")</f>
        <v>wavy magenta</v>
      </c>
      <c r="BC109" s="8" t="str">
        <f>IFERROR(__xludf.DUMMYFUNCTION("""COMPUTED_VALUE"""),"dark orange")</f>
        <v>dark orange</v>
      </c>
      <c r="BD109" s="8"/>
      <c r="BE109" s="6"/>
      <c r="BF109" s="8"/>
      <c r="BG109" s="8"/>
      <c r="BH109" s="6"/>
      <c r="BI109" s="8"/>
      <c r="BJ109" s="8"/>
      <c r="BK109" s="6"/>
      <c r="BL109" s="8"/>
      <c r="BM109" s="8"/>
      <c r="BN109" s="6"/>
      <c r="BO109" s="8"/>
      <c r="BP109" s="8"/>
      <c r="BQ109" s="6"/>
      <c r="BR109" s="8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</row>
    <row r="110">
      <c r="A110" s="6"/>
      <c r="B110" s="6" t="s">
        <v>110</v>
      </c>
      <c r="C110" s="3" t="str">
        <f t="shared" si="3"/>
        <v>mirrored turquoise</v>
      </c>
      <c r="D110" s="3" t="str">
        <f t="shared" si="17"/>
        <v>ZZZ</v>
      </c>
      <c r="E110" s="3" t="b">
        <f t="array" ref="E110">OR(ISNUMBER(SEARCH(D$2:D$30,$B110,5)))</f>
        <v>0</v>
      </c>
      <c r="G110" s="3" t="str">
        <f t="shared" si="4"/>
        <v>ZZZ</v>
      </c>
      <c r="H110" s="3" t="b">
        <f t="array" ref="H110">OR(ISNUMBER(SEARCH(G$2:G$30,$B110,5)))</f>
        <v>0</v>
      </c>
      <c r="J110" s="3" t="str">
        <f t="shared" si="5"/>
        <v>ZZZ</v>
      </c>
      <c r="K110" s="3" t="b">
        <f t="array" ref="K110">OR(ISNUMBER(SEARCH(J$2:J$30,$B110,5)))</f>
        <v>0</v>
      </c>
      <c r="M110" s="3" t="str">
        <f t="shared" si="6"/>
        <v>ZZZ</v>
      </c>
      <c r="N110" s="3" t="b">
        <f t="array" ref="N110">OR(ISNUMBER(SEARCH(M$2:M$30,$B110,5)))</f>
        <v>0</v>
      </c>
      <c r="P110" s="3" t="str">
        <f t="shared" si="7"/>
        <v>ZZZ</v>
      </c>
      <c r="Q110" s="3" t="b">
        <f t="array" ref="Q110">OR(ISNUMBER(SEARCH(P$2:P$50,$B110,5)))</f>
        <v>0</v>
      </c>
      <c r="S110" s="3" t="str">
        <f t="shared" si="8"/>
        <v>ZZZ</v>
      </c>
      <c r="T110" s="3" t="b">
        <f t="array" ref="T110">OR(ISNUMBER(SEARCH(S$2:S$100,$B110,5)))</f>
        <v>0</v>
      </c>
      <c r="V110" s="3" t="str">
        <f t="shared" si="9"/>
        <v>ZZZ</v>
      </c>
      <c r="W110" s="3" t="b">
        <f t="array" ref="W110">OR(ISNUMBER(SEARCH(V$2:V$100,$B110,5)))</f>
        <v>0</v>
      </c>
      <c r="Y110" s="3" t="str">
        <f t="shared" si="10"/>
        <v>ZZZ</v>
      </c>
      <c r="Z110" s="3" t="b">
        <f t="array" ref="Z110">OR(ISNUMBER(SEARCH(Y$2:Y$100,$B110,5)))</f>
        <v>0</v>
      </c>
      <c r="AB110" s="3" t="str">
        <f t="shared" si="11"/>
        <v>ZZZ</v>
      </c>
      <c r="AC110" s="3" t="b">
        <f t="array" ref="AC110">OR(ISNUMBER(SEARCH(AB$2:AB$100,$B110,5)))</f>
        <v>0</v>
      </c>
      <c r="AE110" s="3" t="str">
        <f t="shared" si="12"/>
        <v>ZZZ</v>
      </c>
      <c r="AF110" s="3" t="b">
        <f t="array" ref="AF110">OR(ISNUMBER(SEARCH(AE$2:AE$100,$B110,5)))</f>
        <v>0</v>
      </c>
      <c r="AH110" s="3" t="str">
        <f t="shared" si="13"/>
        <v>ZZZ</v>
      </c>
      <c r="AI110" s="3" t="b">
        <f t="array" ref="AI110">OR(ISNUMBER(SEARCH(AH$2:AH$100,$B110,5)))</f>
        <v>0</v>
      </c>
      <c r="AK110" s="3" t="str">
        <f t="shared" si="14"/>
        <v>ZZZ</v>
      </c>
      <c r="AL110" s="3" t="b">
        <f t="array" ref="AL110">OR(ISNUMBER(SEARCH(AK$2:AK$100,$B110,5)))</f>
        <v>0</v>
      </c>
      <c r="AU110" s="8"/>
      <c r="AV110" s="6"/>
      <c r="AW110" s="8"/>
      <c r="AX110" s="8"/>
      <c r="AY110" s="6"/>
      <c r="AZ110" s="8"/>
      <c r="BA110" s="8"/>
      <c r="BB110" s="6" t="str">
        <f>IFERROR(__xludf.DUMMYFUNCTION("""COMPUTED_VALUE"""),"dull olive")</f>
        <v>dull olive</v>
      </c>
      <c r="BC110" s="8" t="str">
        <f>IFERROR(__xludf.DUMMYFUNCTION("""COMPUTED_VALUE"""),"dull lavender")</f>
        <v>dull lavender</v>
      </c>
      <c r="BD110" s="8"/>
      <c r="BE110" s="6"/>
      <c r="BF110" s="8"/>
      <c r="BG110" s="8"/>
      <c r="BH110" s="6"/>
      <c r="BI110" s="8"/>
      <c r="BJ110" s="8"/>
      <c r="BK110" s="6"/>
      <c r="BL110" s="8"/>
      <c r="BM110" s="8"/>
      <c r="BN110" s="6"/>
      <c r="BO110" s="8"/>
      <c r="BP110" s="8"/>
      <c r="BQ110" s="6"/>
      <c r="BR110" s="8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</row>
    <row r="111">
      <c r="A111" s="6"/>
      <c r="B111" s="6" t="s">
        <v>111</v>
      </c>
      <c r="C111" s="3" t="str">
        <f t="shared" si="3"/>
        <v>striped beige</v>
      </c>
      <c r="D111" s="3" t="str">
        <f t="shared" si="17"/>
        <v>ZZZ</v>
      </c>
      <c r="E111" s="3" t="b">
        <f t="array" ref="E111">OR(ISNUMBER(SEARCH(D$2:D$30,$B111,5)))</f>
        <v>0</v>
      </c>
      <c r="G111" s="3" t="str">
        <f t="shared" si="4"/>
        <v>ZZZ</v>
      </c>
      <c r="H111" s="3" t="b">
        <f t="array" ref="H111">OR(ISNUMBER(SEARCH(G$2:G$30,$B111,5)))</f>
        <v>0</v>
      </c>
      <c r="J111" s="3" t="str">
        <f t="shared" si="5"/>
        <v>ZZZ</v>
      </c>
      <c r="K111" s="3" t="b">
        <f t="array" ref="K111">OR(ISNUMBER(SEARCH(J$2:J$30,$B111,5)))</f>
        <v>0</v>
      </c>
      <c r="M111" s="3" t="str">
        <f t="shared" si="6"/>
        <v>ZZZ</v>
      </c>
      <c r="N111" s="3" t="b">
        <f t="array" ref="N111">OR(ISNUMBER(SEARCH(M$2:M$30,$B111,5)))</f>
        <v>0</v>
      </c>
      <c r="P111" s="3" t="str">
        <f t="shared" si="7"/>
        <v>ZZZ</v>
      </c>
      <c r="Q111" s="3" t="b">
        <f t="array" ref="Q111">OR(ISNUMBER(SEARCH(P$2:P$50,$B111,5)))</f>
        <v>0</v>
      </c>
      <c r="S111" s="3" t="str">
        <f t="shared" si="8"/>
        <v>ZZZ</v>
      </c>
      <c r="T111" s="3" t="b">
        <f t="array" ref="T111">OR(ISNUMBER(SEARCH(S$2:S$100,$B111,5)))</f>
        <v>1</v>
      </c>
      <c r="V111" s="3" t="str">
        <f t="shared" si="9"/>
        <v>ZZZ</v>
      </c>
      <c r="W111" s="3" t="b">
        <f t="array" ref="W111">OR(ISNUMBER(SEARCH(V$2:V$100,$B111,5)))</f>
        <v>0</v>
      </c>
      <c r="Y111" s="3" t="str">
        <f t="shared" si="10"/>
        <v>ZZZ</v>
      </c>
      <c r="Z111" s="3" t="b">
        <f t="array" ref="Z111">OR(ISNUMBER(SEARCH(Y$2:Y$100,$B111,5)))</f>
        <v>1</v>
      </c>
      <c r="AB111" s="3" t="str">
        <f t="shared" si="11"/>
        <v>ZZZ</v>
      </c>
      <c r="AC111" s="3" t="b">
        <f t="array" ref="AC111">OR(ISNUMBER(SEARCH(AB$2:AB$100,$B111,5)))</f>
        <v>0</v>
      </c>
      <c r="AE111" s="3" t="str">
        <f t="shared" si="12"/>
        <v>ZZZ</v>
      </c>
      <c r="AF111" s="3" t="b">
        <f t="array" ref="AF111">OR(ISNUMBER(SEARCH(AE$2:AE$100,$B111,5)))</f>
        <v>0</v>
      </c>
      <c r="AH111" s="3" t="str">
        <f t="shared" si="13"/>
        <v>ZZZ</v>
      </c>
      <c r="AI111" s="3" t="b">
        <f t="array" ref="AI111">OR(ISNUMBER(SEARCH(AH$2:AH$100,$B111,5)))</f>
        <v>0</v>
      </c>
      <c r="AK111" s="3" t="str">
        <f t="shared" si="14"/>
        <v>ZZZ</v>
      </c>
      <c r="AL111" s="3" t="b">
        <f t="array" ref="AL111">OR(ISNUMBER(SEARCH(AK$2:AK$100,$B111,5)))</f>
        <v>0</v>
      </c>
      <c r="AU111" s="8"/>
      <c r="AV111" s="6"/>
      <c r="AW111" s="8"/>
      <c r="AX111" s="8"/>
      <c r="AY111" s="6"/>
      <c r="AZ111" s="8"/>
      <c r="BA111" s="8"/>
      <c r="BB111" s="6" t="str">
        <f>IFERROR(__xludf.DUMMYFUNCTION("""COMPUTED_VALUE"""),"muted tan")</f>
        <v>muted tan</v>
      </c>
      <c r="BC111" s="8" t="str">
        <f>IFERROR(__xludf.DUMMYFUNCTION("""COMPUTED_VALUE"""),"vibrant fuchsia")</f>
        <v>vibrant fuchsia</v>
      </c>
      <c r="BD111" s="8"/>
      <c r="BE111" s="6"/>
      <c r="BF111" s="8"/>
      <c r="BG111" s="8"/>
      <c r="BH111" s="6"/>
      <c r="BI111" s="8"/>
      <c r="BJ111" s="8"/>
      <c r="BK111" s="6"/>
      <c r="BL111" s="8"/>
      <c r="BM111" s="8"/>
      <c r="BN111" s="6"/>
      <c r="BO111" s="8"/>
      <c r="BP111" s="8"/>
      <c r="BQ111" s="6"/>
      <c r="BR111" s="8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</row>
    <row r="112">
      <c r="A112" s="6"/>
      <c r="B112" s="6" t="s">
        <v>112</v>
      </c>
      <c r="C112" s="3" t="str">
        <f t="shared" si="3"/>
        <v>pale silver</v>
      </c>
      <c r="D112" s="3" t="str">
        <f t="shared" si="17"/>
        <v>ZZZ</v>
      </c>
      <c r="E112" s="3" t="b">
        <f t="array" ref="E112">OR(ISNUMBER(SEARCH(D$2:D$30,$B112,5)))</f>
        <v>0</v>
      </c>
      <c r="G112" s="3" t="str">
        <f t="shared" si="4"/>
        <v>ZZZ</v>
      </c>
      <c r="H112" s="3" t="b">
        <f t="array" ref="H112">OR(ISNUMBER(SEARCH(G$2:G$30,$B112,5)))</f>
        <v>0</v>
      </c>
      <c r="J112" s="3" t="str">
        <f t="shared" si="5"/>
        <v>ZZZ</v>
      </c>
      <c r="K112" s="3" t="b">
        <f t="array" ref="K112">OR(ISNUMBER(SEARCH(J$2:J$30,$B112,5)))</f>
        <v>0</v>
      </c>
      <c r="M112" s="3" t="str">
        <f t="shared" si="6"/>
        <v>ZZZ</v>
      </c>
      <c r="N112" s="3" t="b">
        <f t="array" ref="N112">OR(ISNUMBER(SEARCH(M$2:M$30,$B112,5)))</f>
        <v>0</v>
      </c>
      <c r="P112" s="3" t="str">
        <f t="shared" si="7"/>
        <v>ZZZ</v>
      </c>
      <c r="Q112" s="3" t="b">
        <f t="array" ref="Q112">OR(ISNUMBER(SEARCH(P$2:P$50,$B112,5)))</f>
        <v>1</v>
      </c>
      <c r="S112" s="3" t="str">
        <f t="shared" si="8"/>
        <v>ZZZ</v>
      </c>
      <c r="T112" s="3" t="b">
        <f t="array" ref="T112">OR(ISNUMBER(SEARCH(S$2:S$100,$B112,5)))</f>
        <v>0</v>
      </c>
      <c r="V112" s="3" t="str">
        <f t="shared" si="9"/>
        <v>ZZZ</v>
      </c>
      <c r="W112" s="3" t="b">
        <f t="array" ref="W112">OR(ISNUMBER(SEARCH(V$2:V$100,$B112,5)))</f>
        <v>0</v>
      </c>
      <c r="Y112" s="3" t="str">
        <f t="shared" si="10"/>
        <v>ZZZ</v>
      </c>
      <c r="Z112" s="3" t="b">
        <f t="array" ref="Z112">OR(ISNUMBER(SEARCH(Y$2:Y$100,$B112,5)))</f>
        <v>0</v>
      </c>
      <c r="AB112" s="3" t="str">
        <f t="shared" si="11"/>
        <v>ZZZ</v>
      </c>
      <c r="AC112" s="3" t="b">
        <f t="array" ref="AC112">OR(ISNUMBER(SEARCH(AB$2:AB$100,$B112,5)))</f>
        <v>0</v>
      </c>
      <c r="AE112" s="3" t="str">
        <f t="shared" si="12"/>
        <v>ZZZ</v>
      </c>
      <c r="AF112" s="3" t="b">
        <f t="array" ref="AF112">OR(ISNUMBER(SEARCH(AE$2:AE$100,$B112,5)))</f>
        <v>0</v>
      </c>
      <c r="AH112" s="3" t="str">
        <f t="shared" si="13"/>
        <v>ZZZ</v>
      </c>
      <c r="AI112" s="3" t="b">
        <f t="array" ref="AI112">OR(ISNUMBER(SEARCH(AH$2:AH$100,$B112,5)))</f>
        <v>0</v>
      </c>
      <c r="AK112" s="3" t="str">
        <f t="shared" si="14"/>
        <v>ZZZ</v>
      </c>
      <c r="AL112" s="3" t="b">
        <f t="array" ref="AL112">OR(ISNUMBER(SEARCH(AK$2:AK$100,$B112,5)))</f>
        <v>0</v>
      </c>
      <c r="AU112" s="8"/>
      <c r="AV112" s="6"/>
      <c r="AW112" s="8"/>
      <c r="AX112" s="8"/>
      <c r="AY112" s="6"/>
      <c r="AZ112" s="8"/>
      <c r="BA112" s="8"/>
      <c r="BB112" s="6" t="str">
        <f>IFERROR(__xludf.DUMMYFUNCTION("""COMPUTED_VALUE"""),"drab crimson")</f>
        <v>drab crimson</v>
      </c>
      <c r="BC112" s="8" t="str">
        <f>IFERROR(__xludf.DUMMYFUNCTION("""COMPUTED_VALUE"""),"dull magenta")</f>
        <v>dull magenta</v>
      </c>
      <c r="BD112" s="8"/>
      <c r="BE112" s="6"/>
      <c r="BF112" s="8"/>
      <c r="BG112" s="8"/>
      <c r="BH112" s="6"/>
      <c r="BI112" s="8"/>
      <c r="BJ112" s="8"/>
      <c r="BK112" s="6"/>
      <c r="BL112" s="8"/>
      <c r="BM112" s="8"/>
      <c r="BN112" s="6"/>
      <c r="BO112" s="8"/>
      <c r="BP112" s="8"/>
      <c r="BQ112" s="6"/>
      <c r="BR112" s="8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</row>
    <row r="113">
      <c r="A113" s="6"/>
      <c r="B113" s="6" t="s">
        <v>113</v>
      </c>
      <c r="C113" s="3" t="str">
        <f t="shared" si="3"/>
        <v>dark lime</v>
      </c>
      <c r="D113" s="3" t="str">
        <f t="shared" si="17"/>
        <v>ZZZ</v>
      </c>
      <c r="E113" s="3" t="b">
        <f t="array" ref="E113">OR(ISNUMBER(SEARCH(D$2:D$30,$B113,5)))</f>
        <v>0</v>
      </c>
      <c r="G113" s="3" t="str">
        <f t="shared" si="4"/>
        <v>ZZZ</v>
      </c>
      <c r="H113" s="3" t="b">
        <f t="array" ref="H113">OR(ISNUMBER(SEARCH(G$2:G$30,$B113,5)))</f>
        <v>0</v>
      </c>
      <c r="J113" s="3" t="str">
        <f t="shared" si="5"/>
        <v>ZZZ</v>
      </c>
      <c r="K113" s="3" t="b">
        <f t="array" ref="K113">OR(ISNUMBER(SEARCH(J$2:J$30,$B113,5)))</f>
        <v>1</v>
      </c>
      <c r="M113" s="3" t="str">
        <f t="shared" si="6"/>
        <v>ZZZ</v>
      </c>
      <c r="N113" s="3" t="b">
        <f t="array" ref="N113">OR(ISNUMBER(SEARCH(M$2:M$30,$B113,5)))</f>
        <v>0</v>
      </c>
      <c r="P113" s="3" t="str">
        <f t="shared" si="7"/>
        <v>ZZZ</v>
      </c>
      <c r="Q113" s="3" t="b">
        <f t="array" ref="Q113">OR(ISNUMBER(SEARCH(P$2:P$50,$B113,5)))</f>
        <v>0</v>
      </c>
      <c r="S113" s="3" t="str">
        <f t="shared" si="8"/>
        <v>ZZZ</v>
      </c>
      <c r="T113" s="3" t="b">
        <f t="array" ref="T113">OR(ISNUMBER(SEARCH(S$2:S$100,$B113,5)))</f>
        <v>0</v>
      </c>
      <c r="V113" s="3" t="str">
        <f t="shared" si="9"/>
        <v>ZZZ</v>
      </c>
      <c r="W113" s="3" t="b">
        <f t="array" ref="W113">OR(ISNUMBER(SEARCH(V$2:V$100,$B113,5)))</f>
        <v>0</v>
      </c>
      <c r="Y113" s="3" t="str">
        <f t="shared" si="10"/>
        <v>ZZZ</v>
      </c>
      <c r="Z113" s="3" t="b">
        <f t="array" ref="Z113">OR(ISNUMBER(SEARCH(Y$2:Y$100,$B113,5)))</f>
        <v>0</v>
      </c>
      <c r="AB113" s="3" t="str">
        <f t="shared" si="11"/>
        <v>ZZZ</v>
      </c>
      <c r="AC113" s="3" t="b">
        <f t="array" ref="AC113">OR(ISNUMBER(SEARCH(AB$2:AB$100,$B113,5)))</f>
        <v>0</v>
      </c>
      <c r="AE113" s="3" t="str">
        <f t="shared" si="12"/>
        <v>ZZZ</v>
      </c>
      <c r="AF113" s="3" t="b">
        <f t="array" ref="AF113">OR(ISNUMBER(SEARCH(AE$2:AE$100,$B113,5)))</f>
        <v>0</v>
      </c>
      <c r="AH113" s="3" t="str">
        <f t="shared" si="13"/>
        <v>ZZZ</v>
      </c>
      <c r="AI113" s="3" t="b">
        <f t="array" ref="AI113">OR(ISNUMBER(SEARCH(AH$2:AH$100,$B113,5)))</f>
        <v>0</v>
      </c>
      <c r="AK113" s="3" t="str">
        <f t="shared" si="14"/>
        <v>ZZZ</v>
      </c>
      <c r="AL113" s="3" t="b">
        <f t="array" ref="AL113">OR(ISNUMBER(SEARCH(AK$2:AK$100,$B113,5)))</f>
        <v>0</v>
      </c>
      <c r="AU113" s="8"/>
      <c r="AV113" s="6"/>
      <c r="AW113" s="8"/>
      <c r="AX113" s="8"/>
      <c r="AY113" s="6"/>
      <c r="AZ113" s="8"/>
      <c r="BA113" s="8"/>
      <c r="BB113" s="6" t="str">
        <f>IFERROR(__xludf.DUMMYFUNCTION("""COMPUTED_VALUE"""),"light violet")</f>
        <v>light violet</v>
      </c>
      <c r="BC113" s="8" t="str">
        <f>IFERROR(__xludf.DUMMYFUNCTION("""COMPUTED_VALUE"""),"plaid chartreuse")</f>
        <v>plaid chartreuse</v>
      </c>
      <c r="BD113" s="8"/>
      <c r="BE113" s="6"/>
      <c r="BF113" s="8"/>
      <c r="BG113" s="8"/>
      <c r="BH113" s="6"/>
      <c r="BI113" s="8"/>
      <c r="BJ113" s="8"/>
      <c r="BK113" s="6"/>
      <c r="BL113" s="8"/>
      <c r="BM113" s="8"/>
      <c r="BN113" s="6"/>
      <c r="BO113" s="8"/>
      <c r="BP113" s="8"/>
      <c r="BQ113" s="6"/>
      <c r="BR113" s="8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</row>
    <row r="114">
      <c r="A114" s="6"/>
      <c r="B114" s="6" t="s">
        <v>114</v>
      </c>
      <c r="C114" s="3" t="str">
        <f t="shared" si="3"/>
        <v>faded coral</v>
      </c>
      <c r="D114" s="3" t="str">
        <f t="shared" si="17"/>
        <v>ZZZ</v>
      </c>
      <c r="E114" s="3" t="b">
        <f t="array" ref="E114">OR(ISNUMBER(SEARCH(D$2:D$30,$B114,5)))</f>
        <v>0</v>
      </c>
      <c r="G114" s="3" t="str">
        <f t="shared" si="4"/>
        <v>ZZZ</v>
      </c>
      <c r="H114" s="3" t="b">
        <f t="array" ref="H114">OR(ISNUMBER(SEARCH(G$2:G$30,$B114,5)))</f>
        <v>0</v>
      </c>
      <c r="J114" s="3" t="str">
        <f t="shared" si="5"/>
        <v>ZZZ</v>
      </c>
      <c r="K114" s="3" t="b">
        <f t="array" ref="K114">OR(ISNUMBER(SEARCH(J$2:J$30,$B114,5)))</f>
        <v>0</v>
      </c>
      <c r="M114" s="3" t="str">
        <f t="shared" si="6"/>
        <v>ZZZ</v>
      </c>
      <c r="N114" s="3" t="b">
        <f t="array" ref="N114">OR(ISNUMBER(SEARCH(M$2:M$30,$B114,5)))</f>
        <v>0</v>
      </c>
      <c r="P114" s="3" t="str">
        <f t="shared" si="7"/>
        <v>ZZZ</v>
      </c>
      <c r="Q114" s="3" t="b">
        <f t="array" ref="Q114">OR(ISNUMBER(SEARCH(P$2:P$50,$B114,5)))</f>
        <v>0</v>
      </c>
      <c r="S114" s="3" t="str">
        <f t="shared" si="8"/>
        <v>ZZZ</v>
      </c>
      <c r="T114" s="3" t="b">
        <f t="array" ref="T114">OR(ISNUMBER(SEARCH(S$2:S$100,$B114,5)))</f>
        <v>0</v>
      </c>
      <c r="V114" s="3" t="str">
        <f t="shared" si="9"/>
        <v>ZZZ</v>
      </c>
      <c r="W114" s="3" t="b">
        <f t="array" ref="W114">OR(ISNUMBER(SEARCH(V$2:V$100,$B114,5)))</f>
        <v>0</v>
      </c>
      <c r="Y114" s="3" t="str">
        <f t="shared" si="10"/>
        <v>ZZZ</v>
      </c>
      <c r="Z114" s="3" t="b">
        <f t="array" ref="Z114">OR(ISNUMBER(SEARCH(Y$2:Y$100,$B114,5)))</f>
        <v>0</v>
      </c>
      <c r="AB114" s="3" t="str">
        <f t="shared" si="11"/>
        <v>ZZZ</v>
      </c>
      <c r="AC114" s="3" t="b">
        <f t="array" ref="AC114">OR(ISNUMBER(SEARCH(AB$2:AB$100,$B114,5)))</f>
        <v>0</v>
      </c>
      <c r="AE114" s="3" t="str">
        <f t="shared" si="12"/>
        <v>ZZZ</v>
      </c>
      <c r="AF114" s="3" t="b">
        <f t="array" ref="AF114">OR(ISNUMBER(SEARCH(AE$2:AE$100,$B114,5)))</f>
        <v>0</v>
      </c>
      <c r="AH114" s="3" t="str">
        <f t="shared" si="13"/>
        <v>ZZZ</v>
      </c>
      <c r="AI114" s="3" t="b">
        <f t="array" ref="AI114">OR(ISNUMBER(SEARCH(AH$2:AH$100,$B114,5)))</f>
        <v>0</v>
      </c>
      <c r="AK114" s="3" t="str">
        <f t="shared" si="14"/>
        <v>ZZZ</v>
      </c>
      <c r="AL114" s="3" t="b">
        <f t="array" ref="AL114">OR(ISNUMBER(SEARCH(AK$2:AK$100,$B114,5)))</f>
        <v>0</v>
      </c>
      <c r="AU114" s="8"/>
      <c r="AV114" s="6"/>
      <c r="AW114" s="8"/>
      <c r="AX114" s="8"/>
      <c r="AY114" s="6"/>
      <c r="AZ114" s="8"/>
      <c r="BA114" s="8"/>
      <c r="BB114" s="6" t="str">
        <f>IFERROR(__xludf.DUMMYFUNCTION("""COMPUTED_VALUE"""),"pale magenta")</f>
        <v>pale magenta</v>
      </c>
      <c r="BC114" s="8" t="str">
        <f>IFERROR(__xludf.DUMMYFUNCTION("""COMPUTED_VALUE"""),"wavy brown")</f>
        <v>wavy brown</v>
      </c>
      <c r="BD114" s="8"/>
      <c r="BE114" s="6"/>
      <c r="BF114" s="8"/>
      <c r="BG114" s="8"/>
      <c r="BH114" s="6"/>
      <c r="BI114" s="8"/>
      <c r="BJ114" s="8"/>
      <c r="BK114" s="6"/>
      <c r="BL114" s="8"/>
      <c r="BM114" s="8"/>
      <c r="BN114" s="6"/>
      <c r="BO114" s="8"/>
      <c r="BP114" s="8"/>
      <c r="BQ114" s="6"/>
      <c r="BR114" s="8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</row>
    <row r="115">
      <c r="A115" s="6"/>
      <c r="B115" s="6" t="s">
        <v>115</v>
      </c>
      <c r="C115" s="3" t="str">
        <f t="shared" si="3"/>
        <v>mirrored lavender</v>
      </c>
      <c r="D115" s="3" t="str">
        <f t="shared" si="17"/>
        <v>ZZZ</v>
      </c>
      <c r="E115" s="3" t="b">
        <f t="array" ref="E115">OR(ISNUMBER(SEARCH(D$2:D$30,$B115,5)))</f>
        <v>0</v>
      </c>
      <c r="G115" s="3" t="str">
        <f t="shared" si="4"/>
        <v>ZZZ</v>
      </c>
      <c r="H115" s="3" t="b">
        <f t="array" ref="H115">OR(ISNUMBER(SEARCH(G$2:G$30,$B115,5)))</f>
        <v>0</v>
      </c>
      <c r="J115" s="3" t="str">
        <f t="shared" si="5"/>
        <v>ZZZ</v>
      </c>
      <c r="K115" s="3" t="b">
        <f t="array" ref="K115">OR(ISNUMBER(SEARCH(J$2:J$30,$B115,5)))</f>
        <v>0</v>
      </c>
      <c r="M115" s="3" t="str">
        <f t="shared" si="6"/>
        <v>ZZZ</v>
      </c>
      <c r="N115" s="3" t="b">
        <f t="array" ref="N115">OR(ISNUMBER(SEARCH(M$2:M$30,$B115,5)))</f>
        <v>0</v>
      </c>
      <c r="P115" s="3" t="str">
        <f t="shared" si="7"/>
        <v>ZZZ</v>
      </c>
      <c r="Q115" s="3" t="b">
        <f t="array" ref="Q115">OR(ISNUMBER(SEARCH(P$2:P$50,$B115,5)))</f>
        <v>0</v>
      </c>
      <c r="S115" s="3" t="str">
        <f t="shared" si="8"/>
        <v>ZZZ</v>
      </c>
      <c r="T115" s="3" t="b">
        <f t="array" ref="T115">OR(ISNUMBER(SEARCH(S$2:S$100,$B115,5)))</f>
        <v>0</v>
      </c>
      <c r="V115" s="3" t="str">
        <f t="shared" si="9"/>
        <v>ZZZ</v>
      </c>
      <c r="W115" s="3" t="b">
        <f t="array" ref="W115">OR(ISNUMBER(SEARCH(V$2:V$100,$B115,5)))</f>
        <v>0</v>
      </c>
      <c r="Y115" s="3" t="str">
        <f t="shared" si="10"/>
        <v>ZZZ</v>
      </c>
      <c r="Z115" s="3" t="b">
        <f t="array" ref="Z115">OR(ISNUMBER(SEARCH(Y$2:Y$100,$B115,5)))</f>
        <v>0</v>
      </c>
      <c r="AB115" s="3" t="str">
        <f t="shared" si="11"/>
        <v>ZZZ</v>
      </c>
      <c r="AC115" s="3" t="b">
        <f t="array" ref="AC115">OR(ISNUMBER(SEARCH(AB$2:AB$100,$B115,5)))</f>
        <v>0</v>
      </c>
      <c r="AE115" s="3" t="str">
        <f t="shared" si="12"/>
        <v>ZZZ</v>
      </c>
      <c r="AF115" s="3" t="b">
        <f t="array" ref="AF115">OR(ISNUMBER(SEARCH(AE$2:AE$100,$B115,5)))</f>
        <v>0</v>
      </c>
      <c r="AH115" s="3" t="str">
        <f t="shared" si="13"/>
        <v>ZZZ</v>
      </c>
      <c r="AI115" s="3" t="b">
        <f t="array" ref="AI115">OR(ISNUMBER(SEARCH(AH$2:AH$100,$B115,5)))</f>
        <v>0</v>
      </c>
      <c r="AK115" s="3" t="str">
        <f t="shared" si="14"/>
        <v>ZZZ</v>
      </c>
      <c r="AL115" s="3" t="b">
        <f t="array" ref="AL115">OR(ISNUMBER(SEARCH(AK$2:AK$100,$B115,5)))</f>
        <v>0</v>
      </c>
      <c r="AU115" s="8"/>
      <c r="AV115" s="6"/>
      <c r="AW115" s="8"/>
      <c r="AX115" s="8"/>
      <c r="AY115" s="6"/>
      <c r="AZ115" s="8"/>
      <c r="BA115" s="8"/>
      <c r="BB115" s="6" t="str">
        <f>IFERROR(__xludf.DUMMYFUNCTION("""COMPUTED_VALUE"""),"clear indigo")</f>
        <v>clear indigo</v>
      </c>
      <c r="BC115" s="8" t="str">
        <f>IFERROR(__xludf.DUMMYFUNCTION("""COMPUTED_VALUE"""),"plaid orange")</f>
        <v>plaid orange</v>
      </c>
      <c r="BD115" s="8"/>
      <c r="BE115" s="6"/>
      <c r="BF115" s="8"/>
      <c r="BG115" s="8"/>
      <c r="BH115" s="6"/>
      <c r="BI115" s="8"/>
      <c r="BJ115" s="8"/>
      <c r="BK115" s="6"/>
      <c r="BL115" s="8"/>
      <c r="BM115" s="8"/>
      <c r="BN115" s="6"/>
      <c r="BO115" s="8"/>
      <c r="BP115" s="8"/>
      <c r="BQ115" s="6"/>
      <c r="BR115" s="8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</row>
    <row r="116">
      <c r="A116" s="6"/>
      <c r="B116" s="6" t="s">
        <v>116</v>
      </c>
      <c r="C116" s="3" t="str">
        <f t="shared" si="3"/>
        <v>bright crimson</v>
      </c>
      <c r="D116" s="3" t="str">
        <f t="shared" si="17"/>
        <v>ZZZ</v>
      </c>
      <c r="E116" s="3" t="b">
        <f t="array" ref="E116">OR(ISNUMBER(SEARCH(D$2:D$30,$B116,5)))</f>
        <v>0</v>
      </c>
      <c r="G116" s="3" t="str">
        <f t="shared" si="4"/>
        <v>ZZZ</v>
      </c>
      <c r="H116" s="3" t="b">
        <f t="array" ref="H116">OR(ISNUMBER(SEARCH(G$2:G$30,$B116,5)))</f>
        <v>0</v>
      </c>
      <c r="J116" s="3" t="str">
        <f t="shared" si="5"/>
        <v>ZZZ</v>
      </c>
      <c r="K116" s="3" t="b">
        <f t="array" ref="K116">OR(ISNUMBER(SEARCH(J$2:J$30,$B116,5)))</f>
        <v>0</v>
      </c>
      <c r="M116" s="3" t="str">
        <f t="shared" si="6"/>
        <v>ZZZ</v>
      </c>
      <c r="N116" s="3" t="b">
        <f t="array" ref="N116">OR(ISNUMBER(SEARCH(M$2:M$30,$B116,5)))</f>
        <v>0</v>
      </c>
      <c r="P116" s="3" t="str">
        <f t="shared" si="7"/>
        <v>ZZZ</v>
      </c>
      <c r="Q116" s="3" t="b">
        <f t="array" ref="Q116">OR(ISNUMBER(SEARCH(P$2:P$50,$B116,5)))</f>
        <v>0</v>
      </c>
      <c r="S116" s="3" t="str">
        <f t="shared" si="8"/>
        <v>ZZZ</v>
      </c>
      <c r="T116" s="3" t="b">
        <f t="array" ref="T116">OR(ISNUMBER(SEARCH(S$2:S$100,$B116,5)))</f>
        <v>0</v>
      </c>
      <c r="V116" s="3" t="str">
        <f t="shared" si="9"/>
        <v>ZZZ</v>
      </c>
      <c r="W116" s="3" t="b">
        <f t="array" ref="W116">OR(ISNUMBER(SEARCH(V$2:V$100,$B116,5)))</f>
        <v>0</v>
      </c>
      <c r="Y116" s="3" t="str">
        <f t="shared" si="10"/>
        <v>ZZZ</v>
      </c>
      <c r="Z116" s="3" t="b">
        <f t="array" ref="Z116">OR(ISNUMBER(SEARCH(Y$2:Y$100,$B116,5)))</f>
        <v>0</v>
      </c>
      <c r="AB116" s="3" t="str">
        <f t="shared" si="11"/>
        <v>ZZZ</v>
      </c>
      <c r="AC116" s="3" t="b">
        <f t="array" ref="AC116">OR(ISNUMBER(SEARCH(AB$2:AB$100,$B116,5)))</f>
        <v>0</v>
      </c>
      <c r="AE116" s="3" t="str">
        <f t="shared" si="12"/>
        <v>ZZZ</v>
      </c>
      <c r="AF116" s="3" t="b">
        <f t="array" ref="AF116">OR(ISNUMBER(SEARCH(AE$2:AE$100,$B116,5)))</f>
        <v>0</v>
      </c>
      <c r="AH116" s="3" t="str">
        <f t="shared" si="13"/>
        <v>ZZZ</v>
      </c>
      <c r="AI116" s="3" t="b">
        <f t="array" ref="AI116">OR(ISNUMBER(SEARCH(AH$2:AH$100,$B116,5)))</f>
        <v>0</v>
      </c>
      <c r="AK116" s="3" t="str">
        <f t="shared" si="14"/>
        <v>ZZZ</v>
      </c>
      <c r="AL116" s="3" t="b">
        <f t="array" ref="AL116">OR(ISNUMBER(SEARCH(AK$2:AK$100,$B116,5)))</f>
        <v>0</v>
      </c>
      <c r="AU116" s="8"/>
      <c r="AV116" s="6"/>
      <c r="AW116" s="8"/>
      <c r="AX116" s="8"/>
      <c r="AY116" s="6"/>
      <c r="AZ116" s="8"/>
      <c r="BA116" s="8"/>
      <c r="BB116" s="6" t="str">
        <f>IFERROR(__xludf.DUMMYFUNCTION("""COMPUTED_VALUE"""),"light aqua")</f>
        <v>light aqua</v>
      </c>
      <c r="BC116" s="8" t="str">
        <f>IFERROR(__xludf.DUMMYFUNCTION("""COMPUTED_VALUE"""),"dull orange")</f>
        <v>dull orange</v>
      </c>
      <c r="BD116" s="8"/>
      <c r="BE116" s="6"/>
      <c r="BF116" s="8"/>
      <c r="BG116" s="8"/>
      <c r="BH116" s="6"/>
      <c r="BI116" s="8"/>
      <c r="BJ116" s="8"/>
      <c r="BK116" s="6"/>
      <c r="BL116" s="8"/>
      <c r="BM116" s="8"/>
      <c r="BN116" s="6"/>
      <c r="BO116" s="8"/>
      <c r="BP116" s="8"/>
      <c r="BQ116" s="6"/>
      <c r="BR116" s="8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</row>
    <row r="117">
      <c r="A117" s="6"/>
      <c r="B117" s="6" t="s">
        <v>117</v>
      </c>
      <c r="C117" s="3" t="str">
        <f t="shared" si="3"/>
        <v>striped gray</v>
      </c>
      <c r="D117" s="3" t="str">
        <f t="shared" si="17"/>
        <v>ZZZ</v>
      </c>
      <c r="E117" s="3" t="b">
        <f t="array" ref="E117">OR(ISNUMBER(SEARCH(D$2:D$30,$B117,5)))</f>
        <v>0</v>
      </c>
      <c r="G117" s="3" t="str">
        <f t="shared" si="4"/>
        <v>ZZZ</v>
      </c>
      <c r="H117" s="3" t="b">
        <f t="array" ref="H117">OR(ISNUMBER(SEARCH(G$2:G$30,$B117,5)))</f>
        <v>0</v>
      </c>
      <c r="J117" s="3" t="str">
        <f t="shared" si="5"/>
        <v>ZZZ</v>
      </c>
      <c r="K117" s="3" t="b">
        <f t="array" ref="K117">OR(ISNUMBER(SEARCH(J$2:J$30,$B117,5)))</f>
        <v>0</v>
      </c>
      <c r="M117" s="3" t="str">
        <f t="shared" si="6"/>
        <v>ZZZ</v>
      </c>
      <c r="N117" s="3" t="b">
        <f t="array" ref="N117">OR(ISNUMBER(SEARCH(M$2:M$30,$B117,5)))</f>
        <v>0</v>
      </c>
      <c r="P117" s="3" t="str">
        <f t="shared" si="7"/>
        <v>ZZZ</v>
      </c>
      <c r="Q117" s="3" t="b">
        <f t="array" ref="Q117">OR(ISNUMBER(SEARCH(P$2:P$50,$B117,5)))</f>
        <v>0</v>
      </c>
      <c r="S117" s="3" t="str">
        <f t="shared" si="8"/>
        <v>ZZZ</v>
      </c>
      <c r="T117" s="3" t="b">
        <f t="array" ref="T117">OR(ISNUMBER(SEARCH(S$2:S$100,$B117,5)))</f>
        <v>0</v>
      </c>
      <c r="V117" s="3" t="str">
        <f t="shared" si="9"/>
        <v>ZZZ</v>
      </c>
      <c r="W117" s="3" t="b">
        <f t="array" ref="W117">OR(ISNUMBER(SEARCH(V$2:V$100,$B117,5)))</f>
        <v>0</v>
      </c>
      <c r="Y117" s="3" t="str">
        <f t="shared" si="10"/>
        <v>ZZZ</v>
      </c>
      <c r="Z117" s="3" t="b">
        <f t="array" ref="Z117">OR(ISNUMBER(SEARCH(Y$2:Y$100,$B117,5)))</f>
        <v>0</v>
      </c>
      <c r="AB117" s="3" t="str">
        <f t="shared" si="11"/>
        <v>ZZZ</v>
      </c>
      <c r="AC117" s="3" t="b">
        <f t="array" ref="AC117">OR(ISNUMBER(SEARCH(AB$2:AB$100,$B117,5)))</f>
        <v>0</v>
      </c>
      <c r="AE117" s="3" t="str">
        <f t="shared" si="12"/>
        <v>ZZZ</v>
      </c>
      <c r="AF117" s="3" t="b">
        <f t="array" ref="AF117">OR(ISNUMBER(SEARCH(AE$2:AE$100,$B117,5)))</f>
        <v>0</v>
      </c>
      <c r="AH117" s="3" t="str">
        <f t="shared" si="13"/>
        <v>ZZZ</v>
      </c>
      <c r="AI117" s="3" t="b">
        <f t="array" ref="AI117">OR(ISNUMBER(SEARCH(AH$2:AH$100,$B117,5)))</f>
        <v>0</v>
      </c>
      <c r="AK117" s="3" t="str">
        <f t="shared" si="14"/>
        <v>ZZZ</v>
      </c>
      <c r="AL117" s="3" t="b">
        <f t="array" ref="AL117">OR(ISNUMBER(SEARCH(AK$2:AK$100,$B117,5)))</f>
        <v>0</v>
      </c>
      <c r="AU117" s="8"/>
      <c r="AV117" s="6"/>
      <c r="AW117" s="8"/>
      <c r="AX117" s="8"/>
      <c r="AY117" s="6"/>
      <c r="AZ117" s="8"/>
      <c r="BA117" s="8"/>
      <c r="BB117" s="6" t="str">
        <f>IFERROR(__xludf.DUMMYFUNCTION("""COMPUTED_VALUE"""),"light chartreuse")</f>
        <v>light chartreuse</v>
      </c>
      <c r="BC117" s="8" t="str">
        <f>IFERROR(__xludf.DUMMYFUNCTION("""COMPUTED_VALUE"""),"drab turquoise")</f>
        <v>drab turquoise</v>
      </c>
      <c r="BD117" s="8"/>
      <c r="BE117" s="6"/>
      <c r="BF117" s="8"/>
      <c r="BG117" s="8"/>
      <c r="BH117" s="6"/>
      <c r="BI117" s="8"/>
      <c r="BJ117" s="8"/>
      <c r="BK117" s="6"/>
      <c r="BL117" s="8"/>
      <c r="BM117" s="8"/>
      <c r="BN117" s="6"/>
      <c r="BO117" s="8"/>
      <c r="BP117" s="8"/>
      <c r="BQ117" s="6"/>
      <c r="BR117" s="8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</row>
    <row r="118">
      <c r="A118" s="6"/>
      <c r="B118" s="6" t="s">
        <v>118</v>
      </c>
      <c r="C118" s="3" t="str">
        <f t="shared" si="3"/>
        <v>dotted magenta</v>
      </c>
      <c r="D118" s="3" t="str">
        <f t="shared" si="17"/>
        <v>ZZZ</v>
      </c>
      <c r="E118" s="3" t="b">
        <f t="array" ref="E118">OR(ISNUMBER(SEARCH(D$2:D$30,$B118,5)))</f>
        <v>0</v>
      </c>
      <c r="G118" s="3" t="str">
        <f t="shared" si="4"/>
        <v>ZZZ</v>
      </c>
      <c r="H118" s="3" t="b">
        <f t="array" ref="H118">OR(ISNUMBER(SEARCH(G$2:G$30,$B118,5)))</f>
        <v>0</v>
      </c>
      <c r="J118" s="3" t="str">
        <f t="shared" si="5"/>
        <v>ZZZ</v>
      </c>
      <c r="K118" s="3" t="b">
        <f t="array" ref="K118">OR(ISNUMBER(SEARCH(J$2:J$30,$B118,5)))</f>
        <v>0</v>
      </c>
      <c r="M118" s="3" t="str">
        <f t="shared" si="6"/>
        <v>ZZZ</v>
      </c>
      <c r="N118" s="3" t="b">
        <f t="array" ref="N118">OR(ISNUMBER(SEARCH(M$2:M$30,$B118,5)))</f>
        <v>0</v>
      </c>
      <c r="P118" s="3" t="str">
        <f t="shared" si="7"/>
        <v>ZZZ</v>
      </c>
      <c r="Q118" s="3" t="b">
        <f t="array" ref="Q118">OR(ISNUMBER(SEARCH(P$2:P$50,$B118,5)))</f>
        <v>0</v>
      </c>
      <c r="S118" s="3" t="str">
        <f t="shared" si="8"/>
        <v>ZZZ</v>
      </c>
      <c r="T118" s="3" t="b">
        <f t="array" ref="T118">OR(ISNUMBER(SEARCH(S$2:S$100,$B118,5)))</f>
        <v>0</v>
      </c>
      <c r="V118" s="3" t="str">
        <f t="shared" si="9"/>
        <v>ZZZ</v>
      </c>
      <c r="W118" s="3" t="b">
        <f t="array" ref="W118">OR(ISNUMBER(SEARCH(V$2:V$100,$B118,5)))</f>
        <v>1</v>
      </c>
      <c r="Y118" s="3" t="str">
        <f t="shared" si="10"/>
        <v>ZZZ</v>
      </c>
      <c r="Z118" s="3" t="b">
        <f t="array" ref="Z118">OR(ISNUMBER(SEARCH(Y$2:Y$100,$B118,5)))</f>
        <v>0</v>
      </c>
      <c r="AB118" s="3" t="str">
        <f t="shared" si="11"/>
        <v>ZZZ</v>
      </c>
      <c r="AC118" s="3" t="b">
        <f t="array" ref="AC118">OR(ISNUMBER(SEARCH(AB$2:AB$100,$B118,5)))</f>
        <v>0</v>
      </c>
      <c r="AE118" s="3" t="str">
        <f t="shared" si="12"/>
        <v>ZZZ</v>
      </c>
      <c r="AF118" s="3" t="b">
        <f t="array" ref="AF118">OR(ISNUMBER(SEARCH(AE$2:AE$100,$B118,5)))</f>
        <v>0</v>
      </c>
      <c r="AH118" s="3" t="str">
        <f t="shared" si="13"/>
        <v>ZZZ</v>
      </c>
      <c r="AI118" s="3" t="b">
        <f t="array" ref="AI118">OR(ISNUMBER(SEARCH(AH$2:AH$100,$B118,5)))</f>
        <v>0</v>
      </c>
      <c r="AK118" s="3" t="str">
        <f t="shared" si="14"/>
        <v>ZZZ</v>
      </c>
      <c r="AL118" s="3" t="b">
        <f t="array" ref="AL118">OR(ISNUMBER(SEARCH(AK$2:AK$100,$B118,5)))</f>
        <v>0</v>
      </c>
      <c r="AU118" s="8"/>
      <c r="AV118" s="6"/>
      <c r="AW118" s="8"/>
      <c r="AX118" s="8"/>
      <c r="AY118" s="6"/>
      <c r="AZ118" s="8"/>
      <c r="BA118" s="8"/>
      <c r="BB118" s="6" t="str">
        <f>IFERROR(__xludf.DUMMYFUNCTION("""COMPUTED_VALUE"""),"drab aqua")</f>
        <v>drab aqua</v>
      </c>
      <c r="BC118" s="8" t="str">
        <f>IFERROR(__xludf.DUMMYFUNCTION("""COMPUTED_VALUE"""),"shiny violet")</f>
        <v>shiny violet</v>
      </c>
      <c r="BD118" s="8"/>
      <c r="BE118" s="6"/>
      <c r="BF118" s="8"/>
      <c r="BG118" s="8"/>
      <c r="BH118" s="6"/>
      <c r="BI118" s="8"/>
      <c r="BJ118" s="8"/>
      <c r="BK118" s="6"/>
      <c r="BL118" s="8"/>
      <c r="BM118" s="8"/>
      <c r="BN118" s="6"/>
      <c r="BO118" s="8"/>
      <c r="BP118" s="8"/>
      <c r="BQ118" s="6"/>
      <c r="BR118" s="8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</row>
    <row r="119">
      <c r="A119" s="6"/>
      <c r="B119" s="6" t="s">
        <v>119</v>
      </c>
      <c r="C119" s="3" t="str">
        <f t="shared" si="3"/>
        <v>posh white</v>
      </c>
      <c r="D119" s="3" t="str">
        <f t="shared" si="17"/>
        <v>ZZZ</v>
      </c>
      <c r="E119" s="3" t="b">
        <f t="array" ref="E119">OR(ISNUMBER(SEARCH(D$2:D$30,$B119,5)))</f>
        <v>0</v>
      </c>
      <c r="G119" s="3" t="str">
        <f t="shared" si="4"/>
        <v>ZZZ</v>
      </c>
      <c r="H119" s="3" t="b">
        <f t="array" ref="H119">OR(ISNUMBER(SEARCH(G$2:G$30,$B119,5)))</f>
        <v>0</v>
      </c>
      <c r="J119" s="3" t="str">
        <f t="shared" si="5"/>
        <v>ZZZ</v>
      </c>
      <c r="K119" s="3" t="b">
        <f t="array" ref="K119">OR(ISNUMBER(SEARCH(J$2:J$30,$B119,5)))</f>
        <v>0</v>
      </c>
      <c r="M119" s="3" t="str">
        <f t="shared" si="6"/>
        <v>ZZZ</v>
      </c>
      <c r="N119" s="3" t="b">
        <f t="array" ref="N119">OR(ISNUMBER(SEARCH(M$2:M$30,$B119,5)))</f>
        <v>0</v>
      </c>
      <c r="P119" s="3" t="str">
        <f t="shared" si="7"/>
        <v>ZZZ</v>
      </c>
      <c r="Q119" s="3" t="b">
        <f t="array" ref="Q119">OR(ISNUMBER(SEARCH(P$2:P$50,$B119,5)))</f>
        <v>0</v>
      </c>
      <c r="S119" s="3" t="str">
        <f t="shared" si="8"/>
        <v>ZZZ</v>
      </c>
      <c r="T119" s="3" t="b">
        <f t="array" ref="T119">OR(ISNUMBER(SEARCH(S$2:S$100,$B119,5)))</f>
        <v>0</v>
      </c>
      <c r="V119" s="3" t="str">
        <f t="shared" si="9"/>
        <v>ZZZ</v>
      </c>
      <c r="W119" s="3" t="b">
        <f t="array" ref="W119">OR(ISNUMBER(SEARCH(V$2:V$100,$B119,5)))</f>
        <v>0</v>
      </c>
      <c r="Y119" s="3" t="str">
        <f t="shared" si="10"/>
        <v>ZZZ</v>
      </c>
      <c r="Z119" s="3" t="b">
        <f t="array" ref="Z119">OR(ISNUMBER(SEARCH(Y$2:Y$100,$B119,5)))</f>
        <v>0</v>
      </c>
      <c r="AB119" s="3" t="str">
        <f t="shared" si="11"/>
        <v>ZZZ</v>
      </c>
      <c r="AC119" s="3" t="b">
        <f t="array" ref="AC119">OR(ISNUMBER(SEARCH(AB$2:AB$100,$B119,5)))</f>
        <v>0</v>
      </c>
      <c r="AE119" s="3" t="str">
        <f t="shared" si="12"/>
        <v>ZZZ</v>
      </c>
      <c r="AF119" s="3" t="b">
        <f t="array" ref="AF119">OR(ISNUMBER(SEARCH(AE$2:AE$100,$B119,5)))</f>
        <v>0</v>
      </c>
      <c r="AH119" s="3" t="str">
        <f t="shared" si="13"/>
        <v>ZZZ</v>
      </c>
      <c r="AI119" s="3" t="b">
        <f t="array" ref="AI119">OR(ISNUMBER(SEARCH(AH$2:AH$100,$B119,5)))</f>
        <v>0</v>
      </c>
      <c r="AK119" s="3" t="str">
        <f t="shared" si="14"/>
        <v>ZZZ</v>
      </c>
      <c r="AL119" s="3" t="b">
        <f t="array" ref="AL119">OR(ISNUMBER(SEARCH(AK$2:AK$100,$B119,5)))</f>
        <v>0</v>
      </c>
      <c r="AU119" s="8"/>
      <c r="AV119" s="6"/>
      <c r="AW119" s="8"/>
      <c r="AX119" s="8"/>
      <c r="AY119" s="6"/>
      <c r="AZ119" s="8"/>
      <c r="BA119" s="8"/>
      <c r="BB119" s="6" t="str">
        <f>IFERROR(__xludf.DUMMYFUNCTION("""COMPUTED_VALUE"""),"drab red")</f>
        <v>drab red</v>
      </c>
      <c r="BC119" s="8" t="str">
        <f>IFERROR(__xludf.DUMMYFUNCTION("""COMPUTED_VALUE"""),"clear bronze")</f>
        <v>clear bronze</v>
      </c>
      <c r="BD119" s="8"/>
      <c r="BE119" s="6"/>
      <c r="BF119" s="8"/>
      <c r="BG119" s="8"/>
      <c r="BH119" s="6"/>
      <c r="BI119" s="8"/>
      <c r="BJ119" s="8"/>
      <c r="BK119" s="6"/>
      <c r="BL119" s="8"/>
      <c r="BM119" s="8"/>
      <c r="BN119" s="6"/>
      <c r="BO119" s="8"/>
      <c r="BP119" s="8"/>
      <c r="BQ119" s="6"/>
      <c r="BR119" s="8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</row>
    <row r="120">
      <c r="A120" s="6"/>
      <c r="B120" s="6" t="s">
        <v>120</v>
      </c>
      <c r="C120" s="3" t="str">
        <f t="shared" si="3"/>
        <v>striped red</v>
      </c>
      <c r="D120" s="3" t="str">
        <f t="shared" si="17"/>
        <v>ZZZ</v>
      </c>
      <c r="E120" s="3" t="b">
        <f t="array" ref="E120">OR(ISNUMBER(SEARCH(D$2:D$30,$B120,5)))</f>
        <v>0</v>
      </c>
      <c r="G120" s="3" t="str">
        <f t="shared" si="4"/>
        <v>ZZZ</v>
      </c>
      <c r="H120" s="3" t="b">
        <f t="array" ref="H120">OR(ISNUMBER(SEARCH(G$2:G$30,$B120,5)))</f>
        <v>0</v>
      </c>
      <c r="J120" s="3" t="str">
        <f t="shared" si="5"/>
        <v>ZZZ</v>
      </c>
      <c r="K120" s="3" t="b">
        <f t="array" ref="K120">OR(ISNUMBER(SEARCH(J$2:J$30,$B120,5)))</f>
        <v>0</v>
      </c>
      <c r="M120" s="3" t="str">
        <f t="shared" si="6"/>
        <v>ZZZ</v>
      </c>
      <c r="N120" s="3" t="b">
        <f t="array" ref="N120">OR(ISNUMBER(SEARCH(M$2:M$30,$B120,5)))</f>
        <v>0</v>
      </c>
      <c r="P120" s="3" t="str">
        <f t="shared" si="7"/>
        <v>ZZZ</v>
      </c>
      <c r="Q120" s="3" t="b">
        <f t="array" ref="Q120">OR(ISNUMBER(SEARCH(P$2:P$50,$B120,5)))</f>
        <v>0</v>
      </c>
      <c r="S120" s="3" t="str">
        <f t="shared" si="8"/>
        <v>ZZZ</v>
      </c>
      <c r="T120" s="3" t="b">
        <f t="array" ref="T120">OR(ISNUMBER(SEARCH(S$2:S$100,$B120,5)))</f>
        <v>0</v>
      </c>
      <c r="V120" s="3" t="str">
        <f t="shared" si="9"/>
        <v>ZZZ</v>
      </c>
      <c r="W120" s="3" t="b">
        <f t="array" ref="W120">OR(ISNUMBER(SEARCH(V$2:V$100,$B120,5)))</f>
        <v>0</v>
      </c>
      <c r="Y120" s="3" t="str">
        <f t="shared" si="10"/>
        <v>ZZZ</v>
      </c>
      <c r="Z120" s="3" t="b">
        <f t="array" ref="Z120">OR(ISNUMBER(SEARCH(Y$2:Y$100,$B120,5)))</f>
        <v>0</v>
      </c>
      <c r="AB120" s="3" t="str">
        <f t="shared" si="11"/>
        <v>ZZZ</v>
      </c>
      <c r="AC120" s="3" t="b">
        <f t="array" ref="AC120">OR(ISNUMBER(SEARCH(AB$2:AB$100,$B120,5)))</f>
        <v>0</v>
      </c>
      <c r="AE120" s="3" t="str">
        <f t="shared" si="12"/>
        <v>ZZZ</v>
      </c>
      <c r="AF120" s="3" t="b">
        <f t="array" ref="AF120">OR(ISNUMBER(SEARCH(AE$2:AE$100,$B120,5)))</f>
        <v>0</v>
      </c>
      <c r="AH120" s="3" t="str">
        <f t="shared" si="13"/>
        <v>ZZZ</v>
      </c>
      <c r="AI120" s="3" t="b">
        <f t="array" ref="AI120">OR(ISNUMBER(SEARCH(AH$2:AH$100,$B120,5)))</f>
        <v>0</v>
      </c>
      <c r="AK120" s="3" t="str">
        <f t="shared" si="14"/>
        <v>ZZZ</v>
      </c>
      <c r="AL120" s="3" t="b">
        <f t="array" ref="AL120">OR(ISNUMBER(SEARCH(AK$2:AK$100,$B120,5)))</f>
        <v>0</v>
      </c>
      <c r="AU120" s="8"/>
      <c r="AV120" s="6"/>
      <c r="AW120" s="8"/>
      <c r="AX120" s="8"/>
      <c r="AY120" s="6"/>
      <c r="AZ120" s="8"/>
      <c r="BA120" s="8"/>
      <c r="BB120" s="6" t="str">
        <f>IFERROR(__xludf.DUMMYFUNCTION("""COMPUTED_VALUE"""),"clear aqua")</f>
        <v>clear aqua</v>
      </c>
      <c r="BC120" s="8" t="str">
        <f>IFERROR(__xludf.DUMMYFUNCTION("""COMPUTED_VALUE"""),"wavy white")</f>
        <v>wavy white</v>
      </c>
      <c r="BD120" s="8"/>
      <c r="BE120" s="6"/>
      <c r="BF120" s="8"/>
      <c r="BG120" s="8"/>
      <c r="BH120" s="6"/>
      <c r="BI120" s="8"/>
      <c r="BJ120" s="8"/>
      <c r="BK120" s="6"/>
      <c r="BL120" s="8"/>
      <c r="BM120" s="8"/>
      <c r="BN120" s="6"/>
      <c r="BO120" s="8"/>
      <c r="BP120" s="8"/>
      <c r="BQ120" s="6"/>
      <c r="BR120" s="8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</row>
    <row r="121">
      <c r="A121" s="6"/>
      <c r="B121" s="6" t="s">
        <v>121</v>
      </c>
      <c r="C121" s="3" t="str">
        <f t="shared" si="3"/>
        <v>pale white</v>
      </c>
      <c r="D121" s="3" t="str">
        <f t="shared" si="17"/>
        <v>ZZZ</v>
      </c>
      <c r="E121" s="3" t="b">
        <f t="array" ref="E121">OR(ISNUMBER(SEARCH(D$2:D$30,$B121,5)))</f>
        <v>0</v>
      </c>
      <c r="G121" s="3" t="str">
        <f t="shared" si="4"/>
        <v>ZZZ</v>
      </c>
      <c r="H121" s="3" t="b">
        <f t="array" ref="H121">OR(ISNUMBER(SEARCH(G$2:G$30,$B121,5)))</f>
        <v>0</v>
      </c>
      <c r="J121" s="3" t="str">
        <f t="shared" si="5"/>
        <v>ZZZ</v>
      </c>
      <c r="K121" s="3" t="b">
        <f t="array" ref="K121">OR(ISNUMBER(SEARCH(J$2:J$30,$B121,5)))</f>
        <v>0</v>
      </c>
      <c r="M121" s="3" t="str">
        <f t="shared" si="6"/>
        <v>ZZZ</v>
      </c>
      <c r="N121" s="3" t="b">
        <f t="array" ref="N121">OR(ISNUMBER(SEARCH(M$2:M$30,$B121,5)))</f>
        <v>0</v>
      </c>
      <c r="P121" s="3" t="str">
        <f t="shared" si="7"/>
        <v>ZZZ</v>
      </c>
      <c r="Q121" s="3" t="b">
        <f t="array" ref="Q121">OR(ISNUMBER(SEARCH(P$2:P$50,$B121,5)))</f>
        <v>0</v>
      </c>
      <c r="S121" s="3" t="str">
        <f t="shared" si="8"/>
        <v>ZZZ</v>
      </c>
      <c r="T121" s="3" t="b">
        <f t="array" ref="T121">OR(ISNUMBER(SEARCH(S$2:S$100,$B121,5)))</f>
        <v>0</v>
      </c>
      <c r="V121" s="3" t="str">
        <f t="shared" si="9"/>
        <v>ZZZ</v>
      </c>
      <c r="W121" s="3" t="b">
        <f t="array" ref="W121">OR(ISNUMBER(SEARCH(V$2:V$100,$B121,5)))</f>
        <v>0</v>
      </c>
      <c r="Y121" s="3" t="str">
        <f t="shared" si="10"/>
        <v>ZZZ</v>
      </c>
      <c r="Z121" s="3" t="b">
        <f t="array" ref="Z121">OR(ISNUMBER(SEARCH(Y$2:Y$100,$B121,5)))</f>
        <v>0</v>
      </c>
      <c r="AB121" s="3" t="str">
        <f t="shared" si="11"/>
        <v>ZZZ</v>
      </c>
      <c r="AC121" s="3" t="b">
        <f t="array" ref="AC121">OR(ISNUMBER(SEARCH(AB$2:AB$100,$B121,5)))</f>
        <v>0</v>
      </c>
      <c r="AE121" s="3" t="str">
        <f t="shared" si="12"/>
        <v>ZZZ</v>
      </c>
      <c r="AF121" s="3" t="b">
        <f t="array" ref="AF121">OR(ISNUMBER(SEARCH(AE$2:AE$100,$B121,5)))</f>
        <v>0</v>
      </c>
      <c r="AH121" s="3" t="str">
        <f t="shared" si="13"/>
        <v>ZZZ</v>
      </c>
      <c r="AI121" s="3" t="b">
        <f t="array" ref="AI121">OR(ISNUMBER(SEARCH(AH$2:AH$100,$B121,5)))</f>
        <v>0</v>
      </c>
      <c r="AK121" s="3" t="str">
        <f t="shared" si="14"/>
        <v>ZZZ</v>
      </c>
      <c r="AL121" s="3" t="b">
        <f t="array" ref="AL121">OR(ISNUMBER(SEARCH(AK$2:AK$100,$B121,5)))</f>
        <v>0</v>
      </c>
      <c r="AU121" s="8"/>
      <c r="AV121" s="6"/>
      <c r="AW121" s="8"/>
      <c r="AX121" s="8"/>
      <c r="AY121" s="6"/>
      <c r="AZ121" s="8"/>
      <c r="BA121" s="8"/>
      <c r="BB121" s="6" t="str">
        <f>IFERROR(__xludf.DUMMYFUNCTION("""COMPUTED_VALUE"""),"dotted bronze")</f>
        <v>dotted bronze</v>
      </c>
      <c r="BC121" s="8" t="str">
        <f>IFERROR(__xludf.DUMMYFUNCTION("""COMPUTED_VALUE"""),"faded olive")</f>
        <v>faded olive</v>
      </c>
      <c r="BD121" s="8"/>
      <c r="BE121" s="6"/>
      <c r="BF121" s="8"/>
      <c r="BG121" s="8"/>
      <c r="BH121" s="6"/>
      <c r="BI121" s="8"/>
      <c r="BJ121" s="8"/>
      <c r="BK121" s="6"/>
      <c r="BL121" s="8"/>
      <c r="BM121" s="8"/>
      <c r="BN121" s="6"/>
      <c r="BO121" s="8"/>
      <c r="BP121" s="8"/>
      <c r="BQ121" s="6"/>
      <c r="BR121" s="8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</row>
    <row r="122">
      <c r="A122" s="6"/>
      <c r="B122" s="6" t="s">
        <v>122</v>
      </c>
      <c r="C122" s="3" t="str">
        <f t="shared" si="3"/>
        <v>shiny coral</v>
      </c>
      <c r="D122" s="3" t="str">
        <f t="shared" si="17"/>
        <v>ZZZ</v>
      </c>
      <c r="E122" s="3" t="b">
        <f t="array" ref="E122">OR(ISNUMBER(SEARCH(D$2:D$30,$B122,5)))</f>
        <v>0</v>
      </c>
      <c r="G122" s="3" t="str">
        <f t="shared" si="4"/>
        <v>ZZZ</v>
      </c>
      <c r="H122" s="3" t="b">
        <f t="array" ref="H122">OR(ISNUMBER(SEARCH(G$2:G$30,$B122,5)))</f>
        <v>0</v>
      </c>
      <c r="J122" s="3" t="str">
        <f t="shared" si="5"/>
        <v>ZZZ</v>
      </c>
      <c r="K122" s="3" t="b">
        <f t="array" ref="K122">OR(ISNUMBER(SEARCH(J$2:J$30,$B122,5)))</f>
        <v>0</v>
      </c>
      <c r="M122" s="3" t="str">
        <f t="shared" si="6"/>
        <v>ZZZ</v>
      </c>
      <c r="N122" s="3" t="b">
        <f t="array" ref="N122">OR(ISNUMBER(SEARCH(M$2:M$30,$B122,5)))</f>
        <v>0</v>
      </c>
      <c r="P122" s="3" t="str">
        <f t="shared" si="7"/>
        <v>ZZZ</v>
      </c>
      <c r="Q122" s="3" t="b">
        <f t="array" ref="Q122">OR(ISNUMBER(SEARCH(P$2:P$50,$B122,5)))</f>
        <v>0</v>
      </c>
      <c r="S122" s="3" t="str">
        <f t="shared" si="8"/>
        <v>ZZZ</v>
      </c>
      <c r="T122" s="3" t="b">
        <f t="array" ref="T122">OR(ISNUMBER(SEARCH(S$2:S$100,$B122,5)))</f>
        <v>0</v>
      </c>
      <c r="V122" s="3" t="str">
        <f t="shared" si="9"/>
        <v>ZZZ</v>
      </c>
      <c r="W122" s="3" t="b">
        <f t="array" ref="W122">OR(ISNUMBER(SEARCH(V$2:V$100,$B122,5)))</f>
        <v>0</v>
      </c>
      <c r="Y122" s="3" t="str">
        <f t="shared" si="10"/>
        <v>ZZZ</v>
      </c>
      <c r="Z122" s="3" t="b">
        <f t="array" ref="Z122">OR(ISNUMBER(SEARCH(Y$2:Y$100,$B122,5)))</f>
        <v>0</v>
      </c>
      <c r="AB122" s="3" t="str">
        <f t="shared" si="11"/>
        <v>ZZZ</v>
      </c>
      <c r="AC122" s="3" t="b">
        <f t="array" ref="AC122">OR(ISNUMBER(SEARCH(AB$2:AB$100,$B122,5)))</f>
        <v>0</v>
      </c>
      <c r="AE122" s="3" t="str">
        <f t="shared" si="12"/>
        <v>ZZZ</v>
      </c>
      <c r="AF122" s="3" t="b">
        <f t="array" ref="AF122">OR(ISNUMBER(SEARCH(AE$2:AE$100,$B122,5)))</f>
        <v>0</v>
      </c>
      <c r="AH122" s="3" t="str">
        <f t="shared" si="13"/>
        <v>ZZZ</v>
      </c>
      <c r="AI122" s="3" t="b">
        <f t="array" ref="AI122">OR(ISNUMBER(SEARCH(AH$2:AH$100,$B122,5)))</f>
        <v>0</v>
      </c>
      <c r="AK122" s="3" t="str">
        <f t="shared" si="14"/>
        <v>ZZZ</v>
      </c>
      <c r="AL122" s="3" t="b">
        <f t="array" ref="AL122">OR(ISNUMBER(SEARCH(AK$2:AK$100,$B122,5)))</f>
        <v>0</v>
      </c>
      <c r="AU122" s="8"/>
      <c r="AV122" s="6"/>
      <c r="AW122" s="8"/>
      <c r="AX122" s="8"/>
      <c r="AY122" s="6"/>
      <c r="AZ122" s="8"/>
      <c r="BA122" s="8"/>
      <c r="BB122" s="6" t="str">
        <f>IFERROR(__xludf.DUMMYFUNCTION("""COMPUTED_VALUE"""),"dotted tan")</f>
        <v>dotted tan</v>
      </c>
      <c r="BC122" s="8" t="str">
        <f>IFERROR(__xludf.DUMMYFUNCTION("""COMPUTED_VALUE"""),"dim plum")</f>
        <v>dim plum</v>
      </c>
      <c r="BD122" s="8"/>
      <c r="BE122" s="6"/>
      <c r="BF122" s="8"/>
      <c r="BG122" s="8"/>
      <c r="BH122" s="6"/>
      <c r="BI122" s="8"/>
      <c r="BJ122" s="8"/>
      <c r="BK122" s="6"/>
      <c r="BL122" s="8"/>
      <c r="BM122" s="8"/>
      <c r="BN122" s="6"/>
      <c r="BO122" s="8"/>
      <c r="BP122" s="8"/>
      <c r="BQ122" s="6"/>
      <c r="BR122" s="8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</row>
    <row r="123">
      <c r="A123" s="6"/>
      <c r="B123" s="6" t="s">
        <v>123</v>
      </c>
      <c r="C123" s="3" t="str">
        <f t="shared" si="3"/>
        <v>dark magenta</v>
      </c>
      <c r="D123" s="3" t="str">
        <f t="shared" si="17"/>
        <v>ZZZ</v>
      </c>
      <c r="E123" s="3" t="b">
        <f t="array" ref="E123">OR(ISNUMBER(SEARCH(D$2:D$30,$B123,5)))</f>
        <v>0</v>
      </c>
      <c r="G123" s="3" t="str">
        <f t="shared" si="4"/>
        <v>ZZZ</v>
      </c>
      <c r="H123" s="3" t="b">
        <f t="array" ref="H123">OR(ISNUMBER(SEARCH(G$2:G$30,$B123,5)))</f>
        <v>0</v>
      </c>
      <c r="J123" s="3" t="str">
        <f t="shared" si="5"/>
        <v>ZZZ</v>
      </c>
      <c r="K123" s="3" t="b">
        <f t="array" ref="K123">OR(ISNUMBER(SEARCH(J$2:J$30,$B123,5)))</f>
        <v>0</v>
      </c>
      <c r="M123" s="3" t="str">
        <f t="shared" si="6"/>
        <v>ZZZ</v>
      </c>
      <c r="N123" s="3" t="b">
        <f t="array" ref="N123">OR(ISNUMBER(SEARCH(M$2:M$30,$B123,5)))</f>
        <v>0</v>
      </c>
      <c r="P123" s="3" t="str">
        <f t="shared" si="7"/>
        <v>ZZZ</v>
      </c>
      <c r="Q123" s="3" t="b">
        <f t="array" ref="Q123">OR(ISNUMBER(SEARCH(P$2:P$50,$B123,5)))</f>
        <v>1</v>
      </c>
      <c r="S123" s="3" t="str">
        <f t="shared" si="8"/>
        <v>ZZZ</v>
      </c>
      <c r="T123" s="3" t="b">
        <f t="array" ref="T123">OR(ISNUMBER(SEARCH(S$2:S$100,$B123,5)))</f>
        <v>0</v>
      </c>
      <c r="V123" s="3" t="str">
        <f t="shared" si="9"/>
        <v>ZZZ</v>
      </c>
      <c r="W123" s="3" t="b">
        <f t="array" ref="W123">OR(ISNUMBER(SEARCH(V$2:V$100,$B123,5)))</f>
        <v>1</v>
      </c>
      <c r="Y123" s="3" t="str">
        <f t="shared" si="10"/>
        <v>ZZZ</v>
      </c>
      <c r="Z123" s="3" t="b">
        <f t="array" ref="Z123">OR(ISNUMBER(SEARCH(Y$2:Y$100,$B123,5)))</f>
        <v>0</v>
      </c>
      <c r="AB123" s="3" t="str">
        <f t="shared" si="11"/>
        <v>ZZZ</v>
      </c>
      <c r="AC123" s="3" t="b">
        <f t="array" ref="AC123">OR(ISNUMBER(SEARCH(AB$2:AB$100,$B123,5)))</f>
        <v>0</v>
      </c>
      <c r="AE123" s="3" t="str">
        <f t="shared" si="12"/>
        <v>ZZZ</v>
      </c>
      <c r="AF123" s="3" t="b">
        <f t="array" ref="AF123">OR(ISNUMBER(SEARCH(AE$2:AE$100,$B123,5)))</f>
        <v>0</v>
      </c>
      <c r="AH123" s="3" t="str">
        <f t="shared" si="13"/>
        <v>ZZZ</v>
      </c>
      <c r="AI123" s="3" t="b">
        <f t="array" ref="AI123">OR(ISNUMBER(SEARCH(AH$2:AH$100,$B123,5)))</f>
        <v>0</v>
      </c>
      <c r="AK123" s="3" t="str">
        <f t="shared" si="14"/>
        <v>ZZZ</v>
      </c>
      <c r="AL123" s="3" t="b">
        <f t="array" ref="AL123">OR(ISNUMBER(SEARCH(AK$2:AK$100,$B123,5)))</f>
        <v>0</v>
      </c>
      <c r="AU123" s="8"/>
      <c r="AV123" s="6"/>
      <c r="AW123" s="8"/>
      <c r="AX123" s="8"/>
      <c r="AY123" s="6"/>
      <c r="AZ123" s="8"/>
      <c r="BA123" s="8"/>
      <c r="BB123" s="6" t="str">
        <f>IFERROR(__xludf.DUMMYFUNCTION("""COMPUTED_VALUE"""),"posh beige")</f>
        <v>posh beige</v>
      </c>
      <c r="BC123" s="8" t="str">
        <f>IFERROR(__xludf.DUMMYFUNCTION("""COMPUTED_VALUE"""),"faded lime")</f>
        <v>faded lime</v>
      </c>
      <c r="BD123" s="8"/>
      <c r="BE123" s="6"/>
      <c r="BF123" s="8"/>
      <c r="BG123" s="8"/>
      <c r="BH123" s="6"/>
      <c r="BI123" s="8"/>
      <c r="BJ123" s="8"/>
      <c r="BK123" s="6"/>
      <c r="BL123" s="8"/>
      <c r="BM123" s="8"/>
      <c r="BN123" s="6"/>
      <c r="BO123" s="8"/>
      <c r="BP123" s="8"/>
      <c r="BQ123" s="6"/>
      <c r="BR123" s="8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</row>
    <row r="124">
      <c r="A124" s="6"/>
      <c r="B124" s="6" t="s">
        <v>124</v>
      </c>
      <c r="C124" s="3" t="str">
        <f t="shared" si="3"/>
        <v>light gray</v>
      </c>
      <c r="D124" s="3" t="str">
        <f t="shared" si="17"/>
        <v>ZZZ</v>
      </c>
      <c r="E124" s="3" t="b">
        <f t="array" ref="E124">OR(ISNUMBER(SEARCH(D$2:D$30,$B124,5)))</f>
        <v>0</v>
      </c>
      <c r="G124" s="3" t="str">
        <f t="shared" si="4"/>
        <v>ZZZ</v>
      </c>
      <c r="H124" s="3" t="b">
        <f t="array" ref="H124">OR(ISNUMBER(SEARCH(G$2:G$30,$B124,5)))</f>
        <v>0</v>
      </c>
      <c r="J124" s="3" t="str">
        <f t="shared" si="5"/>
        <v>ZZZ</v>
      </c>
      <c r="K124" s="3" t="b">
        <f t="array" ref="K124">OR(ISNUMBER(SEARCH(J$2:J$30,$B124,5)))</f>
        <v>1</v>
      </c>
      <c r="M124" s="3" t="str">
        <f t="shared" si="6"/>
        <v>ZZZ</v>
      </c>
      <c r="N124" s="3" t="b">
        <f t="array" ref="N124">OR(ISNUMBER(SEARCH(M$2:M$30,$B124,5)))</f>
        <v>1</v>
      </c>
      <c r="P124" s="3" t="str">
        <f t="shared" si="7"/>
        <v>ZZZ</v>
      </c>
      <c r="Q124" s="3" t="b">
        <f t="array" ref="Q124">OR(ISNUMBER(SEARCH(P$2:P$50,$B124,5)))</f>
        <v>0</v>
      </c>
      <c r="S124" s="3" t="str">
        <f t="shared" si="8"/>
        <v>ZZZ</v>
      </c>
      <c r="T124" s="3" t="b">
        <f t="array" ref="T124">OR(ISNUMBER(SEARCH(S$2:S$100,$B124,5)))</f>
        <v>1</v>
      </c>
      <c r="V124" s="3" t="str">
        <f t="shared" si="9"/>
        <v>ZZZ</v>
      </c>
      <c r="W124" s="3" t="b">
        <f t="array" ref="W124">OR(ISNUMBER(SEARCH(V$2:V$100,$B124,5)))</f>
        <v>1</v>
      </c>
      <c r="Y124" s="3" t="str">
        <f t="shared" si="10"/>
        <v>ZZZ</v>
      </c>
      <c r="Z124" s="3" t="b">
        <f t="array" ref="Z124">OR(ISNUMBER(SEARCH(Y$2:Y$100,$B124,5)))</f>
        <v>0</v>
      </c>
      <c r="AB124" s="3" t="str">
        <f t="shared" si="11"/>
        <v>ZZZ</v>
      </c>
      <c r="AC124" s="3" t="b">
        <f t="array" ref="AC124">OR(ISNUMBER(SEARCH(AB$2:AB$100,$B124,5)))</f>
        <v>0</v>
      </c>
      <c r="AE124" s="3" t="str">
        <f t="shared" si="12"/>
        <v>ZZZ</v>
      </c>
      <c r="AF124" s="3" t="b">
        <f t="array" ref="AF124">OR(ISNUMBER(SEARCH(AE$2:AE$100,$B124,5)))</f>
        <v>0</v>
      </c>
      <c r="AH124" s="3" t="str">
        <f t="shared" si="13"/>
        <v>ZZZ</v>
      </c>
      <c r="AI124" s="3" t="b">
        <f t="array" ref="AI124">OR(ISNUMBER(SEARCH(AH$2:AH$100,$B124,5)))</f>
        <v>0</v>
      </c>
      <c r="AK124" s="3" t="str">
        <f t="shared" si="14"/>
        <v>ZZZ</v>
      </c>
      <c r="AL124" s="3" t="b">
        <f t="array" ref="AL124">OR(ISNUMBER(SEARCH(AK$2:AK$100,$B124,5)))</f>
        <v>0</v>
      </c>
      <c r="AU124" s="8"/>
      <c r="AV124" s="6"/>
      <c r="AW124" s="8"/>
      <c r="AX124" s="8"/>
      <c r="AY124" s="6"/>
      <c r="AZ124" s="8"/>
      <c r="BA124" s="8"/>
      <c r="BB124" s="6" t="str">
        <f>IFERROR(__xludf.DUMMYFUNCTION("""COMPUTED_VALUE"""),"clear brown")</f>
        <v>clear brown</v>
      </c>
      <c r="BC124" s="8" t="str">
        <f>IFERROR(__xludf.DUMMYFUNCTION("""COMPUTED_VALUE"""),"shiny lime")</f>
        <v>shiny lime</v>
      </c>
      <c r="BD124" s="8"/>
      <c r="BE124" s="6"/>
      <c r="BF124" s="8"/>
      <c r="BG124" s="8"/>
      <c r="BH124" s="6"/>
      <c r="BI124" s="8"/>
      <c r="BJ124" s="8"/>
      <c r="BK124" s="6"/>
      <c r="BL124" s="8"/>
      <c r="BM124" s="8"/>
      <c r="BN124" s="6"/>
      <c r="BO124" s="8"/>
      <c r="BP124" s="8"/>
      <c r="BQ124" s="6"/>
      <c r="BR124" s="8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</row>
    <row r="125">
      <c r="A125" s="6"/>
      <c r="B125" s="6" t="s">
        <v>125</v>
      </c>
      <c r="C125" s="3" t="str">
        <f t="shared" si="3"/>
        <v>dim gold</v>
      </c>
      <c r="D125" s="3" t="str">
        <f t="shared" si="17"/>
        <v>ZZZ</v>
      </c>
      <c r="E125" s="3" t="b">
        <f t="array" ref="E125">OR(ISNUMBER(SEARCH(D$2:D$30,$B125,5)))</f>
        <v>0</v>
      </c>
      <c r="G125" s="3" t="str">
        <f t="shared" si="4"/>
        <v>ZZZ</v>
      </c>
      <c r="H125" s="3" t="b">
        <f t="array" ref="H125">OR(ISNUMBER(SEARCH(G$2:G$30,$B125,5)))</f>
        <v>0</v>
      </c>
      <c r="J125" s="3" t="str">
        <f t="shared" si="5"/>
        <v>ZZZ</v>
      </c>
      <c r="K125" s="3" t="b">
        <f t="array" ref="K125">OR(ISNUMBER(SEARCH(J$2:J$30,$B125,5)))</f>
        <v>0</v>
      </c>
      <c r="M125" s="3" t="str">
        <f t="shared" si="6"/>
        <v>ZZZ</v>
      </c>
      <c r="N125" s="3" t="b">
        <f t="array" ref="N125">OR(ISNUMBER(SEARCH(M$2:M$30,$B125,5)))</f>
        <v>0</v>
      </c>
      <c r="P125" s="3" t="str">
        <f t="shared" si="7"/>
        <v>ZZZ</v>
      </c>
      <c r="Q125" s="3" t="b">
        <f t="array" ref="Q125">OR(ISNUMBER(SEARCH(P$2:P$50,$B125,5)))</f>
        <v>1</v>
      </c>
      <c r="S125" s="3" t="str">
        <f t="shared" si="8"/>
        <v>ZZZ</v>
      </c>
      <c r="T125" s="3" t="b">
        <f t="array" ref="T125">OR(ISNUMBER(SEARCH(S$2:S$100,$B125,5)))</f>
        <v>0</v>
      </c>
      <c r="V125" s="3" t="str">
        <f t="shared" si="9"/>
        <v>ZZZ</v>
      </c>
      <c r="W125" s="3" t="b">
        <f t="array" ref="W125">OR(ISNUMBER(SEARCH(V$2:V$100,$B125,5)))</f>
        <v>0</v>
      </c>
      <c r="Y125" s="3" t="str">
        <f t="shared" si="10"/>
        <v>ZZZ</v>
      </c>
      <c r="Z125" s="3" t="b">
        <f t="array" ref="Z125">OR(ISNUMBER(SEARCH(Y$2:Y$100,$B125,5)))</f>
        <v>0</v>
      </c>
      <c r="AB125" s="3" t="str">
        <f t="shared" si="11"/>
        <v>ZZZ</v>
      </c>
      <c r="AC125" s="3" t="b">
        <f t="array" ref="AC125">OR(ISNUMBER(SEARCH(AB$2:AB$100,$B125,5)))</f>
        <v>0</v>
      </c>
      <c r="AE125" s="3" t="str">
        <f t="shared" si="12"/>
        <v>ZZZ</v>
      </c>
      <c r="AF125" s="3" t="b">
        <f t="array" ref="AF125">OR(ISNUMBER(SEARCH(AE$2:AE$100,$B125,5)))</f>
        <v>0</v>
      </c>
      <c r="AH125" s="3" t="str">
        <f t="shared" si="13"/>
        <v>ZZZ</v>
      </c>
      <c r="AI125" s="3" t="b">
        <f t="array" ref="AI125">OR(ISNUMBER(SEARCH(AH$2:AH$100,$B125,5)))</f>
        <v>0</v>
      </c>
      <c r="AK125" s="3" t="str">
        <f t="shared" si="14"/>
        <v>ZZZ</v>
      </c>
      <c r="AL125" s="3" t="b">
        <f t="array" ref="AL125">OR(ISNUMBER(SEARCH(AK$2:AK$100,$B125,5)))</f>
        <v>0</v>
      </c>
      <c r="AU125" s="8"/>
      <c r="AV125" s="6"/>
      <c r="AW125" s="8"/>
      <c r="AX125" s="8"/>
      <c r="AY125" s="6"/>
      <c r="AZ125" s="8"/>
      <c r="BA125" s="8"/>
      <c r="BB125" s="6" t="str">
        <f>IFERROR(__xludf.DUMMYFUNCTION("""COMPUTED_VALUE"""),"drab crimson")</f>
        <v>drab crimson</v>
      </c>
      <c r="BC125" s="8" t="str">
        <f>IFERROR(__xludf.DUMMYFUNCTION("""COMPUTED_VALUE"""),"faded indigo")</f>
        <v>faded indigo</v>
      </c>
      <c r="BD125" s="8"/>
      <c r="BE125" s="6"/>
      <c r="BF125" s="8"/>
      <c r="BG125" s="8"/>
      <c r="BH125" s="6"/>
      <c r="BI125" s="8"/>
      <c r="BJ125" s="8"/>
      <c r="BK125" s="6"/>
      <c r="BL125" s="8"/>
      <c r="BM125" s="8"/>
      <c r="BN125" s="6"/>
      <c r="BO125" s="8"/>
      <c r="BP125" s="8"/>
      <c r="BQ125" s="6"/>
      <c r="BR125" s="8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</row>
    <row r="126">
      <c r="A126" s="6"/>
      <c r="B126" s="6" t="s">
        <v>126</v>
      </c>
      <c r="C126" s="3" t="str">
        <f t="shared" si="3"/>
        <v>dim crimson</v>
      </c>
      <c r="D126" s="3" t="str">
        <f t="shared" si="17"/>
        <v>ZZZ</v>
      </c>
      <c r="E126" s="3" t="b">
        <f t="array" ref="E126">OR(ISNUMBER(SEARCH(D$2:D$30,$B126,5)))</f>
        <v>0</v>
      </c>
      <c r="G126" s="3" t="str">
        <f t="shared" si="4"/>
        <v>ZZZ</v>
      </c>
      <c r="H126" s="3" t="b">
        <f t="array" ref="H126">OR(ISNUMBER(SEARCH(G$2:G$30,$B126,5)))</f>
        <v>0</v>
      </c>
      <c r="J126" s="3" t="str">
        <f t="shared" si="5"/>
        <v>ZZZ</v>
      </c>
      <c r="K126" s="3" t="b">
        <f t="array" ref="K126">OR(ISNUMBER(SEARCH(J$2:J$30,$B126,5)))</f>
        <v>0</v>
      </c>
      <c r="M126" s="3" t="str">
        <f t="shared" si="6"/>
        <v>ZZZ</v>
      </c>
      <c r="N126" s="3" t="b">
        <f t="array" ref="N126">OR(ISNUMBER(SEARCH(M$2:M$30,$B126,5)))</f>
        <v>0</v>
      </c>
      <c r="P126" s="3" t="str">
        <f t="shared" si="7"/>
        <v>ZZZ</v>
      </c>
      <c r="Q126" s="3" t="b">
        <f t="array" ref="Q126">OR(ISNUMBER(SEARCH(P$2:P$50,$B126,5)))</f>
        <v>0</v>
      </c>
      <c r="S126" s="3" t="str">
        <f t="shared" si="8"/>
        <v>ZZZ</v>
      </c>
      <c r="T126" s="3" t="b">
        <f t="array" ref="T126">OR(ISNUMBER(SEARCH(S$2:S$100,$B126,5)))</f>
        <v>0</v>
      </c>
      <c r="V126" s="3" t="str">
        <f t="shared" si="9"/>
        <v>ZZZ</v>
      </c>
      <c r="W126" s="3" t="b">
        <f t="array" ref="W126">OR(ISNUMBER(SEARCH(V$2:V$100,$B126,5)))</f>
        <v>0</v>
      </c>
      <c r="Y126" s="3" t="str">
        <f t="shared" si="10"/>
        <v>ZZZ</v>
      </c>
      <c r="Z126" s="3" t="b">
        <f t="array" ref="Z126">OR(ISNUMBER(SEARCH(Y$2:Y$100,$B126,5)))</f>
        <v>0</v>
      </c>
      <c r="AB126" s="3" t="str">
        <f t="shared" si="11"/>
        <v>ZZZ</v>
      </c>
      <c r="AC126" s="3" t="b">
        <f t="array" ref="AC126">OR(ISNUMBER(SEARCH(AB$2:AB$100,$B126,5)))</f>
        <v>0</v>
      </c>
      <c r="AE126" s="3" t="str">
        <f t="shared" si="12"/>
        <v>ZZZ</v>
      </c>
      <c r="AF126" s="3" t="b">
        <f t="array" ref="AF126">OR(ISNUMBER(SEARCH(AE$2:AE$100,$B126,5)))</f>
        <v>0</v>
      </c>
      <c r="AH126" s="3" t="str">
        <f t="shared" si="13"/>
        <v>ZZZ</v>
      </c>
      <c r="AI126" s="3" t="b">
        <f t="array" ref="AI126">OR(ISNUMBER(SEARCH(AH$2:AH$100,$B126,5)))</f>
        <v>0</v>
      </c>
      <c r="AK126" s="3" t="str">
        <f t="shared" si="14"/>
        <v>ZZZ</v>
      </c>
      <c r="AL126" s="3" t="b">
        <f t="array" ref="AL126">OR(ISNUMBER(SEARCH(AK$2:AK$100,$B126,5)))</f>
        <v>0</v>
      </c>
      <c r="AU126" s="8"/>
      <c r="AV126" s="6"/>
      <c r="AW126" s="8"/>
      <c r="AX126" s="8"/>
      <c r="AY126" s="6"/>
      <c r="AZ126" s="8"/>
      <c r="BA126" s="8"/>
      <c r="BB126" s="6" t="str">
        <f>IFERROR(__xludf.DUMMYFUNCTION("""COMPUTED_VALUE"""),"muted teal")</f>
        <v>muted teal</v>
      </c>
      <c r="BC126" s="8" t="str">
        <f>IFERROR(__xludf.DUMMYFUNCTION("""COMPUTED_VALUE"""),"dim silver")</f>
        <v>dim silver</v>
      </c>
      <c r="BD126" s="8"/>
      <c r="BE126" s="6"/>
      <c r="BF126" s="8"/>
      <c r="BG126" s="8"/>
      <c r="BH126" s="6"/>
      <c r="BI126" s="8"/>
      <c r="BJ126" s="8"/>
      <c r="BK126" s="6"/>
      <c r="BL126" s="8"/>
      <c r="BM126" s="8"/>
      <c r="BN126" s="6"/>
      <c r="BO126" s="8"/>
      <c r="BP126" s="8"/>
      <c r="BQ126" s="6"/>
      <c r="BR126" s="8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</row>
    <row r="127">
      <c r="A127" s="6"/>
      <c r="B127" s="6" t="s">
        <v>127</v>
      </c>
      <c r="C127" s="3" t="str">
        <f t="shared" si="3"/>
        <v>wavy tan</v>
      </c>
      <c r="D127" s="3" t="str">
        <f t="shared" si="17"/>
        <v>ZZZ</v>
      </c>
      <c r="E127" s="3" t="b">
        <f t="array" ref="E127">OR(ISNUMBER(SEARCH(D$2:D$30,$B127,5)))</f>
        <v>0</v>
      </c>
      <c r="G127" s="3" t="str">
        <f t="shared" si="4"/>
        <v>ZZZ</v>
      </c>
      <c r="H127" s="3" t="b">
        <f t="array" ref="H127">OR(ISNUMBER(SEARCH(G$2:G$30,$B127,5)))</f>
        <v>0</v>
      </c>
      <c r="J127" s="3" t="str">
        <f t="shared" si="5"/>
        <v>ZZZ</v>
      </c>
      <c r="K127" s="3" t="b">
        <f t="array" ref="K127">OR(ISNUMBER(SEARCH(J$2:J$30,$B127,5)))</f>
        <v>0</v>
      </c>
      <c r="M127" s="3" t="str">
        <f t="shared" si="6"/>
        <v>ZZZ</v>
      </c>
      <c r="N127" s="3" t="b">
        <f t="array" ref="N127">OR(ISNUMBER(SEARCH(M$2:M$30,$B127,5)))</f>
        <v>0</v>
      </c>
      <c r="P127" s="3" t="str">
        <f t="shared" si="7"/>
        <v>ZZZ</v>
      </c>
      <c r="Q127" s="3" t="b">
        <f t="array" ref="Q127">OR(ISNUMBER(SEARCH(P$2:P$50,$B127,5)))</f>
        <v>0</v>
      </c>
      <c r="S127" s="3" t="str">
        <f t="shared" si="8"/>
        <v>ZZZ</v>
      </c>
      <c r="T127" s="3" t="b">
        <f t="array" ref="T127">OR(ISNUMBER(SEARCH(S$2:S$100,$B127,5)))</f>
        <v>0</v>
      </c>
      <c r="V127" s="3" t="str">
        <f t="shared" si="9"/>
        <v>ZZZ</v>
      </c>
      <c r="W127" s="3" t="b">
        <f t="array" ref="W127">OR(ISNUMBER(SEARCH(V$2:V$100,$B127,5)))</f>
        <v>0</v>
      </c>
      <c r="Y127" s="3" t="str">
        <f t="shared" si="10"/>
        <v>ZZZ</v>
      </c>
      <c r="Z127" s="3" t="b">
        <f t="array" ref="Z127">OR(ISNUMBER(SEARCH(Y$2:Y$100,$B127,5)))</f>
        <v>0</v>
      </c>
      <c r="AB127" s="3" t="str">
        <f t="shared" si="11"/>
        <v>ZZZ</v>
      </c>
      <c r="AC127" s="3" t="b">
        <f t="array" ref="AC127">OR(ISNUMBER(SEARCH(AB$2:AB$100,$B127,5)))</f>
        <v>0</v>
      </c>
      <c r="AE127" s="3" t="str">
        <f t="shared" si="12"/>
        <v>ZZZ</v>
      </c>
      <c r="AF127" s="3" t="b">
        <f t="array" ref="AF127">OR(ISNUMBER(SEARCH(AE$2:AE$100,$B127,5)))</f>
        <v>0</v>
      </c>
      <c r="AH127" s="3" t="str">
        <f t="shared" si="13"/>
        <v>ZZZ</v>
      </c>
      <c r="AI127" s="3" t="b">
        <f t="array" ref="AI127">OR(ISNUMBER(SEARCH(AH$2:AH$100,$B127,5)))</f>
        <v>0</v>
      </c>
      <c r="AK127" s="3" t="str">
        <f t="shared" si="14"/>
        <v>ZZZ</v>
      </c>
      <c r="AL127" s="3" t="b">
        <f t="array" ref="AL127">OR(ISNUMBER(SEARCH(AK$2:AK$100,$B127,5)))</f>
        <v>0</v>
      </c>
      <c r="AU127" s="8"/>
      <c r="AV127" s="6"/>
      <c r="AW127" s="8"/>
      <c r="AX127" s="8"/>
      <c r="AY127" s="6"/>
      <c r="AZ127" s="8"/>
      <c r="BA127" s="8"/>
      <c r="BB127" s="6" t="str">
        <f>IFERROR(__xludf.DUMMYFUNCTION("""COMPUTED_VALUE"""),"shiny blue")</f>
        <v>shiny blue</v>
      </c>
      <c r="BC127" s="8" t="str">
        <f>IFERROR(__xludf.DUMMYFUNCTION("""COMPUTED_VALUE"""),"wavy crimson")</f>
        <v>wavy crimson</v>
      </c>
      <c r="BD127" s="8"/>
      <c r="BE127" s="6"/>
      <c r="BF127" s="8"/>
      <c r="BG127" s="8"/>
      <c r="BH127" s="6"/>
      <c r="BI127" s="8"/>
      <c r="BJ127" s="8"/>
      <c r="BK127" s="6"/>
      <c r="BL127" s="8"/>
      <c r="BM127" s="8"/>
      <c r="BN127" s="6"/>
      <c r="BO127" s="8"/>
      <c r="BP127" s="8"/>
      <c r="BQ127" s="6"/>
      <c r="BR127" s="8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</row>
    <row r="128">
      <c r="A128" s="6"/>
      <c r="B128" s="6" t="s">
        <v>128</v>
      </c>
      <c r="C128" s="3" t="str">
        <f t="shared" si="3"/>
        <v>posh brown</v>
      </c>
      <c r="D128" s="3" t="str">
        <f t="shared" si="17"/>
        <v>ZZZ</v>
      </c>
      <c r="E128" s="3" t="b">
        <f t="array" ref="E128">OR(ISNUMBER(SEARCH(D$2:D$30,$B128,5)))</f>
        <v>0</v>
      </c>
      <c r="G128" s="3" t="str">
        <f t="shared" si="4"/>
        <v>ZZZ</v>
      </c>
      <c r="H128" s="3" t="b">
        <f t="array" ref="H128">OR(ISNUMBER(SEARCH(G$2:G$30,$B128,5)))</f>
        <v>0</v>
      </c>
      <c r="J128" s="3" t="str">
        <f t="shared" si="5"/>
        <v>ZZZ</v>
      </c>
      <c r="K128" s="3" t="b">
        <f t="array" ref="K128">OR(ISNUMBER(SEARCH(J$2:J$30,$B128,5)))</f>
        <v>0</v>
      </c>
      <c r="M128" s="3" t="str">
        <f t="shared" si="6"/>
        <v>ZZZ</v>
      </c>
      <c r="N128" s="3" t="b">
        <f t="array" ref="N128">OR(ISNUMBER(SEARCH(M$2:M$30,$B128,5)))</f>
        <v>0</v>
      </c>
      <c r="P128" s="3" t="str">
        <f t="shared" si="7"/>
        <v>ZZZ</v>
      </c>
      <c r="Q128" s="3" t="b">
        <f t="array" ref="Q128">OR(ISNUMBER(SEARCH(P$2:P$50,$B128,5)))</f>
        <v>0</v>
      </c>
      <c r="S128" s="3" t="str">
        <f t="shared" si="8"/>
        <v>ZZZ</v>
      </c>
      <c r="T128" s="3" t="b">
        <f t="array" ref="T128">OR(ISNUMBER(SEARCH(S$2:S$100,$B128,5)))</f>
        <v>0</v>
      </c>
      <c r="V128" s="3" t="str">
        <f t="shared" si="9"/>
        <v>ZZZ</v>
      </c>
      <c r="W128" s="3" t="b">
        <f t="array" ref="W128">OR(ISNUMBER(SEARCH(V$2:V$100,$B128,5)))</f>
        <v>0</v>
      </c>
      <c r="Y128" s="3" t="str">
        <f t="shared" si="10"/>
        <v>ZZZ</v>
      </c>
      <c r="Z128" s="3" t="b">
        <f t="array" ref="Z128">OR(ISNUMBER(SEARCH(Y$2:Y$100,$B128,5)))</f>
        <v>0</v>
      </c>
      <c r="AB128" s="3" t="str">
        <f t="shared" si="11"/>
        <v>ZZZ</v>
      </c>
      <c r="AC128" s="3" t="b">
        <f t="array" ref="AC128">OR(ISNUMBER(SEARCH(AB$2:AB$100,$B128,5)))</f>
        <v>0</v>
      </c>
      <c r="AE128" s="3" t="str">
        <f t="shared" si="12"/>
        <v>ZZZ</v>
      </c>
      <c r="AF128" s="3" t="b">
        <f t="array" ref="AF128">OR(ISNUMBER(SEARCH(AE$2:AE$100,$B128,5)))</f>
        <v>0</v>
      </c>
      <c r="AH128" s="3" t="str">
        <f t="shared" si="13"/>
        <v>ZZZ</v>
      </c>
      <c r="AI128" s="3" t="b">
        <f t="array" ref="AI128">OR(ISNUMBER(SEARCH(AH$2:AH$100,$B128,5)))</f>
        <v>0</v>
      </c>
      <c r="AK128" s="3" t="str">
        <f t="shared" si="14"/>
        <v>ZZZ</v>
      </c>
      <c r="AL128" s="3" t="b">
        <f t="array" ref="AL128">OR(ISNUMBER(SEARCH(AK$2:AK$100,$B128,5)))</f>
        <v>0</v>
      </c>
      <c r="AU128" s="8"/>
      <c r="AV128" s="6"/>
      <c r="AW128" s="8"/>
      <c r="AX128" s="8"/>
      <c r="AY128" s="6"/>
      <c r="AZ128" s="8"/>
      <c r="BA128" s="8"/>
      <c r="BB128" s="6" t="str">
        <f>IFERROR(__xludf.DUMMYFUNCTION("""COMPUTED_VALUE"""),"clear turquoise")</f>
        <v>clear turquoise</v>
      </c>
      <c r="BC128" s="8" t="str">
        <f>IFERROR(__xludf.DUMMYFUNCTION("""COMPUTED_VALUE"""),"striped plum")</f>
        <v>striped plum</v>
      </c>
      <c r="BD128" s="8"/>
      <c r="BE128" s="6"/>
      <c r="BF128" s="8"/>
      <c r="BG128" s="8"/>
      <c r="BH128" s="6"/>
      <c r="BI128" s="8"/>
      <c r="BJ128" s="8"/>
      <c r="BK128" s="6"/>
      <c r="BL128" s="8"/>
      <c r="BM128" s="8"/>
      <c r="BN128" s="6"/>
      <c r="BO128" s="8"/>
      <c r="BP128" s="8"/>
      <c r="BQ128" s="6"/>
      <c r="BR128" s="8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7"/>
      <c r="JI128" s="7"/>
      <c r="JJ128" s="7"/>
      <c r="JK128" s="7"/>
      <c r="JL128" s="7"/>
      <c r="JM128" s="7"/>
      <c r="JN128" s="7"/>
      <c r="JO128" s="7"/>
      <c r="JP128" s="7"/>
      <c r="JQ128" s="7"/>
      <c r="JR128" s="7"/>
      <c r="JS128" s="7"/>
      <c r="JT128" s="7"/>
      <c r="JU128" s="7"/>
      <c r="JV128" s="7"/>
      <c r="JW128" s="7"/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/>
      <c r="KL128" s="7"/>
      <c r="KM128" s="7"/>
      <c r="KN128" s="7"/>
    </row>
    <row r="129">
      <c r="A129" s="6"/>
      <c r="B129" s="6" t="s">
        <v>129</v>
      </c>
      <c r="C129" s="3" t="str">
        <f t="shared" si="3"/>
        <v>bright plum</v>
      </c>
      <c r="D129" s="3" t="str">
        <f t="shared" si="17"/>
        <v>ZZZ</v>
      </c>
      <c r="E129" s="3" t="b">
        <f t="array" ref="E129">OR(ISNUMBER(SEARCH(D$2:D$30,$B129,5)))</f>
        <v>0</v>
      </c>
      <c r="G129" s="3" t="str">
        <f t="shared" si="4"/>
        <v>ZZZ</v>
      </c>
      <c r="H129" s="3" t="b">
        <f t="array" ref="H129">OR(ISNUMBER(SEARCH(G$2:G$30,$B129,5)))</f>
        <v>0</v>
      </c>
      <c r="J129" s="3" t="str">
        <f t="shared" si="5"/>
        <v>ZZZ</v>
      </c>
      <c r="K129" s="3" t="b">
        <f t="array" ref="K129">OR(ISNUMBER(SEARCH(J$2:J$30,$B129,5)))</f>
        <v>0</v>
      </c>
      <c r="M129" s="3" t="str">
        <f t="shared" si="6"/>
        <v>ZZZ</v>
      </c>
      <c r="N129" s="3" t="b">
        <f t="array" ref="N129">OR(ISNUMBER(SEARCH(M$2:M$30,$B129,5)))</f>
        <v>0</v>
      </c>
      <c r="P129" s="3" t="str">
        <f t="shared" si="7"/>
        <v>ZZZ</v>
      </c>
      <c r="Q129" s="3" t="b">
        <f t="array" ref="Q129">OR(ISNUMBER(SEARCH(P$2:P$50,$B129,5)))</f>
        <v>0</v>
      </c>
      <c r="S129" s="3" t="str">
        <f t="shared" si="8"/>
        <v>ZZZ</v>
      </c>
      <c r="T129" s="3" t="b">
        <f t="array" ref="T129">OR(ISNUMBER(SEARCH(S$2:S$100,$B129,5)))</f>
        <v>0</v>
      </c>
      <c r="V129" s="3" t="str">
        <f t="shared" si="9"/>
        <v>ZZZ</v>
      </c>
      <c r="W129" s="3" t="b">
        <f t="array" ref="W129">OR(ISNUMBER(SEARCH(V$2:V$100,$B129,5)))</f>
        <v>0</v>
      </c>
      <c r="Y129" s="3" t="str">
        <f t="shared" si="10"/>
        <v>ZZZ</v>
      </c>
      <c r="Z129" s="3" t="b">
        <f t="array" ref="Z129">OR(ISNUMBER(SEARCH(Y$2:Y$100,$B129,5)))</f>
        <v>0</v>
      </c>
      <c r="AB129" s="3" t="str">
        <f t="shared" si="11"/>
        <v>ZZZ</v>
      </c>
      <c r="AC129" s="3" t="b">
        <f t="array" ref="AC129">OR(ISNUMBER(SEARCH(AB$2:AB$100,$B129,5)))</f>
        <v>0</v>
      </c>
      <c r="AE129" s="3" t="str">
        <f t="shared" si="12"/>
        <v>ZZZ</v>
      </c>
      <c r="AF129" s="3" t="b">
        <f t="array" ref="AF129">OR(ISNUMBER(SEARCH(AE$2:AE$100,$B129,5)))</f>
        <v>0</v>
      </c>
      <c r="AH129" s="3" t="str">
        <f t="shared" si="13"/>
        <v>ZZZ</v>
      </c>
      <c r="AI129" s="3" t="b">
        <f t="array" ref="AI129">OR(ISNUMBER(SEARCH(AH$2:AH$100,$B129,5)))</f>
        <v>0</v>
      </c>
      <c r="AK129" s="3" t="str">
        <f t="shared" si="14"/>
        <v>ZZZ</v>
      </c>
      <c r="AL129" s="3" t="b">
        <f t="array" ref="AL129">OR(ISNUMBER(SEARCH(AK$2:AK$100,$B129,5)))</f>
        <v>0</v>
      </c>
      <c r="AU129" s="8"/>
      <c r="AV129" s="6"/>
      <c r="AW129" s="8"/>
      <c r="AX129" s="8"/>
      <c r="AY129" s="6"/>
      <c r="AZ129" s="8"/>
      <c r="BA129" s="8"/>
      <c r="BB129" s="6" t="str">
        <f>IFERROR(__xludf.DUMMYFUNCTION("""COMPUTED_VALUE"""),"pale violet")</f>
        <v>pale violet</v>
      </c>
      <c r="BC129" s="8" t="str">
        <f>IFERROR(__xludf.DUMMYFUNCTION("""COMPUTED_VALUE"""),"wavy black")</f>
        <v>wavy black</v>
      </c>
      <c r="BD129" s="8"/>
      <c r="BE129" s="6"/>
      <c r="BF129" s="8"/>
      <c r="BG129" s="8"/>
      <c r="BH129" s="6"/>
      <c r="BI129" s="8"/>
      <c r="BJ129" s="8"/>
      <c r="BK129" s="6"/>
      <c r="BL129" s="8"/>
      <c r="BM129" s="8"/>
      <c r="BN129" s="6"/>
      <c r="BO129" s="8"/>
      <c r="BP129" s="8"/>
      <c r="BQ129" s="6"/>
      <c r="BR129" s="8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7"/>
      <c r="JJ129" s="7"/>
      <c r="JK129" s="7"/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</row>
    <row r="130">
      <c r="A130" s="6"/>
      <c r="B130" s="6" t="s">
        <v>130</v>
      </c>
      <c r="C130" s="3" t="str">
        <f t="shared" si="3"/>
        <v>faded black</v>
      </c>
      <c r="D130" s="3" t="str">
        <f t="shared" si="17"/>
        <v>ZZZ</v>
      </c>
      <c r="E130" s="3" t="b">
        <f t="array" ref="E130">OR(ISNUMBER(SEARCH(D$2:D$30,$B130,5)))</f>
        <v>0</v>
      </c>
      <c r="G130" s="3" t="str">
        <f t="shared" si="4"/>
        <v>ZZZ</v>
      </c>
      <c r="H130" s="3" t="b">
        <f t="array" ref="H130">OR(ISNUMBER(SEARCH(G$2:G$30,$B130,5)))</f>
        <v>0</v>
      </c>
      <c r="J130" s="3" t="str">
        <f t="shared" si="5"/>
        <v>ZZZ</v>
      </c>
      <c r="K130" s="3" t="b">
        <f t="array" ref="K130">OR(ISNUMBER(SEARCH(J$2:J$30,$B130,5)))</f>
        <v>0</v>
      </c>
      <c r="M130" s="3" t="str">
        <f t="shared" si="6"/>
        <v>ZZZ</v>
      </c>
      <c r="N130" s="3" t="b">
        <f t="array" ref="N130">OR(ISNUMBER(SEARCH(M$2:M$30,$B130,5)))</f>
        <v>0</v>
      </c>
      <c r="P130" s="3" t="str">
        <f t="shared" si="7"/>
        <v>ZZZ</v>
      </c>
      <c r="Q130" s="3" t="b">
        <f t="array" ref="Q130">OR(ISNUMBER(SEARCH(P$2:P$50,$B130,5)))</f>
        <v>0</v>
      </c>
      <c r="S130" s="3" t="str">
        <f t="shared" si="8"/>
        <v>ZZZ</v>
      </c>
      <c r="T130" s="3" t="b">
        <f t="array" ref="T130">OR(ISNUMBER(SEARCH(S$2:S$100,$B130,5)))</f>
        <v>0</v>
      </c>
      <c r="V130" s="3" t="str">
        <f t="shared" si="9"/>
        <v>ZZZ</v>
      </c>
      <c r="W130" s="3" t="b">
        <f t="array" ref="W130">OR(ISNUMBER(SEARCH(V$2:V$100,$B130,5)))</f>
        <v>0</v>
      </c>
      <c r="Y130" s="3" t="str">
        <f t="shared" si="10"/>
        <v>ZZZ</v>
      </c>
      <c r="Z130" s="3" t="b">
        <f t="array" ref="Z130">OR(ISNUMBER(SEARCH(Y$2:Y$100,$B130,5)))</f>
        <v>0</v>
      </c>
      <c r="AB130" s="3" t="str">
        <f t="shared" si="11"/>
        <v>ZZZ</v>
      </c>
      <c r="AC130" s="3" t="b">
        <f t="array" ref="AC130">OR(ISNUMBER(SEARCH(AB$2:AB$100,$B130,5)))</f>
        <v>0</v>
      </c>
      <c r="AE130" s="3" t="str">
        <f t="shared" si="12"/>
        <v>ZZZ</v>
      </c>
      <c r="AF130" s="3" t="b">
        <f t="array" ref="AF130">OR(ISNUMBER(SEARCH(AE$2:AE$100,$B130,5)))</f>
        <v>0</v>
      </c>
      <c r="AH130" s="3" t="str">
        <f t="shared" si="13"/>
        <v>ZZZ</v>
      </c>
      <c r="AI130" s="3" t="b">
        <f t="array" ref="AI130">OR(ISNUMBER(SEARCH(AH$2:AH$100,$B130,5)))</f>
        <v>0</v>
      </c>
      <c r="AK130" s="3" t="str">
        <f t="shared" si="14"/>
        <v>ZZZ</v>
      </c>
      <c r="AL130" s="3" t="b">
        <f t="array" ref="AL130">OR(ISNUMBER(SEARCH(AK$2:AK$100,$B130,5)))</f>
        <v>0</v>
      </c>
      <c r="AU130" s="8"/>
      <c r="AV130" s="6"/>
      <c r="AW130" s="8"/>
      <c r="AX130" s="8"/>
      <c r="AY130" s="6"/>
      <c r="AZ130" s="8"/>
      <c r="BA130" s="8"/>
      <c r="BB130" s="6" t="str">
        <f>IFERROR(__xludf.DUMMYFUNCTION("""COMPUTED_VALUE"""),"dark violet")</f>
        <v>dark violet</v>
      </c>
      <c r="BC130" s="8" t="str">
        <f>IFERROR(__xludf.DUMMYFUNCTION("""COMPUTED_VALUE"""),"drab tan")</f>
        <v>drab tan</v>
      </c>
      <c r="BD130" s="8"/>
      <c r="BE130" s="6"/>
      <c r="BF130" s="8"/>
      <c r="BG130" s="8"/>
      <c r="BH130" s="6"/>
      <c r="BI130" s="8"/>
      <c r="BJ130" s="8"/>
      <c r="BK130" s="6"/>
      <c r="BL130" s="8"/>
      <c r="BM130" s="8"/>
      <c r="BN130" s="6"/>
      <c r="BO130" s="8"/>
      <c r="BP130" s="8"/>
      <c r="BQ130" s="6"/>
      <c r="BR130" s="8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</row>
    <row r="131">
      <c r="A131" s="6"/>
      <c r="B131" s="6" t="s">
        <v>131</v>
      </c>
      <c r="C131" s="3" t="str">
        <f t="shared" si="3"/>
        <v>mirrored yellow</v>
      </c>
      <c r="D131" s="3" t="str">
        <f t="shared" si="17"/>
        <v>ZZZ</v>
      </c>
      <c r="E131" s="3" t="b">
        <f t="array" ref="E131">OR(ISNUMBER(SEARCH(D$2:D$30,$B131,5)))</f>
        <v>0</v>
      </c>
      <c r="G131" s="3" t="str">
        <f t="shared" si="4"/>
        <v>ZZZ</v>
      </c>
      <c r="H131" s="3" t="b">
        <f t="array" ref="H131">OR(ISNUMBER(SEARCH(G$2:G$30,$B131,5)))</f>
        <v>0</v>
      </c>
      <c r="J131" s="3" t="str">
        <f t="shared" si="5"/>
        <v>ZZZ</v>
      </c>
      <c r="K131" s="3" t="b">
        <f t="array" ref="K131">OR(ISNUMBER(SEARCH(J$2:J$30,$B131,5)))</f>
        <v>1</v>
      </c>
      <c r="M131" s="3" t="str">
        <f t="shared" si="6"/>
        <v>ZZZ</v>
      </c>
      <c r="N131" s="3" t="b">
        <f t="array" ref="N131">OR(ISNUMBER(SEARCH(M$2:M$30,$B131,5)))</f>
        <v>0</v>
      </c>
      <c r="P131" s="3" t="str">
        <f t="shared" si="7"/>
        <v>ZZZ</v>
      </c>
      <c r="Q131" s="3" t="b">
        <f t="array" ref="Q131">OR(ISNUMBER(SEARCH(P$2:P$50,$B131,5)))</f>
        <v>0</v>
      </c>
      <c r="S131" s="3" t="str">
        <f t="shared" si="8"/>
        <v>ZZZ</v>
      </c>
      <c r="T131" s="3" t="b">
        <f t="array" ref="T131">OR(ISNUMBER(SEARCH(S$2:S$100,$B131,5)))</f>
        <v>0</v>
      </c>
      <c r="V131" s="3" t="str">
        <f t="shared" si="9"/>
        <v>ZZZ</v>
      </c>
      <c r="W131" s="3" t="b">
        <f t="array" ref="W131">OR(ISNUMBER(SEARCH(V$2:V$100,$B131,5)))</f>
        <v>0</v>
      </c>
      <c r="Y131" s="3" t="str">
        <f t="shared" si="10"/>
        <v>ZZZ</v>
      </c>
      <c r="Z131" s="3" t="b">
        <f t="array" ref="Z131">OR(ISNUMBER(SEARCH(Y$2:Y$100,$B131,5)))</f>
        <v>0</v>
      </c>
      <c r="AB131" s="3" t="str">
        <f t="shared" si="11"/>
        <v>ZZZ</v>
      </c>
      <c r="AC131" s="3" t="b">
        <f t="array" ref="AC131">OR(ISNUMBER(SEARCH(AB$2:AB$100,$B131,5)))</f>
        <v>0</v>
      </c>
      <c r="AE131" s="3" t="str">
        <f t="shared" si="12"/>
        <v>ZZZ</v>
      </c>
      <c r="AF131" s="3" t="b">
        <f t="array" ref="AF131">OR(ISNUMBER(SEARCH(AE$2:AE$100,$B131,5)))</f>
        <v>0</v>
      </c>
      <c r="AH131" s="3" t="str">
        <f t="shared" si="13"/>
        <v>ZZZ</v>
      </c>
      <c r="AI131" s="3" t="b">
        <f t="array" ref="AI131">OR(ISNUMBER(SEARCH(AH$2:AH$100,$B131,5)))</f>
        <v>0</v>
      </c>
      <c r="AK131" s="3" t="str">
        <f t="shared" si="14"/>
        <v>ZZZ</v>
      </c>
      <c r="AL131" s="3" t="b">
        <f t="array" ref="AL131">OR(ISNUMBER(SEARCH(AK$2:AK$100,$B131,5)))</f>
        <v>0</v>
      </c>
      <c r="AU131" s="8"/>
      <c r="AV131" s="6"/>
      <c r="AW131" s="8"/>
      <c r="AX131" s="8"/>
      <c r="AY131" s="6"/>
      <c r="AZ131" s="8"/>
      <c r="BA131" s="8"/>
      <c r="BB131" s="6" t="str">
        <f>IFERROR(__xludf.DUMMYFUNCTION("""COMPUTED_VALUE"""),"pale magenta")</f>
        <v>pale magenta</v>
      </c>
      <c r="BC131" s="8" t="str">
        <f>IFERROR(__xludf.DUMMYFUNCTION("""COMPUTED_VALUE"""),"dark aqua")</f>
        <v>dark aqua</v>
      </c>
      <c r="BD131" s="8"/>
      <c r="BE131" s="6"/>
      <c r="BF131" s="8"/>
      <c r="BG131" s="8"/>
      <c r="BH131" s="6"/>
      <c r="BI131" s="8"/>
      <c r="BJ131" s="8"/>
      <c r="BK131" s="6"/>
      <c r="BL131" s="8"/>
      <c r="BM131" s="8"/>
      <c r="BN131" s="6"/>
      <c r="BO131" s="8"/>
      <c r="BP131" s="8"/>
      <c r="BQ131" s="6"/>
      <c r="BR131" s="8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  <c r="JI131" s="7"/>
      <c r="JJ131" s="7"/>
      <c r="JK131" s="7"/>
      <c r="JL131" s="7"/>
      <c r="JM131" s="7"/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</row>
    <row r="132">
      <c r="A132" s="6"/>
      <c r="B132" s="6" t="s">
        <v>132</v>
      </c>
      <c r="C132" s="3" t="str">
        <f t="shared" si="3"/>
        <v>muted tan</v>
      </c>
      <c r="D132" s="3" t="str">
        <f t="shared" si="17"/>
        <v>ZZZ</v>
      </c>
      <c r="E132" s="3" t="b">
        <f t="array" ref="E132">OR(ISNUMBER(SEARCH(D$2:D$30,$B132,5)))</f>
        <v>0</v>
      </c>
      <c r="G132" s="3" t="str">
        <f t="shared" si="4"/>
        <v>ZZZ</v>
      </c>
      <c r="H132" s="3" t="b">
        <f t="array" ref="H132">OR(ISNUMBER(SEARCH(G$2:G$30,$B132,5)))</f>
        <v>0</v>
      </c>
      <c r="J132" s="3" t="str">
        <f t="shared" si="5"/>
        <v>ZZZ</v>
      </c>
      <c r="K132" s="3" t="b">
        <f t="array" ref="K132">OR(ISNUMBER(SEARCH(J$2:J$30,$B132,5)))</f>
        <v>0</v>
      </c>
      <c r="M132" s="3" t="str">
        <f t="shared" si="6"/>
        <v>ZZZ</v>
      </c>
      <c r="N132" s="3" t="b">
        <f t="array" ref="N132">OR(ISNUMBER(SEARCH(M$2:M$30,$B132,5)))</f>
        <v>0</v>
      </c>
      <c r="P132" s="3" t="str">
        <f t="shared" si="7"/>
        <v>ZZZ</v>
      </c>
      <c r="Q132" s="3" t="b">
        <f t="array" ref="Q132">OR(ISNUMBER(SEARCH(P$2:P$50,$B132,5)))</f>
        <v>1</v>
      </c>
      <c r="S132" s="3" t="str">
        <f t="shared" si="8"/>
        <v>ZZZ</v>
      </c>
      <c r="T132" s="3" t="b">
        <f t="array" ref="T132">OR(ISNUMBER(SEARCH(S$2:S$100,$B132,5)))</f>
        <v>0</v>
      </c>
      <c r="V132" s="3" t="str">
        <f t="shared" si="9"/>
        <v>ZZZ</v>
      </c>
      <c r="W132" s="3" t="b">
        <f t="array" ref="W132">OR(ISNUMBER(SEARCH(V$2:V$100,$B132,5)))</f>
        <v>0</v>
      </c>
      <c r="Y132" s="3" t="str">
        <f t="shared" si="10"/>
        <v>ZZZ</v>
      </c>
      <c r="Z132" s="3" t="b">
        <f t="array" ref="Z132">OR(ISNUMBER(SEARCH(Y$2:Y$100,$B132,5)))</f>
        <v>0</v>
      </c>
      <c r="AB132" s="3" t="str">
        <f t="shared" si="11"/>
        <v>ZZZ</v>
      </c>
      <c r="AC132" s="3" t="b">
        <f t="array" ref="AC132">OR(ISNUMBER(SEARCH(AB$2:AB$100,$B132,5)))</f>
        <v>0</v>
      </c>
      <c r="AE132" s="3" t="str">
        <f t="shared" si="12"/>
        <v>ZZZ</v>
      </c>
      <c r="AF132" s="3" t="b">
        <f t="array" ref="AF132">OR(ISNUMBER(SEARCH(AE$2:AE$100,$B132,5)))</f>
        <v>0</v>
      </c>
      <c r="AH132" s="3" t="str">
        <f t="shared" si="13"/>
        <v>ZZZ</v>
      </c>
      <c r="AI132" s="3" t="b">
        <f t="array" ref="AI132">OR(ISNUMBER(SEARCH(AH$2:AH$100,$B132,5)))</f>
        <v>0</v>
      </c>
      <c r="AK132" s="3" t="str">
        <f t="shared" si="14"/>
        <v>ZZZ</v>
      </c>
      <c r="AL132" s="3" t="b">
        <f t="array" ref="AL132">OR(ISNUMBER(SEARCH(AK$2:AK$100,$B132,5)))</f>
        <v>0</v>
      </c>
      <c r="AU132" s="8"/>
      <c r="AV132" s="6"/>
      <c r="AW132" s="8"/>
      <c r="AX132" s="8"/>
      <c r="AY132" s="6"/>
      <c r="AZ132" s="8"/>
      <c r="BA132" s="8"/>
      <c r="BB132" s="6" t="str">
        <f>IFERROR(__xludf.DUMMYFUNCTION("""COMPUTED_VALUE"""),"muted teal")</f>
        <v>muted teal</v>
      </c>
      <c r="BC132" s="8" t="str">
        <f>IFERROR(__xludf.DUMMYFUNCTION("""COMPUTED_VALUE"""),"bright aqua")</f>
        <v>bright aqua</v>
      </c>
      <c r="BD132" s="8"/>
      <c r="BE132" s="6"/>
      <c r="BF132" s="8"/>
      <c r="BG132" s="8"/>
      <c r="BH132" s="6"/>
      <c r="BI132" s="8"/>
      <c r="BJ132" s="8"/>
      <c r="BK132" s="6"/>
      <c r="BL132" s="8"/>
      <c r="BM132" s="8"/>
      <c r="BN132" s="6"/>
      <c r="BO132" s="8"/>
      <c r="BP132" s="8"/>
      <c r="BQ132" s="6"/>
      <c r="BR132" s="8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7"/>
      <c r="JI132" s="7"/>
      <c r="JJ132" s="7"/>
      <c r="JK132" s="7"/>
      <c r="JL132" s="7"/>
      <c r="JM132" s="7"/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</row>
    <row r="133">
      <c r="A133" s="6"/>
      <c r="B133" s="6" t="s">
        <v>133</v>
      </c>
      <c r="C133" s="3" t="str">
        <f t="shared" si="3"/>
        <v>drab white</v>
      </c>
      <c r="D133" s="3" t="str">
        <f t="shared" si="17"/>
        <v>ZZZ</v>
      </c>
      <c r="E133" s="3" t="b">
        <f t="array" ref="E133">OR(ISNUMBER(SEARCH(D$2:D$30,$B133,5)))</f>
        <v>0</v>
      </c>
      <c r="G133" s="3" t="str">
        <f t="shared" si="4"/>
        <v>ZZZ</v>
      </c>
      <c r="H133" s="3" t="b">
        <f t="array" ref="H133">OR(ISNUMBER(SEARCH(G$2:G$30,$B133,5)))</f>
        <v>0</v>
      </c>
      <c r="J133" s="3" t="str">
        <f t="shared" si="5"/>
        <v>ZZZ</v>
      </c>
      <c r="K133" s="3" t="b">
        <f t="array" ref="K133">OR(ISNUMBER(SEARCH(J$2:J$30,$B133,5)))</f>
        <v>0</v>
      </c>
      <c r="M133" s="3" t="str">
        <f t="shared" si="6"/>
        <v>ZZZ</v>
      </c>
      <c r="N133" s="3" t="b">
        <f t="array" ref="N133">OR(ISNUMBER(SEARCH(M$2:M$30,$B133,5)))</f>
        <v>0</v>
      </c>
      <c r="P133" s="3" t="str">
        <f t="shared" si="7"/>
        <v>ZZZ</v>
      </c>
      <c r="Q133" s="3" t="b">
        <f t="array" ref="Q133">OR(ISNUMBER(SEARCH(P$2:P$50,$B133,5)))</f>
        <v>0</v>
      </c>
      <c r="S133" s="3" t="str">
        <f t="shared" si="8"/>
        <v>ZZZ</v>
      </c>
      <c r="T133" s="3" t="b">
        <f t="array" ref="T133">OR(ISNUMBER(SEARCH(S$2:S$100,$B133,5)))</f>
        <v>0</v>
      </c>
      <c r="V133" s="3" t="str">
        <f t="shared" si="9"/>
        <v>ZZZ</v>
      </c>
      <c r="W133" s="3" t="b">
        <f t="array" ref="W133">OR(ISNUMBER(SEARCH(V$2:V$100,$B133,5)))</f>
        <v>0</v>
      </c>
      <c r="Y133" s="3" t="str">
        <f t="shared" si="10"/>
        <v>ZZZ</v>
      </c>
      <c r="Z133" s="3" t="b">
        <f t="array" ref="Z133">OR(ISNUMBER(SEARCH(Y$2:Y$100,$B133,5)))</f>
        <v>0</v>
      </c>
      <c r="AB133" s="3" t="str">
        <f t="shared" si="11"/>
        <v>ZZZ</v>
      </c>
      <c r="AC133" s="3" t="b">
        <f t="array" ref="AC133">OR(ISNUMBER(SEARCH(AB$2:AB$100,$B133,5)))</f>
        <v>0</v>
      </c>
      <c r="AE133" s="3" t="str">
        <f t="shared" si="12"/>
        <v>ZZZ</v>
      </c>
      <c r="AF133" s="3" t="b">
        <f t="array" ref="AF133">OR(ISNUMBER(SEARCH(AE$2:AE$100,$B133,5)))</f>
        <v>0</v>
      </c>
      <c r="AH133" s="3" t="str">
        <f t="shared" si="13"/>
        <v>ZZZ</v>
      </c>
      <c r="AI133" s="3" t="b">
        <f t="array" ref="AI133">OR(ISNUMBER(SEARCH(AH$2:AH$100,$B133,5)))</f>
        <v>0</v>
      </c>
      <c r="AK133" s="3" t="str">
        <f t="shared" si="14"/>
        <v>ZZZ</v>
      </c>
      <c r="AL133" s="3" t="b">
        <f t="array" ref="AL133">OR(ISNUMBER(SEARCH(AK$2:AK$100,$B133,5)))</f>
        <v>0</v>
      </c>
      <c r="AU133" s="8"/>
      <c r="AV133" s="6"/>
      <c r="AW133" s="8"/>
      <c r="AX133" s="8"/>
      <c r="AY133" s="6"/>
      <c r="AZ133" s="8"/>
      <c r="BA133" s="8"/>
      <c r="BB133" s="6" t="str">
        <f>IFERROR(__xludf.DUMMYFUNCTION("""COMPUTED_VALUE"""),"dull teal")</f>
        <v>dull teal</v>
      </c>
      <c r="BC133" s="8" t="str">
        <f>IFERROR(__xludf.DUMMYFUNCTION("""COMPUTED_VALUE"""),"striped violet")</f>
        <v>striped violet</v>
      </c>
      <c r="BD133" s="8"/>
      <c r="BE133" s="6"/>
      <c r="BF133" s="8"/>
      <c r="BG133" s="8"/>
      <c r="BH133" s="6"/>
      <c r="BI133" s="8"/>
      <c r="BJ133" s="8"/>
      <c r="BK133" s="6"/>
      <c r="BL133" s="8"/>
      <c r="BM133" s="8"/>
      <c r="BN133" s="6"/>
      <c r="BO133" s="8"/>
      <c r="BP133" s="8"/>
      <c r="BQ133" s="6"/>
      <c r="BR133" s="8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</row>
    <row r="134">
      <c r="A134" s="6"/>
      <c r="B134" s="6" t="s">
        <v>134</v>
      </c>
      <c r="C134" s="3" t="str">
        <f t="shared" si="3"/>
        <v>dull black</v>
      </c>
      <c r="D134" s="3" t="str">
        <f t="shared" si="17"/>
        <v>ZZZ</v>
      </c>
      <c r="E134" s="3" t="b">
        <f t="array" ref="E134">OR(ISNUMBER(SEARCH(D$2:D$30,$B134,5)))</f>
        <v>0</v>
      </c>
      <c r="G134" s="3" t="str">
        <f t="shared" si="4"/>
        <v>ZZZ</v>
      </c>
      <c r="H134" s="3" t="b">
        <f t="array" ref="H134">OR(ISNUMBER(SEARCH(G$2:G$30,$B134,5)))</f>
        <v>0</v>
      </c>
      <c r="J134" s="3" t="str">
        <f t="shared" si="5"/>
        <v>ZZZ</v>
      </c>
      <c r="K134" s="3" t="b">
        <f t="array" ref="K134">OR(ISNUMBER(SEARCH(J$2:J$30,$B134,5)))</f>
        <v>0</v>
      </c>
      <c r="M134" s="3" t="str">
        <f t="shared" si="6"/>
        <v>ZZZ</v>
      </c>
      <c r="N134" s="3" t="b">
        <f t="array" ref="N134">OR(ISNUMBER(SEARCH(M$2:M$30,$B134,5)))</f>
        <v>0</v>
      </c>
      <c r="P134" s="3" t="str">
        <f t="shared" si="7"/>
        <v>ZZZ</v>
      </c>
      <c r="Q134" s="3" t="b">
        <f t="array" ref="Q134">OR(ISNUMBER(SEARCH(P$2:P$50,$B134,5)))</f>
        <v>0</v>
      </c>
      <c r="S134" s="3" t="str">
        <f t="shared" si="8"/>
        <v>ZZZ</v>
      </c>
      <c r="T134" s="3" t="b">
        <f t="array" ref="T134">OR(ISNUMBER(SEARCH(S$2:S$100,$B134,5)))</f>
        <v>0</v>
      </c>
      <c r="V134" s="3" t="str">
        <f t="shared" si="9"/>
        <v>ZZZ</v>
      </c>
      <c r="W134" s="3" t="b">
        <f t="array" ref="W134">OR(ISNUMBER(SEARCH(V$2:V$100,$B134,5)))</f>
        <v>0</v>
      </c>
      <c r="Y134" s="3" t="str">
        <f t="shared" si="10"/>
        <v>ZZZ</v>
      </c>
      <c r="Z134" s="3" t="b">
        <f t="array" ref="Z134">OR(ISNUMBER(SEARCH(Y$2:Y$100,$B134,5)))</f>
        <v>0</v>
      </c>
      <c r="AB134" s="3" t="str">
        <f t="shared" si="11"/>
        <v>ZZZ</v>
      </c>
      <c r="AC134" s="3" t="b">
        <f t="array" ref="AC134">OR(ISNUMBER(SEARCH(AB$2:AB$100,$B134,5)))</f>
        <v>0</v>
      </c>
      <c r="AE134" s="3" t="str">
        <f t="shared" si="12"/>
        <v>ZZZ</v>
      </c>
      <c r="AF134" s="3" t="b">
        <f t="array" ref="AF134">OR(ISNUMBER(SEARCH(AE$2:AE$100,$B134,5)))</f>
        <v>0</v>
      </c>
      <c r="AH134" s="3" t="str">
        <f t="shared" si="13"/>
        <v>ZZZ</v>
      </c>
      <c r="AI134" s="3" t="b">
        <f t="array" ref="AI134">OR(ISNUMBER(SEARCH(AH$2:AH$100,$B134,5)))</f>
        <v>0</v>
      </c>
      <c r="AK134" s="3" t="str">
        <f t="shared" si="14"/>
        <v>ZZZ</v>
      </c>
      <c r="AL134" s="3" t="b">
        <f t="array" ref="AL134">OR(ISNUMBER(SEARCH(AK$2:AK$100,$B134,5)))</f>
        <v>0</v>
      </c>
      <c r="AU134" s="8"/>
      <c r="AV134" s="6"/>
      <c r="AW134" s="8"/>
      <c r="AX134" s="8"/>
      <c r="AY134" s="6"/>
      <c r="AZ134" s="8"/>
      <c r="BA134" s="8"/>
      <c r="BB134" s="6" t="str">
        <f>IFERROR(__xludf.DUMMYFUNCTION("""COMPUTED_VALUE"""),"bright gold")</f>
        <v>bright gold</v>
      </c>
      <c r="BC134" s="8" t="str">
        <f>IFERROR(__xludf.DUMMYFUNCTION("""COMPUTED_VALUE"""),"light white")</f>
        <v>light white</v>
      </c>
      <c r="BD134" s="8"/>
      <c r="BE134" s="6"/>
      <c r="BF134" s="8"/>
      <c r="BG134" s="8"/>
      <c r="BH134" s="6"/>
      <c r="BI134" s="8"/>
      <c r="BJ134" s="8"/>
      <c r="BK134" s="6"/>
      <c r="BL134" s="8"/>
      <c r="BM134" s="8"/>
      <c r="BN134" s="6"/>
      <c r="BO134" s="8"/>
      <c r="BP134" s="8"/>
      <c r="BQ134" s="6"/>
      <c r="BR134" s="8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</row>
    <row r="135">
      <c r="A135" s="6"/>
      <c r="B135" s="6" t="s">
        <v>135</v>
      </c>
      <c r="C135" s="3" t="str">
        <f t="shared" si="3"/>
        <v>posh maroon</v>
      </c>
      <c r="D135" s="3" t="str">
        <f t="shared" si="17"/>
        <v>ZZZ</v>
      </c>
      <c r="E135" s="3" t="b">
        <f t="array" ref="E135">OR(ISNUMBER(SEARCH(D$2:D$30,$B135,5)))</f>
        <v>0</v>
      </c>
      <c r="G135" s="3" t="str">
        <f t="shared" si="4"/>
        <v>ZZZ</v>
      </c>
      <c r="H135" s="3" t="b">
        <f t="array" ref="H135">OR(ISNUMBER(SEARCH(G$2:G$30,$B135,5)))</f>
        <v>0</v>
      </c>
      <c r="J135" s="3" t="str">
        <f t="shared" si="5"/>
        <v>ZZZ</v>
      </c>
      <c r="K135" s="3" t="b">
        <f t="array" ref="K135">OR(ISNUMBER(SEARCH(J$2:J$30,$B135,5)))</f>
        <v>0</v>
      </c>
      <c r="M135" s="3" t="str">
        <f t="shared" si="6"/>
        <v>ZZZ</v>
      </c>
      <c r="N135" s="3" t="b">
        <f t="array" ref="N135">OR(ISNUMBER(SEARCH(M$2:M$30,$B135,5)))</f>
        <v>0</v>
      </c>
      <c r="P135" s="3" t="str">
        <f t="shared" si="7"/>
        <v>ZZZ</v>
      </c>
      <c r="Q135" s="3" t="b">
        <f t="array" ref="Q135">OR(ISNUMBER(SEARCH(P$2:P$50,$B135,5)))</f>
        <v>0</v>
      </c>
      <c r="S135" s="3" t="str">
        <f t="shared" si="8"/>
        <v>ZZZ</v>
      </c>
      <c r="T135" s="3" t="b">
        <f t="array" ref="T135">OR(ISNUMBER(SEARCH(S$2:S$100,$B135,5)))</f>
        <v>0</v>
      </c>
      <c r="V135" s="3" t="str">
        <f t="shared" si="9"/>
        <v>ZZZ</v>
      </c>
      <c r="W135" s="3" t="b">
        <f t="array" ref="W135">OR(ISNUMBER(SEARCH(V$2:V$100,$B135,5)))</f>
        <v>0</v>
      </c>
      <c r="Y135" s="3" t="str">
        <f t="shared" si="10"/>
        <v>ZZZ</v>
      </c>
      <c r="Z135" s="3" t="b">
        <f t="array" ref="Z135">OR(ISNUMBER(SEARCH(Y$2:Y$100,$B135,5)))</f>
        <v>0</v>
      </c>
      <c r="AB135" s="3" t="str">
        <f t="shared" si="11"/>
        <v>ZZZ</v>
      </c>
      <c r="AC135" s="3" t="b">
        <f t="array" ref="AC135">OR(ISNUMBER(SEARCH(AB$2:AB$100,$B135,5)))</f>
        <v>0</v>
      </c>
      <c r="AE135" s="3" t="str">
        <f t="shared" si="12"/>
        <v>ZZZ</v>
      </c>
      <c r="AF135" s="3" t="b">
        <f t="array" ref="AF135">OR(ISNUMBER(SEARCH(AE$2:AE$100,$B135,5)))</f>
        <v>0</v>
      </c>
      <c r="AH135" s="3" t="str">
        <f t="shared" si="13"/>
        <v>ZZZ</v>
      </c>
      <c r="AI135" s="3" t="b">
        <f t="array" ref="AI135">OR(ISNUMBER(SEARCH(AH$2:AH$100,$B135,5)))</f>
        <v>0</v>
      </c>
      <c r="AK135" s="3" t="str">
        <f t="shared" si="14"/>
        <v>ZZZ</v>
      </c>
      <c r="AL135" s="3" t="b">
        <f t="array" ref="AL135">OR(ISNUMBER(SEARCH(AK$2:AK$100,$B135,5)))</f>
        <v>0</v>
      </c>
      <c r="AU135" s="8"/>
      <c r="AV135" s="6"/>
      <c r="AW135" s="8"/>
      <c r="AX135" s="8"/>
      <c r="AY135" s="6"/>
      <c r="AZ135" s="8"/>
      <c r="BA135" s="8"/>
      <c r="BB135" s="6" t="str">
        <f>IFERROR(__xludf.DUMMYFUNCTION("""COMPUTED_VALUE"""),"clear plum")</f>
        <v>clear plum</v>
      </c>
      <c r="BC135" s="8" t="str">
        <f>IFERROR(__xludf.DUMMYFUNCTION("""COMPUTED_VALUE"""),"dark gray")</f>
        <v>dark gray</v>
      </c>
      <c r="BD135" s="8"/>
      <c r="BE135" s="6"/>
      <c r="BF135" s="8"/>
      <c r="BG135" s="8"/>
      <c r="BH135" s="6"/>
      <c r="BI135" s="8"/>
      <c r="BJ135" s="8"/>
      <c r="BK135" s="6"/>
      <c r="BL135" s="8"/>
      <c r="BM135" s="8"/>
      <c r="BN135" s="6"/>
      <c r="BO135" s="8"/>
      <c r="BP135" s="8"/>
      <c r="BQ135" s="6"/>
      <c r="BR135" s="8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</row>
    <row r="136">
      <c r="A136" s="6"/>
      <c r="B136" s="6" t="s">
        <v>136</v>
      </c>
      <c r="C136" s="3" t="str">
        <f t="shared" si="3"/>
        <v>drab coral</v>
      </c>
      <c r="D136" s="3" t="str">
        <f t="shared" si="17"/>
        <v>ZZZ</v>
      </c>
      <c r="E136" s="3" t="b">
        <f t="array" ref="E136">OR(ISNUMBER(SEARCH(D$2:D$30,$B136,5)))</f>
        <v>0</v>
      </c>
      <c r="G136" s="3" t="str">
        <f t="shared" si="4"/>
        <v>ZZZ</v>
      </c>
      <c r="H136" s="3" t="b">
        <f t="array" ref="H136">OR(ISNUMBER(SEARCH(G$2:G$30,$B136,5)))</f>
        <v>0</v>
      </c>
      <c r="J136" s="3" t="str">
        <f t="shared" si="5"/>
        <v>ZZZ</v>
      </c>
      <c r="K136" s="3" t="b">
        <f t="array" ref="K136">OR(ISNUMBER(SEARCH(J$2:J$30,$B136,5)))</f>
        <v>0</v>
      </c>
      <c r="M136" s="3" t="str">
        <f t="shared" si="6"/>
        <v>ZZZ</v>
      </c>
      <c r="N136" s="3" t="b">
        <f t="array" ref="N136">OR(ISNUMBER(SEARCH(M$2:M$30,$B136,5)))</f>
        <v>0</v>
      </c>
      <c r="P136" s="3" t="str">
        <f t="shared" si="7"/>
        <v>ZZZ</v>
      </c>
      <c r="Q136" s="3" t="b">
        <f t="array" ref="Q136">OR(ISNUMBER(SEARCH(P$2:P$50,$B136,5)))</f>
        <v>0</v>
      </c>
      <c r="S136" s="3" t="str">
        <f t="shared" si="8"/>
        <v>ZZZ</v>
      </c>
      <c r="T136" s="3" t="b">
        <f t="array" ref="T136">OR(ISNUMBER(SEARCH(S$2:S$100,$B136,5)))</f>
        <v>0</v>
      </c>
      <c r="V136" s="3" t="str">
        <f t="shared" si="9"/>
        <v>ZZZ</v>
      </c>
      <c r="W136" s="3" t="b">
        <f t="array" ref="W136">OR(ISNUMBER(SEARCH(V$2:V$100,$B136,5)))</f>
        <v>0</v>
      </c>
      <c r="Y136" s="3" t="str">
        <f t="shared" si="10"/>
        <v>ZZZ</v>
      </c>
      <c r="Z136" s="3" t="b">
        <f t="array" ref="Z136">OR(ISNUMBER(SEARCH(Y$2:Y$100,$B136,5)))</f>
        <v>0</v>
      </c>
      <c r="AB136" s="3" t="str">
        <f t="shared" si="11"/>
        <v>ZZZ</v>
      </c>
      <c r="AC136" s="3" t="b">
        <f t="array" ref="AC136">OR(ISNUMBER(SEARCH(AB$2:AB$100,$B136,5)))</f>
        <v>0</v>
      </c>
      <c r="AE136" s="3" t="str">
        <f t="shared" si="12"/>
        <v>ZZZ</v>
      </c>
      <c r="AF136" s="3" t="b">
        <f t="array" ref="AF136">OR(ISNUMBER(SEARCH(AE$2:AE$100,$B136,5)))</f>
        <v>0</v>
      </c>
      <c r="AH136" s="3" t="str">
        <f t="shared" si="13"/>
        <v>ZZZ</v>
      </c>
      <c r="AI136" s="3" t="b">
        <f t="array" ref="AI136">OR(ISNUMBER(SEARCH(AH$2:AH$100,$B136,5)))</f>
        <v>0</v>
      </c>
      <c r="AK136" s="3" t="str">
        <f t="shared" si="14"/>
        <v>ZZZ</v>
      </c>
      <c r="AL136" s="3" t="b">
        <f t="array" ref="AL136">OR(ISNUMBER(SEARCH(AK$2:AK$100,$B136,5)))</f>
        <v>0</v>
      </c>
      <c r="AU136" s="8"/>
      <c r="AV136" s="6"/>
      <c r="AW136" s="8"/>
      <c r="AX136" s="8"/>
      <c r="AY136" s="6"/>
      <c r="AZ136" s="8"/>
      <c r="BA136" s="8"/>
      <c r="BB136" s="6" t="str">
        <f>IFERROR(__xludf.DUMMYFUNCTION("""COMPUTED_VALUE"""),"bright gray")</f>
        <v>bright gray</v>
      </c>
      <c r="BC136" s="8" t="str">
        <f>IFERROR(__xludf.DUMMYFUNCTION("""COMPUTED_VALUE"""),"mirrored tomato")</f>
        <v>mirrored tomato</v>
      </c>
      <c r="BD136" s="8"/>
      <c r="BE136" s="6"/>
      <c r="BF136" s="8"/>
      <c r="BG136" s="8"/>
      <c r="BH136" s="6"/>
      <c r="BI136" s="8"/>
      <c r="BJ136" s="8"/>
      <c r="BK136" s="6"/>
      <c r="BL136" s="8"/>
      <c r="BM136" s="8"/>
      <c r="BN136" s="6"/>
      <c r="BO136" s="8"/>
      <c r="BP136" s="8"/>
      <c r="BQ136" s="6"/>
      <c r="BR136" s="8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</row>
    <row r="137">
      <c r="A137" s="6"/>
      <c r="B137" s="6" t="s">
        <v>137</v>
      </c>
      <c r="C137" s="3" t="str">
        <f t="shared" si="3"/>
        <v>posh indigo</v>
      </c>
      <c r="D137" s="3" t="str">
        <f t="shared" si="17"/>
        <v>ZZZ</v>
      </c>
      <c r="E137" s="3" t="b">
        <f t="array" ref="E137">OR(ISNUMBER(SEARCH(D$2:D$30,$B137,5)))</f>
        <v>0</v>
      </c>
      <c r="G137" s="3" t="str">
        <f t="shared" si="4"/>
        <v>ZZZ</v>
      </c>
      <c r="H137" s="3" t="b">
        <f t="array" ref="H137">OR(ISNUMBER(SEARCH(G$2:G$30,$B137,5)))</f>
        <v>0</v>
      </c>
      <c r="J137" s="3" t="str">
        <f t="shared" si="5"/>
        <v>ZZZ</v>
      </c>
      <c r="K137" s="3" t="b">
        <f t="array" ref="K137">OR(ISNUMBER(SEARCH(J$2:J$30,$B137,5)))</f>
        <v>0</v>
      </c>
      <c r="M137" s="3" t="str">
        <f t="shared" si="6"/>
        <v>ZZZ</v>
      </c>
      <c r="N137" s="3" t="b">
        <f t="array" ref="N137">OR(ISNUMBER(SEARCH(M$2:M$30,$B137,5)))</f>
        <v>0</v>
      </c>
      <c r="P137" s="3" t="str">
        <f t="shared" si="7"/>
        <v>ZZZ</v>
      </c>
      <c r="Q137" s="3" t="b">
        <f t="array" ref="Q137">OR(ISNUMBER(SEARCH(P$2:P$50,$B137,5)))</f>
        <v>0</v>
      </c>
      <c r="S137" s="3" t="str">
        <f t="shared" si="8"/>
        <v>ZZZ</v>
      </c>
      <c r="T137" s="3" t="b">
        <f t="array" ref="T137">OR(ISNUMBER(SEARCH(S$2:S$100,$B137,5)))</f>
        <v>0</v>
      </c>
      <c r="V137" s="3" t="str">
        <f t="shared" si="9"/>
        <v>ZZZ</v>
      </c>
      <c r="W137" s="3" t="b">
        <f t="array" ref="W137">OR(ISNUMBER(SEARCH(V$2:V$100,$B137,5)))</f>
        <v>0</v>
      </c>
      <c r="Y137" s="3" t="str">
        <f t="shared" si="10"/>
        <v>ZZZ</v>
      </c>
      <c r="Z137" s="3" t="b">
        <f t="array" ref="Z137">OR(ISNUMBER(SEARCH(Y$2:Y$100,$B137,5)))</f>
        <v>0</v>
      </c>
      <c r="AB137" s="3" t="str">
        <f t="shared" si="11"/>
        <v>ZZZ</v>
      </c>
      <c r="AC137" s="3" t="b">
        <f t="array" ref="AC137">OR(ISNUMBER(SEARCH(AB$2:AB$100,$B137,5)))</f>
        <v>0</v>
      </c>
      <c r="AE137" s="3" t="str">
        <f t="shared" si="12"/>
        <v>ZZZ</v>
      </c>
      <c r="AF137" s="3" t="b">
        <f t="array" ref="AF137">OR(ISNUMBER(SEARCH(AE$2:AE$100,$B137,5)))</f>
        <v>0</v>
      </c>
      <c r="AH137" s="3" t="str">
        <f t="shared" si="13"/>
        <v>ZZZ</v>
      </c>
      <c r="AI137" s="3" t="b">
        <f t="array" ref="AI137">OR(ISNUMBER(SEARCH(AH$2:AH$100,$B137,5)))</f>
        <v>0</v>
      </c>
      <c r="AK137" s="3" t="str">
        <f t="shared" si="14"/>
        <v>ZZZ</v>
      </c>
      <c r="AL137" s="3" t="b">
        <f t="array" ref="AL137">OR(ISNUMBER(SEARCH(AK$2:AK$100,$B137,5)))</f>
        <v>0</v>
      </c>
      <c r="AU137" s="8"/>
      <c r="AV137" s="6"/>
      <c r="AW137" s="8"/>
      <c r="AX137" s="8"/>
      <c r="AY137" s="6"/>
      <c r="AZ137" s="8"/>
      <c r="BA137" s="8"/>
      <c r="BB137" s="6" t="str">
        <f>IFERROR(__xludf.DUMMYFUNCTION("""COMPUTED_VALUE"""),"drab black")</f>
        <v>drab black</v>
      </c>
      <c r="BC137" s="8" t="str">
        <f>IFERROR(__xludf.DUMMYFUNCTION("""COMPUTED_VALUE"""),"dotted plum")</f>
        <v>dotted plum</v>
      </c>
      <c r="BD137" s="8"/>
      <c r="BE137" s="6"/>
      <c r="BF137" s="8"/>
      <c r="BG137" s="8"/>
      <c r="BH137" s="6"/>
      <c r="BI137" s="8"/>
      <c r="BJ137" s="8"/>
      <c r="BK137" s="6"/>
      <c r="BL137" s="8"/>
      <c r="BM137" s="8"/>
      <c r="BN137" s="6"/>
      <c r="BO137" s="8"/>
      <c r="BP137" s="8"/>
      <c r="BQ137" s="6"/>
      <c r="BR137" s="8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</row>
    <row r="138">
      <c r="A138" s="6"/>
      <c r="B138" s="6" t="s">
        <v>138</v>
      </c>
      <c r="C138" s="3" t="str">
        <f t="shared" si="3"/>
        <v>drab aqua</v>
      </c>
      <c r="D138" s="3" t="str">
        <f t="shared" si="17"/>
        <v>ZZZ</v>
      </c>
      <c r="E138" s="3" t="b">
        <f t="array" ref="E138">OR(ISNUMBER(SEARCH(D$2:D$30,$B138,5)))</f>
        <v>0</v>
      </c>
      <c r="G138" s="3" t="str">
        <f t="shared" si="4"/>
        <v>ZZZ</v>
      </c>
      <c r="H138" s="3" t="b">
        <f t="array" ref="H138">OR(ISNUMBER(SEARCH(G$2:G$30,$B138,5)))</f>
        <v>0</v>
      </c>
      <c r="J138" s="3" t="str">
        <f t="shared" si="5"/>
        <v>ZZZ</v>
      </c>
      <c r="K138" s="3" t="b">
        <f t="array" ref="K138">OR(ISNUMBER(SEARCH(J$2:J$30,$B138,5)))</f>
        <v>0</v>
      </c>
      <c r="M138" s="3" t="str">
        <f t="shared" si="6"/>
        <v>ZZZ</v>
      </c>
      <c r="N138" s="3" t="b">
        <f t="array" ref="N138">OR(ISNUMBER(SEARCH(M$2:M$30,$B138,5)))</f>
        <v>0</v>
      </c>
      <c r="P138" s="3" t="str">
        <f t="shared" si="7"/>
        <v>ZZZ</v>
      </c>
      <c r="Q138" s="3" t="b">
        <f t="array" ref="Q138">OR(ISNUMBER(SEARCH(P$2:P$50,$B138,5)))</f>
        <v>1</v>
      </c>
      <c r="S138" s="3" t="str">
        <f t="shared" si="8"/>
        <v>ZZZ</v>
      </c>
      <c r="T138" s="3" t="b">
        <f t="array" ref="T138">OR(ISNUMBER(SEARCH(S$2:S$100,$B138,5)))</f>
        <v>0</v>
      </c>
      <c r="V138" s="3" t="str">
        <f t="shared" si="9"/>
        <v>ZZZ</v>
      </c>
      <c r="W138" s="3" t="b">
        <f t="array" ref="W138">OR(ISNUMBER(SEARCH(V$2:V$100,$B138,5)))</f>
        <v>0</v>
      </c>
      <c r="Y138" s="3" t="str">
        <f t="shared" si="10"/>
        <v>ZZZ</v>
      </c>
      <c r="Z138" s="3" t="b">
        <f t="array" ref="Z138">OR(ISNUMBER(SEARCH(Y$2:Y$100,$B138,5)))</f>
        <v>0</v>
      </c>
      <c r="AB138" s="3" t="str">
        <f t="shared" si="11"/>
        <v>ZZZ</v>
      </c>
      <c r="AC138" s="3" t="b">
        <f t="array" ref="AC138">OR(ISNUMBER(SEARCH(AB$2:AB$100,$B138,5)))</f>
        <v>1</v>
      </c>
      <c r="AE138" s="3" t="str">
        <f t="shared" si="12"/>
        <v>ZZZ</v>
      </c>
      <c r="AF138" s="3" t="b">
        <f t="array" ref="AF138">OR(ISNUMBER(SEARCH(AE$2:AE$100,$B138,5)))</f>
        <v>0</v>
      </c>
      <c r="AH138" s="3" t="str">
        <f t="shared" si="13"/>
        <v>ZZZ</v>
      </c>
      <c r="AI138" s="3" t="b">
        <f t="array" ref="AI138">OR(ISNUMBER(SEARCH(AH$2:AH$100,$B138,5)))</f>
        <v>0</v>
      </c>
      <c r="AK138" s="3" t="str">
        <f t="shared" si="14"/>
        <v>ZZZ</v>
      </c>
      <c r="AL138" s="3" t="b">
        <f t="array" ref="AL138">OR(ISNUMBER(SEARCH(AK$2:AK$100,$B138,5)))</f>
        <v>0</v>
      </c>
      <c r="AU138" s="8"/>
      <c r="AV138" s="6"/>
      <c r="AW138" s="8"/>
      <c r="AX138" s="8"/>
      <c r="AY138" s="6"/>
      <c r="AZ138" s="8"/>
      <c r="BA138" s="8"/>
      <c r="BB138" s="6" t="str">
        <f>IFERROR(__xludf.DUMMYFUNCTION("""COMPUTED_VALUE"""),"vibrant magenta")</f>
        <v>vibrant magenta</v>
      </c>
      <c r="BC138" s="8" t="str">
        <f>IFERROR(__xludf.DUMMYFUNCTION("""COMPUTED_VALUE"""),"shiny bronze")</f>
        <v>shiny bronze</v>
      </c>
      <c r="BD138" s="8"/>
      <c r="BE138" s="6"/>
      <c r="BF138" s="8"/>
      <c r="BG138" s="8"/>
      <c r="BH138" s="6"/>
      <c r="BI138" s="8"/>
      <c r="BJ138" s="8"/>
      <c r="BK138" s="6"/>
      <c r="BL138" s="8"/>
      <c r="BM138" s="8"/>
      <c r="BN138" s="6"/>
      <c r="BO138" s="8"/>
      <c r="BP138" s="8"/>
      <c r="BQ138" s="6"/>
      <c r="BR138" s="8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</row>
    <row r="139">
      <c r="A139" s="6"/>
      <c r="B139" s="6" t="s">
        <v>139</v>
      </c>
      <c r="C139" s="3" t="str">
        <f t="shared" si="3"/>
        <v>drab crimson</v>
      </c>
      <c r="D139" s="3" t="str">
        <f t="shared" si="17"/>
        <v>ZZZ</v>
      </c>
      <c r="E139" s="3" t="b">
        <f t="array" ref="E139">OR(ISNUMBER(SEARCH(D$2:D$30,$B139,5)))</f>
        <v>0</v>
      </c>
      <c r="G139" s="3" t="str">
        <f t="shared" si="4"/>
        <v>ZZZ</v>
      </c>
      <c r="H139" s="3" t="b">
        <f t="array" ref="H139">OR(ISNUMBER(SEARCH(G$2:G$30,$B139,5)))</f>
        <v>0</v>
      </c>
      <c r="J139" s="3" t="str">
        <f t="shared" si="5"/>
        <v>ZZZ</v>
      </c>
      <c r="K139" s="3" t="b">
        <f t="array" ref="K139">OR(ISNUMBER(SEARCH(J$2:J$30,$B139,5)))</f>
        <v>0</v>
      </c>
      <c r="M139" s="3" t="str">
        <f t="shared" si="6"/>
        <v>ZZZ</v>
      </c>
      <c r="N139" s="3" t="b">
        <f t="array" ref="N139">OR(ISNUMBER(SEARCH(M$2:M$30,$B139,5)))</f>
        <v>0</v>
      </c>
      <c r="P139" s="3" t="str">
        <f t="shared" si="7"/>
        <v>ZZZ</v>
      </c>
      <c r="Q139" s="3" t="b">
        <f t="array" ref="Q139">OR(ISNUMBER(SEARCH(P$2:P$50,$B139,5)))</f>
        <v>1</v>
      </c>
      <c r="S139" s="3" t="str">
        <f t="shared" si="8"/>
        <v>ZZZ</v>
      </c>
      <c r="T139" s="3" t="b">
        <f t="array" ref="T139">OR(ISNUMBER(SEARCH(S$2:S$100,$B139,5)))</f>
        <v>1</v>
      </c>
      <c r="V139" s="3" t="str">
        <f t="shared" si="9"/>
        <v>ZZZ</v>
      </c>
      <c r="W139" s="3" t="b">
        <f t="array" ref="W139">OR(ISNUMBER(SEARCH(V$2:V$100,$B139,5)))</f>
        <v>0</v>
      </c>
      <c r="Y139" s="3" t="str">
        <f t="shared" si="10"/>
        <v>ZZZ</v>
      </c>
      <c r="Z139" s="3" t="b">
        <f t="array" ref="Z139">OR(ISNUMBER(SEARCH(Y$2:Y$100,$B139,5)))</f>
        <v>1</v>
      </c>
      <c r="AB139" s="3" t="str">
        <f t="shared" si="11"/>
        <v>ZZZ</v>
      </c>
      <c r="AC139" s="3" t="b">
        <f t="array" ref="AC139">OR(ISNUMBER(SEARCH(AB$2:AB$100,$B139,5)))</f>
        <v>0</v>
      </c>
      <c r="AE139" s="3" t="str">
        <f t="shared" si="12"/>
        <v>ZZZ</v>
      </c>
      <c r="AF139" s="3" t="b">
        <f t="array" ref="AF139">OR(ISNUMBER(SEARCH(AE$2:AE$100,$B139,5)))</f>
        <v>0</v>
      </c>
      <c r="AH139" s="3" t="str">
        <f t="shared" si="13"/>
        <v>ZZZ</v>
      </c>
      <c r="AI139" s="3" t="b">
        <f t="array" ref="AI139">OR(ISNUMBER(SEARCH(AH$2:AH$100,$B139,5)))</f>
        <v>0</v>
      </c>
      <c r="AK139" s="3" t="str">
        <f t="shared" si="14"/>
        <v>ZZZ</v>
      </c>
      <c r="AL139" s="3" t="b">
        <f t="array" ref="AL139">OR(ISNUMBER(SEARCH(AK$2:AK$100,$B139,5)))</f>
        <v>0</v>
      </c>
      <c r="AU139" s="8"/>
      <c r="AV139" s="6"/>
      <c r="AW139" s="8"/>
      <c r="AX139" s="8"/>
      <c r="AY139" s="6"/>
      <c r="AZ139" s="8"/>
      <c r="BA139" s="8"/>
      <c r="BB139" s="6" t="str">
        <f>IFERROR(__xludf.DUMMYFUNCTION("""COMPUTED_VALUE"""),"dull teal")</f>
        <v>dull teal</v>
      </c>
      <c r="BC139" s="8" t="str">
        <f>IFERROR(__xludf.DUMMYFUNCTION("""COMPUTED_VALUE"""),"faded lavender")</f>
        <v>faded lavender</v>
      </c>
      <c r="BD139" s="8"/>
      <c r="BE139" s="6"/>
      <c r="BF139" s="8"/>
      <c r="BG139" s="8"/>
      <c r="BH139" s="6"/>
      <c r="BI139" s="8"/>
      <c r="BJ139" s="8"/>
      <c r="BK139" s="6"/>
      <c r="BL139" s="8"/>
      <c r="BM139" s="8"/>
      <c r="BN139" s="6"/>
      <c r="BO139" s="8"/>
      <c r="BP139" s="8"/>
      <c r="BQ139" s="6"/>
      <c r="BR139" s="8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</row>
    <row r="140">
      <c r="A140" s="6"/>
      <c r="B140" s="6" t="s">
        <v>140</v>
      </c>
      <c r="C140" s="3" t="str">
        <f t="shared" si="3"/>
        <v>drab silver</v>
      </c>
      <c r="D140" s="3" t="str">
        <f t="shared" si="17"/>
        <v>ZZZ</v>
      </c>
      <c r="E140" s="3" t="b">
        <f t="array" ref="E140">OR(ISNUMBER(SEARCH(D$2:D$30,$B140,5)))</f>
        <v>0</v>
      </c>
      <c r="G140" s="3" t="str">
        <f t="shared" si="4"/>
        <v>ZZZ</v>
      </c>
      <c r="H140" s="3" t="b">
        <f t="array" ref="H140">OR(ISNUMBER(SEARCH(G$2:G$30,$B140,5)))</f>
        <v>0</v>
      </c>
      <c r="J140" s="3" t="str">
        <f t="shared" si="5"/>
        <v>ZZZ</v>
      </c>
      <c r="K140" s="3" t="b">
        <f t="array" ref="K140">OR(ISNUMBER(SEARCH(J$2:J$30,$B140,5)))</f>
        <v>0</v>
      </c>
      <c r="M140" s="3" t="str">
        <f t="shared" si="6"/>
        <v>ZZZ</v>
      </c>
      <c r="N140" s="3" t="b">
        <f t="array" ref="N140">OR(ISNUMBER(SEARCH(M$2:M$30,$B140,5)))</f>
        <v>0</v>
      </c>
      <c r="P140" s="3" t="str">
        <f t="shared" si="7"/>
        <v>ZZZ</v>
      </c>
      <c r="Q140" s="3" t="b">
        <f t="array" ref="Q140">OR(ISNUMBER(SEARCH(P$2:P$50,$B140,5)))</f>
        <v>0</v>
      </c>
      <c r="S140" s="3" t="str">
        <f t="shared" si="8"/>
        <v>ZZZ</v>
      </c>
      <c r="T140" s="3" t="b">
        <f t="array" ref="T140">OR(ISNUMBER(SEARCH(S$2:S$100,$B140,5)))</f>
        <v>0</v>
      </c>
      <c r="V140" s="3" t="str">
        <f t="shared" si="9"/>
        <v>ZZZ</v>
      </c>
      <c r="W140" s="3" t="b">
        <f t="array" ref="W140">OR(ISNUMBER(SEARCH(V$2:V$100,$B140,5)))</f>
        <v>0</v>
      </c>
      <c r="Y140" s="3" t="str">
        <f t="shared" si="10"/>
        <v>ZZZ</v>
      </c>
      <c r="Z140" s="3" t="b">
        <f t="array" ref="Z140">OR(ISNUMBER(SEARCH(Y$2:Y$100,$B140,5)))</f>
        <v>0</v>
      </c>
      <c r="AB140" s="3" t="str">
        <f t="shared" si="11"/>
        <v>ZZZ</v>
      </c>
      <c r="AC140" s="3" t="b">
        <f t="array" ref="AC140">OR(ISNUMBER(SEARCH(AB$2:AB$100,$B140,5)))</f>
        <v>0</v>
      </c>
      <c r="AE140" s="3" t="str">
        <f t="shared" si="12"/>
        <v>ZZZ</v>
      </c>
      <c r="AF140" s="3" t="b">
        <f t="array" ref="AF140">OR(ISNUMBER(SEARCH(AE$2:AE$100,$B140,5)))</f>
        <v>0</v>
      </c>
      <c r="AH140" s="3" t="str">
        <f t="shared" si="13"/>
        <v>ZZZ</v>
      </c>
      <c r="AI140" s="3" t="b">
        <f t="array" ref="AI140">OR(ISNUMBER(SEARCH(AH$2:AH$100,$B140,5)))</f>
        <v>0</v>
      </c>
      <c r="AK140" s="3" t="str">
        <f t="shared" si="14"/>
        <v>ZZZ</v>
      </c>
      <c r="AL140" s="3" t="b">
        <f t="array" ref="AL140">OR(ISNUMBER(SEARCH(AK$2:AK$100,$B140,5)))</f>
        <v>0</v>
      </c>
      <c r="AU140" s="8"/>
      <c r="AV140" s="6"/>
      <c r="AW140" s="8"/>
      <c r="AX140" s="8"/>
      <c r="AY140" s="6"/>
      <c r="AZ140" s="8"/>
      <c r="BA140" s="8"/>
      <c r="BB140" s="6" t="str">
        <f>IFERROR(__xludf.DUMMYFUNCTION("""COMPUTED_VALUE"""),"bright purple")</f>
        <v>bright purple</v>
      </c>
      <c r="BC140" s="8" t="str">
        <f>IFERROR(__xludf.DUMMYFUNCTION("""COMPUTED_VALUE"""),"dotted lime")</f>
        <v>dotted lime</v>
      </c>
      <c r="BD140" s="8"/>
      <c r="BE140" s="6"/>
      <c r="BF140" s="8"/>
      <c r="BG140" s="8"/>
      <c r="BH140" s="6"/>
      <c r="BI140" s="8"/>
      <c r="BJ140" s="8"/>
      <c r="BK140" s="6"/>
      <c r="BL140" s="8"/>
      <c r="BM140" s="8"/>
      <c r="BN140" s="6"/>
      <c r="BO140" s="8"/>
      <c r="BP140" s="8"/>
      <c r="BQ140" s="6"/>
      <c r="BR140" s="8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</row>
    <row r="141">
      <c r="A141" s="6"/>
      <c r="B141" s="6" t="s">
        <v>141</v>
      </c>
      <c r="C141" s="3" t="str">
        <f t="shared" si="3"/>
        <v>clear salmon</v>
      </c>
      <c r="D141" s="3" t="str">
        <f t="shared" si="17"/>
        <v>ZZZ</v>
      </c>
      <c r="E141" s="3" t="b">
        <f t="array" ref="E141">OR(ISNUMBER(SEARCH(D$2:D$30,$B141,5)))</f>
        <v>0</v>
      </c>
      <c r="G141" s="3" t="str">
        <f t="shared" si="4"/>
        <v>ZZZ</v>
      </c>
      <c r="H141" s="3" t="b">
        <f t="array" ref="H141">OR(ISNUMBER(SEARCH(G$2:G$30,$B141,5)))</f>
        <v>0</v>
      </c>
      <c r="J141" s="3" t="str">
        <f t="shared" si="5"/>
        <v>ZZZ</v>
      </c>
      <c r="K141" s="3" t="b">
        <f t="array" ref="K141">OR(ISNUMBER(SEARCH(J$2:J$30,$B141,5)))</f>
        <v>1</v>
      </c>
      <c r="M141" s="3" t="str">
        <f t="shared" si="6"/>
        <v>ZZZ</v>
      </c>
      <c r="N141" s="3" t="b">
        <f t="array" ref="N141">OR(ISNUMBER(SEARCH(M$2:M$30,$B141,5)))</f>
        <v>0</v>
      </c>
      <c r="P141" s="3" t="str">
        <f t="shared" si="7"/>
        <v>ZZZ</v>
      </c>
      <c r="Q141" s="3" t="b">
        <f t="array" ref="Q141">OR(ISNUMBER(SEARCH(P$2:P$50,$B141,5)))</f>
        <v>0</v>
      </c>
      <c r="S141" s="3" t="str">
        <f t="shared" si="8"/>
        <v>ZZZ</v>
      </c>
      <c r="T141" s="3" t="b">
        <f t="array" ref="T141">OR(ISNUMBER(SEARCH(S$2:S$100,$B141,5)))</f>
        <v>0</v>
      </c>
      <c r="V141" s="3" t="str">
        <f t="shared" si="9"/>
        <v>ZZZ</v>
      </c>
      <c r="W141" s="3" t="b">
        <f t="array" ref="W141">OR(ISNUMBER(SEARCH(V$2:V$100,$B141,5)))</f>
        <v>0</v>
      </c>
      <c r="Y141" s="3" t="str">
        <f t="shared" si="10"/>
        <v>ZZZ</v>
      </c>
      <c r="Z141" s="3" t="b">
        <f t="array" ref="Z141">OR(ISNUMBER(SEARCH(Y$2:Y$100,$B141,5)))</f>
        <v>0</v>
      </c>
      <c r="AB141" s="3" t="str">
        <f t="shared" si="11"/>
        <v>ZZZ</v>
      </c>
      <c r="AC141" s="3" t="b">
        <f t="array" ref="AC141">OR(ISNUMBER(SEARCH(AB$2:AB$100,$B141,5)))</f>
        <v>0</v>
      </c>
      <c r="AE141" s="3" t="str">
        <f t="shared" si="12"/>
        <v>ZZZ</v>
      </c>
      <c r="AF141" s="3" t="b">
        <f t="array" ref="AF141">OR(ISNUMBER(SEARCH(AE$2:AE$100,$B141,5)))</f>
        <v>0</v>
      </c>
      <c r="AH141" s="3" t="str">
        <f t="shared" si="13"/>
        <v>ZZZ</v>
      </c>
      <c r="AI141" s="3" t="b">
        <f t="array" ref="AI141">OR(ISNUMBER(SEARCH(AH$2:AH$100,$B141,5)))</f>
        <v>0</v>
      </c>
      <c r="AK141" s="3" t="str">
        <f t="shared" si="14"/>
        <v>ZZZ</v>
      </c>
      <c r="AL141" s="3" t="b">
        <f t="array" ref="AL141">OR(ISNUMBER(SEARCH(AK$2:AK$100,$B141,5)))</f>
        <v>0</v>
      </c>
      <c r="AU141" s="8"/>
      <c r="AV141" s="6"/>
      <c r="AW141" s="8"/>
      <c r="AX141" s="8"/>
      <c r="AY141" s="6"/>
      <c r="AZ141" s="8"/>
      <c r="BA141" s="8"/>
      <c r="BB141" s="6" t="str">
        <f>IFERROR(__xludf.DUMMYFUNCTION("""COMPUTED_VALUE"""),"dull red")</f>
        <v>dull red</v>
      </c>
      <c r="BC141" s="8" t="str">
        <f>IFERROR(__xludf.DUMMYFUNCTION("""COMPUTED_VALUE"""),"clear violet")</f>
        <v>clear violet</v>
      </c>
      <c r="BD141" s="8"/>
      <c r="BE141" s="6"/>
      <c r="BF141" s="8"/>
      <c r="BG141" s="8"/>
      <c r="BH141" s="6"/>
      <c r="BI141" s="8"/>
      <c r="BJ141" s="8"/>
      <c r="BK141" s="6"/>
      <c r="BL141" s="8"/>
      <c r="BM141" s="8"/>
      <c r="BN141" s="6"/>
      <c r="BO141" s="8"/>
      <c r="BP141" s="8"/>
      <c r="BQ141" s="6"/>
      <c r="BR141" s="8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</row>
    <row r="142">
      <c r="A142" s="6"/>
      <c r="B142" s="6" t="s">
        <v>142</v>
      </c>
      <c r="C142" s="3" t="str">
        <f t="shared" si="3"/>
        <v>wavy chartreuse</v>
      </c>
      <c r="D142" s="3" t="str">
        <f t="shared" si="17"/>
        <v>ZZZ</v>
      </c>
      <c r="E142" s="3" t="b">
        <f t="array" ref="E142">OR(ISNUMBER(SEARCH(D$2:D$30,$B142,5)))</f>
        <v>0</v>
      </c>
      <c r="G142" s="3" t="str">
        <f t="shared" si="4"/>
        <v>ZZZ</v>
      </c>
      <c r="H142" s="3" t="b">
        <f t="array" ref="H142">OR(ISNUMBER(SEARCH(G$2:G$30,$B142,5)))</f>
        <v>0</v>
      </c>
      <c r="J142" s="3" t="str">
        <f t="shared" si="5"/>
        <v>ZZZ</v>
      </c>
      <c r="K142" s="3" t="b">
        <f t="array" ref="K142">OR(ISNUMBER(SEARCH(J$2:J$30,$B142,5)))</f>
        <v>0</v>
      </c>
      <c r="M142" s="3" t="str">
        <f t="shared" si="6"/>
        <v>ZZZ</v>
      </c>
      <c r="N142" s="3" t="b">
        <f t="array" ref="N142">OR(ISNUMBER(SEARCH(M$2:M$30,$B142,5)))</f>
        <v>0</v>
      </c>
      <c r="P142" s="3" t="str">
        <f t="shared" si="7"/>
        <v>ZZZ</v>
      </c>
      <c r="Q142" s="3" t="b">
        <f t="array" ref="Q142">OR(ISNUMBER(SEARCH(P$2:P$50,$B142,5)))</f>
        <v>0</v>
      </c>
      <c r="S142" s="3" t="str">
        <f t="shared" si="8"/>
        <v>ZZZ</v>
      </c>
      <c r="T142" s="3" t="b">
        <f t="array" ref="T142">OR(ISNUMBER(SEARCH(S$2:S$100,$B142,5)))</f>
        <v>0</v>
      </c>
      <c r="V142" s="3" t="str">
        <f t="shared" si="9"/>
        <v>ZZZ</v>
      </c>
      <c r="W142" s="3" t="b">
        <f t="array" ref="W142">OR(ISNUMBER(SEARCH(V$2:V$100,$B142,5)))</f>
        <v>0</v>
      </c>
      <c r="Y142" s="3" t="str">
        <f t="shared" si="10"/>
        <v>ZZZ</v>
      </c>
      <c r="Z142" s="3" t="b">
        <f t="array" ref="Z142">OR(ISNUMBER(SEARCH(Y$2:Y$100,$B142,5)))</f>
        <v>0</v>
      </c>
      <c r="AB142" s="3" t="str">
        <f t="shared" si="11"/>
        <v>ZZZ</v>
      </c>
      <c r="AC142" s="3" t="b">
        <f t="array" ref="AC142">OR(ISNUMBER(SEARCH(AB$2:AB$100,$B142,5)))</f>
        <v>0</v>
      </c>
      <c r="AE142" s="3" t="str">
        <f t="shared" si="12"/>
        <v>ZZZ</v>
      </c>
      <c r="AF142" s="3" t="b">
        <f t="array" ref="AF142">OR(ISNUMBER(SEARCH(AE$2:AE$100,$B142,5)))</f>
        <v>0</v>
      </c>
      <c r="AH142" s="3" t="str">
        <f t="shared" si="13"/>
        <v>ZZZ</v>
      </c>
      <c r="AI142" s="3" t="b">
        <f t="array" ref="AI142">OR(ISNUMBER(SEARCH(AH$2:AH$100,$B142,5)))</f>
        <v>0</v>
      </c>
      <c r="AK142" s="3" t="str">
        <f t="shared" si="14"/>
        <v>ZZZ</v>
      </c>
      <c r="AL142" s="3" t="b">
        <f t="array" ref="AL142">OR(ISNUMBER(SEARCH(AK$2:AK$100,$B142,5)))</f>
        <v>0</v>
      </c>
      <c r="AU142" s="8"/>
      <c r="AV142" s="6"/>
      <c r="AW142" s="8"/>
      <c r="AX142" s="8"/>
      <c r="AY142" s="6"/>
      <c r="AZ142" s="8"/>
      <c r="BA142" s="8"/>
      <c r="BB142" s="6" t="str">
        <f>IFERROR(__xludf.DUMMYFUNCTION("""COMPUTED_VALUE"""),"posh teal")</f>
        <v>posh teal</v>
      </c>
      <c r="BC142" s="8" t="str">
        <f>IFERROR(__xludf.DUMMYFUNCTION("""COMPUTED_VALUE"""),"light lime")</f>
        <v>light lime</v>
      </c>
      <c r="BD142" s="8"/>
      <c r="BE142" s="6"/>
      <c r="BF142" s="8"/>
      <c r="BG142" s="8"/>
      <c r="BH142" s="6"/>
      <c r="BI142" s="8"/>
      <c r="BJ142" s="8"/>
      <c r="BK142" s="6"/>
      <c r="BL142" s="8"/>
      <c r="BM142" s="8"/>
      <c r="BN142" s="6"/>
      <c r="BO142" s="8"/>
      <c r="BP142" s="8"/>
      <c r="BQ142" s="6"/>
      <c r="BR142" s="8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</row>
    <row r="143">
      <c r="A143" s="6"/>
      <c r="B143" s="6" t="s">
        <v>143</v>
      </c>
      <c r="C143" s="3" t="str">
        <f t="shared" si="3"/>
        <v>dull plum</v>
      </c>
      <c r="D143" s="3" t="str">
        <f t="shared" si="17"/>
        <v>ZZZ</v>
      </c>
      <c r="E143" s="3" t="b">
        <f t="array" ref="E143">OR(ISNUMBER(SEARCH(D$2:D$30,$B143,5)))</f>
        <v>0</v>
      </c>
      <c r="G143" s="3" t="str">
        <f t="shared" si="4"/>
        <v>ZZZ</v>
      </c>
      <c r="H143" s="3" t="b">
        <f t="array" ref="H143">OR(ISNUMBER(SEARCH(G$2:G$30,$B143,5)))</f>
        <v>0</v>
      </c>
      <c r="J143" s="3" t="str">
        <f t="shared" si="5"/>
        <v>ZZZ</v>
      </c>
      <c r="K143" s="3" t="b">
        <f t="array" ref="K143">OR(ISNUMBER(SEARCH(J$2:J$30,$B143,5)))</f>
        <v>0</v>
      </c>
      <c r="M143" s="3" t="str">
        <f t="shared" si="6"/>
        <v>ZZZ</v>
      </c>
      <c r="N143" s="3" t="b">
        <f t="array" ref="N143">OR(ISNUMBER(SEARCH(M$2:M$30,$B143,5)))</f>
        <v>1</v>
      </c>
      <c r="P143" s="3" t="str">
        <f t="shared" si="7"/>
        <v>ZZZ</v>
      </c>
      <c r="Q143" s="3" t="b">
        <f t="array" ref="Q143">OR(ISNUMBER(SEARCH(P$2:P$50,$B143,5)))</f>
        <v>0</v>
      </c>
      <c r="S143" s="3" t="str">
        <f t="shared" si="8"/>
        <v>ZZZ</v>
      </c>
      <c r="T143" s="3" t="b">
        <f t="array" ref="T143">OR(ISNUMBER(SEARCH(S$2:S$100,$B143,5)))</f>
        <v>0</v>
      </c>
      <c r="V143" s="3" t="str">
        <f t="shared" si="9"/>
        <v>ZZZ</v>
      </c>
      <c r="W143" s="3" t="b">
        <f t="array" ref="W143">OR(ISNUMBER(SEARCH(V$2:V$100,$B143,5)))</f>
        <v>0</v>
      </c>
      <c r="Y143" s="3" t="str">
        <f t="shared" si="10"/>
        <v>ZZZ</v>
      </c>
      <c r="Z143" s="3" t="b">
        <f t="array" ref="Z143">OR(ISNUMBER(SEARCH(Y$2:Y$100,$B143,5)))</f>
        <v>0</v>
      </c>
      <c r="AB143" s="3" t="str">
        <f t="shared" si="11"/>
        <v>ZZZ</v>
      </c>
      <c r="AC143" s="3" t="b">
        <f t="array" ref="AC143">OR(ISNUMBER(SEARCH(AB$2:AB$100,$B143,5)))</f>
        <v>0</v>
      </c>
      <c r="AE143" s="3" t="str">
        <f t="shared" si="12"/>
        <v>ZZZ</v>
      </c>
      <c r="AF143" s="3" t="b">
        <f t="array" ref="AF143">OR(ISNUMBER(SEARCH(AE$2:AE$100,$B143,5)))</f>
        <v>0</v>
      </c>
      <c r="AH143" s="3" t="str">
        <f t="shared" si="13"/>
        <v>ZZZ</v>
      </c>
      <c r="AI143" s="3" t="b">
        <f t="array" ref="AI143">OR(ISNUMBER(SEARCH(AH$2:AH$100,$B143,5)))</f>
        <v>0</v>
      </c>
      <c r="AK143" s="3" t="str">
        <f t="shared" si="14"/>
        <v>ZZZ</v>
      </c>
      <c r="AL143" s="3" t="b">
        <f t="array" ref="AL143">OR(ISNUMBER(SEARCH(AK$2:AK$100,$B143,5)))</f>
        <v>0</v>
      </c>
      <c r="AU143" s="8"/>
      <c r="AV143" s="6"/>
      <c r="AW143" s="8"/>
      <c r="AX143" s="8"/>
      <c r="AY143" s="6"/>
      <c r="AZ143" s="8"/>
      <c r="BA143" s="8"/>
      <c r="BB143" s="6" t="str">
        <f>IFERROR(__xludf.DUMMYFUNCTION("""COMPUTED_VALUE"""),"wavy lime")</f>
        <v>wavy lime</v>
      </c>
      <c r="BC143" s="8" t="str">
        <f>IFERROR(__xludf.DUMMYFUNCTION("""COMPUTED_VALUE"""),"light blue")</f>
        <v>light blue</v>
      </c>
      <c r="BD143" s="8"/>
      <c r="BE143" s="6"/>
      <c r="BF143" s="8"/>
      <c r="BG143" s="8"/>
      <c r="BH143" s="6"/>
      <c r="BI143" s="8"/>
      <c r="BJ143" s="8"/>
      <c r="BK143" s="6"/>
      <c r="BL143" s="8"/>
      <c r="BM143" s="8"/>
      <c r="BN143" s="6"/>
      <c r="BO143" s="8"/>
      <c r="BP143" s="8"/>
      <c r="BQ143" s="6"/>
      <c r="BR143" s="8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</row>
    <row r="144">
      <c r="A144" s="6"/>
      <c r="B144" s="6" t="s">
        <v>144</v>
      </c>
      <c r="C144" s="3" t="str">
        <f t="shared" si="3"/>
        <v>faded gray</v>
      </c>
      <c r="D144" s="3" t="str">
        <f t="shared" si="17"/>
        <v>ZZZ</v>
      </c>
      <c r="E144" s="3" t="b">
        <f t="array" ref="E144">OR(ISNUMBER(SEARCH(D$2:D$30,$B144,5)))</f>
        <v>0</v>
      </c>
      <c r="G144" s="3" t="str">
        <f t="shared" si="4"/>
        <v>ZZZ</v>
      </c>
      <c r="H144" s="3" t="b">
        <f t="array" ref="H144">OR(ISNUMBER(SEARCH(G$2:G$30,$B144,5)))</f>
        <v>0</v>
      </c>
      <c r="J144" s="3" t="str">
        <f t="shared" si="5"/>
        <v>ZZZ</v>
      </c>
      <c r="K144" s="3" t="b">
        <f t="array" ref="K144">OR(ISNUMBER(SEARCH(J$2:J$30,$B144,5)))</f>
        <v>0</v>
      </c>
      <c r="M144" s="3" t="str">
        <f t="shared" si="6"/>
        <v>ZZZ</v>
      </c>
      <c r="N144" s="3" t="b">
        <f t="array" ref="N144">OR(ISNUMBER(SEARCH(M$2:M$30,$B144,5)))</f>
        <v>0</v>
      </c>
      <c r="P144" s="3" t="str">
        <f t="shared" si="7"/>
        <v>ZZZ</v>
      </c>
      <c r="Q144" s="3" t="b">
        <f t="array" ref="Q144">OR(ISNUMBER(SEARCH(P$2:P$50,$B144,5)))</f>
        <v>0</v>
      </c>
      <c r="S144" s="3" t="str">
        <f t="shared" si="8"/>
        <v>ZZZ</v>
      </c>
      <c r="T144" s="3" t="b">
        <f t="array" ref="T144">OR(ISNUMBER(SEARCH(S$2:S$100,$B144,5)))</f>
        <v>0</v>
      </c>
      <c r="V144" s="3" t="str">
        <f t="shared" si="9"/>
        <v>ZZZ</v>
      </c>
      <c r="W144" s="3" t="b">
        <f t="array" ref="W144">OR(ISNUMBER(SEARCH(V$2:V$100,$B144,5)))</f>
        <v>1</v>
      </c>
      <c r="Y144" s="3" t="str">
        <f t="shared" si="10"/>
        <v>ZZZ</v>
      </c>
      <c r="Z144" s="3" t="b">
        <f t="array" ref="Z144">OR(ISNUMBER(SEARCH(Y$2:Y$100,$B144,5)))</f>
        <v>0</v>
      </c>
      <c r="AB144" s="3" t="str">
        <f t="shared" si="11"/>
        <v>ZZZ</v>
      </c>
      <c r="AC144" s="3" t="b">
        <f t="array" ref="AC144">OR(ISNUMBER(SEARCH(AB$2:AB$100,$B144,5)))</f>
        <v>0</v>
      </c>
      <c r="AE144" s="3" t="str">
        <f t="shared" si="12"/>
        <v>ZZZ</v>
      </c>
      <c r="AF144" s="3" t="b">
        <f t="array" ref="AF144">OR(ISNUMBER(SEARCH(AE$2:AE$100,$B144,5)))</f>
        <v>0</v>
      </c>
      <c r="AH144" s="3" t="str">
        <f t="shared" si="13"/>
        <v>ZZZ</v>
      </c>
      <c r="AI144" s="3" t="b">
        <f t="array" ref="AI144">OR(ISNUMBER(SEARCH(AH$2:AH$100,$B144,5)))</f>
        <v>0</v>
      </c>
      <c r="AK144" s="3" t="str">
        <f t="shared" si="14"/>
        <v>ZZZ</v>
      </c>
      <c r="AL144" s="3" t="b">
        <f t="array" ref="AL144">OR(ISNUMBER(SEARCH(AK$2:AK$100,$B144,5)))</f>
        <v>0</v>
      </c>
      <c r="AU144" s="8"/>
      <c r="AV144" s="6"/>
      <c r="AW144" s="8"/>
      <c r="AX144" s="8"/>
      <c r="AY144" s="6"/>
      <c r="AZ144" s="8"/>
      <c r="BA144" s="8"/>
      <c r="BB144" s="6" t="str">
        <f>IFERROR(__xludf.DUMMYFUNCTION("""COMPUTED_VALUE"""),"dotted violet")</f>
        <v>dotted violet</v>
      </c>
      <c r="BC144" s="8" t="str">
        <f>IFERROR(__xludf.DUMMYFUNCTION("""COMPUTED_VALUE"""),"light olive")</f>
        <v>light olive</v>
      </c>
      <c r="BD144" s="8"/>
      <c r="BE144" s="6"/>
      <c r="BF144" s="8"/>
      <c r="BG144" s="8"/>
      <c r="BH144" s="6"/>
      <c r="BI144" s="8"/>
      <c r="BJ144" s="8"/>
      <c r="BK144" s="6"/>
      <c r="BL144" s="8"/>
      <c r="BM144" s="8"/>
      <c r="BN144" s="6"/>
      <c r="BO144" s="8"/>
      <c r="BP144" s="8"/>
      <c r="BQ144" s="6"/>
      <c r="BR144" s="8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</row>
    <row r="145">
      <c r="A145" s="6"/>
      <c r="B145" s="6" t="s">
        <v>145</v>
      </c>
      <c r="C145" s="3" t="str">
        <f t="shared" si="3"/>
        <v>striped teal</v>
      </c>
      <c r="D145" s="3" t="str">
        <f t="shared" si="17"/>
        <v>ZZZ</v>
      </c>
      <c r="E145" s="3" t="b">
        <f t="array" ref="E145">OR(ISNUMBER(SEARCH(D$2:D$30,$B145,5)))</f>
        <v>0</v>
      </c>
      <c r="G145" s="3" t="str">
        <f t="shared" si="4"/>
        <v>ZZZ</v>
      </c>
      <c r="H145" s="3" t="b">
        <f t="array" ref="H145">OR(ISNUMBER(SEARCH(G$2:G$30,$B145,5)))</f>
        <v>0</v>
      </c>
      <c r="J145" s="3" t="str">
        <f t="shared" si="5"/>
        <v>ZZZ</v>
      </c>
      <c r="K145" s="3" t="b">
        <f t="array" ref="K145">OR(ISNUMBER(SEARCH(J$2:J$30,$B145,5)))</f>
        <v>0</v>
      </c>
      <c r="M145" s="3" t="str">
        <f t="shared" si="6"/>
        <v>ZZZ</v>
      </c>
      <c r="N145" s="3" t="b">
        <f t="array" ref="N145">OR(ISNUMBER(SEARCH(M$2:M$30,$B145,5)))</f>
        <v>0</v>
      </c>
      <c r="P145" s="3" t="str">
        <f t="shared" si="7"/>
        <v>ZZZ</v>
      </c>
      <c r="Q145" s="3" t="b">
        <f t="array" ref="Q145">OR(ISNUMBER(SEARCH(P$2:P$50,$B145,5)))</f>
        <v>0</v>
      </c>
      <c r="S145" s="3" t="str">
        <f t="shared" si="8"/>
        <v>ZZZ</v>
      </c>
      <c r="T145" s="3" t="b">
        <f t="array" ref="T145">OR(ISNUMBER(SEARCH(S$2:S$100,$B145,5)))</f>
        <v>0</v>
      </c>
      <c r="V145" s="3" t="str">
        <f t="shared" si="9"/>
        <v>ZZZ</v>
      </c>
      <c r="W145" s="3" t="b">
        <f t="array" ref="W145">OR(ISNUMBER(SEARCH(V$2:V$100,$B145,5)))</f>
        <v>0</v>
      </c>
      <c r="Y145" s="3" t="str">
        <f t="shared" si="10"/>
        <v>ZZZ</v>
      </c>
      <c r="Z145" s="3" t="b">
        <f t="array" ref="Z145">OR(ISNUMBER(SEARCH(Y$2:Y$100,$B145,5)))</f>
        <v>0</v>
      </c>
      <c r="AB145" s="3" t="str">
        <f t="shared" si="11"/>
        <v>ZZZ</v>
      </c>
      <c r="AC145" s="3" t="b">
        <f t="array" ref="AC145">OR(ISNUMBER(SEARCH(AB$2:AB$100,$B145,5)))</f>
        <v>0</v>
      </c>
      <c r="AE145" s="3" t="str">
        <f t="shared" si="12"/>
        <v>ZZZ</v>
      </c>
      <c r="AF145" s="3" t="b">
        <f t="array" ref="AF145">OR(ISNUMBER(SEARCH(AE$2:AE$100,$B145,5)))</f>
        <v>0</v>
      </c>
      <c r="AH145" s="3" t="str">
        <f t="shared" si="13"/>
        <v>ZZZ</v>
      </c>
      <c r="AI145" s="3" t="b">
        <f t="array" ref="AI145">OR(ISNUMBER(SEARCH(AH$2:AH$100,$B145,5)))</f>
        <v>0</v>
      </c>
      <c r="AK145" s="3" t="str">
        <f t="shared" si="14"/>
        <v>ZZZ</v>
      </c>
      <c r="AL145" s="3" t="b">
        <f t="array" ref="AL145">OR(ISNUMBER(SEARCH(AK$2:AK$100,$B145,5)))</f>
        <v>0</v>
      </c>
      <c r="AU145" s="8"/>
      <c r="AV145" s="6"/>
      <c r="AW145" s="8"/>
      <c r="AX145" s="8"/>
      <c r="AY145" s="6"/>
      <c r="AZ145" s="8"/>
      <c r="BA145" s="8"/>
      <c r="BB145" s="6" t="str">
        <f>IFERROR(__xludf.DUMMYFUNCTION("""COMPUTED_VALUE"""),"dark orange")</f>
        <v>dark orange</v>
      </c>
      <c r="BC145" s="8" t="str">
        <f>IFERROR(__xludf.DUMMYFUNCTION("""COMPUTED_VALUE"""),"vibrant coral")</f>
        <v>vibrant coral</v>
      </c>
      <c r="BD145" s="8"/>
      <c r="BE145" s="6"/>
      <c r="BF145" s="8"/>
      <c r="BG145" s="8"/>
      <c r="BH145" s="6"/>
      <c r="BI145" s="8"/>
      <c r="BJ145" s="8"/>
      <c r="BK145" s="6"/>
      <c r="BL145" s="8"/>
      <c r="BM145" s="8"/>
      <c r="BN145" s="6"/>
      <c r="BO145" s="8"/>
      <c r="BP145" s="8"/>
      <c r="BQ145" s="6"/>
      <c r="BR145" s="8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</row>
    <row r="146">
      <c r="A146" s="6"/>
      <c r="B146" s="6" t="s">
        <v>146</v>
      </c>
      <c r="C146" s="3" t="str">
        <f t="shared" si="3"/>
        <v>clear lavender</v>
      </c>
      <c r="D146" s="3" t="str">
        <f t="shared" si="17"/>
        <v>ZZZ</v>
      </c>
      <c r="E146" s="3" t="b">
        <f t="array" ref="E146">OR(ISNUMBER(SEARCH(D$2:D$30,$B146,5)))</f>
        <v>0</v>
      </c>
      <c r="G146" s="3" t="str">
        <f t="shared" si="4"/>
        <v>ZZZ</v>
      </c>
      <c r="H146" s="3" t="b">
        <f t="array" ref="H146">OR(ISNUMBER(SEARCH(G$2:G$30,$B146,5)))</f>
        <v>0</v>
      </c>
      <c r="J146" s="3" t="str">
        <f t="shared" si="5"/>
        <v>ZZZ</v>
      </c>
      <c r="K146" s="3" t="b">
        <f t="array" ref="K146">OR(ISNUMBER(SEARCH(J$2:J$30,$B146,5)))</f>
        <v>0</v>
      </c>
      <c r="M146" s="3" t="str">
        <f t="shared" si="6"/>
        <v>ZZZ</v>
      </c>
      <c r="N146" s="3" t="b">
        <f t="array" ref="N146">OR(ISNUMBER(SEARCH(M$2:M$30,$B146,5)))</f>
        <v>0</v>
      </c>
      <c r="P146" s="3" t="str">
        <f t="shared" si="7"/>
        <v>ZZZ</v>
      </c>
      <c r="Q146" s="3" t="b">
        <f t="array" ref="Q146">OR(ISNUMBER(SEARCH(P$2:P$50,$B146,5)))</f>
        <v>0</v>
      </c>
      <c r="S146" s="3" t="str">
        <f t="shared" si="8"/>
        <v>ZZZ</v>
      </c>
      <c r="T146" s="3" t="b">
        <f t="array" ref="T146">OR(ISNUMBER(SEARCH(S$2:S$100,$B146,5)))</f>
        <v>0</v>
      </c>
      <c r="V146" s="3" t="str">
        <f t="shared" si="9"/>
        <v>ZZZ</v>
      </c>
      <c r="W146" s="3" t="b">
        <f t="array" ref="W146">OR(ISNUMBER(SEARCH(V$2:V$100,$B146,5)))</f>
        <v>0</v>
      </c>
      <c r="Y146" s="3" t="str">
        <f t="shared" si="10"/>
        <v>ZZZ</v>
      </c>
      <c r="Z146" s="3" t="b">
        <f t="array" ref="Z146">OR(ISNUMBER(SEARCH(Y$2:Y$100,$B146,5)))</f>
        <v>0</v>
      </c>
      <c r="AB146" s="3" t="str">
        <f t="shared" si="11"/>
        <v>ZZZ</v>
      </c>
      <c r="AC146" s="3" t="b">
        <f t="array" ref="AC146">OR(ISNUMBER(SEARCH(AB$2:AB$100,$B146,5)))</f>
        <v>0</v>
      </c>
      <c r="AE146" s="3" t="str">
        <f t="shared" si="12"/>
        <v>ZZZ</v>
      </c>
      <c r="AF146" s="3" t="b">
        <f t="array" ref="AF146">OR(ISNUMBER(SEARCH(AE$2:AE$100,$B146,5)))</f>
        <v>0</v>
      </c>
      <c r="AH146" s="3" t="str">
        <f t="shared" si="13"/>
        <v>ZZZ</v>
      </c>
      <c r="AI146" s="3" t="b">
        <f t="array" ref="AI146">OR(ISNUMBER(SEARCH(AH$2:AH$100,$B146,5)))</f>
        <v>0</v>
      </c>
      <c r="AK146" s="3" t="str">
        <f t="shared" si="14"/>
        <v>ZZZ</v>
      </c>
      <c r="AL146" s="3" t="b">
        <f t="array" ref="AL146">OR(ISNUMBER(SEARCH(AK$2:AK$100,$B146,5)))</f>
        <v>0</v>
      </c>
      <c r="AU146" s="8"/>
      <c r="AV146" s="6"/>
      <c r="AW146" s="8"/>
      <c r="AX146" s="8"/>
      <c r="AY146" s="6"/>
      <c r="AZ146" s="8"/>
      <c r="BA146" s="8"/>
      <c r="BB146" s="6" t="str">
        <f>IFERROR(__xludf.DUMMYFUNCTION("""COMPUTED_VALUE"""),"dull lavender")</f>
        <v>dull lavender</v>
      </c>
      <c r="BC146" s="8" t="str">
        <f>IFERROR(__xludf.DUMMYFUNCTION("""COMPUTED_VALUE"""),"plaid beige")</f>
        <v>plaid beige</v>
      </c>
      <c r="BD146" s="8"/>
      <c r="BE146" s="6"/>
      <c r="BF146" s="8"/>
      <c r="BG146" s="8"/>
      <c r="BH146" s="6"/>
      <c r="BI146" s="8"/>
      <c r="BJ146" s="8"/>
      <c r="BK146" s="6"/>
      <c r="BL146" s="8"/>
      <c r="BM146" s="8"/>
      <c r="BN146" s="6"/>
      <c r="BO146" s="8"/>
      <c r="BP146" s="8"/>
      <c r="BQ146" s="6"/>
      <c r="BR146" s="8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</row>
    <row r="147">
      <c r="A147" s="6"/>
      <c r="B147" s="6" t="s">
        <v>147</v>
      </c>
      <c r="C147" s="3" t="str">
        <f t="shared" si="3"/>
        <v>mirrored maroon</v>
      </c>
      <c r="D147" s="3" t="str">
        <f t="shared" si="17"/>
        <v>ZZZ</v>
      </c>
      <c r="E147" s="3" t="b">
        <f t="array" ref="E147">OR(ISNUMBER(SEARCH(D$2:D$30,$B147,5)))</f>
        <v>0</v>
      </c>
      <c r="G147" s="3" t="str">
        <f t="shared" si="4"/>
        <v>ZZZ</v>
      </c>
      <c r="H147" s="3" t="b">
        <f t="array" ref="H147">OR(ISNUMBER(SEARCH(G$2:G$30,$B147,5)))</f>
        <v>0</v>
      </c>
      <c r="J147" s="3" t="str">
        <f t="shared" si="5"/>
        <v>ZZZ</v>
      </c>
      <c r="K147" s="3" t="b">
        <f t="array" ref="K147">OR(ISNUMBER(SEARCH(J$2:J$30,$B147,5)))</f>
        <v>0</v>
      </c>
      <c r="M147" s="3" t="str">
        <f t="shared" si="6"/>
        <v>ZZZ</v>
      </c>
      <c r="N147" s="3" t="b">
        <f t="array" ref="N147">OR(ISNUMBER(SEARCH(M$2:M$30,$B147,5)))</f>
        <v>0</v>
      </c>
      <c r="P147" s="3" t="str">
        <f t="shared" si="7"/>
        <v>ZZZ</v>
      </c>
      <c r="Q147" s="3" t="b">
        <f t="array" ref="Q147">OR(ISNUMBER(SEARCH(P$2:P$50,$B147,5)))</f>
        <v>0</v>
      </c>
      <c r="S147" s="3" t="str">
        <f t="shared" si="8"/>
        <v>ZZZ</v>
      </c>
      <c r="T147" s="3" t="b">
        <f t="array" ref="T147">OR(ISNUMBER(SEARCH(S$2:S$100,$B147,5)))</f>
        <v>0</v>
      </c>
      <c r="V147" s="3" t="str">
        <f t="shared" si="9"/>
        <v>ZZZ</v>
      </c>
      <c r="W147" s="3" t="b">
        <f t="array" ref="W147">OR(ISNUMBER(SEARCH(V$2:V$100,$B147,5)))</f>
        <v>0</v>
      </c>
      <c r="Y147" s="3" t="str">
        <f t="shared" si="10"/>
        <v>ZZZ</v>
      </c>
      <c r="Z147" s="3" t="b">
        <f t="array" ref="Z147">OR(ISNUMBER(SEARCH(Y$2:Y$100,$B147,5)))</f>
        <v>0</v>
      </c>
      <c r="AB147" s="3" t="str">
        <f t="shared" si="11"/>
        <v>ZZZ</v>
      </c>
      <c r="AC147" s="3" t="b">
        <f t="array" ref="AC147">OR(ISNUMBER(SEARCH(AB$2:AB$100,$B147,5)))</f>
        <v>0</v>
      </c>
      <c r="AE147" s="3" t="str">
        <f t="shared" si="12"/>
        <v>ZZZ</v>
      </c>
      <c r="AF147" s="3" t="b">
        <f t="array" ref="AF147">OR(ISNUMBER(SEARCH(AE$2:AE$100,$B147,5)))</f>
        <v>0</v>
      </c>
      <c r="AH147" s="3" t="str">
        <f t="shared" si="13"/>
        <v>ZZZ</v>
      </c>
      <c r="AI147" s="3" t="b">
        <f t="array" ref="AI147">OR(ISNUMBER(SEARCH(AH$2:AH$100,$B147,5)))</f>
        <v>0</v>
      </c>
      <c r="AK147" s="3" t="str">
        <f t="shared" si="14"/>
        <v>ZZZ</v>
      </c>
      <c r="AL147" s="3" t="b">
        <f t="array" ref="AL147">OR(ISNUMBER(SEARCH(AK$2:AK$100,$B147,5)))</f>
        <v>0</v>
      </c>
      <c r="AU147" s="8"/>
      <c r="AV147" s="6"/>
      <c r="AW147" s="8"/>
      <c r="AX147" s="8"/>
      <c r="AY147" s="6"/>
      <c r="AZ147" s="8"/>
      <c r="BA147" s="8"/>
      <c r="BB147" s="6" t="str">
        <f>IFERROR(__xludf.DUMMYFUNCTION("""COMPUTED_VALUE"""),"striped orange")</f>
        <v>striped orange</v>
      </c>
      <c r="BC147" s="8" t="str">
        <f>IFERROR(__xludf.DUMMYFUNCTION("""COMPUTED_VALUE"""),"dotted blue")</f>
        <v>dotted blue</v>
      </c>
      <c r="BD147" s="8"/>
      <c r="BE147" s="6"/>
      <c r="BF147" s="8"/>
      <c r="BG147" s="8"/>
      <c r="BH147" s="6"/>
      <c r="BI147" s="8"/>
      <c r="BJ147" s="8"/>
      <c r="BK147" s="6"/>
      <c r="BL147" s="8"/>
      <c r="BM147" s="8"/>
      <c r="BN147" s="6"/>
      <c r="BO147" s="8"/>
      <c r="BP147" s="8"/>
      <c r="BQ147" s="6"/>
      <c r="BR147" s="8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</row>
    <row r="148">
      <c r="A148" s="6"/>
      <c r="B148" s="6" t="s">
        <v>148</v>
      </c>
      <c r="C148" s="3" t="str">
        <f t="shared" si="3"/>
        <v>muted turquoise</v>
      </c>
      <c r="D148" s="3" t="str">
        <f t="shared" si="17"/>
        <v>ZZZ</v>
      </c>
      <c r="E148" s="3" t="b">
        <f t="array" ref="E148">OR(ISNUMBER(SEARCH(D$2:D$30,$B148,5)))</f>
        <v>0</v>
      </c>
      <c r="G148" s="3" t="str">
        <f t="shared" si="4"/>
        <v>ZZZ</v>
      </c>
      <c r="H148" s="3" t="b">
        <f t="array" ref="H148">OR(ISNUMBER(SEARCH(G$2:G$30,$B148,5)))</f>
        <v>0</v>
      </c>
      <c r="J148" s="3" t="str">
        <f t="shared" si="5"/>
        <v>ZZZ</v>
      </c>
      <c r="K148" s="3" t="b">
        <f t="array" ref="K148">OR(ISNUMBER(SEARCH(J$2:J$30,$B148,5)))</f>
        <v>0</v>
      </c>
      <c r="M148" s="3" t="str">
        <f t="shared" si="6"/>
        <v>ZZZ</v>
      </c>
      <c r="N148" s="3" t="b">
        <f t="array" ref="N148">OR(ISNUMBER(SEARCH(M$2:M$30,$B148,5)))</f>
        <v>0</v>
      </c>
      <c r="P148" s="3" t="str">
        <f t="shared" si="7"/>
        <v>ZZZ</v>
      </c>
      <c r="Q148" s="3" t="b">
        <f t="array" ref="Q148">OR(ISNUMBER(SEARCH(P$2:P$50,$B148,5)))</f>
        <v>0</v>
      </c>
      <c r="S148" s="3" t="str">
        <f t="shared" si="8"/>
        <v>ZZZ</v>
      </c>
      <c r="T148" s="3" t="b">
        <f t="array" ref="T148">OR(ISNUMBER(SEARCH(S$2:S$100,$B148,5)))</f>
        <v>0</v>
      </c>
      <c r="V148" s="3" t="str">
        <f t="shared" si="9"/>
        <v>ZZZ</v>
      </c>
      <c r="W148" s="3" t="b">
        <f t="array" ref="W148">OR(ISNUMBER(SEARCH(V$2:V$100,$B148,5)))</f>
        <v>1</v>
      </c>
      <c r="Y148" s="3" t="str">
        <f t="shared" si="10"/>
        <v>ZZZ</v>
      </c>
      <c r="Z148" s="3" t="b">
        <f t="array" ref="Z148">OR(ISNUMBER(SEARCH(Y$2:Y$100,$B148,5)))</f>
        <v>0</v>
      </c>
      <c r="AB148" s="3" t="str">
        <f t="shared" si="11"/>
        <v>ZZZ</v>
      </c>
      <c r="AC148" s="3" t="b">
        <f t="array" ref="AC148">OR(ISNUMBER(SEARCH(AB$2:AB$100,$B148,5)))</f>
        <v>0</v>
      </c>
      <c r="AE148" s="3" t="str">
        <f t="shared" si="12"/>
        <v>ZZZ</v>
      </c>
      <c r="AF148" s="3" t="b">
        <f t="array" ref="AF148">OR(ISNUMBER(SEARCH(AE$2:AE$100,$B148,5)))</f>
        <v>0</v>
      </c>
      <c r="AH148" s="3" t="str">
        <f t="shared" si="13"/>
        <v>ZZZ</v>
      </c>
      <c r="AI148" s="3" t="b">
        <f t="array" ref="AI148">OR(ISNUMBER(SEARCH(AH$2:AH$100,$B148,5)))</f>
        <v>0</v>
      </c>
      <c r="AK148" s="3" t="str">
        <f t="shared" si="14"/>
        <v>ZZZ</v>
      </c>
      <c r="AL148" s="3" t="b">
        <f t="array" ref="AL148">OR(ISNUMBER(SEARCH(AK$2:AK$100,$B148,5)))</f>
        <v>0</v>
      </c>
      <c r="AU148" s="8"/>
      <c r="AV148" s="6"/>
      <c r="AW148" s="8"/>
      <c r="AX148" s="8"/>
      <c r="AY148" s="6"/>
      <c r="AZ148" s="8"/>
      <c r="BA148" s="8"/>
      <c r="BB148" s="6" t="str">
        <f>IFERROR(__xludf.DUMMYFUNCTION("""COMPUTED_VALUE"""),"vibrant magenta")</f>
        <v>vibrant magenta</v>
      </c>
      <c r="BC148" s="8" t="str">
        <f>IFERROR(__xludf.DUMMYFUNCTION("""COMPUTED_VALUE"""),"dark gold")</f>
        <v>dark gold</v>
      </c>
      <c r="BD148" s="8"/>
      <c r="BE148" s="6"/>
      <c r="BF148" s="8"/>
      <c r="BG148" s="8"/>
      <c r="BH148" s="6"/>
      <c r="BI148" s="8"/>
      <c r="BJ148" s="8"/>
      <c r="BK148" s="6"/>
      <c r="BL148" s="8"/>
      <c r="BM148" s="8"/>
      <c r="BN148" s="6"/>
      <c r="BO148" s="8"/>
      <c r="BP148" s="8"/>
      <c r="BQ148" s="6"/>
      <c r="BR148" s="8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</row>
    <row r="149">
      <c r="A149" s="6"/>
      <c r="B149" s="6" t="s">
        <v>149</v>
      </c>
      <c r="C149" s="3" t="str">
        <f t="shared" si="3"/>
        <v>dark white</v>
      </c>
      <c r="D149" s="3" t="str">
        <f t="shared" si="17"/>
        <v>ZZZ</v>
      </c>
      <c r="E149" s="3" t="b">
        <f t="array" ref="E149">OR(ISNUMBER(SEARCH(D$2:D$30,$B149,5)))</f>
        <v>0</v>
      </c>
      <c r="G149" s="3" t="str">
        <f t="shared" si="4"/>
        <v>ZZZ</v>
      </c>
      <c r="H149" s="3" t="b">
        <f t="array" ref="H149">OR(ISNUMBER(SEARCH(G$2:G$30,$B149,5)))</f>
        <v>0</v>
      </c>
      <c r="J149" s="3" t="str">
        <f t="shared" si="5"/>
        <v>ZZZ</v>
      </c>
      <c r="K149" s="3" t="b">
        <f t="array" ref="K149">OR(ISNUMBER(SEARCH(J$2:J$30,$B149,5)))</f>
        <v>1</v>
      </c>
      <c r="M149" s="3" t="str">
        <f t="shared" si="6"/>
        <v>ZZZ</v>
      </c>
      <c r="N149" s="3" t="b">
        <f t="array" ref="N149">OR(ISNUMBER(SEARCH(M$2:M$30,$B149,5)))</f>
        <v>0</v>
      </c>
      <c r="P149" s="3" t="str">
        <f t="shared" si="7"/>
        <v>ZZZ</v>
      </c>
      <c r="Q149" s="3" t="b">
        <f t="array" ref="Q149">OR(ISNUMBER(SEARCH(P$2:P$50,$B149,5)))</f>
        <v>0</v>
      </c>
      <c r="S149" s="3" t="str">
        <f t="shared" si="8"/>
        <v>ZZZ</v>
      </c>
      <c r="T149" s="3" t="b">
        <f t="array" ref="T149">OR(ISNUMBER(SEARCH(S$2:S$100,$B149,5)))</f>
        <v>0</v>
      </c>
      <c r="V149" s="3" t="str">
        <f t="shared" si="9"/>
        <v>ZZZ</v>
      </c>
      <c r="W149" s="3" t="b">
        <f t="array" ref="W149">OR(ISNUMBER(SEARCH(V$2:V$100,$B149,5)))</f>
        <v>1</v>
      </c>
      <c r="Y149" s="3" t="str">
        <f t="shared" si="10"/>
        <v>ZZZ</v>
      </c>
      <c r="Z149" s="3" t="b">
        <f t="array" ref="Z149">OR(ISNUMBER(SEARCH(Y$2:Y$100,$B149,5)))</f>
        <v>0</v>
      </c>
      <c r="AB149" s="3" t="str">
        <f t="shared" si="11"/>
        <v>ZZZ</v>
      </c>
      <c r="AC149" s="3" t="b">
        <f t="array" ref="AC149">OR(ISNUMBER(SEARCH(AB$2:AB$100,$B149,5)))</f>
        <v>0</v>
      </c>
      <c r="AE149" s="3" t="str">
        <f t="shared" si="12"/>
        <v>ZZZ</v>
      </c>
      <c r="AF149" s="3" t="b">
        <f t="array" ref="AF149">OR(ISNUMBER(SEARCH(AE$2:AE$100,$B149,5)))</f>
        <v>0</v>
      </c>
      <c r="AH149" s="3" t="str">
        <f t="shared" si="13"/>
        <v>ZZZ</v>
      </c>
      <c r="AI149" s="3" t="b">
        <f t="array" ref="AI149">OR(ISNUMBER(SEARCH(AH$2:AH$100,$B149,5)))</f>
        <v>0</v>
      </c>
      <c r="AK149" s="3" t="str">
        <f t="shared" si="14"/>
        <v>ZZZ</v>
      </c>
      <c r="AL149" s="3" t="b">
        <f t="array" ref="AL149">OR(ISNUMBER(SEARCH(AK$2:AK$100,$B149,5)))</f>
        <v>0</v>
      </c>
      <c r="AU149" s="8"/>
      <c r="AV149" s="6"/>
      <c r="AW149" s="8"/>
      <c r="AX149" s="8"/>
      <c r="AY149" s="6"/>
      <c r="AZ149" s="8"/>
      <c r="BA149" s="8"/>
      <c r="BB149" s="6" t="str">
        <f>IFERROR(__xludf.DUMMYFUNCTION("""COMPUTED_VALUE"""),"vibrant fuchsia")</f>
        <v>vibrant fuchsia</v>
      </c>
      <c r="BC149" s="8" t="str">
        <f>IFERROR(__xludf.DUMMYFUNCTION("""COMPUTED_VALUE"""),"light salmon")</f>
        <v>light salmon</v>
      </c>
      <c r="BD149" s="8"/>
      <c r="BE149" s="6"/>
      <c r="BF149" s="8"/>
      <c r="BG149" s="8"/>
      <c r="BH149" s="6"/>
      <c r="BI149" s="8"/>
      <c r="BJ149" s="8"/>
      <c r="BK149" s="6"/>
      <c r="BL149" s="8"/>
      <c r="BM149" s="8"/>
      <c r="BN149" s="6"/>
      <c r="BO149" s="8"/>
      <c r="BP149" s="8"/>
      <c r="BQ149" s="6"/>
      <c r="BR149" s="8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</row>
    <row r="150">
      <c r="A150" s="6"/>
      <c r="B150" s="6" t="s">
        <v>150</v>
      </c>
      <c r="C150" s="3" t="str">
        <f t="shared" si="3"/>
        <v>drab red</v>
      </c>
      <c r="D150" s="3" t="str">
        <f t="shared" si="17"/>
        <v>ZZZ</v>
      </c>
      <c r="E150" s="3" t="b">
        <f t="array" ref="E150">OR(ISNUMBER(SEARCH(D$2:D$30,$B150,5)))</f>
        <v>0</v>
      </c>
      <c r="G150" s="3" t="str">
        <f t="shared" si="4"/>
        <v>ZZZ</v>
      </c>
      <c r="H150" s="3" t="b">
        <f t="array" ref="H150">OR(ISNUMBER(SEARCH(G$2:G$30,$B150,5)))</f>
        <v>0</v>
      </c>
      <c r="J150" s="3" t="str">
        <f t="shared" si="5"/>
        <v>ZZZ</v>
      </c>
      <c r="K150" s="3" t="b">
        <f t="array" ref="K150">OR(ISNUMBER(SEARCH(J$2:J$30,$B150,5)))</f>
        <v>0</v>
      </c>
      <c r="M150" s="3" t="str">
        <f t="shared" si="6"/>
        <v>ZZZ</v>
      </c>
      <c r="N150" s="3" t="b">
        <f t="array" ref="N150">OR(ISNUMBER(SEARCH(M$2:M$30,$B150,5)))</f>
        <v>0</v>
      </c>
      <c r="P150" s="3" t="str">
        <f t="shared" si="7"/>
        <v>ZZZ</v>
      </c>
      <c r="Q150" s="3" t="b">
        <f t="array" ref="Q150">OR(ISNUMBER(SEARCH(P$2:P$50,$B150,5)))</f>
        <v>0</v>
      </c>
      <c r="S150" s="3" t="str">
        <f t="shared" si="8"/>
        <v>ZZZ</v>
      </c>
      <c r="T150" s="3" t="b">
        <f t="array" ref="T150">OR(ISNUMBER(SEARCH(S$2:S$100,$B150,5)))</f>
        <v>1</v>
      </c>
      <c r="V150" s="3" t="str">
        <f t="shared" si="9"/>
        <v>ZZZ</v>
      </c>
      <c r="W150" s="3" t="b">
        <f t="array" ref="W150">OR(ISNUMBER(SEARCH(V$2:V$100,$B150,5)))</f>
        <v>0</v>
      </c>
      <c r="Y150" s="3" t="str">
        <f t="shared" si="10"/>
        <v>ZZZ</v>
      </c>
      <c r="Z150" s="3" t="b">
        <f t="array" ref="Z150">OR(ISNUMBER(SEARCH(Y$2:Y$100,$B150,5)))</f>
        <v>0</v>
      </c>
      <c r="AB150" s="3" t="str">
        <f t="shared" si="11"/>
        <v>ZZZ</v>
      </c>
      <c r="AC150" s="3" t="b">
        <f t="array" ref="AC150">OR(ISNUMBER(SEARCH(AB$2:AB$100,$B150,5)))</f>
        <v>0</v>
      </c>
      <c r="AE150" s="3" t="str">
        <f t="shared" si="12"/>
        <v>ZZZ</v>
      </c>
      <c r="AF150" s="3" t="b">
        <f t="array" ref="AF150">OR(ISNUMBER(SEARCH(AE$2:AE$100,$B150,5)))</f>
        <v>0</v>
      </c>
      <c r="AH150" s="3" t="str">
        <f t="shared" si="13"/>
        <v>ZZZ</v>
      </c>
      <c r="AI150" s="3" t="b">
        <f t="array" ref="AI150">OR(ISNUMBER(SEARCH(AH$2:AH$100,$B150,5)))</f>
        <v>0</v>
      </c>
      <c r="AK150" s="3" t="str">
        <f t="shared" si="14"/>
        <v>ZZZ</v>
      </c>
      <c r="AL150" s="3" t="b">
        <f t="array" ref="AL150">OR(ISNUMBER(SEARCH(AK$2:AK$100,$B150,5)))</f>
        <v>0</v>
      </c>
      <c r="AU150" s="8"/>
      <c r="AV150" s="6"/>
      <c r="AW150" s="8"/>
      <c r="AX150" s="8"/>
      <c r="AY150" s="6"/>
      <c r="AZ150" s="8"/>
      <c r="BA150" s="8"/>
      <c r="BB150" s="6" t="str">
        <f>IFERROR(__xludf.DUMMYFUNCTION("""COMPUTED_VALUE"""),"dull magenta")</f>
        <v>dull magenta</v>
      </c>
      <c r="BC150" s="8" t="str">
        <f>IFERROR(__xludf.DUMMYFUNCTION("""COMPUTED_VALUE"""),"pale chartreuse")</f>
        <v>pale chartreuse</v>
      </c>
      <c r="BD150" s="8"/>
      <c r="BE150" s="6"/>
      <c r="BF150" s="8"/>
      <c r="BG150" s="8"/>
      <c r="BH150" s="6"/>
      <c r="BI150" s="8"/>
      <c r="BJ150" s="8"/>
      <c r="BK150" s="6"/>
      <c r="BL150" s="8"/>
      <c r="BM150" s="8"/>
      <c r="BN150" s="6"/>
      <c r="BO150" s="8"/>
      <c r="BP150" s="8"/>
      <c r="BQ150" s="6"/>
      <c r="BR150" s="8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</row>
    <row r="151">
      <c r="A151" s="6"/>
      <c r="B151" s="6" t="s">
        <v>151</v>
      </c>
      <c r="C151" s="3" t="str">
        <f t="shared" si="3"/>
        <v>muted teal</v>
      </c>
      <c r="D151" s="3" t="str">
        <f t="shared" si="17"/>
        <v>ZZZ</v>
      </c>
      <c r="E151" s="3" t="b">
        <f t="array" ref="E151">OR(ISNUMBER(SEARCH(D$2:D$30,$B151,5)))</f>
        <v>0</v>
      </c>
      <c r="G151" s="3" t="str">
        <f t="shared" si="4"/>
        <v>ZZZ</v>
      </c>
      <c r="H151" s="3" t="b">
        <f t="array" ref="H151">OR(ISNUMBER(SEARCH(G$2:G$30,$B151,5)))</f>
        <v>0</v>
      </c>
      <c r="J151" s="3" t="str">
        <f t="shared" si="5"/>
        <v>ZZZ</v>
      </c>
      <c r="K151" s="3" t="b">
        <f t="array" ref="K151">OR(ISNUMBER(SEARCH(J$2:J$30,$B151,5)))</f>
        <v>0</v>
      </c>
      <c r="M151" s="3" t="str">
        <f t="shared" si="6"/>
        <v>ZZZ</v>
      </c>
      <c r="N151" s="3" t="b">
        <f t="array" ref="N151">OR(ISNUMBER(SEARCH(M$2:M$30,$B151,5)))</f>
        <v>1</v>
      </c>
      <c r="P151" s="3" t="str">
        <f t="shared" si="7"/>
        <v>ZZZ</v>
      </c>
      <c r="Q151" s="3" t="b">
        <f t="array" ref="Q151">OR(ISNUMBER(SEARCH(P$2:P$50,$B151,5)))</f>
        <v>1</v>
      </c>
      <c r="S151" s="3" t="str">
        <f t="shared" si="8"/>
        <v>ZZZ</v>
      </c>
      <c r="T151" s="3" t="b">
        <f t="array" ref="T151">OR(ISNUMBER(SEARCH(S$2:S$100,$B151,5)))</f>
        <v>1</v>
      </c>
      <c r="V151" s="3" t="str">
        <f t="shared" si="9"/>
        <v>ZZZ</v>
      </c>
      <c r="W151" s="3" t="b">
        <f t="array" ref="W151">OR(ISNUMBER(SEARCH(V$2:V$100,$B151,5)))</f>
        <v>0</v>
      </c>
      <c r="Y151" s="3" t="str">
        <f t="shared" si="10"/>
        <v>ZZZ</v>
      </c>
      <c r="Z151" s="3" t="b">
        <f t="array" ref="Z151">OR(ISNUMBER(SEARCH(Y$2:Y$100,$B151,5)))</f>
        <v>0</v>
      </c>
      <c r="AB151" s="3" t="str">
        <f t="shared" si="11"/>
        <v>ZZZ</v>
      </c>
      <c r="AC151" s="3" t="b">
        <f t="array" ref="AC151">OR(ISNUMBER(SEARCH(AB$2:AB$100,$B151,5)))</f>
        <v>0</v>
      </c>
      <c r="AE151" s="3" t="str">
        <f t="shared" si="12"/>
        <v>ZZZ</v>
      </c>
      <c r="AF151" s="3" t="b">
        <f t="array" ref="AF151">OR(ISNUMBER(SEARCH(AE$2:AE$100,$B151,5)))</f>
        <v>0</v>
      </c>
      <c r="AH151" s="3" t="str">
        <f t="shared" si="13"/>
        <v>ZZZ</v>
      </c>
      <c r="AI151" s="3" t="b">
        <f t="array" ref="AI151">OR(ISNUMBER(SEARCH(AH$2:AH$100,$B151,5)))</f>
        <v>0</v>
      </c>
      <c r="AK151" s="3" t="str">
        <f t="shared" si="14"/>
        <v>ZZZ</v>
      </c>
      <c r="AL151" s="3" t="b">
        <f t="array" ref="AL151">OR(ISNUMBER(SEARCH(AK$2:AK$100,$B151,5)))</f>
        <v>0</v>
      </c>
      <c r="AU151" s="8"/>
      <c r="AV151" s="6"/>
      <c r="AW151" s="8"/>
      <c r="AX151" s="8"/>
      <c r="AY151" s="6"/>
      <c r="AZ151" s="8"/>
      <c r="BA151" s="8"/>
      <c r="BB151" s="6" t="str">
        <f>IFERROR(__xludf.DUMMYFUNCTION("""COMPUTED_VALUE"""),"plaid chartreuse")</f>
        <v>plaid chartreuse</v>
      </c>
      <c r="BC151" s="8" t="str">
        <f>IFERROR(__xludf.DUMMYFUNCTION("""COMPUTED_VALUE"""),"bright maroon")</f>
        <v>bright maroon</v>
      </c>
      <c r="BD151" s="8"/>
      <c r="BE151" s="6"/>
      <c r="BF151" s="8"/>
      <c r="BG151" s="8"/>
      <c r="BH151" s="6"/>
      <c r="BI151" s="8"/>
      <c r="BJ151" s="8"/>
      <c r="BK151" s="6"/>
      <c r="BL151" s="8"/>
      <c r="BM151" s="8"/>
      <c r="BN151" s="6"/>
      <c r="BO151" s="8"/>
      <c r="BP151" s="8"/>
      <c r="BQ151" s="6"/>
      <c r="BR151" s="8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</row>
    <row r="152">
      <c r="A152" s="6"/>
      <c r="B152" s="6" t="s">
        <v>152</v>
      </c>
      <c r="C152" s="3" t="str">
        <f t="shared" si="3"/>
        <v>wavy red</v>
      </c>
      <c r="D152" s="3" t="str">
        <f t="shared" si="17"/>
        <v>ZZZ</v>
      </c>
      <c r="E152" s="3" t="b">
        <f t="array" ref="E152">OR(ISNUMBER(SEARCH(D$2:D$30,$B152,5)))</f>
        <v>0</v>
      </c>
      <c r="G152" s="3" t="str">
        <f t="shared" si="4"/>
        <v>ZZZ</v>
      </c>
      <c r="H152" s="3" t="b">
        <f t="array" ref="H152">OR(ISNUMBER(SEARCH(G$2:G$30,$B152,5)))</f>
        <v>0</v>
      </c>
      <c r="J152" s="3" t="str">
        <f t="shared" si="5"/>
        <v>ZZZ</v>
      </c>
      <c r="K152" s="3" t="b">
        <f t="array" ref="K152">OR(ISNUMBER(SEARCH(J$2:J$30,$B152,5)))</f>
        <v>0</v>
      </c>
      <c r="M152" s="3" t="str">
        <f t="shared" si="6"/>
        <v>ZZZ</v>
      </c>
      <c r="N152" s="3" t="b">
        <f t="array" ref="N152">OR(ISNUMBER(SEARCH(M$2:M$30,$B152,5)))</f>
        <v>0</v>
      </c>
      <c r="P152" s="3" t="str">
        <f t="shared" si="7"/>
        <v>ZZZ</v>
      </c>
      <c r="Q152" s="3" t="b">
        <f t="array" ref="Q152">OR(ISNUMBER(SEARCH(P$2:P$50,$B152,5)))</f>
        <v>0</v>
      </c>
      <c r="S152" s="3" t="str">
        <f t="shared" si="8"/>
        <v>ZZZ</v>
      </c>
      <c r="T152" s="3" t="b">
        <f t="array" ref="T152">OR(ISNUMBER(SEARCH(S$2:S$100,$B152,5)))</f>
        <v>0</v>
      </c>
      <c r="V152" s="3" t="str">
        <f t="shared" si="9"/>
        <v>ZZZ</v>
      </c>
      <c r="W152" s="3" t="b">
        <f t="array" ref="W152">OR(ISNUMBER(SEARCH(V$2:V$100,$B152,5)))</f>
        <v>0</v>
      </c>
      <c r="Y152" s="3" t="str">
        <f t="shared" si="10"/>
        <v>ZZZ</v>
      </c>
      <c r="Z152" s="3" t="b">
        <f t="array" ref="Z152">OR(ISNUMBER(SEARCH(Y$2:Y$100,$B152,5)))</f>
        <v>0</v>
      </c>
      <c r="AB152" s="3" t="str">
        <f t="shared" si="11"/>
        <v>ZZZ</v>
      </c>
      <c r="AC152" s="3" t="b">
        <f t="array" ref="AC152">OR(ISNUMBER(SEARCH(AB$2:AB$100,$B152,5)))</f>
        <v>0</v>
      </c>
      <c r="AE152" s="3" t="str">
        <f t="shared" si="12"/>
        <v>ZZZ</v>
      </c>
      <c r="AF152" s="3" t="b">
        <f t="array" ref="AF152">OR(ISNUMBER(SEARCH(AE$2:AE$100,$B152,5)))</f>
        <v>0</v>
      </c>
      <c r="AH152" s="3" t="str">
        <f t="shared" si="13"/>
        <v>ZZZ</v>
      </c>
      <c r="AI152" s="3" t="b">
        <f t="array" ref="AI152">OR(ISNUMBER(SEARCH(AH$2:AH$100,$B152,5)))</f>
        <v>0</v>
      </c>
      <c r="AK152" s="3" t="str">
        <f t="shared" si="14"/>
        <v>ZZZ</v>
      </c>
      <c r="AL152" s="3" t="b">
        <f t="array" ref="AL152">OR(ISNUMBER(SEARCH(AK$2:AK$100,$B152,5)))</f>
        <v>0</v>
      </c>
      <c r="AU152" s="8"/>
      <c r="AV152" s="6"/>
      <c r="AW152" s="8"/>
      <c r="AX152" s="8"/>
      <c r="AY152" s="6"/>
      <c r="AZ152" s="8"/>
      <c r="BA152" s="8"/>
      <c r="BB152" s="6" t="str">
        <f>IFERROR(__xludf.DUMMYFUNCTION("""COMPUTED_VALUE"""),"striped orange")</f>
        <v>striped orange</v>
      </c>
      <c r="BC152" s="8" t="str">
        <f>IFERROR(__xludf.DUMMYFUNCTION("""COMPUTED_VALUE"""),"plaid salmon")</f>
        <v>plaid salmon</v>
      </c>
      <c r="BD152" s="8"/>
      <c r="BE152" s="6"/>
      <c r="BF152" s="8"/>
      <c r="BG152" s="8"/>
      <c r="BH152" s="6"/>
      <c r="BI152" s="8"/>
      <c r="BJ152" s="8"/>
      <c r="BK152" s="6"/>
      <c r="BL152" s="8"/>
      <c r="BM152" s="8"/>
      <c r="BN152" s="6"/>
      <c r="BO152" s="8"/>
      <c r="BP152" s="8"/>
      <c r="BQ152" s="6"/>
      <c r="BR152" s="8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</row>
    <row r="153">
      <c r="A153" s="6"/>
      <c r="B153" s="6" t="s">
        <v>153</v>
      </c>
      <c r="C153" s="3" t="str">
        <f t="shared" si="3"/>
        <v>striped olive</v>
      </c>
      <c r="D153" s="3" t="str">
        <f t="shared" si="17"/>
        <v>ZZZ</v>
      </c>
      <c r="E153" s="3" t="b">
        <f t="array" ref="E153">OR(ISNUMBER(SEARCH(D$2:D$30,$B153,5)))</f>
        <v>0</v>
      </c>
      <c r="G153" s="3" t="str">
        <f t="shared" si="4"/>
        <v>ZZZ</v>
      </c>
      <c r="H153" s="3" t="b">
        <f t="array" ref="H153">OR(ISNUMBER(SEARCH(G$2:G$30,$B153,5)))</f>
        <v>0</v>
      </c>
      <c r="J153" s="3" t="str">
        <f t="shared" si="5"/>
        <v>ZZZ</v>
      </c>
      <c r="K153" s="3" t="b">
        <f t="array" ref="K153">OR(ISNUMBER(SEARCH(J$2:J$30,$B153,5)))</f>
        <v>0</v>
      </c>
      <c r="M153" s="3" t="str">
        <f t="shared" si="6"/>
        <v>ZZZ</v>
      </c>
      <c r="N153" s="3" t="b">
        <f t="array" ref="N153">OR(ISNUMBER(SEARCH(M$2:M$30,$B153,5)))</f>
        <v>0</v>
      </c>
      <c r="P153" s="3" t="str">
        <f t="shared" si="7"/>
        <v>ZZZ</v>
      </c>
      <c r="Q153" s="3" t="b">
        <f t="array" ref="Q153">OR(ISNUMBER(SEARCH(P$2:P$50,$B153,5)))</f>
        <v>0</v>
      </c>
      <c r="S153" s="3" t="str">
        <f t="shared" si="8"/>
        <v>ZZZ</v>
      </c>
      <c r="T153" s="3" t="b">
        <f t="array" ref="T153">OR(ISNUMBER(SEARCH(S$2:S$100,$B153,5)))</f>
        <v>0</v>
      </c>
      <c r="V153" s="3" t="str">
        <f t="shared" si="9"/>
        <v>ZZZ</v>
      </c>
      <c r="W153" s="3" t="b">
        <f t="array" ref="W153">OR(ISNUMBER(SEARCH(V$2:V$100,$B153,5)))</f>
        <v>0</v>
      </c>
      <c r="Y153" s="3" t="str">
        <f t="shared" si="10"/>
        <v>ZZZ</v>
      </c>
      <c r="Z153" s="3" t="b">
        <f t="array" ref="Z153">OR(ISNUMBER(SEARCH(Y$2:Y$100,$B153,5)))</f>
        <v>0</v>
      </c>
      <c r="AB153" s="3" t="str">
        <f t="shared" si="11"/>
        <v>ZZZ</v>
      </c>
      <c r="AC153" s="3" t="b">
        <f t="array" ref="AC153">OR(ISNUMBER(SEARCH(AB$2:AB$100,$B153,5)))</f>
        <v>0</v>
      </c>
      <c r="AE153" s="3" t="str">
        <f t="shared" si="12"/>
        <v>ZZZ</v>
      </c>
      <c r="AF153" s="3" t="b">
        <f t="array" ref="AF153">OR(ISNUMBER(SEARCH(AE$2:AE$100,$B153,5)))</f>
        <v>0</v>
      </c>
      <c r="AH153" s="3" t="str">
        <f t="shared" si="13"/>
        <v>ZZZ</v>
      </c>
      <c r="AI153" s="3" t="b">
        <f t="array" ref="AI153">OR(ISNUMBER(SEARCH(AH$2:AH$100,$B153,5)))</f>
        <v>0</v>
      </c>
      <c r="AK153" s="3" t="str">
        <f t="shared" si="14"/>
        <v>ZZZ</v>
      </c>
      <c r="AL153" s="3" t="b">
        <f t="array" ref="AL153">OR(ISNUMBER(SEARCH(AK$2:AK$100,$B153,5)))</f>
        <v>0</v>
      </c>
      <c r="AU153" s="8"/>
      <c r="AV153" s="6"/>
      <c r="AW153" s="8"/>
      <c r="AX153" s="8"/>
      <c r="AY153" s="6"/>
      <c r="AZ153" s="8"/>
      <c r="BA153" s="8"/>
      <c r="BB153" s="6" t="str">
        <f>IFERROR(__xludf.DUMMYFUNCTION("""COMPUTED_VALUE"""),"dark silver")</f>
        <v>dark silver</v>
      </c>
      <c r="BC153" s="8" t="str">
        <f>IFERROR(__xludf.DUMMYFUNCTION("""COMPUTED_VALUE"""),"pale plum")</f>
        <v>pale plum</v>
      </c>
      <c r="BD153" s="8"/>
      <c r="BE153" s="6"/>
      <c r="BF153" s="8"/>
      <c r="BG153" s="8"/>
      <c r="BH153" s="6"/>
      <c r="BI153" s="8"/>
      <c r="BJ153" s="8"/>
      <c r="BK153" s="6"/>
      <c r="BL153" s="8"/>
      <c r="BM153" s="8"/>
      <c r="BN153" s="6"/>
      <c r="BO153" s="8"/>
      <c r="BP153" s="8"/>
      <c r="BQ153" s="6"/>
      <c r="BR153" s="8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</row>
    <row r="154">
      <c r="A154" s="6"/>
      <c r="B154" s="6" t="s">
        <v>154</v>
      </c>
      <c r="C154" s="3" t="str">
        <f t="shared" si="3"/>
        <v>dull teal</v>
      </c>
      <c r="D154" s="3" t="str">
        <f t="shared" si="17"/>
        <v>ZZZ</v>
      </c>
      <c r="E154" s="3" t="b">
        <f t="array" ref="E154">OR(ISNUMBER(SEARCH(D$2:D$30,$B154,5)))</f>
        <v>0</v>
      </c>
      <c r="G154" s="3" t="str">
        <f t="shared" si="4"/>
        <v>ZZZ</v>
      </c>
      <c r="H154" s="3" t="b">
        <f t="array" ref="H154">OR(ISNUMBER(SEARCH(G$2:G$30,$B154,5)))</f>
        <v>0</v>
      </c>
      <c r="J154" s="3" t="str">
        <f t="shared" si="5"/>
        <v>ZZZ</v>
      </c>
      <c r="K154" s="3" t="b">
        <f t="array" ref="K154">OR(ISNUMBER(SEARCH(J$2:J$30,$B154,5)))</f>
        <v>0</v>
      </c>
      <c r="M154" s="3" t="str">
        <f t="shared" si="6"/>
        <v>ZZZ</v>
      </c>
      <c r="N154" s="3" t="b">
        <f t="array" ref="N154">OR(ISNUMBER(SEARCH(M$2:M$30,$B154,5)))</f>
        <v>0</v>
      </c>
      <c r="P154" s="3" t="str">
        <f t="shared" si="7"/>
        <v>ZZZ</v>
      </c>
      <c r="Q154" s="3" t="b">
        <f t="array" ref="Q154">OR(ISNUMBER(SEARCH(P$2:P$50,$B154,5)))</f>
        <v>1</v>
      </c>
      <c r="S154" s="3" t="str">
        <f t="shared" si="8"/>
        <v>ZZZ</v>
      </c>
      <c r="T154" s="3" t="b">
        <f t="array" ref="T154">OR(ISNUMBER(SEARCH(S$2:S$100,$B154,5)))</f>
        <v>1</v>
      </c>
      <c r="V154" s="3" t="str">
        <f t="shared" si="9"/>
        <v>ZZZ</v>
      </c>
      <c r="W154" s="3" t="b">
        <f t="array" ref="W154">OR(ISNUMBER(SEARCH(V$2:V$100,$B154,5)))</f>
        <v>0</v>
      </c>
      <c r="Y154" s="3" t="str">
        <f t="shared" si="10"/>
        <v>ZZZ</v>
      </c>
      <c r="Z154" s="3" t="b">
        <f t="array" ref="Z154">OR(ISNUMBER(SEARCH(Y$2:Y$100,$B154,5)))</f>
        <v>1</v>
      </c>
      <c r="AB154" s="3" t="str">
        <f t="shared" si="11"/>
        <v>ZZZ</v>
      </c>
      <c r="AC154" s="3" t="b">
        <f t="array" ref="AC154">OR(ISNUMBER(SEARCH(AB$2:AB$100,$B154,5)))</f>
        <v>0</v>
      </c>
      <c r="AE154" s="3" t="str">
        <f t="shared" si="12"/>
        <v>ZZZ</v>
      </c>
      <c r="AF154" s="3" t="b">
        <f t="array" ref="AF154">OR(ISNUMBER(SEARCH(AE$2:AE$100,$B154,5)))</f>
        <v>1</v>
      </c>
      <c r="AH154" s="3" t="str">
        <f t="shared" si="13"/>
        <v>ZZZ</v>
      </c>
      <c r="AI154" s="3" t="b">
        <f t="array" ref="AI154">OR(ISNUMBER(SEARCH(AH$2:AH$100,$B154,5)))</f>
        <v>0</v>
      </c>
      <c r="AK154" s="3" t="str">
        <f t="shared" si="14"/>
        <v>ZZZ</v>
      </c>
      <c r="AL154" s="3" t="b">
        <f t="array" ref="AL154">OR(ISNUMBER(SEARCH(AK$2:AK$100,$B154,5)))</f>
        <v>0</v>
      </c>
      <c r="AU154" s="8"/>
      <c r="AV154" s="6"/>
      <c r="AW154" s="8"/>
      <c r="AX154" s="8"/>
      <c r="AY154" s="6"/>
      <c r="AZ154" s="8"/>
      <c r="BA154" s="8"/>
      <c r="BB154" s="6" t="str">
        <f>IFERROR(__xludf.DUMMYFUNCTION("""COMPUTED_VALUE"""),"light turquoise")</f>
        <v>light turquoise</v>
      </c>
      <c r="BC154" s="8" t="str">
        <f>IFERROR(__xludf.DUMMYFUNCTION("""COMPUTED_VALUE"""),"pale teal")</f>
        <v>pale teal</v>
      </c>
      <c r="BD154" s="8"/>
      <c r="BE154" s="6"/>
      <c r="BF154" s="8"/>
      <c r="BG154" s="8"/>
      <c r="BH154" s="6"/>
      <c r="BI154" s="8"/>
      <c r="BJ154" s="8"/>
      <c r="BK154" s="6"/>
      <c r="BL154" s="8"/>
      <c r="BM154" s="8"/>
      <c r="BN154" s="6"/>
      <c r="BO154" s="8"/>
      <c r="BP154" s="8"/>
      <c r="BQ154" s="6"/>
      <c r="BR154" s="8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</row>
    <row r="155">
      <c r="A155" s="6"/>
      <c r="B155" s="6" t="s">
        <v>155</v>
      </c>
      <c r="C155" s="3" t="str">
        <f t="shared" si="3"/>
        <v>light black</v>
      </c>
      <c r="D155" s="3" t="str">
        <f t="shared" si="17"/>
        <v>ZZZ</v>
      </c>
      <c r="E155" s="3" t="b">
        <f t="array" ref="E155">OR(ISNUMBER(SEARCH(D$2:D$30,$B155,5)))</f>
        <v>0</v>
      </c>
      <c r="G155" s="3" t="str">
        <f t="shared" si="4"/>
        <v>ZZZ</v>
      </c>
      <c r="H155" s="3" t="b">
        <f t="array" ref="H155">OR(ISNUMBER(SEARCH(G$2:G$30,$B155,5)))</f>
        <v>0</v>
      </c>
      <c r="J155" s="3" t="str">
        <f t="shared" si="5"/>
        <v>ZZZ</v>
      </c>
      <c r="K155" s="3" t="b">
        <f t="array" ref="K155">OR(ISNUMBER(SEARCH(J$2:J$30,$B155,5)))</f>
        <v>0</v>
      </c>
      <c r="M155" s="3" t="str">
        <f t="shared" si="6"/>
        <v>ZZZ</v>
      </c>
      <c r="N155" s="3" t="b">
        <f t="array" ref="N155">OR(ISNUMBER(SEARCH(M$2:M$30,$B155,5)))</f>
        <v>0</v>
      </c>
      <c r="P155" s="3" t="str">
        <f t="shared" si="7"/>
        <v>ZZZ</v>
      </c>
      <c r="Q155" s="3" t="b">
        <f t="array" ref="Q155">OR(ISNUMBER(SEARCH(P$2:P$50,$B155,5)))</f>
        <v>0</v>
      </c>
      <c r="S155" s="3" t="str">
        <f t="shared" si="8"/>
        <v>ZZZ</v>
      </c>
      <c r="T155" s="3" t="b">
        <f t="array" ref="T155">OR(ISNUMBER(SEARCH(S$2:S$100,$B155,5)))</f>
        <v>0</v>
      </c>
      <c r="V155" s="3" t="str">
        <f t="shared" si="9"/>
        <v>ZZZ</v>
      </c>
      <c r="W155" s="3" t="b">
        <f t="array" ref="W155">OR(ISNUMBER(SEARCH(V$2:V$100,$B155,5)))</f>
        <v>0</v>
      </c>
      <c r="Y155" s="3" t="str">
        <f t="shared" si="10"/>
        <v>ZZZ</v>
      </c>
      <c r="Z155" s="3" t="b">
        <f t="array" ref="Z155">OR(ISNUMBER(SEARCH(Y$2:Y$100,$B155,5)))</f>
        <v>0</v>
      </c>
      <c r="AB155" s="3" t="str">
        <f t="shared" si="11"/>
        <v>ZZZ</v>
      </c>
      <c r="AC155" s="3" t="b">
        <f t="array" ref="AC155">OR(ISNUMBER(SEARCH(AB$2:AB$100,$B155,5)))</f>
        <v>0</v>
      </c>
      <c r="AE155" s="3" t="str">
        <f t="shared" si="12"/>
        <v>ZZZ</v>
      </c>
      <c r="AF155" s="3" t="b">
        <f t="array" ref="AF155">OR(ISNUMBER(SEARCH(AE$2:AE$100,$B155,5)))</f>
        <v>0</v>
      </c>
      <c r="AH155" s="3" t="str">
        <f t="shared" si="13"/>
        <v>ZZZ</v>
      </c>
      <c r="AI155" s="3" t="b">
        <f t="array" ref="AI155">OR(ISNUMBER(SEARCH(AH$2:AH$100,$B155,5)))</f>
        <v>0</v>
      </c>
      <c r="AK155" s="3" t="str">
        <f t="shared" si="14"/>
        <v>ZZZ</v>
      </c>
      <c r="AL155" s="3" t="b">
        <f t="array" ref="AL155">OR(ISNUMBER(SEARCH(AK$2:AK$100,$B155,5)))</f>
        <v>0</v>
      </c>
      <c r="AU155" s="8"/>
      <c r="AV155" s="6"/>
      <c r="AW155" s="8"/>
      <c r="AX155" s="8"/>
      <c r="AY155" s="6"/>
      <c r="AZ155" s="8"/>
      <c r="BA155" s="8"/>
      <c r="BB155" s="6" t="str">
        <f>IFERROR(__xludf.DUMMYFUNCTION("""COMPUTED_VALUE"""),"wavy brown")</f>
        <v>wavy brown</v>
      </c>
      <c r="BC155" s="8" t="str">
        <f>IFERROR(__xludf.DUMMYFUNCTION("""COMPUTED_VALUE"""),"dotted lavender")</f>
        <v>dotted lavender</v>
      </c>
      <c r="BD155" s="8"/>
      <c r="BE155" s="6"/>
      <c r="BF155" s="8"/>
      <c r="BG155" s="8"/>
      <c r="BH155" s="6"/>
      <c r="BI155" s="8"/>
      <c r="BJ155" s="8"/>
      <c r="BK155" s="6"/>
      <c r="BL155" s="8"/>
      <c r="BM155" s="8"/>
      <c r="BN155" s="6"/>
      <c r="BO155" s="8"/>
      <c r="BP155" s="8"/>
      <c r="BQ155" s="6"/>
      <c r="BR155" s="8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</row>
    <row r="156">
      <c r="A156" s="6"/>
      <c r="B156" s="6" t="s">
        <v>156</v>
      </c>
      <c r="C156" s="3" t="str">
        <f t="shared" si="3"/>
        <v>clear orange</v>
      </c>
      <c r="D156" s="3" t="str">
        <f t="shared" si="17"/>
        <v>ZZZ</v>
      </c>
      <c r="E156" s="3" t="b">
        <f t="array" ref="E156">OR(ISNUMBER(SEARCH(D$2:D$30,$B156,5)))</f>
        <v>0</v>
      </c>
      <c r="G156" s="3" t="str">
        <f t="shared" si="4"/>
        <v>ZZZ</v>
      </c>
      <c r="H156" s="3" t="b">
        <f t="array" ref="H156">OR(ISNUMBER(SEARCH(G$2:G$30,$B156,5)))</f>
        <v>0</v>
      </c>
      <c r="J156" s="3" t="str">
        <f t="shared" si="5"/>
        <v>ZZZ</v>
      </c>
      <c r="K156" s="3" t="b">
        <f t="array" ref="K156">OR(ISNUMBER(SEARCH(J$2:J$30,$B156,5)))</f>
        <v>0</v>
      </c>
      <c r="M156" s="3" t="str">
        <f t="shared" si="6"/>
        <v>ZZZ</v>
      </c>
      <c r="N156" s="3" t="b">
        <f t="array" ref="N156">OR(ISNUMBER(SEARCH(M$2:M$30,$B156,5)))</f>
        <v>0</v>
      </c>
      <c r="P156" s="3" t="str">
        <f t="shared" si="7"/>
        <v>ZZZ</v>
      </c>
      <c r="Q156" s="3" t="b">
        <f t="array" ref="Q156">OR(ISNUMBER(SEARCH(P$2:P$50,$B156,5)))</f>
        <v>0</v>
      </c>
      <c r="S156" s="3" t="str">
        <f t="shared" si="8"/>
        <v>ZZZ</v>
      </c>
      <c r="T156" s="3" t="b">
        <f t="array" ref="T156">OR(ISNUMBER(SEARCH(S$2:S$100,$B156,5)))</f>
        <v>0</v>
      </c>
      <c r="V156" s="3" t="str">
        <f t="shared" si="9"/>
        <v>ZZZ</v>
      </c>
      <c r="W156" s="3" t="b">
        <f t="array" ref="W156">OR(ISNUMBER(SEARCH(V$2:V$100,$B156,5)))</f>
        <v>0</v>
      </c>
      <c r="Y156" s="3" t="str">
        <f t="shared" si="10"/>
        <v>ZZZ</v>
      </c>
      <c r="Z156" s="3" t="b">
        <f t="array" ref="Z156">OR(ISNUMBER(SEARCH(Y$2:Y$100,$B156,5)))</f>
        <v>0</v>
      </c>
      <c r="AB156" s="3" t="str">
        <f t="shared" si="11"/>
        <v>ZZZ</v>
      </c>
      <c r="AC156" s="3" t="b">
        <f t="array" ref="AC156">OR(ISNUMBER(SEARCH(AB$2:AB$100,$B156,5)))</f>
        <v>0</v>
      </c>
      <c r="AE156" s="3" t="str">
        <f t="shared" si="12"/>
        <v>ZZZ</v>
      </c>
      <c r="AF156" s="3" t="b">
        <f t="array" ref="AF156">OR(ISNUMBER(SEARCH(AE$2:AE$100,$B156,5)))</f>
        <v>0</v>
      </c>
      <c r="AH156" s="3" t="str">
        <f t="shared" si="13"/>
        <v>ZZZ</v>
      </c>
      <c r="AI156" s="3" t="b">
        <f t="array" ref="AI156">OR(ISNUMBER(SEARCH(AH$2:AH$100,$B156,5)))</f>
        <v>0</v>
      </c>
      <c r="AK156" s="3" t="str">
        <f t="shared" si="14"/>
        <v>ZZZ</v>
      </c>
      <c r="AL156" s="3" t="b">
        <f t="array" ref="AL156">OR(ISNUMBER(SEARCH(AK$2:AK$100,$B156,5)))</f>
        <v>0</v>
      </c>
      <c r="AU156" s="8"/>
      <c r="AV156" s="6"/>
      <c r="AW156" s="8"/>
      <c r="AX156" s="8"/>
      <c r="AY156" s="6"/>
      <c r="AZ156" s="8"/>
      <c r="BA156" s="8"/>
      <c r="BB156" s="6" t="str">
        <f>IFERROR(__xludf.DUMMYFUNCTION("""COMPUTED_VALUE"""),"plaid orange")</f>
        <v>plaid orange</v>
      </c>
      <c r="BC156" s="8" t="str">
        <f>IFERROR(__xludf.DUMMYFUNCTION("""COMPUTED_VALUE"""),"shiny tomato")</f>
        <v>shiny tomato</v>
      </c>
      <c r="BD156" s="8"/>
      <c r="BE156" s="6"/>
      <c r="BF156" s="8"/>
      <c r="BG156" s="8"/>
      <c r="BH156" s="6"/>
      <c r="BI156" s="8"/>
      <c r="BJ156" s="8"/>
      <c r="BK156" s="6"/>
      <c r="BL156" s="8"/>
      <c r="BM156" s="8"/>
      <c r="BN156" s="6"/>
      <c r="BO156" s="8"/>
      <c r="BP156" s="8"/>
      <c r="BQ156" s="6"/>
      <c r="BR156" s="8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/>
      <c r="KK156" s="7"/>
      <c r="KL156" s="7"/>
      <c r="KM156" s="7"/>
      <c r="KN156" s="7"/>
    </row>
    <row r="157">
      <c r="A157" s="6"/>
      <c r="B157" s="6" t="s">
        <v>157</v>
      </c>
      <c r="C157" s="3" t="str">
        <f t="shared" si="3"/>
        <v>pale yellow</v>
      </c>
      <c r="D157" s="3" t="str">
        <f t="shared" si="17"/>
        <v>ZZZ</v>
      </c>
      <c r="E157" s="3" t="b">
        <f t="array" ref="E157">OR(ISNUMBER(SEARCH(D$2:D$30,$B157,5)))</f>
        <v>0</v>
      </c>
      <c r="G157" s="3" t="str">
        <f t="shared" si="4"/>
        <v>ZZZ</v>
      </c>
      <c r="H157" s="3" t="b">
        <f t="array" ref="H157">OR(ISNUMBER(SEARCH(G$2:G$30,$B157,5)))</f>
        <v>0</v>
      </c>
      <c r="J157" s="3" t="str">
        <f t="shared" si="5"/>
        <v>ZZZ</v>
      </c>
      <c r="K157" s="3" t="b">
        <f t="array" ref="K157">OR(ISNUMBER(SEARCH(J$2:J$30,$B157,5)))</f>
        <v>0</v>
      </c>
      <c r="M157" s="3" t="str">
        <f t="shared" si="6"/>
        <v>ZZZ</v>
      </c>
      <c r="N157" s="3" t="b">
        <f t="array" ref="N157">OR(ISNUMBER(SEARCH(M$2:M$30,$B157,5)))</f>
        <v>0</v>
      </c>
      <c r="P157" s="3" t="str">
        <f t="shared" si="7"/>
        <v>ZZZ</v>
      </c>
      <c r="Q157" s="3" t="b">
        <f t="array" ref="Q157">OR(ISNUMBER(SEARCH(P$2:P$50,$B157,5)))</f>
        <v>0</v>
      </c>
      <c r="S157" s="3" t="str">
        <f t="shared" si="8"/>
        <v>ZZZ</v>
      </c>
      <c r="T157" s="3" t="b">
        <f t="array" ref="T157">OR(ISNUMBER(SEARCH(S$2:S$100,$B157,5)))</f>
        <v>0</v>
      </c>
      <c r="V157" s="3" t="str">
        <f t="shared" si="9"/>
        <v>ZZZ</v>
      </c>
      <c r="W157" s="3" t="b">
        <f t="array" ref="W157">OR(ISNUMBER(SEARCH(V$2:V$100,$B157,5)))</f>
        <v>0</v>
      </c>
      <c r="Y157" s="3" t="str">
        <f t="shared" si="10"/>
        <v>ZZZ</v>
      </c>
      <c r="Z157" s="3" t="b">
        <f t="array" ref="Z157">OR(ISNUMBER(SEARCH(Y$2:Y$100,$B157,5)))</f>
        <v>0</v>
      </c>
      <c r="AB157" s="3" t="str">
        <f t="shared" si="11"/>
        <v>ZZZ</v>
      </c>
      <c r="AC157" s="3" t="b">
        <f t="array" ref="AC157">OR(ISNUMBER(SEARCH(AB$2:AB$100,$B157,5)))</f>
        <v>0</v>
      </c>
      <c r="AE157" s="3" t="str">
        <f t="shared" si="12"/>
        <v>ZZZ</v>
      </c>
      <c r="AF157" s="3" t="b">
        <f t="array" ref="AF157">OR(ISNUMBER(SEARCH(AE$2:AE$100,$B157,5)))</f>
        <v>0</v>
      </c>
      <c r="AH157" s="3" t="str">
        <f t="shared" si="13"/>
        <v>ZZZ</v>
      </c>
      <c r="AI157" s="3" t="b">
        <f t="array" ref="AI157">OR(ISNUMBER(SEARCH(AH$2:AH$100,$B157,5)))</f>
        <v>0</v>
      </c>
      <c r="AK157" s="3" t="str">
        <f t="shared" si="14"/>
        <v>ZZZ</v>
      </c>
      <c r="AL157" s="3" t="b">
        <f t="array" ref="AL157">OR(ISNUMBER(SEARCH(AK$2:AK$100,$B157,5)))</f>
        <v>0</v>
      </c>
      <c r="AU157" s="8"/>
      <c r="AV157" s="6"/>
      <c r="AW157" s="8"/>
      <c r="AX157" s="8"/>
      <c r="AY157" s="6"/>
      <c r="AZ157" s="8"/>
      <c r="BA157" s="8"/>
      <c r="BB157" s="6" t="str">
        <f>IFERROR(__xludf.DUMMYFUNCTION("""COMPUTED_VALUE"""),"dull orange")</f>
        <v>dull orange</v>
      </c>
      <c r="BC157" s="8" t="str">
        <f>IFERROR(__xludf.DUMMYFUNCTION("""COMPUTED_VALUE"""),"dim tan")</f>
        <v>dim tan</v>
      </c>
      <c r="BD157" s="8"/>
      <c r="BE157" s="6"/>
      <c r="BF157" s="8"/>
      <c r="BG157" s="8"/>
      <c r="BH157" s="6"/>
      <c r="BI157" s="8"/>
      <c r="BJ157" s="8"/>
      <c r="BK157" s="6"/>
      <c r="BL157" s="8"/>
      <c r="BM157" s="8"/>
      <c r="BN157" s="6"/>
      <c r="BO157" s="8"/>
      <c r="BP157" s="8"/>
      <c r="BQ157" s="6"/>
      <c r="BR157" s="8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</row>
    <row r="158">
      <c r="A158" s="6"/>
      <c r="B158" s="6" t="s">
        <v>158</v>
      </c>
      <c r="C158" s="3" t="str">
        <f t="shared" si="3"/>
        <v>posh cyan</v>
      </c>
      <c r="D158" s="3" t="str">
        <f t="shared" si="17"/>
        <v>ZZZ</v>
      </c>
      <c r="E158" s="3" t="b">
        <f t="array" ref="E158">OR(ISNUMBER(SEARCH(D$2:D$30,$B158,5)))</f>
        <v>0</v>
      </c>
      <c r="G158" s="3" t="str">
        <f t="shared" si="4"/>
        <v>ZZZ</v>
      </c>
      <c r="H158" s="3" t="b">
        <f t="array" ref="H158">OR(ISNUMBER(SEARCH(G$2:G$30,$B158,5)))</f>
        <v>0</v>
      </c>
      <c r="J158" s="3" t="str">
        <f t="shared" si="5"/>
        <v>ZZZ</v>
      </c>
      <c r="K158" s="3" t="b">
        <f t="array" ref="K158">OR(ISNUMBER(SEARCH(J$2:J$30,$B158,5)))</f>
        <v>0</v>
      </c>
      <c r="M158" s="3" t="str">
        <f t="shared" si="6"/>
        <v>ZZZ</v>
      </c>
      <c r="N158" s="3" t="b">
        <f t="array" ref="N158">OR(ISNUMBER(SEARCH(M$2:M$30,$B158,5)))</f>
        <v>0</v>
      </c>
      <c r="P158" s="3" t="str">
        <f t="shared" si="7"/>
        <v>ZZZ</v>
      </c>
      <c r="Q158" s="3" t="b">
        <f t="array" ref="Q158">OR(ISNUMBER(SEARCH(P$2:P$50,$B158,5)))</f>
        <v>0</v>
      </c>
      <c r="S158" s="3" t="str">
        <f t="shared" si="8"/>
        <v>ZZZ</v>
      </c>
      <c r="T158" s="3" t="b">
        <f t="array" ref="T158">OR(ISNUMBER(SEARCH(S$2:S$100,$B158,5)))</f>
        <v>0</v>
      </c>
      <c r="V158" s="3" t="str">
        <f t="shared" si="9"/>
        <v>ZZZ</v>
      </c>
      <c r="W158" s="3" t="b">
        <f t="array" ref="W158">OR(ISNUMBER(SEARCH(V$2:V$100,$B158,5)))</f>
        <v>0</v>
      </c>
      <c r="Y158" s="3" t="str">
        <f t="shared" si="10"/>
        <v>ZZZ</v>
      </c>
      <c r="Z158" s="3" t="b">
        <f t="array" ref="Z158">OR(ISNUMBER(SEARCH(Y$2:Y$100,$B158,5)))</f>
        <v>0</v>
      </c>
      <c r="AB158" s="3" t="str">
        <f t="shared" si="11"/>
        <v>ZZZ</v>
      </c>
      <c r="AC158" s="3" t="b">
        <f t="array" ref="AC158">OR(ISNUMBER(SEARCH(AB$2:AB$100,$B158,5)))</f>
        <v>0</v>
      </c>
      <c r="AE158" s="3" t="str">
        <f t="shared" si="12"/>
        <v>ZZZ</v>
      </c>
      <c r="AF158" s="3" t="b">
        <f t="array" ref="AF158">OR(ISNUMBER(SEARCH(AE$2:AE$100,$B158,5)))</f>
        <v>0</v>
      </c>
      <c r="AH158" s="3" t="str">
        <f t="shared" si="13"/>
        <v>ZZZ</v>
      </c>
      <c r="AI158" s="3" t="b">
        <f t="array" ref="AI158">OR(ISNUMBER(SEARCH(AH$2:AH$100,$B158,5)))</f>
        <v>0</v>
      </c>
      <c r="AK158" s="3" t="str">
        <f t="shared" si="14"/>
        <v>ZZZ</v>
      </c>
      <c r="AL158" s="3" t="b">
        <f t="array" ref="AL158">OR(ISNUMBER(SEARCH(AK$2:AK$100,$B158,5)))</f>
        <v>0</v>
      </c>
      <c r="AU158" s="8"/>
      <c r="AV158" s="6"/>
      <c r="AW158" s="8"/>
      <c r="AX158" s="8"/>
      <c r="AY158" s="6"/>
      <c r="AZ158" s="8"/>
      <c r="BA158" s="8"/>
      <c r="BB158" s="6" t="str">
        <f>IFERROR(__xludf.DUMMYFUNCTION("""COMPUTED_VALUE"""),"drab turquoise")</f>
        <v>drab turquoise</v>
      </c>
      <c r="BC158" s="8" t="str">
        <f>IFERROR(__xludf.DUMMYFUNCTION("""COMPUTED_VALUE"""),"light magenta")</f>
        <v>light magenta</v>
      </c>
      <c r="BD158" s="8"/>
      <c r="BE158" s="6"/>
      <c r="BF158" s="8"/>
      <c r="BG158" s="8"/>
      <c r="BH158" s="6"/>
      <c r="BI158" s="8"/>
      <c r="BJ158" s="8"/>
      <c r="BK158" s="6"/>
      <c r="BL158" s="8"/>
      <c r="BM158" s="8"/>
      <c r="BN158" s="6"/>
      <c r="BO158" s="8"/>
      <c r="BP158" s="8"/>
      <c r="BQ158" s="6"/>
      <c r="BR158" s="8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/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</row>
    <row r="159">
      <c r="A159" s="6"/>
      <c r="B159" s="6" t="s">
        <v>159</v>
      </c>
      <c r="C159" s="3" t="str">
        <f t="shared" si="3"/>
        <v>drab tomato</v>
      </c>
      <c r="D159" s="3" t="str">
        <f t="shared" si="17"/>
        <v>ZZZ</v>
      </c>
      <c r="E159" s="3" t="b">
        <f t="array" ref="E159">OR(ISNUMBER(SEARCH(D$2:D$30,$B159,5)))</f>
        <v>0</v>
      </c>
      <c r="G159" s="3" t="str">
        <f t="shared" si="4"/>
        <v>ZZZ</v>
      </c>
      <c r="H159" s="3" t="b">
        <f t="array" ref="H159">OR(ISNUMBER(SEARCH(G$2:G$30,$B159,5)))</f>
        <v>0</v>
      </c>
      <c r="J159" s="3" t="str">
        <f t="shared" si="5"/>
        <v>ZZZ</v>
      </c>
      <c r="K159" s="3" t="b">
        <f t="array" ref="K159">OR(ISNUMBER(SEARCH(J$2:J$30,$B159,5)))</f>
        <v>0</v>
      </c>
      <c r="M159" s="3" t="str">
        <f t="shared" si="6"/>
        <v>ZZZ</v>
      </c>
      <c r="N159" s="3" t="b">
        <f t="array" ref="N159">OR(ISNUMBER(SEARCH(M$2:M$30,$B159,5)))</f>
        <v>0</v>
      </c>
      <c r="P159" s="3" t="str">
        <f t="shared" si="7"/>
        <v>ZZZ</v>
      </c>
      <c r="Q159" s="3" t="b">
        <f t="array" ref="Q159">OR(ISNUMBER(SEARCH(P$2:P$50,$B159,5)))</f>
        <v>0</v>
      </c>
      <c r="S159" s="3" t="str">
        <f t="shared" si="8"/>
        <v>ZZZ</v>
      </c>
      <c r="T159" s="3" t="b">
        <f t="array" ref="T159">OR(ISNUMBER(SEARCH(S$2:S$100,$B159,5)))</f>
        <v>0</v>
      </c>
      <c r="V159" s="3" t="str">
        <f t="shared" si="9"/>
        <v>ZZZ</v>
      </c>
      <c r="W159" s="3" t="b">
        <f t="array" ref="W159">OR(ISNUMBER(SEARCH(V$2:V$100,$B159,5)))</f>
        <v>0</v>
      </c>
      <c r="Y159" s="3" t="str">
        <f t="shared" si="10"/>
        <v>ZZZ</v>
      </c>
      <c r="Z159" s="3" t="b">
        <f t="array" ref="Z159">OR(ISNUMBER(SEARCH(Y$2:Y$100,$B159,5)))</f>
        <v>0</v>
      </c>
      <c r="AB159" s="3" t="str">
        <f t="shared" si="11"/>
        <v>ZZZ</v>
      </c>
      <c r="AC159" s="3" t="b">
        <f t="array" ref="AC159">OR(ISNUMBER(SEARCH(AB$2:AB$100,$B159,5)))</f>
        <v>0</v>
      </c>
      <c r="AE159" s="3" t="str">
        <f t="shared" si="12"/>
        <v>ZZZ</v>
      </c>
      <c r="AF159" s="3" t="b">
        <f t="array" ref="AF159">OR(ISNUMBER(SEARCH(AE$2:AE$100,$B159,5)))</f>
        <v>0</v>
      </c>
      <c r="AH159" s="3" t="str">
        <f t="shared" si="13"/>
        <v>ZZZ</v>
      </c>
      <c r="AI159" s="3" t="b">
        <f t="array" ref="AI159">OR(ISNUMBER(SEARCH(AH$2:AH$100,$B159,5)))</f>
        <v>0</v>
      </c>
      <c r="AK159" s="3" t="str">
        <f t="shared" si="14"/>
        <v>ZZZ</v>
      </c>
      <c r="AL159" s="3" t="b">
        <f t="array" ref="AL159">OR(ISNUMBER(SEARCH(AK$2:AK$100,$B159,5)))</f>
        <v>0</v>
      </c>
      <c r="AU159" s="8"/>
      <c r="AV159" s="6"/>
      <c r="AW159" s="8"/>
      <c r="AX159" s="8"/>
      <c r="AY159" s="6"/>
      <c r="AZ159" s="8"/>
      <c r="BA159" s="8"/>
      <c r="BB159" s="6" t="str">
        <f>IFERROR(__xludf.DUMMYFUNCTION("""COMPUTED_VALUE"""),"pale brown")</f>
        <v>pale brown</v>
      </c>
      <c r="BC159" s="8" t="str">
        <f>IFERROR(__xludf.DUMMYFUNCTION("""COMPUTED_VALUE"""),"light maroon")</f>
        <v>light maroon</v>
      </c>
      <c r="BD159" s="8"/>
      <c r="BE159" s="6"/>
      <c r="BF159" s="8"/>
      <c r="BG159" s="8"/>
      <c r="BH159" s="6"/>
      <c r="BI159" s="8"/>
      <c r="BJ159" s="8"/>
      <c r="BK159" s="6"/>
      <c r="BL159" s="8"/>
      <c r="BM159" s="8"/>
      <c r="BN159" s="6"/>
      <c r="BO159" s="8"/>
      <c r="BP159" s="8"/>
      <c r="BQ159" s="6"/>
      <c r="BR159" s="8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</row>
    <row r="160">
      <c r="A160" s="6"/>
      <c r="B160" s="6" t="s">
        <v>160</v>
      </c>
      <c r="C160" s="3" t="str">
        <f t="shared" si="3"/>
        <v>pale orange</v>
      </c>
      <c r="D160" s="3" t="str">
        <f t="shared" si="17"/>
        <v>ZZZ</v>
      </c>
      <c r="E160" s="3" t="b">
        <f t="array" ref="E160">OR(ISNUMBER(SEARCH(D$2:D$30,$B160,5)))</f>
        <v>0</v>
      </c>
      <c r="G160" s="3" t="str">
        <f t="shared" si="4"/>
        <v>ZZZ</v>
      </c>
      <c r="H160" s="3" t="b">
        <f t="array" ref="H160">OR(ISNUMBER(SEARCH(G$2:G$30,$B160,5)))</f>
        <v>0</v>
      </c>
      <c r="J160" s="3" t="str">
        <f t="shared" si="5"/>
        <v>ZZZ</v>
      </c>
      <c r="K160" s="3" t="b">
        <f t="array" ref="K160">OR(ISNUMBER(SEARCH(J$2:J$30,$B160,5)))</f>
        <v>0</v>
      </c>
      <c r="M160" s="3" t="str">
        <f t="shared" si="6"/>
        <v>ZZZ</v>
      </c>
      <c r="N160" s="3" t="b">
        <f t="array" ref="N160">OR(ISNUMBER(SEARCH(M$2:M$30,$B160,5)))</f>
        <v>1</v>
      </c>
      <c r="P160" s="3" t="str">
        <f t="shared" si="7"/>
        <v>ZZZ</v>
      </c>
      <c r="Q160" s="3" t="b">
        <f t="array" ref="Q160">OR(ISNUMBER(SEARCH(P$2:P$50,$B160,5)))</f>
        <v>0</v>
      </c>
      <c r="S160" s="3" t="str">
        <f t="shared" si="8"/>
        <v>ZZZ</v>
      </c>
      <c r="T160" s="3" t="b">
        <f t="array" ref="T160">OR(ISNUMBER(SEARCH(S$2:S$100,$B160,5)))</f>
        <v>0</v>
      </c>
      <c r="V160" s="3" t="str">
        <f t="shared" si="9"/>
        <v>ZZZ</v>
      </c>
      <c r="W160" s="3" t="b">
        <f t="array" ref="W160">OR(ISNUMBER(SEARCH(V$2:V$100,$B160,5)))</f>
        <v>0</v>
      </c>
      <c r="Y160" s="3" t="str">
        <f t="shared" si="10"/>
        <v>ZZZ</v>
      </c>
      <c r="Z160" s="3" t="b">
        <f t="array" ref="Z160">OR(ISNUMBER(SEARCH(Y$2:Y$100,$B160,5)))</f>
        <v>0</v>
      </c>
      <c r="AB160" s="3" t="str">
        <f t="shared" si="11"/>
        <v>ZZZ</v>
      </c>
      <c r="AC160" s="3" t="b">
        <f t="array" ref="AC160">OR(ISNUMBER(SEARCH(AB$2:AB$100,$B160,5)))</f>
        <v>0</v>
      </c>
      <c r="AE160" s="3" t="str">
        <f t="shared" si="12"/>
        <v>ZZZ</v>
      </c>
      <c r="AF160" s="3" t="b">
        <f t="array" ref="AF160">OR(ISNUMBER(SEARCH(AE$2:AE$100,$B160,5)))</f>
        <v>0</v>
      </c>
      <c r="AH160" s="3" t="str">
        <f t="shared" si="13"/>
        <v>ZZZ</v>
      </c>
      <c r="AI160" s="3" t="b">
        <f t="array" ref="AI160">OR(ISNUMBER(SEARCH(AH$2:AH$100,$B160,5)))</f>
        <v>0</v>
      </c>
      <c r="AK160" s="3" t="str">
        <f t="shared" si="14"/>
        <v>ZZZ</v>
      </c>
      <c r="AL160" s="3" t="b">
        <f t="array" ref="AL160">OR(ISNUMBER(SEARCH(AK$2:AK$100,$B160,5)))</f>
        <v>0</v>
      </c>
      <c r="AU160" s="8"/>
      <c r="AV160" s="6"/>
      <c r="AW160" s="8"/>
      <c r="AX160" s="8"/>
      <c r="AY160" s="6"/>
      <c r="AZ160" s="8"/>
      <c r="BA160" s="8"/>
      <c r="BB160" s="6" t="str">
        <f>IFERROR(__xludf.DUMMYFUNCTION("""COMPUTED_VALUE"""),"shiny violet")</f>
        <v>shiny violet</v>
      </c>
      <c r="BC160" s="8" t="str">
        <f>IFERROR(__xludf.DUMMYFUNCTION("""COMPUTED_VALUE"""),"faded blue")</f>
        <v>faded blue</v>
      </c>
      <c r="BD160" s="8"/>
      <c r="BE160" s="6"/>
      <c r="BF160" s="8"/>
      <c r="BG160" s="8"/>
      <c r="BH160" s="6"/>
      <c r="BI160" s="8"/>
      <c r="BJ160" s="8"/>
      <c r="BK160" s="6"/>
      <c r="BL160" s="8"/>
      <c r="BM160" s="8"/>
      <c r="BN160" s="6"/>
      <c r="BO160" s="8"/>
      <c r="BP160" s="8"/>
      <c r="BQ160" s="6"/>
      <c r="BR160" s="8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</row>
    <row r="161">
      <c r="A161" s="6"/>
      <c r="B161" s="6" t="s">
        <v>161</v>
      </c>
      <c r="C161" s="3" t="str">
        <f t="shared" si="3"/>
        <v>dull tomato</v>
      </c>
      <c r="D161" s="3" t="str">
        <f t="shared" si="17"/>
        <v>ZZZ</v>
      </c>
      <c r="E161" s="3" t="b">
        <f t="array" ref="E161">OR(ISNUMBER(SEARCH(D$2:D$30,$B161,5)))</f>
        <v>0</v>
      </c>
      <c r="G161" s="3" t="str">
        <f t="shared" si="4"/>
        <v>ZZZ</v>
      </c>
      <c r="H161" s="3" t="b">
        <f t="array" ref="H161">OR(ISNUMBER(SEARCH(G$2:G$30,$B161,5)))</f>
        <v>0</v>
      </c>
      <c r="J161" s="3" t="str">
        <f t="shared" si="5"/>
        <v>ZZZ</v>
      </c>
      <c r="K161" s="3" t="b">
        <f t="array" ref="K161">OR(ISNUMBER(SEARCH(J$2:J$30,$B161,5)))</f>
        <v>0</v>
      </c>
      <c r="M161" s="3" t="str">
        <f t="shared" si="6"/>
        <v>ZZZ</v>
      </c>
      <c r="N161" s="3" t="b">
        <f t="array" ref="N161">OR(ISNUMBER(SEARCH(M$2:M$30,$B161,5)))</f>
        <v>0</v>
      </c>
      <c r="P161" s="3" t="str">
        <f t="shared" si="7"/>
        <v>ZZZ</v>
      </c>
      <c r="Q161" s="3" t="b">
        <f t="array" ref="Q161">OR(ISNUMBER(SEARCH(P$2:P$50,$B161,5)))</f>
        <v>0</v>
      </c>
      <c r="S161" s="3" t="str">
        <f t="shared" si="8"/>
        <v>ZZZ</v>
      </c>
      <c r="T161" s="3" t="b">
        <f t="array" ref="T161">OR(ISNUMBER(SEARCH(S$2:S$100,$B161,5)))</f>
        <v>0</v>
      </c>
      <c r="V161" s="3" t="str">
        <f t="shared" si="9"/>
        <v>ZZZ</v>
      </c>
      <c r="W161" s="3" t="b">
        <f t="array" ref="W161">OR(ISNUMBER(SEARCH(V$2:V$100,$B161,5)))</f>
        <v>0</v>
      </c>
      <c r="Y161" s="3" t="str">
        <f t="shared" si="10"/>
        <v>ZZZ</v>
      </c>
      <c r="Z161" s="3" t="b">
        <f t="array" ref="Z161">OR(ISNUMBER(SEARCH(Y$2:Y$100,$B161,5)))</f>
        <v>0</v>
      </c>
      <c r="AB161" s="3" t="str">
        <f t="shared" si="11"/>
        <v>ZZZ</v>
      </c>
      <c r="AC161" s="3" t="b">
        <f t="array" ref="AC161">OR(ISNUMBER(SEARCH(AB$2:AB$100,$B161,5)))</f>
        <v>0</v>
      </c>
      <c r="AE161" s="3" t="str">
        <f t="shared" si="12"/>
        <v>ZZZ</v>
      </c>
      <c r="AF161" s="3" t="b">
        <f t="array" ref="AF161">OR(ISNUMBER(SEARCH(AE$2:AE$100,$B161,5)))</f>
        <v>0</v>
      </c>
      <c r="AH161" s="3" t="str">
        <f t="shared" si="13"/>
        <v>ZZZ</v>
      </c>
      <c r="AI161" s="3" t="b">
        <f t="array" ref="AI161">OR(ISNUMBER(SEARCH(AH$2:AH$100,$B161,5)))</f>
        <v>0</v>
      </c>
      <c r="AK161" s="3" t="str">
        <f t="shared" si="14"/>
        <v>ZZZ</v>
      </c>
      <c r="AL161" s="3" t="b">
        <f t="array" ref="AL161">OR(ISNUMBER(SEARCH(AK$2:AK$100,$B161,5)))</f>
        <v>0</v>
      </c>
      <c r="AU161" s="8"/>
      <c r="AV161" s="6"/>
      <c r="AW161" s="8"/>
      <c r="AX161" s="8"/>
      <c r="AY161" s="6"/>
      <c r="AZ161" s="8"/>
      <c r="BA161" s="8"/>
      <c r="BB161" s="6" t="str">
        <f>IFERROR(__xludf.DUMMYFUNCTION("""COMPUTED_VALUE"""),"clear bronze")</f>
        <v>clear bronze</v>
      </c>
      <c r="BC161" s="8" t="str">
        <f>IFERROR(__xludf.DUMMYFUNCTION("""COMPUTED_VALUE"""),"wavy lavender")</f>
        <v>wavy lavender</v>
      </c>
      <c r="BD161" s="8"/>
      <c r="BE161" s="6"/>
      <c r="BF161" s="8"/>
      <c r="BG161" s="8"/>
      <c r="BH161" s="6"/>
      <c r="BI161" s="8"/>
      <c r="BJ161" s="8"/>
      <c r="BK161" s="6"/>
      <c r="BL161" s="8"/>
      <c r="BM161" s="8"/>
      <c r="BN161" s="6"/>
      <c r="BO161" s="8"/>
      <c r="BP161" s="8"/>
      <c r="BQ161" s="6"/>
      <c r="BR161" s="8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</row>
    <row r="162">
      <c r="A162" s="6"/>
      <c r="B162" s="6" t="s">
        <v>162</v>
      </c>
      <c r="C162" s="3" t="str">
        <f t="shared" si="3"/>
        <v>pale turquoise</v>
      </c>
      <c r="D162" s="3" t="str">
        <f t="shared" si="17"/>
        <v>ZZZ</v>
      </c>
      <c r="E162" s="3" t="b">
        <f t="array" ref="E162">OR(ISNUMBER(SEARCH(D$2:D$30,$B162,5)))</f>
        <v>0</v>
      </c>
      <c r="G162" s="3" t="str">
        <f t="shared" si="4"/>
        <v>ZZZ</v>
      </c>
      <c r="H162" s="3" t="b">
        <f t="array" ref="H162">OR(ISNUMBER(SEARCH(G$2:G$30,$B162,5)))</f>
        <v>0</v>
      </c>
      <c r="J162" s="3" t="str">
        <f t="shared" si="5"/>
        <v>ZZZ</v>
      </c>
      <c r="K162" s="3" t="b">
        <f t="array" ref="K162">OR(ISNUMBER(SEARCH(J$2:J$30,$B162,5)))</f>
        <v>0</v>
      </c>
      <c r="M162" s="3" t="str">
        <f t="shared" si="6"/>
        <v>ZZZ</v>
      </c>
      <c r="N162" s="3" t="b">
        <f t="array" ref="N162">OR(ISNUMBER(SEARCH(M$2:M$30,$B162,5)))</f>
        <v>0</v>
      </c>
      <c r="P162" s="3" t="str">
        <f t="shared" si="7"/>
        <v>ZZZ</v>
      </c>
      <c r="Q162" s="3" t="b">
        <f t="array" ref="Q162">OR(ISNUMBER(SEARCH(P$2:P$50,$B162,5)))</f>
        <v>0</v>
      </c>
      <c r="S162" s="3" t="str">
        <f t="shared" si="8"/>
        <v>ZZZ</v>
      </c>
      <c r="T162" s="3" t="b">
        <f t="array" ref="T162">OR(ISNUMBER(SEARCH(S$2:S$100,$B162,5)))</f>
        <v>0</v>
      </c>
      <c r="V162" s="3" t="str">
        <f t="shared" si="9"/>
        <v>ZZZ</v>
      </c>
      <c r="W162" s="3" t="b">
        <f t="array" ref="W162">OR(ISNUMBER(SEARCH(V$2:V$100,$B162,5)))</f>
        <v>1</v>
      </c>
      <c r="Y162" s="3" t="str">
        <f t="shared" si="10"/>
        <v>ZZZ</v>
      </c>
      <c r="Z162" s="3" t="b">
        <f t="array" ref="Z162">OR(ISNUMBER(SEARCH(Y$2:Y$100,$B162,5)))</f>
        <v>0</v>
      </c>
      <c r="AB162" s="3" t="str">
        <f t="shared" si="11"/>
        <v>ZZZ</v>
      </c>
      <c r="AC162" s="3" t="b">
        <f t="array" ref="AC162">OR(ISNUMBER(SEARCH(AB$2:AB$100,$B162,5)))</f>
        <v>0</v>
      </c>
      <c r="AE162" s="3" t="str">
        <f t="shared" si="12"/>
        <v>ZZZ</v>
      </c>
      <c r="AF162" s="3" t="b">
        <f t="array" ref="AF162">OR(ISNUMBER(SEARCH(AE$2:AE$100,$B162,5)))</f>
        <v>0</v>
      </c>
      <c r="AH162" s="3" t="str">
        <f t="shared" si="13"/>
        <v>ZZZ</v>
      </c>
      <c r="AI162" s="3" t="b">
        <f t="array" ref="AI162">OR(ISNUMBER(SEARCH(AH$2:AH$100,$B162,5)))</f>
        <v>0</v>
      </c>
      <c r="AK162" s="3" t="str">
        <f t="shared" si="14"/>
        <v>ZZZ</v>
      </c>
      <c r="AL162" s="3" t="b">
        <f t="array" ref="AL162">OR(ISNUMBER(SEARCH(AK$2:AK$100,$B162,5)))</f>
        <v>0</v>
      </c>
      <c r="AU162" s="8"/>
      <c r="AV162" s="6"/>
      <c r="AW162" s="8"/>
      <c r="AX162" s="8"/>
      <c r="AY162" s="6"/>
      <c r="AZ162" s="8"/>
      <c r="BA162" s="8"/>
      <c r="BB162" s="6" t="str">
        <f>IFERROR(__xludf.DUMMYFUNCTION("""COMPUTED_VALUE"""),"wavy white")</f>
        <v>wavy white</v>
      </c>
      <c r="BC162" s="8" t="str">
        <f>IFERROR(__xludf.DUMMYFUNCTION("""COMPUTED_VALUE"""),"clear gold")</f>
        <v>clear gold</v>
      </c>
      <c r="BD162" s="8"/>
      <c r="BE162" s="6"/>
      <c r="BF162" s="8"/>
      <c r="BG162" s="8"/>
      <c r="BH162" s="6"/>
      <c r="BI162" s="8"/>
      <c r="BJ162" s="8"/>
      <c r="BK162" s="6"/>
      <c r="BL162" s="8"/>
      <c r="BM162" s="8"/>
      <c r="BN162" s="6"/>
      <c r="BO162" s="8"/>
      <c r="BP162" s="8"/>
      <c r="BQ162" s="6"/>
      <c r="BR162" s="8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/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/>
      <c r="KK162" s="7"/>
      <c r="KL162" s="7"/>
      <c r="KM162" s="7"/>
      <c r="KN162" s="7"/>
    </row>
    <row r="163">
      <c r="A163" s="6"/>
      <c r="B163" s="6" t="s">
        <v>163</v>
      </c>
      <c r="C163" s="3" t="str">
        <f t="shared" si="3"/>
        <v>plaid maroon</v>
      </c>
      <c r="D163" s="3" t="str">
        <f t="shared" si="17"/>
        <v>ZZZ</v>
      </c>
      <c r="E163" s="3" t="b">
        <f t="array" ref="E163">OR(ISNUMBER(SEARCH(D$2:D$30,$B163,5)))</f>
        <v>0</v>
      </c>
      <c r="G163" s="3" t="str">
        <f t="shared" si="4"/>
        <v>ZZZ</v>
      </c>
      <c r="H163" s="3" t="b">
        <f t="array" ref="H163">OR(ISNUMBER(SEARCH(G$2:G$30,$B163,5)))</f>
        <v>0</v>
      </c>
      <c r="J163" s="3" t="str">
        <f t="shared" si="5"/>
        <v>ZZZ</v>
      </c>
      <c r="K163" s="3" t="b">
        <f t="array" ref="K163">OR(ISNUMBER(SEARCH(J$2:J$30,$B163,5)))</f>
        <v>0</v>
      </c>
      <c r="M163" s="3" t="str">
        <f t="shared" si="6"/>
        <v>ZZZ</v>
      </c>
      <c r="N163" s="3" t="b">
        <f t="array" ref="N163">OR(ISNUMBER(SEARCH(M$2:M$30,$B163,5)))</f>
        <v>0</v>
      </c>
      <c r="P163" s="3" t="str">
        <f t="shared" si="7"/>
        <v>ZZZ</v>
      </c>
      <c r="Q163" s="3" t="b">
        <f t="array" ref="Q163">OR(ISNUMBER(SEARCH(P$2:P$50,$B163,5)))</f>
        <v>0</v>
      </c>
      <c r="S163" s="3" t="str">
        <f t="shared" si="8"/>
        <v>ZZZ</v>
      </c>
      <c r="T163" s="3" t="b">
        <f t="array" ref="T163">OR(ISNUMBER(SEARCH(S$2:S$100,$B163,5)))</f>
        <v>0</v>
      </c>
      <c r="V163" s="3" t="str">
        <f t="shared" si="9"/>
        <v>ZZZ</v>
      </c>
      <c r="W163" s="3" t="b">
        <f t="array" ref="W163">OR(ISNUMBER(SEARCH(V$2:V$100,$B163,5)))</f>
        <v>0</v>
      </c>
      <c r="Y163" s="3" t="str">
        <f t="shared" si="10"/>
        <v>ZZZ</v>
      </c>
      <c r="Z163" s="3" t="b">
        <f t="array" ref="Z163">OR(ISNUMBER(SEARCH(Y$2:Y$100,$B163,5)))</f>
        <v>0</v>
      </c>
      <c r="AB163" s="3" t="str">
        <f t="shared" si="11"/>
        <v>ZZZ</v>
      </c>
      <c r="AC163" s="3" t="b">
        <f t="array" ref="AC163">OR(ISNUMBER(SEARCH(AB$2:AB$100,$B163,5)))</f>
        <v>0</v>
      </c>
      <c r="AE163" s="3" t="str">
        <f t="shared" si="12"/>
        <v>ZZZ</v>
      </c>
      <c r="AF163" s="3" t="b">
        <f t="array" ref="AF163">OR(ISNUMBER(SEARCH(AE$2:AE$100,$B163,5)))</f>
        <v>0</v>
      </c>
      <c r="AH163" s="3" t="str">
        <f t="shared" si="13"/>
        <v>ZZZ</v>
      </c>
      <c r="AI163" s="3" t="b">
        <f t="array" ref="AI163">OR(ISNUMBER(SEARCH(AH$2:AH$100,$B163,5)))</f>
        <v>0</v>
      </c>
      <c r="AK163" s="3" t="str">
        <f t="shared" si="14"/>
        <v>ZZZ</v>
      </c>
      <c r="AL163" s="3" t="b">
        <f t="array" ref="AL163">OR(ISNUMBER(SEARCH(AK$2:AK$100,$B163,5)))</f>
        <v>0</v>
      </c>
      <c r="AU163" s="8"/>
      <c r="AV163" s="6"/>
      <c r="AW163" s="8"/>
      <c r="AX163" s="8"/>
      <c r="AY163" s="6"/>
      <c r="AZ163" s="8"/>
      <c r="BA163" s="8"/>
      <c r="BB163" s="6" t="str">
        <f>IFERROR(__xludf.DUMMYFUNCTION("""COMPUTED_VALUE"""),"faded olive")</f>
        <v>faded olive</v>
      </c>
      <c r="BC163" s="8" t="str">
        <f>IFERROR(__xludf.DUMMYFUNCTION("""COMPUTED_VALUE"""),"drab plum")</f>
        <v>drab plum</v>
      </c>
      <c r="BD163" s="8"/>
      <c r="BE163" s="6"/>
      <c r="BF163" s="8"/>
      <c r="BG163" s="8"/>
      <c r="BH163" s="6"/>
      <c r="BI163" s="8"/>
      <c r="BJ163" s="8"/>
      <c r="BK163" s="6"/>
      <c r="BL163" s="8"/>
      <c r="BM163" s="8"/>
      <c r="BN163" s="6"/>
      <c r="BO163" s="8"/>
      <c r="BP163" s="8"/>
      <c r="BQ163" s="6"/>
      <c r="BR163" s="8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</row>
    <row r="164">
      <c r="A164" s="6"/>
      <c r="B164" s="6" t="s">
        <v>164</v>
      </c>
      <c r="C164" s="3" t="str">
        <f t="shared" si="3"/>
        <v>vibrant beige</v>
      </c>
      <c r="D164" s="3" t="str">
        <f t="shared" si="17"/>
        <v>ZZZ</v>
      </c>
      <c r="E164" s="3" t="b">
        <f t="array" ref="E164">OR(ISNUMBER(SEARCH(D$2:D$30,$B164,5)))</f>
        <v>0</v>
      </c>
      <c r="G164" s="3" t="str">
        <f t="shared" si="4"/>
        <v>ZZZ</v>
      </c>
      <c r="H164" s="3" t="b">
        <f t="array" ref="H164">OR(ISNUMBER(SEARCH(G$2:G$30,$B164,5)))</f>
        <v>0</v>
      </c>
      <c r="J164" s="3" t="str">
        <f t="shared" si="5"/>
        <v>ZZZ</v>
      </c>
      <c r="K164" s="3" t="b">
        <f t="array" ref="K164">OR(ISNUMBER(SEARCH(J$2:J$30,$B164,5)))</f>
        <v>0</v>
      </c>
      <c r="M164" s="3" t="str">
        <f t="shared" si="6"/>
        <v>ZZZ</v>
      </c>
      <c r="N164" s="3" t="b">
        <f t="array" ref="N164">OR(ISNUMBER(SEARCH(M$2:M$30,$B164,5)))</f>
        <v>0</v>
      </c>
      <c r="P164" s="3" t="str">
        <f t="shared" si="7"/>
        <v>ZZZ</v>
      </c>
      <c r="Q164" s="3" t="b">
        <f t="array" ref="Q164">OR(ISNUMBER(SEARCH(P$2:P$50,$B164,5)))</f>
        <v>0</v>
      </c>
      <c r="S164" s="3" t="str">
        <f t="shared" si="8"/>
        <v>ZZZ</v>
      </c>
      <c r="T164" s="3" t="b">
        <f t="array" ref="T164">OR(ISNUMBER(SEARCH(S$2:S$100,$B164,5)))</f>
        <v>0</v>
      </c>
      <c r="V164" s="3" t="str">
        <f t="shared" si="9"/>
        <v>ZZZ</v>
      </c>
      <c r="W164" s="3" t="b">
        <f t="array" ref="W164">OR(ISNUMBER(SEARCH(V$2:V$100,$B164,5)))</f>
        <v>0</v>
      </c>
      <c r="Y164" s="3" t="str">
        <f t="shared" si="10"/>
        <v>ZZZ</v>
      </c>
      <c r="Z164" s="3" t="b">
        <f t="array" ref="Z164">OR(ISNUMBER(SEARCH(Y$2:Y$100,$B164,5)))</f>
        <v>0</v>
      </c>
      <c r="AB164" s="3" t="str">
        <f t="shared" si="11"/>
        <v>ZZZ</v>
      </c>
      <c r="AC164" s="3" t="b">
        <f t="array" ref="AC164">OR(ISNUMBER(SEARCH(AB$2:AB$100,$B164,5)))</f>
        <v>0</v>
      </c>
      <c r="AE164" s="3" t="str">
        <f t="shared" si="12"/>
        <v>ZZZ</v>
      </c>
      <c r="AF164" s="3" t="b">
        <f t="array" ref="AF164">OR(ISNUMBER(SEARCH(AE$2:AE$100,$B164,5)))</f>
        <v>0</v>
      </c>
      <c r="AH164" s="3" t="str">
        <f t="shared" si="13"/>
        <v>ZZZ</v>
      </c>
      <c r="AI164" s="3" t="b">
        <f t="array" ref="AI164">OR(ISNUMBER(SEARCH(AH$2:AH$100,$B164,5)))</f>
        <v>0</v>
      </c>
      <c r="AK164" s="3" t="str">
        <f t="shared" si="14"/>
        <v>ZZZ</v>
      </c>
      <c r="AL164" s="3" t="b">
        <f t="array" ref="AL164">OR(ISNUMBER(SEARCH(AK$2:AK$100,$B164,5)))</f>
        <v>0</v>
      </c>
      <c r="AU164" s="8"/>
      <c r="AV164" s="6"/>
      <c r="AW164" s="8"/>
      <c r="AX164" s="8"/>
      <c r="AY164" s="6"/>
      <c r="AZ164" s="8"/>
      <c r="BA164" s="8"/>
      <c r="BB164" s="6" t="str">
        <f>IFERROR(__xludf.DUMMYFUNCTION("""COMPUTED_VALUE"""),"dark silver")</f>
        <v>dark silver</v>
      </c>
      <c r="BC164" s="8" t="str">
        <f>IFERROR(__xludf.DUMMYFUNCTION("""COMPUTED_VALUE"""),"bright red")</f>
        <v>bright red</v>
      </c>
      <c r="BD164" s="8"/>
      <c r="BE164" s="6"/>
      <c r="BF164" s="8"/>
      <c r="BG164" s="8"/>
      <c r="BH164" s="6"/>
      <c r="BI164" s="8"/>
      <c r="BJ164" s="8"/>
      <c r="BK164" s="6"/>
      <c r="BL164" s="8"/>
      <c r="BM164" s="8"/>
      <c r="BN164" s="6"/>
      <c r="BO164" s="8"/>
      <c r="BP164" s="8"/>
      <c r="BQ164" s="6"/>
      <c r="BR164" s="8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</row>
    <row r="165">
      <c r="A165" s="6"/>
      <c r="B165" s="6" t="s">
        <v>165</v>
      </c>
      <c r="C165" s="3" t="str">
        <f t="shared" si="3"/>
        <v>bright purple</v>
      </c>
      <c r="D165" s="3" t="str">
        <f t="shared" si="17"/>
        <v>ZZZ</v>
      </c>
      <c r="E165" s="3" t="b">
        <f t="array" ref="E165">OR(ISNUMBER(SEARCH(D$2:D$30,$B165,5)))</f>
        <v>0</v>
      </c>
      <c r="G165" s="3" t="str">
        <f t="shared" si="4"/>
        <v>ZZZ</v>
      </c>
      <c r="H165" s="3" t="b">
        <f t="array" ref="H165">OR(ISNUMBER(SEARCH(G$2:G$30,$B165,5)))</f>
        <v>0</v>
      </c>
      <c r="J165" s="3" t="str">
        <f t="shared" si="5"/>
        <v>ZZZ</v>
      </c>
      <c r="K165" s="3" t="b">
        <f t="array" ref="K165">OR(ISNUMBER(SEARCH(J$2:J$30,$B165,5)))</f>
        <v>0</v>
      </c>
      <c r="M165" s="3" t="str">
        <f t="shared" si="6"/>
        <v>ZZZ</v>
      </c>
      <c r="N165" s="3" t="b">
        <f t="array" ref="N165">OR(ISNUMBER(SEARCH(M$2:M$30,$B165,5)))</f>
        <v>0</v>
      </c>
      <c r="P165" s="3" t="str">
        <f t="shared" si="7"/>
        <v>ZZZ</v>
      </c>
      <c r="Q165" s="3" t="b">
        <f t="array" ref="Q165">OR(ISNUMBER(SEARCH(P$2:P$50,$B165,5)))</f>
        <v>0</v>
      </c>
      <c r="S165" s="3" t="str">
        <f t="shared" si="8"/>
        <v>ZZZ</v>
      </c>
      <c r="T165" s="3" t="b">
        <f t="array" ref="T165">OR(ISNUMBER(SEARCH(S$2:S$100,$B165,5)))</f>
        <v>1</v>
      </c>
      <c r="V165" s="3" t="str">
        <f t="shared" si="9"/>
        <v>ZZZ</v>
      </c>
      <c r="W165" s="3" t="b">
        <f t="array" ref="W165">OR(ISNUMBER(SEARCH(V$2:V$100,$B165,5)))</f>
        <v>0</v>
      </c>
      <c r="Y165" s="3" t="str">
        <f t="shared" si="10"/>
        <v>ZZZ</v>
      </c>
      <c r="Z165" s="3" t="b">
        <f t="array" ref="Z165">OR(ISNUMBER(SEARCH(Y$2:Y$100,$B165,5)))</f>
        <v>0</v>
      </c>
      <c r="AB165" s="3" t="str">
        <f t="shared" si="11"/>
        <v>ZZZ</v>
      </c>
      <c r="AC165" s="3" t="b">
        <f t="array" ref="AC165">OR(ISNUMBER(SEARCH(AB$2:AB$100,$B165,5)))</f>
        <v>0</v>
      </c>
      <c r="AE165" s="3" t="str">
        <f t="shared" si="12"/>
        <v>ZZZ</v>
      </c>
      <c r="AF165" s="3" t="b">
        <f t="array" ref="AF165">OR(ISNUMBER(SEARCH(AE$2:AE$100,$B165,5)))</f>
        <v>0</v>
      </c>
      <c r="AH165" s="3" t="str">
        <f t="shared" si="13"/>
        <v>ZZZ</v>
      </c>
      <c r="AI165" s="3" t="b">
        <f t="array" ref="AI165">OR(ISNUMBER(SEARCH(AH$2:AH$100,$B165,5)))</f>
        <v>0</v>
      </c>
      <c r="AK165" s="3" t="str">
        <f t="shared" si="14"/>
        <v>ZZZ</v>
      </c>
      <c r="AL165" s="3" t="b">
        <f t="array" ref="AL165">OR(ISNUMBER(SEARCH(AK$2:AK$100,$B165,5)))</f>
        <v>0</v>
      </c>
      <c r="AU165" s="8"/>
      <c r="AV165" s="6"/>
      <c r="AW165" s="8"/>
      <c r="AX165" s="8"/>
      <c r="AY165" s="6"/>
      <c r="AZ165" s="8"/>
      <c r="BA165" s="8"/>
      <c r="BB165" s="6" t="str">
        <f>IFERROR(__xludf.DUMMYFUNCTION("""COMPUTED_VALUE"""),"dim plum")</f>
        <v>dim plum</v>
      </c>
      <c r="BC165" s="8" t="str">
        <f>IFERROR(__xludf.DUMMYFUNCTION("""COMPUTED_VALUE"""),"dark maroon")</f>
        <v>dark maroon</v>
      </c>
      <c r="BD165" s="8"/>
      <c r="BE165" s="6"/>
      <c r="BF165" s="8"/>
      <c r="BG165" s="8"/>
      <c r="BH165" s="6"/>
      <c r="BI165" s="8"/>
      <c r="BJ165" s="8"/>
      <c r="BK165" s="6"/>
      <c r="BL165" s="8"/>
      <c r="BM165" s="8"/>
      <c r="BN165" s="6"/>
      <c r="BO165" s="8"/>
      <c r="BP165" s="8"/>
      <c r="BQ165" s="6"/>
      <c r="BR165" s="8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</row>
    <row r="166">
      <c r="A166" s="6"/>
      <c r="B166" s="6" t="s">
        <v>166</v>
      </c>
      <c r="C166" s="3" t="str">
        <f t="shared" si="3"/>
        <v>dull coral</v>
      </c>
      <c r="D166" s="3" t="str">
        <f t="shared" si="17"/>
        <v>ZZZ</v>
      </c>
      <c r="E166" s="3" t="b">
        <f t="array" ref="E166">OR(ISNUMBER(SEARCH(D$2:D$30,$B166,5)))</f>
        <v>0</v>
      </c>
      <c r="G166" s="3" t="str">
        <f t="shared" si="4"/>
        <v>ZZZ</v>
      </c>
      <c r="H166" s="3" t="b">
        <f t="array" ref="H166">OR(ISNUMBER(SEARCH(G$2:G$30,$B166,5)))</f>
        <v>0</v>
      </c>
      <c r="J166" s="3" t="str">
        <f t="shared" si="5"/>
        <v>ZZZ</v>
      </c>
      <c r="K166" s="3" t="b">
        <f t="array" ref="K166">OR(ISNUMBER(SEARCH(J$2:J$30,$B166,5)))</f>
        <v>0</v>
      </c>
      <c r="M166" s="3" t="str">
        <f t="shared" si="6"/>
        <v>ZZZ</v>
      </c>
      <c r="N166" s="3" t="b">
        <f t="array" ref="N166">OR(ISNUMBER(SEARCH(M$2:M$30,$B166,5)))</f>
        <v>0</v>
      </c>
      <c r="P166" s="3" t="str">
        <f t="shared" si="7"/>
        <v>ZZZ</v>
      </c>
      <c r="Q166" s="3" t="b">
        <f t="array" ref="Q166">OR(ISNUMBER(SEARCH(P$2:P$50,$B166,5)))</f>
        <v>0</v>
      </c>
      <c r="S166" s="3" t="str">
        <f t="shared" si="8"/>
        <v>ZZZ</v>
      </c>
      <c r="T166" s="3" t="b">
        <f t="array" ref="T166">OR(ISNUMBER(SEARCH(S$2:S$100,$B166,5)))</f>
        <v>0</v>
      </c>
      <c r="V166" s="3" t="str">
        <f t="shared" si="9"/>
        <v>ZZZ</v>
      </c>
      <c r="W166" s="3" t="b">
        <f t="array" ref="W166">OR(ISNUMBER(SEARCH(V$2:V$100,$B166,5)))</f>
        <v>0</v>
      </c>
      <c r="Y166" s="3" t="str">
        <f t="shared" si="10"/>
        <v>ZZZ</v>
      </c>
      <c r="Z166" s="3" t="b">
        <f t="array" ref="Z166">OR(ISNUMBER(SEARCH(Y$2:Y$100,$B166,5)))</f>
        <v>0</v>
      </c>
      <c r="AB166" s="3" t="str">
        <f t="shared" si="11"/>
        <v>ZZZ</v>
      </c>
      <c r="AC166" s="3" t="b">
        <f t="array" ref="AC166">OR(ISNUMBER(SEARCH(AB$2:AB$100,$B166,5)))</f>
        <v>0</v>
      </c>
      <c r="AE166" s="3" t="str">
        <f t="shared" si="12"/>
        <v>ZZZ</v>
      </c>
      <c r="AF166" s="3" t="b">
        <f t="array" ref="AF166">OR(ISNUMBER(SEARCH(AE$2:AE$100,$B166,5)))</f>
        <v>0</v>
      </c>
      <c r="AH166" s="3" t="str">
        <f t="shared" si="13"/>
        <v>ZZZ</v>
      </c>
      <c r="AI166" s="3" t="b">
        <f t="array" ref="AI166">OR(ISNUMBER(SEARCH(AH$2:AH$100,$B166,5)))</f>
        <v>0</v>
      </c>
      <c r="AK166" s="3" t="str">
        <f t="shared" si="14"/>
        <v>ZZZ</v>
      </c>
      <c r="AL166" s="3" t="b">
        <f t="array" ref="AL166">OR(ISNUMBER(SEARCH(AK$2:AK$100,$B166,5)))</f>
        <v>0</v>
      </c>
      <c r="AU166" s="8"/>
      <c r="AV166" s="6"/>
      <c r="AW166" s="8"/>
      <c r="AX166" s="8"/>
      <c r="AY166" s="6"/>
      <c r="AZ166" s="8"/>
      <c r="BA166" s="8"/>
      <c r="BB166" s="6" t="str">
        <f>IFERROR(__xludf.DUMMYFUNCTION("""COMPUTED_VALUE"""),"dotted bronze")</f>
        <v>dotted bronze</v>
      </c>
      <c r="BC166" s="8" t="str">
        <f>IFERROR(__xludf.DUMMYFUNCTION("""COMPUTED_VALUE"""),"posh crimson")</f>
        <v>posh crimson</v>
      </c>
      <c r="BD166" s="8"/>
      <c r="BE166" s="6"/>
      <c r="BF166" s="8"/>
      <c r="BG166" s="8"/>
      <c r="BH166" s="6"/>
      <c r="BI166" s="8"/>
      <c r="BJ166" s="8"/>
      <c r="BK166" s="6"/>
      <c r="BL166" s="8"/>
      <c r="BM166" s="8"/>
      <c r="BN166" s="6"/>
      <c r="BO166" s="8"/>
      <c r="BP166" s="8"/>
      <c r="BQ166" s="6"/>
      <c r="BR166" s="8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</row>
    <row r="167">
      <c r="A167" s="6"/>
      <c r="B167" s="6" t="s">
        <v>167</v>
      </c>
      <c r="C167" s="3" t="str">
        <f t="shared" si="3"/>
        <v>drab gray</v>
      </c>
      <c r="D167" s="3" t="str">
        <f t="shared" si="17"/>
        <v>ZZZ</v>
      </c>
      <c r="E167" s="3" t="b">
        <f t="array" ref="E167">OR(ISNUMBER(SEARCH(D$2:D$30,$B167,5)))</f>
        <v>0</v>
      </c>
      <c r="G167" s="3" t="str">
        <f t="shared" si="4"/>
        <v>ZZZ</v>
      </c>
      <c r="H167" s="3" t="b">
        <f t="array" ref="H167">OR(ISNUMBER(SEARCH(G$2:G$30,$B167,5)))</f>
        <v>0</v>
      </c>
      <c r="J167" s="3" t="str">
        <f t="shared" si="5"/>
        <v>ZZZ</v>
      </c>
      <c r="K167" s="3" t="b">
        <f t="array" ref="K167">OR(ISNUMBER(SEARCH(J$2:J$30,$B167,5)))</f>
        <v>0</v>
      </c>
      <c r="M167" s="3" t="str">
        <f t="shared" si="6"/>
        <v>ZZZ</v>
      </c>
      <c r="N167" s="3" t="b">
        <f t="array" ref="N167">OR(ISNUMBER(SEARCH(M$2:M$30,$B167,5)))</f>
        <v>0</v>
      </c>
      <c r="P167" s="3" t="str">
        <f t="shared" si="7"/>
        <v>ZZZ</v>
      </c>
      <c r="Q167" s="3" t="b">
        <f t="array" ref="Q167">OR(ISNUMBER(SEARCH(P$2:P$50,$B167,5)))</f>
        <v>0</v>
      </c>
      <c r="S167" s="3" t="str">
        <f t="shared" si="8"/>
        <v>ZZZ</v>
      </c>
      <c r="T167" s="3" t="b">
        <f t="array" ref="T167">OR(ISNUMBER(SEARCH(S$2:S$100,$B167,5)))</f>
        <v>0</v>
      </c>
      <c r="V167" s="3" t="str">
        <f t="shared" si="9"/>
        <v>ZZZ</v>
      </c>
      <c r="W167" s="3" t="b">
        <f t="array" ref="W167">OR(ISNUMBER(SEARCH(V$2:V$100,$B167,5)))</f>
        <v>0</v>
      </c>
      <c r="Y167" s="3" t="str">
        <f t="shared" si="10"/>
        <v>ZZZ</v>
      </c>
      <c r="Z167" s="3" t="b">
        <f t="array" ref="Z167">OR(ISNUMBER(SEARCH(Y$2:Y$100,$B167,5)))</f>
        <v>0</v>
      </c>
      <c r="AB167" s="3" t="str">
        <f t="shared" si="11"/>
        <v>ZZZ</v>
      </c>
      <c r="AC167" s="3" t="b">
        <f t="array" ref="AC167">OR(ISNUMBER(SEARCH(AB$2:AB$100,$B167,5)))</f>
        <v>0</v>
      </c>
      <c r="AE167" s="3" t="str">
        <f t="shared" si="12"/>
        <v>ZZZ</v>
      </c>
      <c r="AF167" s="3" t="b">
        <f t="array" ref="AF167">OR(ISNUMBER(SEARCH(AE$2:AE$100,$B167,5)))</f>
        <v>0</v>
      </c>
      <c r="AH167" s="3" t="str">
        <f t="shared" si="13"/>
        <v>ZZZ</v>
      </c>
      <c r="AI167" s="3" t="b">
        <f t="array" ref="AI167">OR(ISNUMBER(SEARCH(AH$2:AH$100,$B167,5)))</f>
        <v>0</v>
      </c>
      <c r="AK167" s="3" t="str">
        <f t="shared" si="14"/>
        <v>ZZZ</v>
      </c>
      <c r="AL167" s="3" t="b">
        <f t="array" ref="AL167">OR(ISNUMBER(SEARCH(AK$2:AK$100,$B167,5)))</f>
        <v>0</v>
      </c>
      <c r="AU167" s="8"/>
      <c r="AV167" s="6"/>
      <c r="AW167" s="8"/>
      <c r="AX167" s="8"/>
      <c r="AY167" s="6"/>
      <c r="AZ167" s="8"/>
      <c r="BA167" s="8"/>
      <c r="BB167" s="6" t="str">
        <f>IFERROR(__xludf.DUMMYFUNCTION("""COMPUTED_VALUE"""),"dim beige")</f>
        <v>dim beige</v>
      </c>
      <c r="BC167" s="8" t="str">
        <f>IFERROR(__xludf.DUMMYFUNCTION("""COMPUTED_VALUE"""),"dim magenta")</f>
        <v>dim magenta</v>
      </c>
      <c r="BD167" s="8"/>
      <c r="BE167" s="6"/>
      <c r="BF167" s="8"/>
      <c r="BG167" s="8"/>
      <c r="BH167" s="6"/>
      <c r="BI167" s="8"/>
      <c r="BJ167" s="8"/>
      <c r="BK167" s="6"/>
      <c r="BL167" s="8"/>
      <c r="BM167" s="8"/>
      <c r="BN167" s="6"/>
      <c r="BO167" s="8"/>
      <c r="BP167" s="8"/>
      <c r="BQ167" s="6"/>
      <c r="BR167" s="8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</row>
    <row r="168">
      <c r="A168" s="6"/>
      <c r="B168" s="6" t="s">
        <v>168</v>
      </c>
      <c r="C168" s="3" t="str">
        <f t="shared" si="3"/>
        <v>dull lavender</v>
      </c>
      <c r="D168" s="3" t="str">
        <f t="shared" si="17"/>
        <v>ZZZ</v>
      </c>
      <c r="E168" s="3" t="b">
        <f t="array" ref="E168">OR(ISNUMBER(SEARCH(D$2:D$30,$B168,5)))</f>
        <v>0</v>
      </c>
      <c r="G168" s="3" t="str">
        <f t="shared" si="4"/>
        <v>ZZZ</v>
      </c>
      <c r="H168" s="3" t="b">
        <f t="array" ref="H168">OR(ISNUMBER(SEARCH(G$2:G$30,$B168,5)))</f>
        <v>0</v>
      </c>
      <c r="J168" s="3" t="str">
        <f t="shared" si="5"/>
        <v>ZZZ</v>
      </c>
      <c r="K168" s="3" t="b">
        <f t="array" ref="K168">OR(ISNUMBER(SEARCH(J$2:J$30,$B168,5)))</f>
        <v>0</v>
      </c>
      <c r="M168" s="3" t="str">
        <f t="shared" si="6"/>
        <v>ZZZ</v>
      </c>
      <c r="N168" s="3" t="b">
        <f t="array" ref="N168">OR(ISNUMBER(SEARCH(M$2:M$30,$B168,5)))</f>
        <v>0</v>
      </c>
      <c r="P168" s="3" t="str">
        <f t="shared" si="7"/>
        <v>ZZZ</v>
      </c>
      <c r="Q168" s="3" t="b">
        <f t="array" ref="Q168">OR(ISNUMBER(SEARCH(P$2:P$50,$B168,5)))</f>
        <v>1</v>
      </c>
      <c r="S168" s="3" t="str">
        <f t="shared" si="8"/>
        <v>ZZZ</v>
      </c>
      <c r="T168" s="3" t="b">
        <f t="array" ref="T168">OR(ISNUMBER(SEARCH(S$2:S$100,$B168,5)))</f>
        <v>0</v>
      </c>
      <c r="V168" s="3" t="str">
        <f t="shared" si="9"/>
        <v>ZZZ</v>
      </c>
      <c r="W168" s="3" t="b">
        <f t="array" ref="W168">OR(ISNUMBER(SEARCH(V$2:V$100,$B168,5)))</f>
        <v>0</v>
      </c>
      <c r="Y168" s="3" t="str">
        <f t="shared" si="10"/>
        <v>ZZZ</v>
      </c>
      <c r="Z168" s="3" t="b">
        <f t="array" ref="Z168">OR(ISNUMBER(SEARCH(Y$2:Y$100,$B168,5)))</f>
        <v>0</v>
      </c>
      <c r="AB168" s="3" t="str">
        <f t="shared" si="11"/>
        <v>ZZZ</v>
      </c>
      <c r="AC168" s="3" t="b">
        <f t="array" ref="AC168">OR(ISNUMBER(SEARCH(AB$2:AB$100,$B168,5)))</f>
        <v>0</v>
      </c>
      <c r="AE168" s="3" t="str">
        <f t="shared" si="12"/>
        <v>ZZZ</v>
      </c>
      <c r="AF168" s="3" t="b">
        <f t="array" ref="AF168">OR(ISNUMBER(SEARCH(AE$2:AE$100,$B168,5)))</f>
        <v>0</v>
      </c>
      <c r="AH168" s="3" t="str">
        <f t="shared" si="13"/>
        <v>ZZZ</v>
      </c>
      <c r="AI168" s="3" t="b">
        <f t="array" ref="AI168">OR(ISNUMBER(SEARCH(AH$2:AH$100,$B168,5)))</f>
        <v>0</v>
      </c>
      <c r="AK168" s="3" t="str">
        <f t="shared" si="14"/>
        <v>ZZZ</v>
      </c>
      <c r="AL168" s="3" t="b">
        <f t="array" ref="AL168">OR(ISNUMBER(SEARCH(AK$2:AK$100,$B168,5)))</f>
        <v>0</v>
      </c>
      <c r="AU168" s="8"/>
      <c r="AV168" s="6"/>
      <c r="AW168" s="8"/>
      <c r="AX168" s="8"/>
      <c r="AY168" s="6"/>
      <c r="AZ168" s="8"/>
      <c r="BA168" s="8"/>
      <c r="BB168" s="6" t="str">
        <f>IFERROR(__xludf.DUMMYFUNCTION("""COMPUTED_VALUE"""),"faded lime")</f>
        <v>faded lime</v>
      </c>
      <c r="BC168" s="8" t="str">
        <f>IFERROR(__xludf.DUMMYFUNCTION("""COMPUTED_VALUE"""),"muted black")</f>
        <v>muted black</v>
      </c>
      <c r="BD168" s="8"/>
      <c r="BE168" s="6"/>
      <c r="BF168" s="8"/>
      <c r="BG168" s="8"/>
      <c r="BH168" s="6"/>
      <c r="BI168" s="8"/>
      <c r="BJ168" s="8"/>
      <c r="BK168" s="6"/>
      <c r="BL168" s="8"/>
      <c r="BM168" s="8"/>
      <c r="BN168" s="6"/>
      <c r="BO168" s="8"/>
      <c r="BP168" s="8"/>
      <c r="BQ168" s="6"/>
      <c r="BR168" s="8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</row>
    <row r="169">
      <c r="A169" s="6"/>
      <c r="B169" s="6" t="s">
        <v>169</v>
      </c>
      <c r="C169" s="3" t="str">
        <f t="shared" si="3"/>
        <v>striped maroon</v>
      </c>
      <c r="D169" s="3" t="str">
        <f t="shared" si="17"/>
        <v>ZZZ</v>
      </c>
      <c r="E169" s="3" t="b">
        <f t="array" ref="E169">OR(ISNUMBER(SEARCH(D$2:D$30,$B169,5)))</f>
        <v>0</v>
      </c>
      <c r="G169" s="3" t="str">
        <f t="shared" si="4"/>
        <v>ZZZ</v>
      </c>
      <c r="H169" s="3" t="b">
        <f t="array" ref="H169">OR(ISNUMBER(SEARCH(G$2:G$30,$B169,5)))</f>
        <v>0</v>
      </c>
      <c r="J169" s="3" t="str">
        <f t="shared" si="5"/>
        <v>ZZZ</v>
      </c>
      <c r="K169" s="3" t="b">
        <f t="array" ref="K169">OR(ISNUMBER(SEARCH(J$2:J$30,$B169,5)))</f>
        <v>0</v>
      </c>
      <c r="M169" s="3" t="str">
        <f t="shared" si="6"/>
        <v>ZZZ</v>
      </c>
      <c r="N169" s="3" t="b">
        <f t="array" ref="N169">OR(ISNUMBER(SEARCH(M$2:M$30,$B169,5)))</f>
        <v>0</v>
      </c>
      <c r="P169" s="3" t="str">
        <f t="shared" si="7"/>
        <v>ZZZ</v>
      </c>
      <c r="Q169" s="3" t="b">
        <f t="array" ref="Q169">OR(ISNUMBER(SEARCH(P$2:P$50,$B169,5)))</f>
        <v>0</v>
      </c>
      <c r="S169" s="3" t="str">
        <f t="shared" si="8"/>
        <v>ZZZ</v>
      </c>
      <c r="T169" s="3" t="b">
        <f t="array" ref="T169">OR(ISNUMBER(SEARCH(S$2:S$100,$B169,5)))</f>
        <v>0</v>
      </c>
      <c r="V169" s="3" t="str">
        <f t="shared" si="9"/>
        <v>ZZZ</v>
      </c>
      <c r="W169" s="3" t="b">
        <f t="array" ref="W169">OR(ISNUMBER(SEARCH(V$2:V$100,$B169,5)))</f>
        <v>0</v>
      </c>
      <c r="Y169" s="3" t="str">
        <f t="shared" si="10"/>
        <v>ZZZ</v>
      </c>
      <c r="Z169" s="3" t="b">
        <f t="array" ref="Z169">OR(ISNUMBER(SEARCH(Y$2:Y$100,$B169,5)))</f>
        <v>0</v>
      </c>
      <c r="AB169" s="3" t="str">
        <f t="shared" si="11"/>
        <v>ZZZ</v>
      </c>
      <c r="AC169" s="3" t="b">
        <f t="array" ref="AC169">OR(ISNUMBER(SEARCH(AB$2:AB$100,$B169,5)))</f>
        <v>0</v>
      </c>
      <c r="AE169" s="3" t="str">
        <f t="shared" si="12"/>
        <v>ZZZ</v>
      </c>
      <c r="AF169" s="3" t="b">
        <f t="array" ref="AF169">OR(ISNUMBER(SEARCH(AE$2:AE$100,$B169,5)))</f>
        <v>0</v>
      </c>
      <c r="AH169" s="3" t="str">
        <f t="shared" si="13"/>
        <v>ZZZ</v>
      </c>
      <c r="AI169" s="3" t="b">
        <f t="array" ref="AI169">OR(ISNUMBER(SEARCH(AH$2:AH$100,$B169,5)))</f>
        <v>0</v>
      </c>
      <c r="AK169" s="3" t="str">
        <f t="shared" si="14"/>
        <v>ZZZ</v>
      </c>
      <c r="AL169" s="3" t="b">
        <f t="array" ref="AL169">OR(ISNUMBER(SEARCH(AK$2:AK$100,$B169,5)))</f>
        <v>0</v>
      </c>
      <c r="AU169" s="8"/>
      <c r="AV169" s="6"/>
      <c r="AW169" s="8"/>
      <c r="AX169" s="8"/>
      <c r="AY169" s="6"/>
      <c r="AZ169" s="8"/>
      <c r="BA169" s="8"/>
      <c r="BB169" s="6" t="str">
        <f>IFERROR(__xludf.DUMMYFUNCTION("""COMPUTED_VALUE"""),"shiny lime")</f>
        <v>shiny lime</v>
      </c>
      <c r="BC169" s="8" t="str">
        <f>IFERROR(__xludf.DUMMYFUNCTION("""COMPUTED_VALUE"""),"plaid coral")</f>
        <v>plaid coral</v>
      </c>
      <c r="BD169" s="8"/>
      <c r="BE169" s="6"/>
      <c r="BF169" s="8"/>
      <c r="BG169" s="8"/>
      <c r="BH169" s="6"/>
      <c r="BI169" s="8"/>
      <c r="BJ169" s="8"/>
      <c r="BK169" s="6"/>
      <c r="BL169" s="8"/>
      <c r="BM169" s="8"/>
      <c r="BN169" s="6"/>
      <c r="BO169" s="8"/>
      <c r="BP169" s="8"/>
      <c r="BQ169" s="6"/>
      <c r="BR169" s="8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</row>
    <row r="170">
      <c r="A170" s="6"/>
      <c r="B170" s="6" t="s">
        <v>170</v>
      </c>
      <c r="C170" s="3" t="str">
        <f t="shared" si="3"/>
        <v>mirrored silver</v>
      </c>
      <c r="D170" s="3" t="str">
        <f t="shared" si="17"/>
        <v>ZZZ</v>
      </c>
      <c r="E170" s="3" t="b">
        <f t="array" ref="E170">OR(ISNUMBER(SEARCH(D$2:D$30,$B170,5)))</f>
        <v>0</v>
      </c>
      <c r="G170" s="3" t="str">
        <f t="shared" si="4"/>
        <v>ZZZ</v>
      </c>
      <c r="H170" s="3" t="b">
        <f t="array" ref="H170">OR(ISNUMBER(SEARCH(G$2:G$30,$B170,5)))</f>
        <v>0</v>
      </c>
      <c r="J170" s="3" t="str">
        <f t="shared" si="5"/>
        <v>ZZZ</v>
      </c>
      <c r="K170" s="3" t="b">
        <f t="array" ref="K170">OR(ISNUMBER(SEARCH(J$2:J$30,$B170,5)))</f>
        <v>0</v>
      </c>
      <c r="M170" s="3" t="str">
        <f t="shared" si="6"/>
        <v>ZZZ</v>
      </c>
      <c r="N170" s="3" t="b">
        <f t="array" ref="N170">OR(ISNUMBER(SEARCH(M$2:M$30,$B170,5)))</f>
        <v>0</v>
      </c>
      <c r="P170" s="3" t="str">
        <f t="shared" si="7"/>
        <v>ZZZ</v>
      </c>
      <c r="Q170" s="3" t="b">
        <f t="array" ref="Q170">OR(ISNUMBER(SEARCH(P$2:P$50,$B170,5)))</f>
        <v>0</v>
      </c>
      <c r="S170" s="3" t="str">
        <f t="shared" si="8"/>
        <v>ZZZ</v>
      </c>
      <c r="T170" s="3" t="b">
        <f t="array" ref="T170">OR(ISNUMBER(SEARCH(S$2:S$100,$B170,5)))</f>
        <v>0</v>
      </c>
      <c r="V170" s="3" t="str">
        <f t="shared" si="9"/>
        <v>ZZZ</v>
      </c>
      <c r="W170" s="3" t="b">
        <f t="array" ref="W170">OR(ISNUMBER(SEARCH(V$2:V$100,$B170,5)))</f>
        <v>0</v>
      </c>
      <c r="Y170" s="3" t="str">
        <f t="shared" si="10"/>
        <v>ZZZ</v>
      </c>
      <c r="Z170" s="3" t="b">
        <f t="array" ref="Z170">OR(ISNUMBER(SEARCH(Y$2:Y$100,$B170,5)))</f>
        <v>0</v>
      </c>
      <c r="AB170" s="3" t="str">
        <f t="shared" si="11"/>
        <v>ZZZ</v>
      </c>
      <c r="AC170" s="3" t="b">
        <f t="array" ref="AC170">OR(ISNUMBER(SEARCH(AB$2:AB$100,$B170,5)))</f>
        <v>0</v>
      </c>
      <c r="AE170" s="3" t="str">
        <f t="shared" si="12"/>
        <v>ZZZ</v>
      </c>
      <c r="AF170" s="3" t="b">
        <f t="array" ref="AF170">OR(ISNUMBER(SEARCH(AE$2:AE$100,$B170,5)))</f>
        <v>0</v>
      </c>
      <c r="AH170" s="3" t="str">
        <f t="shared" si="13"/>
        <v>ZZZ</v>
      </c>
      <c r="AI170" s="3" t="b">
        <f t="array" ref="AI170">OR(ISNUMBER(SEARCH(AH$2:AH$100,$B170,5)))</f>
        <v>0</v>
      </c>
      <c r="AK170" s="3" t="str">
        <f t="shared" si="14"/>
        <v>ZZZ</v>
      </c>
      <c r="AL170" s="3" t="b">
        <f t="array" ref="AL170">OR(ISNUMBER(SEARCH(AK$2:AK$100,$B170,5)))</f>
        <v>0</v>
      </c>
      <c r="AU170" s="8"/>
      <c r="AV170" s="6"/>
      <c r="AW170" s="8"/>
      <c r="AX170" s="8"/>
      <c r="AY170" s="6"/>
      <c r="AZ170" s="8"/>
      <c r="BA170" s="8"/>
      <c r="BB170" s="6" t="str">
        <f>IFERROR(__xludf.DUMMYFUNCTION("""COMPUTED_VALUE"""),"bright gold")</f>
        <v>bright gold</v>
      </c>
      <c r="BC170" s="8" t="str">
        <f>IFERROR(__xludf.DUMMYFUNCTION("""COMPUTED_VALUE"""),"posh black")</f>
        <v>posh black</v>
      </c>
      <c r="BD170" s="8"/>
      <c r="BE170" s="6"/>
      <c r="BF170" s="8"/>
      <c r="BG170" s="8"/>
      <c r="BH170" s="6"/>
      <c r="BI170" s="8"/>
      <c r="BJ170" s="8"/>
      <c r="BK170" s="6"/>
      <c r="BL170" s="8"/>
      <c r="BM170" s="8"/>
      <c r="BN170" s="6"/>
      <c r="BO170" s="8"/>
      <c r="BP170" s="8"/>
      <c r="BQ170" s="6"/>
      <c r="BR170" s="8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</row>
    <row r="171">
      <c r="A171" s="6"/>
      <c r="B171" s="6" t="s">
        <v>171</v>
      </c>
      <c r="C171" s="3" t="str">
        <f t="shared" si="3"/>
        <v>faded yellow</v>
      </c>
      <c r="D171" s="3" t="str">
        <f t="shared" si="17"/>
        <v>ZZZ</v>
      </c>
      <c r="E171" s="3" t="b">
        <f t="array" ref="E171">OR(ISNUMBER(SEARCH(D$2:D$30,$B171,5)))</f>
        <v>0</v>
      </c>
      <c r="G171" s="3" t="str">
        <f t="shared" si="4"/>
        <v>ZZZ</v>
      </c>
      <c r="H171" s="3" t="b">
        <f t="array" ref="H171">OR(ISNUMBER(SEARCH(G$2:G$30,$B171,5)))</f>
        <v>0</v>
      </c>
      <c r="J171" s="3" t="str">
        <f t="shared" si="5"/>
        <v>ZZZ</v>
      </c>
      <c r="K171" s="3" t="b">
        <f t="array" ref="K171">OR(ISNUMBER(SEARCH(J$2:J$30,$B171,5)))</f>
        <v>0</v>
      </c>
      <c r="M171" s="3" t="str">
        <f t="shared" si="6"/>
        <v>ZZZ</v>
      </c>
      <c r="N171" s="3" t="b">
        <f t="array" ref="N171">OR(ISNUMBER(SEARCH(M$2:M$30,$B171,5)))</f>
        <v>0</v>
      </c>
      <c r="P171" s="3" t="str">
        <f t="shared" si="7"/>
        <v>ZZZ</v>
      </c>
      <c r="Q171" s="3" t="b">
        <f t="array" ref="Q171">OR(ISNUMBER(SEARCH(P$2:P$50,$B171,5)))</f>
        <v>0</v>
      </c>
      <c r="S171" s="3" t="str">
        <f t="shared" si="8"/>
        <v>ZZZ</v>
      </c>
      <c r="T171" s="3" t="b">
        <f t="array" ref="T171">OR(ISNUMBER(SEARCH(S$2:S$100,$B171,5)))</f>
        <v>0</v>
      </c>
      <c r="V171" s="3" t="str">
        <f t="shared" si="9"/>
        <v>ZZZ</v>
      </c>
      <c r="W171" s="3" t="b">
        <f t="array" ref="W171">OR(ISNUMBER(SEARCH(V$2:V$100,$B171,5)))</f>
        <v>0</v>
      </c>
      <c r="Y171" s="3" t="str">
        <f t="shared" si="10"/>
        <v>ZZZ</v>
      </c>
      <c r="Z171" s="3" t="b">
        <f t="array" ref="Z171">OR(ISNUMBER(SEARCH(Y$2:Y$100,$B171,5)))</f>
        <v>0</v>
      </c>
      <c r="AB171" s="3" t="str">
        <f t="shared" si="11"/>
        <v>ZZZ</v>
      </c>
      <c r="AC171" s="3" t="b">
        <f t="array" ref="AC171">OR(ISNUMBER(SEARCH(AB$2:AB$100,$B171,5)))</f>
        <v>0</v>
      </c>
      <c r="AE171" s="3" t="str">
        <f t="shared" si="12"/>
        <v>ZZZ</v>
      </c>
      <c r="AF171" s="3" t="b">
        <f t="array" ref="AF171">OR(ISNUMBER(SEARCH(AE$2:AE$100,$B171,5)))</f>
        <v>0</v>
      </c>
      <c r="AH171" s="3" t="str">
        <f t="shared" si="13"/>
        <v>ZZZ</v>
      </c>
      <c r="AI171" s="3" t="b">
        <f t="array" ref="AI171">OR(ISNUMBER(SEARCH(AH$2:AH$100,$B171,5)))</f>
        <v>0</v>
      </c>
      <c r="AK171" s="3" t="str">
        <f t="shared" si="14"/>
        <v>ZZZ</v>
      </c>
      <c r="AL171" s="3" t="b">
        <f t="array" ref="AL171">OR(ISNUMBER(SEARCH(AK$2:AK$100,$B171,5)))</f>
        <v>0</v>
      </c>
      <c r="AU171" s="8"/>
      <c r="AV171" s="6"/>
      <c r="AW171" s="8"/>
      <c r="AX171" s="8"/>
      <c r="AY171" s="6"/>
      <c r="AZ171" s="8"/>
      <c r="BA171" s="8"/>
      <c r="BB171" s="6" t="str">
        <f>IFERROR(__xludf.DUMMYFUNCTION("""COMPUTED_VALUE"""),"light turquoise")</f>
        <v>light turquoise</v>
      </c>
      <c r="BC171" s="8" t="str">
        <f>IFERROR(__xludf.DUMMYFUNCTION("""COMPUTED_VALUE"""),"muted orange")</f>
        <v>muted orange</v>
      </c>
      <c r="BD171" s="8"/>
      <c r="BE171" s="6"/>
      <c r="BF171" s="8"/>
      <c r="BG171" s="8"/>
      <c r="BH171" s="6"/>
      <c r="BI171" s="8"/>
      <c r="BJ171" s="8"/>
      <c r="BK171" s="6"/>
      <c r="BL171" s="8"/>
      <c r="BM171" s="8"/>
      <c r="BN171" s="6"/>
      <c r="BO171" s="8"/>
      <c r="BP171" s="8"/>
      <c r="BQ171" s="6"/>
      <c r="BR171" s="8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</row>
    <row r="172">
      <c r="A172" s="6"/>
      <c r="B172" s="6" t="s">
        <v>172</v>
      </c>
      <c r="C172" s="3" t="str">
        <f t="shared" si="3"/>
        <v>striped purple</v>
      </c>
      <c r="D172" s="3" t="str">
        <f t="shared" si="17"/>
        <v>ZZZ</v>
      </c>
      <c r="E172" s="3" t="b">
        <f t="array" ref="E172">OR(ISNUMBER(SEARCH(D$2:D$30,$B172,5)))</f>
        <v>0</v>
      </c>
      <c r="G172" s="3" t="str">
        <f t="shared" si="4"/>
        <v>ZZZ</v>
      </c>
      <c r="H172" s="3" t="b">
        <f t="array" ref="H172">OR(ISNUMBER(SEARCH(G$2:G$30,$B172,5)))</f>
        <v>0</v>
      </c>
      <c r="J172" s="3" t="str">
        <f t="shared" si="5"/>
        <v>ZZZ</v>
      </c>
      <c r="K172" s="3" t="b">
        <f t="array" ref="K172">OR(ISNUMBER(SEARCH(J$2:J$30,$B172,5)))</f>
        <v>0</v>
      </c>
      <c r="M172" s="3" t="str">
        <f t="shared" si="6"/>
        <v>ZZZ</v>
      </c>
      <c r="N172" s="3" t="b">
        <f t="array" ref="N172">OR(ISNUMBER(SEARCH(M$2:M$30,$B172,5)))</f>
        <v>0</v>
      </c>
      <c r="P172" s="3" t="str">
        <f t="shared" si="7"/>
        <v>ZZZ</v>
      </c>
      <c r="Q172" s="3" t="b">
        <f t="array" ref="Q172">OR(ISNUMBER(SEARCH(P$2:P$50,$B172,5)))</f>
        <v>0</v>
      </c>
      <c r="S172" s="3" t="str">
        <f t="shared" si="8"/>
        <v>ZZZ</v>
      </c>
      <c r="T172" s="3" t="b">
        <f t="array" ref="T172">OR(ISNUMBER(SEARCH(S$2:S$100,$B172,5)))</f>
        <v>0</v>
      </c>
      <c r="V172" s="3" t="str">
        <f t="shared" si="9"/>
        <v>ZZZ</v>
      </c>
      <c r="W172" s="3" t="b">
        <f t="array" ref="W172">OR(ISNUMBER(SEARCH(V$2:V$100,$B172,5)))</f>
        <v>0</v>
      </c>
      <c r="Y172" s="3" t="str">
        <f t="shared" si="10"/>
        <v>ZZZ</v>
      </c>
      <c r="Z172" s="3" t="b">
        <f t="array" ref="Z172">OR(ISNUMBER(SEARCH(Y$2:Y$100,$B172,5)))</f>
        <v>0</v>
      </c>
      <c r="AB172" s="3" t="str">
        <f t="shared" si="11"/>
        <v>ZZZ</v>
      </c>
      <c r="AC172" s="3" t="b">
        <f t="array" ref="AC172">OR(ISNUMBER(SEARCH(AB$2:AB$100,$B172,5)))</f>
        <v>0</v>
      </c>
      <c r="AE172" s="3" t="str">
        <f t="shared" si="12"/>
        <v>ZZZ</v>
      </c>
      <c r="AF172" s="3" t="b">
        <f t="array" ref="AF172">OR(ISNUMBER(SEARCH(AE$2:AE$100,$B172,5)))</f>
        <v>0</v>
      </c>
      <c r="AH172" s="3" t="str">
        <f t="shared" si="13"/>
        <v>ZZZ</v>
      </c>
      <c r="AI172" s="3" t="b">
        <f t="array" ref="AI172">OR(ISNUMBER(SEARCH(AH$2:AH$100,$B172,5)))</f>
        <v>0</v>
      </c>
      <c r="AK172" s="3" t="str">
        <f t="shared" si="14"/>
        <v>ZZZ</v>
      </c>
      <c r="AL172" s="3" t="b">
        <f t="array" ref="AL172">OR(ISNUMBER(SEARCH(AK$2:AK$100,$B172,5)))</f>
        <v>0</v>
      </c>
      <c r="AU172" s="8"/>
      <c r="AV172" s="6"/>
      <c r="AW172" s="8"/>
      <c r="AX172" s="8"/>
      <c r="AY172" s="6"/>
      <c r="AZ172" s="8"/>
      <c r="BA172" s="8"/>
      <c r="BB172" s="6" t="str">
        <f>IFERROR(__xludf.DUMMYFUNCTION("""COMPUTED_VALUE"""),"shiny orange")</f>
        <v>shiny orange</v>
      </c>
      <c r="BC172" s="8" t="str">
        <f>IFERROR(__xludf.DUMMYFUNCTION("""COMPUTED_VALUE"""),"dim teal")</f>
        <v>dim teal</v>
      </c>
      <c r="BD172" s="8"/>
      <c r="BE172" s="6"/>
      <c r="BF172" s="8"/>
      <c r="BG172" s="8"/>
      <c r="BH172" s="6"/>
      <c r="BI172" s="8"/>
      <c r="BJ172" s="8"/>
      <c r="BK172" s="6"/>
      <c r="BL172" s="8"/>
      <c r="BM172" s="8"/>
      <c r="BN172" s="6"/>
      <c r="BO172" s="8"/>
      <c r="BP172" s="8"/>
      <c r="BQ172" s="6"/>
      <c r="BR172" s="8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</row>
    <row r="173">
      <c r="A173" s="6"/>
      <c r="B173" s="6" t="s">
        <v>173</v>
      </c>
      <c r="C173" s="3" t="str">
        <f t="shared" si="3"/>
        <v>clear gray</v>
      </c>
      <c r="D173" s="3" t="str">
        <f t="shared" si="17"/>
        <v>ZZZ</v>
      </c>
      <c r="E173" s="3" t="b">
        <f t="array" ref="E173">OR(ISNUMBER(SEARCH(D$2:D$30,$B173,5)))</f>
        <v>0</v>
      </c>
      <c r="G173" s="3" t="str">
        <f t="shared" si="4"/>
        <v>ZZZ</v>
      </c>
      <c r="H173" s="3" t="b">
        <f t="array" ref="H173">OR(ISNUMBER(SEARCH(G$2:G$30,$B173,5)))</f>
        <v>0</v>
      </c>
      <c r="J173" s="3" t="str">
        <f t="shared" si="5"/>
        <v>ZZZ</v>
      </c>
      <c r="K173" s="3" t="b">
        <f t="array" ref="K173">OR(ISNUMBER(SEARCH(J$2:J$30,$B173,5)))</f>
        <v>0</v>
      </c>
      <c r="M173" s="3" t="str">
        <f t="shared" si="6"/>
        <v>ZZZ</v>
      </c>
      <c r="N173" s="3" t="b">
        <f t="array" ref="N173">OR(ISNUMBER(SEARCH(M$2:M$30,$B173,5)))</f>
        <v>0</v>
      </c>
      <c r="P173" s="3" t="str">
        <f t="shared" si="7"/>
        <v>ZZZ</v>
      </c>
      <c r="Q173" s="3" t="b">
        <f t="array" ref="Q173">OR(ISNUMBER(SEARCH(P$2:P$50,$B173,5)))</f>
        <v>0</v>
      </c>
      <c r="S173" s="3" t="str">
        <f t="shared" si="8"/>
        <v>ZZZ</v>
      </c>
      <c r="T173" s="3" t="b">
        <f t="array" ref="T173">OR(ISNUMBER(SEARCH(S$2:S$100,$B173,5)))</f>
        <v>0</v>
      </c>
      <c r="V173" s="3" t="str">
        <f t="shared" si="9"/>
        <v>ZZZ</v>
      </c>
      <c r="W173" s="3" t="b">
        <f t="array" ref="W173">OR(ISNUMBER(SEARCH(V$2:V$100,$B173,5)))</f>
        <v>0</v>
      </c>
      <c r="Y173" s="3" t="str">
        <f t="shared" si="10"/>
        <v>ZZZ</v>
      </c>
      <c r="Z173" s="3" t="b">
        <f t="array" ref="Z173">OR(ISNUMBER(SEARCH(Y$2:Y$100,$B173,5)))</f>
        <v>0</v>
      </c>
      <c r="AB173" s="3" t="str">
        <f t="shared" si="11"/>
        <v>ZZZ</v>
      </c>
      <c r="AC173" s="3" t="b">
        <f t="array" ref="AC173">OR(ISNUMBER(SEARCH(AB$2:AB$100,$B173,5)))</f>
        <v>0</v>
      </c>
      <c r="AE173" s="3" t="str">
        <f t="shared" si="12"/>
        <v>ZZZ</v>
      </c>
      <c r="AF173" s="3" t="b">
        <f t="array" ref="AF173">OR(ISNUMBER(SEARCH(AE$2:AE$100,$B173,5)))</f>
        <v>0</v>
      </c>
      <c r="AH173" s="3" t="str">
        <f t="shared" si="13"/>
        <v>ZZZ</v>
      </c>
      <c r="AI173" s="3" t="b">
        <f t="array" ref="AI173">OR(ISNUMBER(SEARCH(AH$2:AH$100,$B173,5)))</f>
        <v>0</v>
      </c>
      <c r="AK173" s="3" t="str">
        <f t="shared" si="14"/>
        <v>ZZZ</v>
      </c>
      <c r="AL173" s="3" t="b">
        <f t="array" ref="AL173">OR(ISNUMBER(SEARCH(AK$2:AK$100,$B173,5)))</f>
        <v>0</v>
      </c>
      <c r="AU173" s="8"/>
      <c r="AV173" s="6"/>
      <c r="AW173" s="8"/>
      <c r="AX173" s="8"/>
      <c r="AY173" s="6"/>
      <c r="AZ173" s="8"/>
      <c r="BA173" s="8"/>
      <c r="BB173" s="6" t="str">
        <f>IFERROR(__xludf.DUMMYFUNCTION("""COMPUTED_VALUE"""),"faded indigo")</f>
        <v>faded indigo</v>
      </c>
      <c r="BC173" s="8" t="str">
        <f>IFERROR(__xludf.DUMMYFUNCTION("""COMPUTED_VALUE"""),"vibrant lime")</f>
        <v>vibrant lime</v>
      </c>
      <c r="BD173" s="8"/>
      <c r="BE173" s="6"/>
      <c r="BF173" s="8"/>
      <c r="BG173" s="8"/>
      <c r="BH173" s="6"/>
      <c r="BI173" s="8"/>
      <c r="BJ173" s="8"/>
      <c r="BK173" s="6"/>
      <c r="BL173" s="8"/>
      <c r="BM173" s="8"/>
      <c r="BN173" s="6"/>
      <c r="BO173" s="8"/>
      <c r="BP173" s="8"/>
      <c r="BQ173" s="6"/>
      <c r="BR173" s="8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</row>
    <row r="174">
      <c r="A174" s="6"/>
      <c r="B174" s="6" t="s">
        <v>174</v>
      </c>
      <c r="C174" s="3" t="str">
        <f t="shared" si="3"/>
        <v>plaid cyan</v>
      </c>
      <c r="D174" s="3" t="str">
        <f t="shared" si="17"/>
        <v>ZZZ</v>
      </c>
      <c r="E174" s="3" t="b">
        <f t="array" ref="E174">OR(ISNUMBER(SEARCH(D$2:D$30,$B174,5)))</f>
        <v>0</v>
      </c>
      <c r="G174" s="3" t="str">
        <f t="shared" si="4"/>
        <v>ZZZ</v>
      </c>
      <c r="H174" s="3" t="b">
        <f t="array" ref="H174">OR(ISNUMBER(SEARCH(G$2:G$30,$B174,5)))</f>
        <v>0</v>
      </c>
      <c r="J174" s="3" t="str">
        <f t="shared" si="5"/>
        <v>ZZZ</v>
      </c>
      <c r="K174" s="3" t="b">
        <f t="array" ref="K174">OR(ISNUMBER(SEARCH(J$2:J$30,$B174,5)))</f>
        <v>0</v>
      </c>
      <c r="M174" s="3" t="str">
        <f t="shared" si="6"/>
        <v>ZZZ</v>
      </c>
      <c r="N174" s="3" t="b">
        <f t="array" ref="N174">OR(ISNUMBER(SEARCH(M$2:M$30,$B174,5)))</f>
        <v>0</v>
      </c>
      <c r="P174" s="3" t="str">
        <f t="shared" si="7"/>
        <v>ZZZ</v>
      </c>
      <c r="Q174" s="3" t="b">
        <f t="array" ref="Q174">OR(ISNUMBER(SEARCH(P$2:P$50,$B174,5)))</f>
        <v>0</v>
      </c>
      <c r="S174" s="3" t="str">
        <f t="shared" si="8"/>
        <v>ZZZ</v>
      </c>
      <c r="T174" s="3" t="b">
        <f t="array" ref="T174">OR(ISNUMBER(SEARCH(S$2:S$100,$B174,5)))</f>
        <v>0</v>
      </c>
      <c r="V174" s="3" t="str">
        <f t="shared" si="9"/>
        <v>ZZZ</v>
      </c>
      <c r="W174" s="3" t="b">
        <f t="array" ref="W174">OR(ISNUMBER(SEARCH(V$2:V$100,$B174,5)))</f>
        <v>0</v>
      </c>
      <c r="Y174" s="3" t="str">
        <f t="shared" si="10"/>
        <v>ZZZ</v>
      </c>
      <c r="Z174" s="3" t="b">
        <f t="array" ref="Z174">OR(ISNUMBER(SEARCH(Y$2:Y$100,$B174,5)))</f>
        <v>0</v>
      </c>
      <c r="AB174" s="3" t="str">
        <f t="shared" si="11"/>
        <v>ZZZ</v>
      </c>
      <c r="AC174" s="3" t="b">
        <f t="array" ref="AC174">OR(ISNUMBER(SEARCH(AB$2:AB$100,$B174,5)))</f>
        <v>0</v>
      </c>
      <c r="AE174" s="3" t="str">
        <f t="shared" si="12"/>
        <v>ZZZ</v>
      </c>
      <c r="AF174" s="3" t="b">
        <f t="array" ref="AF174">OR(ISNUMBER(SEARCH(AE$2:AE$100,$B174,5)))</f>
        <v>0</v>
      </c>
      <c r="AH174" s="3" t="str">
        <f t="shared" si="13"/>
        <v>ZZZ</v>
      </c>
      <c r="AI174" s="3" t="b">
        <f t="array" ref="AI174">OR(ISNUMBER(SEARCH(AH$2:AH$100,$B174,5)))</f>
        <v>0</v>
      </c>
      <c r="AK174" s="3" t="str">
        <f t="shared" si="14"/>
        <v>ZZZ</v>
      </c>
      <c r="AL174" s="3" t="b">
        <f t="array" ref="AL174">OR(ISNUMBER(SEARCH(AK$2:AK$100,$B174,5)))</f>
        <v>0</v>
      </c>
      <c r="AU174" s="8"/>
      <c r="AV174" s="6"/>
      <c r="AW174" s="8"/>
      <c r="AX174" s="8"/>
      <c r="AY174" s="6"/>
      <c r="AZ174" s="8"/>
      <c r="BA174" s="8"/>
      <c r="BB174" s="6" t="str">
        <f>IFERROR(__xludf.DUMMYFUNCTION("""COMPUTED_VALUE"""),"dim silver")</f>
        <v>dim silver</v>
      </c>
      <c r="BC174" s="8" t="str">
        <f>IFERROR(__xludf.DUMMYFUNCTION("""COMPUTED_VALUE"""),"posh blue")</f>
        <v>posh blue</v>
      </c>
      <c r="BD174" s="8"/>
      <c r="BE174" s="6"/>
      <c r="BF174" s="8"/>
      <c r="BG174" s="8"/>
      <c r="BH174" s="6"/>
      <c r="BI174" s="8"/>
      <c r="BJ174" s="8"/>
      <c r="BK174" s="6"/>
      <c r="BL174" s="8"/>
      <c r="BM174" s="8"/>
      <c r="BN174" s="6"/>
      <c r="BO174" s="8"/>
      <c r="BP174" s="8"/>
      <c r="BQ174" s="6"/>
      <c r="BR174" s="8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</row>
    <row r="175">
      <c r="A175" s="6"/>
      <c r="B175" s="6" t="s">
        <v>175</v>
      </c>
      <c r="C175" s="3" t="str">
        <f t="shared" si="3"/>
        <v>bright orange</v>
      </c>
      <c r="D175" s="3" t="str">
        <f t="shared" si="17"/>
        <v>ZZZ</v>
      </c>
      <c r="E175" s="3" t="b">
        <f t="array" ref="E175">OR(ISNUMBER(SEARCH(D$2:D$30,$B175,5)))</f>
        <v>0</v>
      </c>
      <c r="G175" s="3" t="str">
        <f t="shared" si="4"/>
        <v>ZZZ</v>
      </c>
      <c r="H175" s="3" t="b">
        <f t="array" ref="H175">OR(ISNUMBER(SEARCH(G$2:G$30,$B175,5)))</f>
        <v>0</v>
      </c>
      <c r="J175" s="3" t="str">
        <f t="shared" si="5"/>
        <v>ZZZ</v>
      </c>
      <c r="K175" s="3" t="b">
        <f t="array" ref="K175">OR(ISNUMBER(SEARCH(J$2:J$30,$B175,5)))</f>
        <v>0</v>
      </c>
      <c r="M175" s="3" t="str">
        <f t="shared" si="6"/>
        <v>ZZZ</v>
      </c>
      <c r="N175" s="3" t="b">
        <f t="array" ref="N175">OR(ISNUMBER(SEARCH(M$2:M$30,$B175,5)))</f>
        <v>0</v>
      </c>
      <c r="P175" s="3" t="str">
        <f t="shared" si="7"/>
        <v>ZZZ</v>
      </c>
      <c r="Q175" s="3" t="b">
        <f t="array" ref="Q175">OR(ISNUMBER(SEARCH(P$2:P$50,$B175,5)))</f>
        <v>0</v>
      </c>
      <c r="S175" s="3" t="str">
        <f t="shared" si="8"/>
        <v>ZZZ</v>
      </c>
      <c r="T175" s="3" t="b">
        <f t="array" ref="T175">OR(ISNUMBER(SEARCH(S$2:S$100,$B175,5)))</f>
        <v>0</v>
      </c>
      <c r="V175" s="3" t="str">
        <f t="shared" si="9"/>
        <v>ZZZ</v>
      </c>
      <c r="W175" s="3" t="b">
        <f t="array" ref="W175">OR(ISNUMBER(SEARCH(V$2:V$100,$B175,5)))</f>
        <v>0</v>
      </c>
      <c r="Y175" s="3" t="str">
        <f t="shared" si="10"/>
        <v>ZZZ</v>
      </c>
      <c r="Z175" s="3" t="b">
        <f t="array" ref="Z175">OR(ISNUMBER(SEARCH(Y$2:Y$100,$B175,5)))</f>
        <v>0</v>
      </c>
      <c r="AB175" s="3" t="str">
        <f t="shared" si="11"/>
        <v>ZZZ</v>
      </c>
      <c r="AC175" s="3" t="b">
        <f t="array" ref="AC175">OR(ISNUMBER(SEARCH(AB$2:AB$100,$B175,5)))</f>
        <v>0</v>
      </c>
      <c r="AE175" s="3" t="str">
        <f t="shared" si="12"/>
        <v>ZZZ</v>
      </c>
      <c r="AF175" s="3" t="b">
        <f t="array" ref="AF175">OR(ISNUMBER(SEARCH(AE$2:AE$100,$B175,5)))</f>
        <v>0</v>
      </c>
      <c r="AH175" s="3" t="str">
        <f t="shared" si="13"/>
        <v>ZZZ</v>
      </c>
      <c r="AI175" s="3" t="b">
        <f t="array" ref="AI175">OR(ISNUMBER(SEARCH(AH$2:AH$100,$B175,5)))</f>
        <v>0</v>
      </c>
      <c r="AK175" s="3" t="str">
        <f t="shared" si="14"/>
        <v>ZZZ</v>
      </c>
      <c r="AL175" s="3" t="b">
        <f t="array" ref="AL175">OR(ISNUMBER(SEARCH(AK$2:AK$100,$B175,5)))</f>
        <v>0</v>
      </c>
      <c r="AU175" s="8"/>
      <c r="AV175" s="6"/>
      <c r="AW175" s="8"/>
      <c r="AX175" s="8"/>
      <c r="AY175" s="6"/>
      <c r="AZ175" s="8"/>
      <c r="BA175" s="8"/>
      <c r="BB175" s="6" t="str">
        <f>IFERROR(__xludf.DUMMYFUNCTION("""COMPUTED_VALUE"""),"dull red")</f>
        <v>dull red</v>
      </c>
      <c r="BC175" s="8" t="str">
        <f>IFERROR(__xludf.DUMMYFUNCTION("""COMPUTED_VALUE"""),"wavy silver")</f>
        <v>wavy silver</v>
      </c>
      <c r="BD175" s="8"/>
      <c r="BE175" s="6"/>
      <c r="BF175" s="8"/>
      <c r="BG175" s="8"/>
      <c r="BH175" s="6"/>
      <c r="BI175" s="8"/>
      <c r="BJ175" s="8"/>
      <c r="BK175" s="6"/>
      <c r="BL175" s="8"/>
      <c r="BM175" s="8"/>
      <c r="BN175" s="6"/>
      <c r="BO175" s="8"/>
      <c r="BP175" s="8"/>
      <c r="BQ175" s="6"/>
      <c r="BR175" s="8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</row>
    <row r="176">
      <c r="A176" s="6"/>
      <c r="B176" s="6" t="s">
        <v>176</v>
      </c>
      <c r="C176" s="3" t="str">
        <f t="shared" si="3"/>
        <v>dotted turquoise</v>
      </c>
      <c r="D176" s="3" t="str">
        <f t="shared" si="17"/>
        <v>ZZZ</v>
      </c>
      <c r="E176" s="3" t="b">
        <f t="array" ref="E176">OR(ISNUMBER(SEARCH(D$2:D$30,$B176,5)))</f>
        <v>0</v>
      </c>
      <c r="G176" s="3" t="str">
        <f t="shared" si="4"/>
        <v>ZZZ</v>
      </c>
      <c r="H176" s="3" t="b">
        <f t="array" ref="H176">OR(ISNUMBER(SEARCH(G$2:G$30,$B176,5)))</f>
        <v>0</v>
      </c>
      <c r="J176" s="3" t="str">
        <f t="shared" si="5"/>
        <v>ZZZ</v>
      </c>
      <c r="K176" s="3" t="b">
        <f t="array" ref="K176">OR(ISNUMBER(SEARCH(J$2:J$30,$B176,5)))</f>
        <v>0</v>
      </c>
      <c r="M176" s="3" t="str">
        <f t="shared" si="6"/>
        <v>ZZZ</v>
      </c>
      <c r="N176" s="3" t="b">
        <f t="array" ref="N176">OR(ISNUMBER(SEARCH(M$2:M$30,$B176,5)))</f>
        <v>0</v>
      </c>
      <c r="P176" s="3" t="str">
        <f t="shared" si="7"/>
        <v>ZZZ</v>
      </c>
      <c r="Q176" s="3" t="b">
        <f t="array" ref="Q176">OR(ISNUMBER(SEARCH(P$2:P$50,$B176,5)))</f>
        <v>0</v>
      </c>
      <c r="S176" s="3" t="str">
        <f t="shared" si="8"/>
        <v>ZZZ</v>
      </c>
      <c r="T176" s="3" t="b">
        <f t="array" ref="T176">OR(ISNUMBER(SEARCH(S$2:S$100,$B176,5)))</f>
        <v>0</v>
      </c>
      <c r="V176" s="3" t="str">
        <f t="shared" si="9"/>
        <v>ZZZ</v>
      </c>
      <c r="W176" s="3" t="b">
        <f t="array" ref="W176">OR(ISNUMBER(SEARCH(V$2:V$100,$B176,5)))</f>
        <v>0</v>
      </c>
      <c r="Y176" s="3" t="str">
        <f t="shared" si="10"/>
        <v>ZZZ</v>
      </c>
      <c r="Z176" s="3" t="b">
        <f t="array" ref="Z176">OR(ISNUMBER(SEARCH(Y$2:Y$100,$B176,5)))</f>
        <v>0</v>
      </c>
      <c r="AB176" s="3" t="str">
        <f t="shared" si="11"/>
        <v>ZZZ</v>
      </c>
      <c r="AC176" s="3" t="b">
        <f t="array" ref="AC176">OR(ISNUMBER(SEARCH(AB$2:AB$100,$B176,5)))</f>
        <v>0</v>
      </c>
      <c r="AE176" s="3" t="str">
        <f t="shared" si="12"/>
        <v>ZZZ</v>
      </c>
      <c r="AF176" s="3" t="b">
        <f t="array" ref="AF176">OR(ISNUMBER(SEARCH(AE$2:AE$100,$B176,5)))</f>
        <v>0</v>
      </c>
      <c r="AH176" s="3" t="str">
        <f t="shared" si="13"/>
        <v>ZZZ</v>
      </c>
      <c r="AI176" s="3" t="b">
        <f t="array" ref="AI176">OR(ISNUMBER(SEARCH(AH$2:AH$100,$B176,5)))</f>
        <v>0</v>
      </c>
      <c r="AK176" s="3" t="str">
        <f t="shared" si="14"/>
        <v>ZZZ</v>
      </c>
      <c r="AL176" s="3" t="b">
        <f t="array" ref="AL176">OR(ISNUMBER(SEARCH(AK$2:AK$100,$B176,5)))</f>
        <v>0</v>
      </c>
      <c r="AU176" s="8"/>
      <c r="AV176" s="6"/>
      <c r="AW176" s="8"/>
      <c r="AX176" s="8"/>
      <c r="AY176" s="6"/>
      <c r="AZ176" s="8"/>
      <c r="BA176" s="8"/>
      <c r="BB176" s="6" t="str">
        <f>IFERROR(__xludf.DUMMYFUNCTION("""COMPUTED_VALUE"""),"wavy crimson")</f>
        <v>wavy crimson</v>
      </c>
      <c r="BC176" s="8" t="str">
        <f>IFERROR(__xludf.DUMMYFUNCTION("""COMPUTED_VALUE"""),"mirrored aqua")</f>
        <v>mirrored aqua</v>
      </c>
      <c r="BD176" s="8"/>
      <c r="BE176" s="6"/>
      <c r="BF176" s="8"/>
      <c r="BG176" s="8"/>
      <c r="BH176" s="6"/>
      <c r="BI176" s="8"/>
      <c r="BJ176" s="8"/>
      <c r="BK176" s="6"/>
      <c r="BL176" s="8"/>
      <c r="BM176" s="8"/>
      <c r="BN176" s="6"/>
      <c r="BO176" s="8"/>
      <c r="BP176" s="8"/>
      <c r="BQ176" s="6"/>
      <c r="BR176" s="8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</row>
    <row r="177">
      <c r="A177" s="6"/>
      <c r="B177" s="6" t="s">
        <v>177</v>
      </c>
      <c r="C177" s="3" t="str">
        <f t="shared" si="3"/>
        <v>vibrant turquoise</v>
      </c>
      <c r="D177" s="3" t="str">
        <f t="shared" si="17"/>
        <v>ZZZ</v>
      </c>
      <c r="E177" s="3" t="b">
        <f t="array" ref="E177">OR(ISNUMBER(SEARCH(D$2:D$30,$B177,5)))</f>
        <v>0</v>
      </c>
      <c r="G177" s="3" t="str">
        <f t="shared" si="4"/>
        <v>ZZZ</v>
      </c>
      <c r="H177" s="3" t="b">
        <f t="array" ref="H177">OR(ISNUMBER(SEARCH(G$2:G$30,$B177,5)))</f>
        <v>0</v>
      </c>
      <c r="J177" s="3" t="str">
        <f t="shared" si="5"/>
        <v>ZZZ</v>
      </c>
      <c r="K177" s="3" t="b">
        <f t="array" ref="K177">OR(ISNUMBER(SEARCH(J$2:J$30,$B177,5)))</f>
        <v>0</v>
      </c>
      <c r="M177" s="3" t="str">
        <f t="shared" si="6"/>
        <v>ZZZ</v>
      </c>
      <c r="N177" s="3" t="b">
        <f t="array" ref="N177">OR(ISNUMBER(SEARCH(M$2:M$30,$B177,5)))</f>
        <v>0</v>
      </c>
      <c r="P177" s="3" t="str">
        <f t="shared" si="7"/>
        <v>ZZZ</v>
      </c>
      <c r="Q177" s="3" t="b">
        <f t="array" ref="Q177">OR(ISNUMBER(SEARCH(P$2:P$50,$B177,5)))</f>
        <v>0</v>
      </c>
      <c r="S177" s="3" t="str">
        <f t="shared" si="8"/>
        <v>ZZZ</v>
      </c>
      <c r="T177" s="3" t="b">
        <f t="array" ref="T177">OR(ISNUMBER(SEARCH(S$2:S$100,$B177,5)))</f>
        <v>0</v>
      </c>
      <c r="V177" s="3" t="str">
        <f t="shared" si="9"/>
        <v>ZZZ</v>
      </c>
      <c r="W177" s="3" t="b">
        <f t="array" ref="W177">OR(ISNUMBER(SEARCH(V$2:V$100,$B177,5)))</f>
        <v>0</v>
      </c>
      <c r="Y177" s="3" t="str">
        <f t="shared" si="10"/>
        <v>ZZZ</v>
      </c>
      <c r="Z177" s="3" t="b">
        <f t="array" ref="Z177">OR(ISNUMBER(SEARCH(Y$2:Y$100,$B177,5)))</f>
        <v>0</v>
      </c>
      <c r="AB177" s="3" t="str">
        <f t="shared" si="11"/>
        <v>ZZZ</v>
      </c>
      <c r="AC177" s="3" t="b">
        <f t="array" ref="AC177">OR(ISNUMBER(SEARCH(AB$2:AB$100,$B177,5)))</f>
        <v>0</v>
      </c>
      <c r="AE177" s="3" t="str">
        <f t="shared" si="12"/>
        <v>ZZZ</v>
      </c>
      <c r="AF177" s="3" t="b">
        <f t="array" ref="AF177">OR(ISNUMBER(SEARCH(AE$2:AE$100,$B177,5)))</f>
        <v>0</v>
      </c>
      <c r="AH177" s="3" t="str">
        <f t="shared" si="13"/>
        <v>ZZZ</v>
      </c>
      <c r="AI177" s="3" t="b">
        <f t="array" ref="AI177">OR(ISNUMBER(SEARCH(AH$2:AH$100,$B177,5)))</f>
        <v>0</v>
      </c>
      <c r="AK177" s="3" t="str">
        <f t="shared" si="14"/>
        <v>ZZZ</v>
      </c>
      <c r="AL177" s="3" t="b">
        <f t="array" ref="AL177">OR(ISNUMBER(SEARCH(AK$2:AK$100,$B177,5)))</f>
        <v>0</v>
      </c>
      <c r="AU177" s="8"/>
      <c r="AV177" s="6"/>
      <c r="AW177" s="8"/>
      <c r="AX177" s="8"/>
      <c r="AY177" s="6"/>
      <c r="AZ177" s="8"/>
      <c r="BA177" s="8"/>
      <c r="BB177" s="6" t="str">
        <f>IFERROR(__xludf.DUMMYFUNCTION("""COMPUTED_VALUE"""),"drab blue")</f>
        <v>drab blue</v>
      </c>
      <c r="BC177" s="8" t="str">
        <f>IFERROR(__xludf.DUMMYFUNCTION("""COMPUTED_VALUE"""),"posh aqua")</f>
        <v>posh aqua</v>
      </c>
      <c r="BD177" s="8"/>
      <c r="BE177" s="6"/>
      <c r="BF177" s="8"/>
      <c r="BG177" s="8"/>
      <c r="BH177" s="6"/>
      <c r="BI177" s="8"/>
      <c r="BJ177" s="8"/>
      <c r="BK177" s="6"/>
      <c r="BL177" s="8"/>
      <c r="BM177" s="8"/>
      <c r="BN177" s="6"/>
      <c r="BO177" s="8"/>
      <c r="BP177" s="8"/>
      <c r="BQ177" s="6"/>
      <c r="BR177" s="8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</row>
    <row r="178">
      <c r="A178" s="6"/>
      <c r="B178" s="6" t="s">
        <v>178</v>
      </c>
      <c r="C178" s="3" t="str">
        <f t="shared" si="3"/>
        <v>striped lime</v>
      </c>
      <c r="D178" s="3" t="str">
        <f t="shared" si="17"/>
        <v>ZZZ</v>
      </c>
      <c r="E178" s="3" t="b">
        <f t="array" ref="E178">OR(ISNUMBER(SEARCH(D$2:D$30,$B178,5)))</f>
        <v>1</v>
      </c>
      <c r="G178" s="3" t="str">
        <f t="shared" si="4"/>
        <v>ZZZ</v>
      </c>
      <c r="H178" s="3" t="b">
        <f t="array" ref="H178">OR(ISNUMBER(SEARCH(G$2:G$30,$B178,5)))</f>
        <v>0</v>
      </c>
      <c r="J178" s="3" t="str">
        <f t="shared" si="5"/>
        <v>ZZZ</v>
      </c>
      <c r="K178" s="3" t="b">
        <f t="array" ref="K178">OR(ISNUMBER(SEARCH(J$2:J$30,$B178,5)))</f>
        <v>0</v>
      </c>
      <c r="M178" s="3" t="str">
        <f t="shared" si="6"/>
        <v>ZZZ</v>
      </c>
      <c r="N178" s="3" t="b">
        <f t="array" ref="N178">OR(ISNUMBER(SEARCH(M$2:M$30,$B178,5)))</f>
        <v>0</v>
      </c>
      <c r="P178" s="3" t="str">
        <f t="shared" si="7"/>
        <v>ZZZ</v>
      </c>
      <c r="Q178" s="3" t="b">
        <f t="array" ref="Q178">OR(ISNUMBER(SEARCH(P$2:P$50,$B178,5)))</f>
        <v>0</v>
      </c>
      <c r="S178" s="3" t="str">
        <f t="shared" si="8"/>
        <v>ZZZ</v>
      </c>
      <c r="T178" s="3" t="b">
        <f t="array" ref="T178">OR(ISNUMBER(SEARCH(S$2:S$100,$B178,5)))</f>
        <v>0</v>
      </c>
      <c r="V178" s="3" t="str">
        <f t="shared" si="9"/>
        <v>ZZZ</v>
      </c>
      <c r="W178" s="3" t="b">
        <f t="array" ref="W178">OR(ISNUMBER(SEARCH(V$2:V$100,$B178,5)))</f>
        <v>0</v>
      </c>
      <c r="Y178" s="3" t="str">
        <f t="shared" si="10"/>
        <v>ZZZ</v>
      </c>
      <c r="Z178" s="3" t="b">
        <f t="array" ref="Z178">OR(ISNUMBER(SEARCH(Y$2:Y$100,$B178,5)))</f>
        <v>0</v>
      </c>
      <c r="AB178" s="3" t="str">
        <f t="shared" si="11"/>
        <v>ZZZ</v>
      </c>
      <c r="AC178" s="3" t="b">
        <f t="array" ref="AC178">OR(ISNUMBER(SEARCH(AB$2:AB$100,$B178,5)))</f>
        <v>0</v>
      </c>
      <c r="AE178" s="3" t="str">
        <f t="shared" si="12"/>
        <v>ZZZ</v>
      </c>
      <c r="AF178" s="3" t="b">
        <f t="array" ref="AF178">OR(ISNUMBER(SEARCH(AE$2:AE$100,$B178,5)))</f>
        <v>0</v>
      </c>
      <c r="AH178" s="3" t="str">
        <f t="shared" si="13"/>
        <v>ZZZ</v>
      </c>
      <c r="AI178" s="3" t="b">
        <f t="array" ref="AI178">OR(ISNUMBER(SEARCH(AH$2:AH$100,$B178,5)))</f>
        <v>0</v>
      </c>
      <c r="AK178" s="3" t="str">
        <f t="shared" si="14"/>
        <v>ZZZ</v>
      </c>
      <c r="AL178" s="3" t="b">
        <f t="array" ref="AL178">OR(ISNUMBER(SEARCH(AK$2:AK$100,$B178,5)))</f>
        <v>0</v>
      </c>
      <c r="AU178" s="8"/>
      <c r="AV178" s="6"/>
      <c r="AW178" s="8"/>
      <c r="AX178" s="8"/>
      <c r="AY178" s="6"/>
      <c r="AZ178" s="8"/>
      <c r="BA178" s="8"/>
      <c r="BB178" s="6" t="str">
        <f>IFERROR(__xludf.DUMMYFUNCTION("""COMPUTED_VALUE"""),"dotted tan")</f>
        <v>dotted tan</v>
      </c>
      <c r="BC178" s="8" t="str">
        <f>IFERROR(__xludf.DUMMYFUNCTION("""COMPUTED_VALUE"""),"dark tomato")</f>
        <v>dark tomato</v>
      </c>
      <c r="BD178" s="8"/>
      <c r="BE178" s="6"/>
      <c r="BF178" s="8"/>
      <c r="BG178" s="8"/>
      <c r="BH178" s="6"/>
      <c r="BI178" s="8"/>
      <c r="BJ178" s="8"/>
      <c r="BK178" s="6"/>
      <c r="BL178" s="8"/>
      <c r="BM178" s="8"/>
      <c r="BN178" s="6"/>
      <c r="BO178" s="8"/>
      <c r="BP178" s="8"/>
      <c r="BQ178" s="6"/>
      <c r="BR178" s="8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</row>
    <row r="179">
      <c r="A179" s="6"/>
      <c r="B179" s="6" t="s">
        <v>179</v>
      </c>
      <c r="C179" s="3" t="str">
        <f t="shared" si="3"/>
        <v>light violet</v>
      </c>
      <c r="D179" s="3" t="str">
        <f t="shared" si="17"/>
        <v>ZZZ</v>
      </c>
      <c r="E179" s="3" t="b">
        <f t="array" ref="E179">OR(ISNUMBER(SEARCH(D$2:D$30,$B179,5)))</f>
        <v>0</v>
      </c>
      <c r="G179" s="3" t="str">
        <f t="shared" si="4"/>
        <v>ZZZ</v>
      </c>
      <c r="H179" s="3" t="b">
        <f t="array" ref="H179">OR(ISNUMBER(SEARCH(G$2:G$30,$B179,5)))</f>
        <v>0</v>
      </c>
      <c r="J179" s="3" t="str">
        <f t="shared" si="5"/>
        <v>ZZZ</v>
      </c>
      <c r="K179" s="3" t="b">
        <f t="array" ref="K179">OR(ISNUMBER(SEARCH(J$2:J$30,$B179,5)))</f>
        <v>0</v>
      </c>
      <c r="M179" s="3" t="str">
        <f t="shared" si="6"/>
        <v>ZZZ</v>
      </c>
      <c r="N179" s="3" t="b">
        <f t="array" ref="N179">OR(ISNUMBER(SEARCH(M$2:M$30,$B179,5)))</f>
        <v>0</v>
      </c>
      <c r="P179" s="3" t="str">
        <f t="shared" si="7"/>
        <v>ZZZ</v>
      </c>
      <c r="Q179" s="3" t="b">
        <f t="array" ref="Q179">OR(ISNUMBER(SEARCH(P$2:P$50,$B179,5)))</f>
        <v>0</v>
      </c>
      <c r="S179" s="3" t="str">
        <f t="shared" si="8"/>
        <v>ZZZ</v>
      </c>
      <c r="T179" s="3" t="b">
        <f t="array" ref="T179">OR(ISNUMBER(SEARCH(S$2:S$100,$B179,5)))</f>
        <v>0</v>
      </c>
      <c r="V179" s="3" t="str">
        <f t="shared" si="9"/>
        <v>ZZZ</v>
      </c>
      <c r="W179" s="3" t="b">
        <f t="array" ref="W179">OR(ISNUMBER(SEARCH(V$2:V$100,$B179,5)))</f>
        <v>1</v>
      </c>
      <c r="Y179" s="3" t="str">
        <f t="shared" si="10"/>
        <v>ZZZ</v>
      </c>
      <c r="Z179" s="3" t="b">
        <f t="array" ref="Z179">OR(ISNUMBER(SEARCH(Y$2:Y$100,$B179,5)))</f>
        <v>0</v>
      </c>
      <c r="AB179" s="3" t="str">
        <f t="shared" si="11"/>
        <v>ZZZ</v>
      </c>
      <c r="AC179" s="3" t="b">
        <f t="array" ref="AC179">OR(ISNUMBER(SEARCH(AB$2:AB$100,$B179,5)))</f>
        <v>0</v>
      </c>
      <c r="AE179" s="3" t="str">
        <f t="shared" si="12"/>
        <v>ZZZ</v>
      </c>
      <c r="AF179" s="3" t="b">
        <f t="array" ref="AF179">OR(ISNUMBER(SEARCH(AE$2:AE$100,$B179,5)))</f>
        <v>0</v>
      </c>
      <c r="AH179" s="3" t="str">
        <f t="shared" si="13"/>
        <v>ZZZ</v>
      </c>
      <c r="AI179" s="3" t="b">
        <f t="array" ref="AI179">OR(ISNUMBER(SEARCH(AH$2:AH$100,$B179,5)))</f>
        <v>0</v>
      </c>
      <c r="AK179" s="3" t="str">
        <f t="shared" si="14"/>
        <v>ZZZ</v>
      </c>
      <c r="AL179" s="3" t="b">
        <f t="array" ref="AL179">OR(ISNUMBER(SEARCH(AK$2:AK$100,$B179,5)))</f>
        <v>0</v>
      </c>
      <c r="AU179" s="8"/>
      <c r="AV179" s="6"/>
      <c r="AW179" s="8"/>
      <c r="AX179" s="8"/>
      <c r="AY179" s="6"/>
      <c r="AZ179" s="8"/>
      <c r="BA179" s="8"/>
      <c r="BB179" s="6" t="str">
        <f>IFERROR(__xludf.DUMMYFUNCTION("""COMPUTED_VALUE"""),"striped plum")</f>
        <v>striped plum</v>
      </c>
      <c r="BC179" s="8" t="str">
        <f>IFERROR(__xludf.DUMMYFUNCTION("""COMPUTED_VALUE"""),"dim cyan")</f>
        <v>dim cyan</v>
      </c>
      <c r="BD179" s="8"/>
      <c r="BE179" s="6"/>
      <c r="BF179" s="8"/>
      <c r="BG179" s="8"/>
      <c r="BH179" s="6"/>
      <c r="BI179" s="8"/>
      <c r="BJ179" s="8"/>
      <c r="BK179" s="6"/>
      <c r="BL179" s="8"/>
      <c r="BM179" s="8"/>
      <c r="BN179" s="6"/>
      <c r="BO179" s="8"/>
      <c r="BP179" s="8"/>
      <c r="BQ179" s="6"/>
      <c r="BR179" s="8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</row>
    <row r="180">
      <c r="A180" s="6"/>
      <c r="B180" s="6" t="s">
        <v>180</v>
      </c>
      <c r="C180" s="3" t="str">
        <f t="shared" si="3"/>
        <v>striped orange</v>
      </c>
      <c r="D180" s="3" t="str">
        <f t="shared" si="17"/>
        <v>ZZZ</v>
      </c>
      <c r="E180" s="3" t="b">
        <f t="array" ref="E180">OR(ISNUMBER(SEARCH(D$2:D$30,$B180,5)))</f>
        <v>0</v>
      </c>
      <c r="G180" s="3" t="str">
        <f t="shared" si="4"/>
        <v>ZZZ</v>
      </c>
      <c r="H180" s="3" t="b">
        <f t="array" ref="H180">OR(ISNUMBER(SEARCH(G$2:G$30,$B180,5)))</f>
        <v>0</v>
      </c>
      <c r="J180" s="3" t="str">
        <f t="shared" si="5"/>
        <v>ZZZ</v>
      </c>
      <c r="K180" s="3" t="b">
        <f t="array" ref="K180">OR(ISNUMBER(SEARCH(J$2:J$30,$B180,5)))</f>
        <v>0</v>
      </c>
      <c r="M180" s="3" t="str">
        <f t="shared" si="6"/>
        <v>ZZZ</v>
      </c>
      <c r="N180" s="3" t="b">
        <f t="array" ref="N180">OR(ISNUMBER(SEARCH(M$2:M$30,$B180,5)))</f>
        <v>0</v>
      </c>
      <c r="P180" s="3" t="str">
        <f t="shared" si="7"/>
        <v>ZZZ</v>
      </c>
      <c r="Q180" s="3" t="b">
        <f t="array" ref="Q180">OR(ISNUMBER(SEARCH(P$2:P$50,$B180,5)))</f>
        <v>1</v>
      </c>
      <c r="S180" s="3" t="str">
        <f t="shared" si="8"/>
        <v>ZZZ</v>
      </c>
      <c r="T180" s="3" t="b">
        <f t="array" ref="T180">OR(ISNUMBER(SEARCH(S$2:S$100,$B180,5)))</f>
        <v>1</v>
      </c>
      <c r="V180" s="3" t="str">
        <f t="shared" si="9"/>
        <v>ZZZ</v>
      </c>
      <c r="W180" s="3" t="b">
        <f t="array" ref="W180">OR(ISNUMBER(SEARCH(V$2:V$100,$B180,5)))</f>
        <v>0</v>
      </c>
      <c r="Y180" s="3" t="str">
        <f t="shared" si="10"/>
        <v>ZZZ</v>
      </c>
      <c r="Z180" s="3" t="b">
        <f t="array" ref="Z180">OR(ISNUMBER(SEARCH(Y$2:Y$100,$B180,5)))</f>
        <v>1</v>
      </c>
      <c r="AB180" s="3" t="str">
        <f t="shared" si="11"/>
        <v>ZZZ</v>
      </c>
      <c r="AC180" s="3" t="b">
        <f t="array" ref="AC180">OR(ISNUMBER(SEARCH(AB$2:AB$100,$B180,5)))</f>
        <v>0</v>
      </c>
      <c r="AE180" s="3" t="str">
        <f t="shared" si="12"/>
        <v>ZZZ</v>
      </c>
      <c r="AF180" s="3" t="b">
        <f t="array" ref="AF180">OR(ISNUMBER(SEARCH(AE$2:AE$100,$B180,5)))</f>
        <v>0</v>
      </c>
      <c r="AH180" s="3" t="str">
        <f t="shared" si="13"/>
        <v>ZZZ</v>
      </c>
      <c r="AI180" s="3" t="b">
        <f t="array" ref="AI180">OR(ISNUMBER(SEARCH(AH$2:AH$100,$B180,5)))</f>
        <v>0</v>
      </c>
      <c r="AK180" s="3" t="str">
        <f t="shared" si="14"/>
        <v>ZZZ</v>
      </c>
      <c r="AL180" s="3" t="b">
        <f t="array" ref="AL180">OR(ISNUMBER(SEARCH(AK$2:AK$100,$B180,5)))</f>
        <v>0</v>
      </c>
      <c r="AU180" s="8"/>
      <c r="AV180" s="6"/>
      <c r="AW180" s="8"/>
      <c r="AX180" s="8"/>
      <c r="AY180" s="6"/>
      <c r="AZ180" s="8"/>
      <c r="BA180" s="8"/>
      <c r="BB180" s="6" t="str">
        <f>IFERROR(__xludf.DUMMYFUNCTION("""COMPUTED_VALUE"""),"vibrant magenta")</f>
        <v>vibrant magenta</v>
      </c>
      <c r="BC180" s="8" t="str">
        <f>IFERROR(__xludf.DUMMYFUNCTION("""COMPUTED_VALUE"""),"dotted green")</f>
        <v>dotted green</v>
      </c>
      <c r="BD180" s="8"/>
      <c r="BE180" s="6"/>
      <c r="BF180" s="8"/>
      <c r="BG180" s="8"/>
      <c r="BH180" s="6"/>
      <c r="BI180" s="8"/>
      <c r="BJ180" s="8"/>
      <c r="BK180" s="6"/>
      <c r="BL180" s="8"/>
      <c r="BM180" s="8"/>
      <c r="BN180" s="6"/>
      <c r="BO180" s="8"/>
      <c r="BP180" s="8"/>
      <c r="BQ180" s="6"/>
      <c r="BR180" s="8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</row>
    <row r="181">
      <c r="A181" s="6"/>
      <c r="B181" s="6" t="s">
        <v>181</v>
      </c>
      <c r="C181" s="3" t="str">
        <f t="shared" si="3"/>
        <v>drab turquoise</v>
      </c>
      <c r="D181" s="3" t="str">
        <f t="shared" si="17"/>
        <v>ZZZ</v>
      </c>
      <c r="E181" s="3" t="b">
        <f t="array" ref="E181">OR(ISNUMBER(SEARCH(D$2:D$30,$B181,5)))</f>
        <v>0</v>
      </c>
      <c r="G181" s="3" t="str">
        <f t="shared" si="4"/>
        <v>ZZZ</v>
      </c>
      <c r="H181" s="3" t="b">
        <f t="array" ref="H181">OR(ISNUMBER(SEARCH(G$2:G$30,$B181,5)))</f>
        <v>0</v>
      </c>
      <c r="J181" s="3" t="str">
        <f t="shared" si="5"/>
        <v>ZZZ</v>
      </c>
      <c r="K181" s="3" t="b">
        <f t="array" ref="K181">OR(ISNUMBER(SEARCH(J$2:J$30,$B181,5)))</f>
        <v>0</v>
      </c>
      <c r="M181" s="3" t="str">
        <f t="shared" si="6"/>
        <v>ZZZ</v>
      </c>
      <c r="N181" s="3" t="b">
        <f t="array" ref="N181">OR(ISNUMBER(SEARCH(M$2:M$30,$B181,5)))</f>
        <v>0</v>
      </c>
      <c r="P181" s="3" t="str">
        <f t="shared" si="7"/>
        <v>ZZZ</v>
      </c>
      <c r="Q181" s="3" t="b">
        <f t="array" ref="Q181">OR(ISNUMBER(SEARCH(P$2:P$50,$B181,5)))</f>
        <v>1</v>
      </c>
      <c r="S181" s="3" t="str">
        <f t="shared" si="8"/>
        <v>ZZZ</v>
      </c>
      <c r="T181" s="3" t="b">
        <f t="array" ref="T181">OR(ISNUMBER(SEARCH(S$2:S$100,$B181,5)))</f>
        <v>0</v>
      </c>
      <c r="V181" s="3" t="str">
        <f t="shared" si="9"/>
        <v>ZZZ</v>
      </c>
      <c r="W181" s="3" t="b">
        <f t="array" ref="W181">OR(ISNUMBER(SEARCH(V$2:V$100,$B181,5)))</f>
        <v>0</v>
      </c>
      <c r="Y181" s="3" t="str">
        <f t="shared" si="10"/>
        <v>ZZZ</v>
      </c>
      <c r="Z181" s="3" t="b">
        <f t="array" ref="Z181">OR(ISNUMBER(SEARCH(Y$2:Y$100,$B181,5)))</f>
        <v>0</v>
      </c>
      <c r="AB181" s="3" t="str">
        <f t="shared" si="11"/>
        <v>ZZZ</v>
      </c>
      <c r="AC181" s="3" t="b">
        <f t="array" ref="AC181">OR(ISNUMBER(SEARCH(AB$2:AB$100,$B181,5)))</f>
        <v>0</v>
      </c>
      <c r="AE181" s="3" t="str">
        <f t="shared" si="12"/>
        <v>ZZZ</v>
      </c>
      <c r="AF181" s="3" t="b">
        <f t="array" ref="AF181">OR(ISNUMBER(SEARCH(AE$2:AE$100,$B181,5)))</f>
        <v>0</v>
      </c>
      <c r="AH181" s="3" t="str">
        <f t="shared" si="13"/>
        <v>ZZZ</v>
      </c>
      <c r="AI181" s="3" t="b">
        <f t="array" ref="AI181">OR(ISNUMBER(SEARCH(AH$2:AH$100,$B181,5)))</f>
        <v>0</v>
      </c>
      <c r="AK181" s="3" t="str">
        <f t="shared" si="14"/>
        <v>ZZZ</v>
      </c>
      <c r="AL181" s="3" t="b">
        <f t="array" ref="AL181">OR(ISNUMBER(SEARCH(AK$2:AK$100,$B181,5)))</f>
        <v>0</v>
      </c>
      <c r="AU181" s="8"/>
      <c r="AV181" s="6"/>
      <c r="AW181" s="8"/>
      <c r="AX181" s="8"/>
      <c r="AY181" s="6"/>
      <c r="AZ181" s="8"/>
      <c r="BA181" s="8"/>
      <c r="BB181" s="6" t="str">
        <f>IFERROR(__xludf.DUMMYFUNCTION("""COMPUTED_VALUE"""),"drab blue")</f>
        <v>drab blue</v>
      </c>
      <c r="BC181" s="8" t="str">
        <f>IFERROR(__xludf.DUMMYFUNCTION("""COMPUTED_VALUE"""),"dark salmon")</f>
        <v>dark salmon</v>
      </c>
      <c r="BD181" s="8"/>
      <c r="BE181" s="6"/>
      <c r="BF181" s="8"/>
      <c r="BG181" s="8"/>
      <c r="BH181" s="6"/>
      <c r="BI181" s="8"/>
      <c r="BJ181" s="8"/>
      <c r="BK181" s="6"/>
      <c r="BL181" s="8"/>
      <c r="BM181" s="8"/>
      <c r="BN181" s="6"/>
      <c r="BO181" s="8"/>
      <c r="BP181" s="8"/>
      <c r="BQ181" s="6"/>
      <c r="BR181" s="8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</row>
    <row r="182">
      <c r="A182" s="6"/>
      <c r="B182" s="6" t="s">
        <v>182</v>
      </c>
      <c r="C182" s="3" t="str">
        <f t="shared" si="3"/>
        <v>pale salmon</v>
      </c>
      <c r="D182" s="3" t="str">
        <f t="shared" si="17"/>
        <v>ZZZ</v>
      </c>
      <c r="E182" s="3" t="b">
        <f t="array" ref="E182">OR(ISNUMBER(SEARCH(D$2:D$30,$B182,5)))</f>
        <v>0</v>
      </c>
      <c r="G182" s="3" t="str">
        <f t="shared" si="4"/>
        <v>ZZZ</v>
      </c>
      <c r="H182" s="3" t="b">
        <f t="array" ref="H182">OR(ISNUMBER(SEARCH(G$2:G$30,$B182,5)))</f>
        <v>0</v>
      </c>
      <c r="J182" s="3" t="str">
        <f t="shared" si="5"/>
        <v>ZZZ</v>
      </c>
      <c r="K182" s="3" t="b">
        <f t="array" ref="K182">OR(ISNUMBER(SEARCH(J$2:J$30,$B182,5)))</f>
        <v>0</v>
      </c>
      <c r="M182" s="3" t="str">
        <f t="shared" si="6"/>
        <v>ZZZ</v>
      </c>
      <c r="N182" s="3" t="b">
        <f t="array" ref="N182">OR(ISNUMBER(SEARCH(M$2:M$30,$B182,5)))</f>
        <v>0</v>
      </c>
      <c r="P182" s="3" t="str">
        <f t="shared" si="7"/>
        <v>ZZZ</v>
      </c>
      <c r="Q182" s="3" t="b">
        <f t="array" ref="Q182">OR(ISNUMBER(SEARCH(P$2:P$50,$B182,5)))</f>
        <v>0</v>
      </c>
      <c r="S182" s="3" t="str">
        <f t="shared" si="8"/>
        <v>ZZZ</v>
      </c>
      <c r="T182" s="3" t="b">
        <f t="array" ref="T182">OR(ISNUMBER(SEARCH(S$2:S$100,$B182,5)))</f>
        <v>0</v>
      </c>
      <c r="V182" s="3" t="str">
        <f t="shared" si="9"/>
        <v>ZZZ</v>
      </c>
      <c r="W182" s="3" t="b">
        <f t="array" ref="W182">OR(ISNUMBER(SEARCH(V$2:V$100,$B182,5)))</f>
        <v>0</v>
      </c>
      <c r="Y182" s="3" t="str">
        <f t="shared" si="10"/>
        <v>ZZZ</v>
      </c>
      <c r="Z182" s="3" t="b">
        <f t="array" ref="Z182">OR(ISNUMBER(SEARCH(Y$2:Y$100,$B182,5)))</f>
        <v>0</v>
      </c>
      <c r="AB182" s="3" t="str">
        <f t="shared" si="11"/>
        <v>ZZZ</v>
      </c>
      <c r="AC182" s="3" t="b">
        <f t="array" ref="AC182">OR(ISNUMBER(SEARCH(AB$2:AB$100,$B182,5)))</f>
        <v>0</v>
      </c>
      <c r="AE182" s="3" t="str">
        <f t="shared" si="12"/>
        <v>ZZZ</v>
      </c>
      <c r="AF182" s="3" t="b">
        <f t="array" ref="AF182">OR(ISNUMBER(SEARCH(AE$2:AE$100,$B182,5)))</f>
        <v>0</v>
      </c>
      <c r="AH182" s="3" t="str">
        <f t="shared" si="13"/>
        <v>ZZZ</v>
      </c>
      <c r="AI182" s="3" t="b">
        <f t="array" ref="AI182">OR(ISNUMBER(SEARCH(AH$2:AH$100,$B182,5)))</f>
        <v>0</v>
      </c>
      <c r="AK182" s="3" t="str">
        <f t="shared" si="14"/>
        <v>ZZZ</v>
      </c>
      <c r="AL182" s="3" t="b">
        <f t="array" ref="AL182">OR(ISNUMBER(SEARCH(AK$2:AK$100,$B182,5)))</f>
        <v>0</v>
      </c>
      <c r="AU182" s="8"/>
      <c r="AV182" s="6"/>
      <c r="AW182" s="8"/>
      <c r="AX182" s="8"/>
      <c r="AY182" s="6"/>
      <c r="AZ182" s="8"/>
      <c r="BA182" s="8"/>
      <c r="BB182" s="6" t="str">
        <f>IFERROR(__xludf.DUMMYFUNCTION("""COMPUTED_VALUE"""),"clear tan")</f>
        <v>clear tan</v>
      </c>
      <c r="BC182" s="8" t="str">
        <f>IFERROR(__xludf.DUMMYFUNCTION("""COMPUTED_VALUE"""),"dull gray")</f>
        <v>dull gray</v>
      </c>
      <c r="BD182" s="8"/>
      <c r="BE182" s="6"/>
      <c r="BF182" s="8"/>
      <c r="BG182" s="8"/>
      <c r="BH182" s="6"/>
      <c r="BI182" s="8"/>
      <c r="BJ182" s="8"/>
      <c r="BK182" s="6"/>
      <c r="BL182" s="8"/>
      <c r="BM182" s="8"/>
      <c r="BN182" s="6"/>
      <c r="BO182" s="8"/>
      <c r="BP182" s="8"/>
      <c r="BQ182" s="6"/>
      <c r="BR182" s="8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</row>
    <row r="183">
      <c r="A183" s="6"/>
      <c r="B183" s="6" t="s">
        <v>183</v>
      </c>
      <c r="C183" s="3" t="str">
        <f t="shared" si="3"/>
        <v>shiny yellow</v>
      </c>
      <c r="D183" s="3" t="str">
        <f t="shared" si="17"/>
        <v>ZZZ</v>
      </c>
      <c r="E183" s="3" t="b">
        <f t="array" ref="E183">OR(ISNUMBER(SEARCH(D$2:D$30,$B183,5)))</f>
        <v>0</v>
      </c>
      <c r="G183" s="3" t="str">
        <f t="shared" si="4"/>
        <v>ZZZ</v>
      </c>
      <c r="H183" s="3" t="b">
        <f t="array" ref="H183">OR(ISNUMBER(SEARCH(G$2:G$30,$B183,5)))</f>
        <v>0</v>
      </c>
      <c r="J183" s="3" t="str">
        <f t="shared" si="5"/>
        <v>ZZZ</v>
      </c>
      <c r="K183" s="3" t="b">
        <f t="array" ref="K183">OR(ISNUMBER(SEARCH(J$2:J$30,$B183,5)))</f>
        <v>0</v>
      </c>
      <c r="M183" s="3" t="str">
        <f t="shared" si="6"/>
        <v>ZZZ</v>
      </c>
      <c r="N183" s="3" t="b">
        <f t="array" ref="N183">OR(ISNUMBER(SEARCH(M$2:M$30,$B183,5)))</f>
        <v>0</v>
      </c>
      <c r="P183" s="3" t="str">
        <f t="shared" si="7"/>
        <v>ZZZ</v>
      </c>
      <c r="Q183" s="3" t="b">
        <f t="array" ref="Q183">OR(ISNUMBER(SEARCH(P$2:P$50,$B183,5)))</f>
        <v>0</v>
      </c>
      <c r="S183" s="3" t="str">
        <f t="shared" si="8"/>
        <v>ZZZ</v>
      </c>
      <c r="T183" s="3" t="b">
        <f t="array" ref="T183">OR(ISNUMBER(SEARCH(S$2:S$100,$B183,5)))</f>
        <v>0</v>
      </c>
      <c r="V183" s="3" t="str">
        <f t="shared" si="9"/>
        <v>ZZZ</v>
      </c>
      <c r="W183" s="3" t="b">
        <f t="array" ref="W183">OR(ISNUMBER(SEARCH(V$2:V$100,$B183,5)))</f>
        <v>0</v>
      </c>
      <c r="Y183" s="3" t="str">
        <f t="shared" si="10"/>
        <v>ZZZ</v>
      </c>
      <c r="Z183" s="3" t="b">
        <f t="array" ref="Z183">OR(ISNUMBER(SEARCH(Y$2:Y$100,$B183,5)))</f>
        <v>0</v>
      </c>
      <c r="AB183" s="3" t="str">
        <f t="shared" si="11"/>
        <v>ZZZ</v>
      </c>
      <c r="AC183" s="3" t="b">
        <f t="array" ref="AC183">OR(ISNUMBER(SEARCH(AB$2:AB$100,$B183,5)))</f>
        <v>0</v>
      </c>
      <c r="AE183" s="3" t="str">
        <f t="shared" si="12"/>
        <v>ZZZ</v>
      </c>
      <c r="AF183" s="3" t="b">
        <f t="array" ref="AF183">OR(ISNUMBER(SEARCH(AE$2:AE$100,$B183,5)))</f>
        <v>0</v>
      </c>
      <c r="AH183" s="3" t="str">
        <f t="shared" si="13"/>
        <v>ZZZ</v>
      </c>
      <c r="AI183" s="3" t="b">
        <f t="array" ref="AI183">OR(ISNUMBER(SEARCH(AH$2:AH$100,$B183,5)))</f>
        <v>0</v>
      </c>
      <c r="AK183" s="3" t="str">
        <f t="shared" si="14"/>
        <v>ZZZ</v>
      </c>
      <c r="AL183" s="3" t="b">
        <f t="array" ref="AL183">OR(ISNUMBER(SEARCH(AK$2:AK$100,$B183,5)))</f>
        <v>0</v>
      </c>
      <c r="AU183" s="8"/>
      <c r="AV183" s="6"/>
      <c r="AW183" s="8"/>
      <c r="AX183" s="8"/>
      <c r="AY183" s="6"/>
      <c r="AZ183" s="8"/>
      <c r="BA183" s="8"/>
      <c r="BB183" s="6" t="str">
        <f>IFERROR(__xludf.DUMMYFUNCTION("""COMPUTED_VALUE"""),"wavy black")</f>
        <v>wavy black</v>
      </c>
      <c r="BC183" s="8" t="str">
        <f>IFERROR(__xludf.DUMMYFUNCTION("""COMPUTED_VALUE"""),"plaid green")</f>
        <v>plaid green</v>
      </c>
      <c r="BD183" s="8"/>
      <c r="BE183" s="6"/>
      <c r="BF183" s="8"/>
      <c r="BG183" s="8"/>
      <c r="BH183" s="6"/>
      <c r="BI183" s="8"/>
      <c r="BJ183" s="8"/>
      <c r="BK183" s="6"/>
      <c r="BL183" s="8"/>
      <c r="BM183" s="8"/>
      <c r="BN183" s="6"/>
      <c r="BO183" s="8"/>
      <c r="BP183" s="8"/>
      <c r="BQ183" s="6"/>
      <c r="BR183" s="8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</row>
    <row r="184">
      <c r="A184" s="6"/>
      <c r="B184" s="6" t="s">
        <v>184</v>
      </c>
      <c r="C184" s="3" t="str">
        <f t="shared" si="3"/>
        <v>plaid lime</v>
      </c>
      <c r="D184" s="3" t="str">
        <f t="shared" si="17"/>
        <v>ZZZ</v>
      </c>
      <c r="E184" s="3" t="b">
        <f t="array" ref="E184">OR(ISNUMBER(SEARCH(D$2:D$30,$B184,5)))</f>
        <v>0</v>
      </c>
      <c r="G184" s="3" t="str">
        <f t="shared" si="4"/>
        <v>ZZZ</v>
      </c>
      <c r="H184" s="3" t="b">
        <f t="array" ref="H184">OR(ISNUMBER(SEARCH(G$2:G$30,$B184,5)))</f>
        <v>0</v>
      </c>
      <c r="J184" s="3" t="str">
        <f t="shared" si="5"/>
        <v>ZZZ</v>
      </c>
      <c r="K184" s="3" t="b">
        <f t="array" ref="K184">OR(ISNUMBER(SEARCH(J$2:J$30,$B184,5)))</f>
        <v>1</v>
      </c>
      <c r="M184" s="3" t="str">
        <f t="shared" si="6"/>
        <v>ZZZ</v>
      </c>
      <c r="N184" s="3" t="b">
        <f t="array" ref="N184">OR(ISNUMBER(SEARCH(M$2:M$30,$B184,5)))</f>
        <v>0</v>
      </c>
      <c r="P184" s="3" t="str">
        <f t="shared" si="7"/>
        <v>ZZZ</v>
      </c>
      <c r="Q184" s="3" t="b">
        <f t="array" ref="Q184">OR(ISNUMBER(SEARCH(P$2:P$50,$B184,5)))</f>
        <v>0</v>
      </c>
      <c r="S184" s="3" t="str">
        <f t="shared" si="8"/>
        <v>ZZZ</v>
      </c>
      <c r="T184" s="3" t="b">
        <f t="array" ref="T184">OR(ISNUMBER(SEARCH(S$2:S$100,$B184,5)))</f>
        <v>0</v>
      </c>
      <c r="V184" s="3" t="str">
        <f t="shared" si="9"/>
        <v>ZZZ</v>
      </c>
      <c r="W184" s="3" t="b">
        <f t="array" ref="W184">OR(ISNUMBER(SEARCH(V$2:V$100,$B184,5)))</f>
        <v>0</v>
      </c>
      <c r="Y184" s="3" t="str">
        <f t="shared" si="10"/>
        <v>ZZZ</v>
      </c>
      <c r="Z184" s="3" t="b">
        <f t="array" ref="Z184">OR(ISNUMBER(SEARCH(Y$2:Y$100,$B184,5)))</f>
        <v>0</v>
      </c>
      <c r="AB184" s="3" t="str">
        <f t="shared" si="11"/>
        <v>ZZZ</v>
      </c>
      <c r="AC184" s="3" t="b">
        <f t="array" ref="AC184">OR(ISNUMBER(SEARCH(AB$2:AB$100,$B184,5)))</f>
        <v>0</v>
      </c>
      <c r="AE184" s="3" t="str">
        <f t="shared" si="12"/>
        <v>ZZZ</v>
      </c>
      <c r="AF184" s="3" t="b">
        <f t="array" ref="AF184">OR(ISNUMBER(SEARCH(AE$2:AE$100,$B184,5)))</f>
        <v>0</v>
      </c>
      <c r="AH184" s="3" t="str">
        <f t="shared" si="13"/>
        <v>ZZZ</v>
      </c>
      <c r="AI184" s="3" t="b">
        <f t="array" ref="AI184">OR(ISNUMBER(SEARCH(AH$2:AH$100,$B184,5)))</f>
        <v>0</v>
      </c>
      <c r="AK184" s="3" t="str">
        <f t="shared" si="14"/>
        <v>ZZZ</v>
      </c>
      <c r="AL184" s="3" t="b">
        <f t="array" ref="AL184">OR(ISNUMBER(SEARCH(AK$2:AK$100,$B184,5)))</f>
        <v>0</v>
      </c>
      <c r="AU184" s="8"/>
      <c r="AV184" s="6"/>
      <c r="AW184" s="8"/>
      <c r="AX184" s="8"/>
      <c r="AY184" s="6"/>
      <c r="AZ184" s="8"/>
      <c r="BA184" s="8"/>
      <c r="BB184" s="6" t="str">
        <f>IFERROR(__xludf.DUMMYFUNCTION("""COMPUTED_VALUE"""),"drab tan")</f>
        <v>drab tan</v>
      </c>
      <c r="BC184" s="8" t="str">
        <f>IFERROR(__xludf.DUMMYFUNCTION("""COMPUTED_VALUE"""),"vibrant silver")</f>
        <v>vibrant silver</v>
      </c>
      <c r="BD184" s="8"/>
      <c r="BE184" s="6"/>
      <c r="BF184" s="8"/>
      <c r="BG184" s="8"/>
      <c r="BH184" s="6"/>
      <c r="BI184" s="8"/>
      <c r="BJ184" s="8"/>
      <c r="BK184" s="6"/>
      <c r="BL184" s="8"/>
      <c r="BM184" s="8"/>
      <c r="BN184" s="6"/>
      <c r="BO184" s="8"/>
      <c r="BP184" s="8"/>
      <c r="BQ184" s="6"/>
      <c r="BR184" s="8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</row>
    <row r="185">
      <c r="A185" s="6"/>
      <c r="B185" s="6" t="s">
        <v>185</v>
      </c>
      <c r="C185" s="3" t="str">
        <f t="shared" si="3"/>
        <v>muted cyan</v>
      </c>
      <c r="D185" s="3" t="str">
        <f t="shared" si="17"/>
        <v>ZZZ</v>
      </c>
      <c r="E185" s="3" t="b">
        <f t="array" ref="E185">OR(ISNUMBER(SEARCH(D$2:D$30,$B185,5)))</f>
        <v>0</v>
      </c>
      <c r="G185" s="3" t="str">
        <f t="shared" si="4"/>
        <v>ZZZ</v>
      </c>
      <c r="H185" s="3" t="b">
        <f t="array" ref="H185">OR(ISNUMBER(SEARCH(G$2:G$30,$B185,5)))</f>
        <v>0</v>
      </c>
      <c r="J185" s="3" t="str">
        <f t="shared" si="5"/>
        <v>ZZZ</v>
      </c>
      <c r="K185" s="3" t="b">
        <f t="array" ref="K185">OR(ISNUMBER(SEARCH(J$2:J$30,$B185,5)))</f>
        <v>0</v>
      </c>
      <c r="M185" s="3" t="str">
        <f t="shared" si="6"/>
        <v>ZZZ</v>
      </c>
      <c r="N185" s="3" t="b">
        <f t="array" ref="N185">OR(ISNUMBER(SEARCH(M$2:M$30,$B185,5)))</f>
        <v>0</v>
      </c>
      <c r="P185" s="3" t="str">
        <f t="shared" si="7"/>
        <v>ZZZ</v>
      </c>
      <c r="Q185" s="3" t="b">
        <f t="array" ref="Q185">OR(ISNUMBER(SEARCH(P$2:P$50,$B185,5)))</f>
        <v>0</v>
      </c>
      <c r="S185" s="3" t="str">
        <f t="shared" si="8"/>
        <v>ZZZ</v>
      </c>
      <c r="T185" s="3" t="b">
        <f t="array" ref="T185">OR(ISNUMBER(SEARCH(S$2:S$100,$B185,5)))</f>
        <v>0</v>
      </c>
      <c r="V185" s="3" t="str">
        <f t="shared" si="9"/>
        <v>ZZZ</v>
      </c>
      <c r="W185" s="3" t="b">
        <f t="array" ref="W185">OR(ISNUMBER(SEARCH(V$2:V$100,$B185,5)))</f>
        <v>0</v>
      </c>
      <c r="Y185" s="3" t="str">
        <f t="shared" si="10"/>
        <v>ZZZ</v>
      </c>
      <c r="Z185" s="3" t="b">
        <f t="array" ref="Z185">OR(ISNUMBER(SEARCH(Y$2:Y$100,$B185,5)))</f>
        <v>0</v>
      </c>
      <c r="AB185" s="3" t="str">
        <f t="shared" si="11"/>
        <v>ZZZ</v>
      </c>
      <c r="AC185" s="3" t="b">
        <f t="array" ref="AC185">OR(ISNUMBER(SEARCH(AB$2:AB$100,$B185,5)))</f>
        <v>0</v>
      </c>
      <c r="AE185" s="3" t="str">
        <f t="shared" si="12"/>
        <v>ZZZ</v>
      </c>
      <c r="AF185" s="3" t="b">
        <f t="array" ref="AF185">OR(ISNUMBER(SEARCH(AE$2:AE$100,$B185,5)))</f>
        <v>0</v>
      </c>
      <c r="AH185" s="3" t="str">
        <f t="shared" si="13"/>
        <v>ZZZ</v>
      </c>
      <c r="AI185" s="3" t="b">
        <f t="array" ref="AI185">OR(ISNUMBER(SEARCH(AH$2:AH$100,$B185,5)))</f>
        <v>0</v>
      </c>
      <c r="AK185" s="3" t="str">
        <f t="shared" si="14"/>
        <v>ZZZ</v>
      </c>
      <c r="AL185" s="3" t="b">
        <f t="array" ref="AL185">OR(ISNUMBER(SEARCH(AK$2:AK$100,$B185,5)))</f>
        <v>0</v>
      </c>
      <c r="AU185" s="8"/>
      <c r="AV185" s="6"/>
      <c r="AW185" s="8"/>
      <c r="AX185" s="8"/>
      <c r="AY185" s="6"/>
      <c r="AZ185" s="8"/>
      <c r="BA185" s="8"/>
      <c r="BB185" s="6" t="str">
        <f>IFERROR(__xludf.DUMMYFUNCTION("""COMPUTED_VALUE"""),"shiny violet")</f>
        <v>shiny violet</v>
      </c>
      <c r="BC185" s="8" t="str">
        <f>IFERROR(__xludf.DUMMYFUNCTION("""COMPUTED_VALUE"""),"mirrored purple")</f>
        <v>mirrored purple</v>
      </c>
      <c r="BD185" s="8"/>
      <c r="BE185" s="6"/>
      <c r="BF185" s="8"/>
      <c r="BG185" s="8"/>
      <c r="BH185" s="6"/>
      <c r="BI185" s="8"/>
      <c r="BJ185" s="8"/>
      <c r="BK185" s="6"/>
      <c r="BL185" s="8"/>
      <c r="BM185" s="8"/>
      <c r="BN185" s="6"/>
      <c r="BO185" s="8"/>
      <c r="BP185" s="8"/>
      <c r="BQ185" s="6"/>
      <c r="BR185" s="8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</row>
    <row r="186">
      <c r="A186" s="6"/>
      <c r="B186" s="6" t="s">
        <v>186</v>
      </c>
      <c r="C186" s="3" t="str">
        <f t="shared" si="3"/>
        <v>dull cyan</v>
      </c>
      <c r="D186" s="3" t="str">
        <f t="shared" si="17"/>
        <v>ZZZ</v>
      </c>
      <c r="E186" s="3" t="b">
        <f t="array" ref="E186">OR(ISNUMBER(SEARCH(D$2:D$30,$B186,5)))</f>
        <v>0</v>
      </c>
      <c r="G186" s="3" t="str">
        <f t="shared" si="4"/>
        <v>ZZZ</v>
      </c>
      <c r="H186" s="3" t="b">
        <f t="array" ref="H186">OR(ISNUMBER(SEARCH(G$2:G$30,$B186,5)))</f>
        <v>0</v>
      </c>
      <c r="J186" s="3" t="str">
        <f t="shared" si="5"/>
        <v>ZZZ</v>
      </c>
      <c r="K186" s="3" t="b">
        <f t="array" ref="K186">OR(ISNUMBER(SEARCH(J$2:J$30,$B186,5)))</f>
        <v>0</v>
      </c>
      <c r="M186" s="3" t="str">
        <f t="shared" si="6"/>
        <v>ZZZ</v>
      </c>
      <c r="N186" s="3" t="b">
        <f t="array" ref="N186">OR(ISNUMBER(SEARCH(M$2:M$30,$B186,5)))</f>
        <v>0</v>
      </c>
      <c r="P186" s="3" t="str">
        <f t="shared" si="7"/>
        <v>ZZZ</v>
      </c>
      <c r="Q186" s="3" t="b">
        <f t="array" ref="Q186">OR(ISNUMBER(SEARCH(P$2:P$50,$B186,5)))</f>
        <v>0</v>
      </c>
      <c r="S186" s="3" t="str">
        <f t="shared" si="8"/>
        <v>ZZZ</v>
      </c>
      <c r="T186" s="3" t="b">
        <f t="array" ref="T186">OR(ISNUMBER(SEARCH(S$2:S$100,$B186,5)))</f>
        <v>0</v>
      </c>
      <c r="V186" s="3" t="str">
        <f t="shared" si="9"/>
        <v>ZZZ</v>
      </c>
      <c r="W186" s="3" t="b">
        <f t="array" ref="W186">OR(ISNUMBER(SEARCH(V$2:V$100,$B186,5)))</f>
        <v>0</v>
      </c>
      <c r="Y186" s="3" t="str">
        <f t="shared" si="10"/>
        <v>ZZZ</v>
      </c>
      <c r="Z186" s="3" t="b">
        <f t="array" ref="Z186">OR(ISNUMBER(SEARCH(Y$2:Y$100,$B186,5)))</f>
        <v>0</v>
      </c>
      <c r="AB186" s="3" t="str">
        <f t="shared" si="11"/>
        <v>ZZZ</v>
      </c>
      <c r="AC186" s="3" t="b">
        <f t="array" ref="AC186">OR(ISNUMBER(SEARCH(AB$2:AB$100,$B186,5)))</f>
        <v>0</v>
      </c>
      <c r="AE186" s="3" t="str">
        <f t="shared" si="12"/>
        <v>ZZZ</v>
      </c>
      <c r="AF186" s="3" t="b">
        <f t="array" ref="AF186">OR(ISNUMBER(SEARCH(AE$2:AE$100,$B186,5)))</f>
        <v>0</v>
      </c>
      <c r="AH186" s="3" t="str">
        <f t="shared" si="13"/>
        <v>ZZZ</v>
      </c>
      <c r="AI186" s="3" t="b">
        <f t="array" ref="AI186">OR(ISNUMBER(SEARCH(AH$2:AH$100,$B186,5)))</f>
        <v>0</v>
      </c>
      <c r="AK186" s="3" t="str">
        <f t="shared" si="14"/>
        <v>ZZZ</v>
      </c>
      <c r="AL186" s="3" t="b">
        <f t="array" ref="AL186">OR(ISNUMBER(SEARCH(AK$2:AK$100,$B186,5)))</f>
        <v>0</v>
      </c>
      <c r="AU186" s="8"/>
      <c r="AV186" s="6"/>
      <c r="AW186" s="8"/>
      <c r="AX186" s="8"/>
      <c r="AY186" s="6"/>
      <c r="AZ186" s="8"/>
      <c r="BA186" s="8"/>
      <c r="BB186" s="6" t="str">
        <f>IFERROR(__xludf.DUMMYFUNCTION("""COMPUTED_VALUE"""),"dark aqua")</f>
        <v>dark aqua</v>
      </c>
      <c r="BC186" s="8" t="str">
        <f>IFERROR(__xludf.DUMMYFUNCTION("""COMPUTED_VALUE"""),"dotted tomato")</f>
        <v>dotted tomato</v>
      </c>
      <c r="BD186" s="8"/>
      <c r="BE186" s="6"/>
      <c r="BF186" s="8"/>
      <c r="BG186" s="8"/>
      <c r="BH186" s="6"/>
      <c r="BI186" s="8"/>
      <c r="BJ186" s="8"/>
      <c r="BK186" s="6"/>
      <c r="BL186" s="8"/>
      <c r="BM186" s="8"/>
      <c r="BN186" s="6"/>
      <c r="BO186" s="8"/>
      <c r="BP186" s="8"/>
      <c r="BQ186" s="6"/>
      <c r="BR186" s="8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</row>
    <row r="187">
      <c r="A187" s="6"/>
      <c r="B187" s="6" t="s">
        <v>187</v>
      </c>
      <c r="C187" s="3" t="str">
        <f t="shared" si="3"/>
        <v>pale beige</v>
      </c>
      <c r="D187" s="3" t="str">
        <f t="shared" si="17"/>
        <v>ZZZ</v>
      </c>
      <c r="E187" s="3" t="b">
        <f t="array" ref="E187">OR(ISNUMBER(SEARCH(D$2:D$30,$B187,5)))</f>
        <v>0</v>
      </c>
      <c r="G187" s="3" t="str">
        <f t="shared" si="4"/>
        <v>ZZZ</v>
      </c>
      <c r="H187" s="3" t="b">
        <f t="array" ref="H187">OR(ISNUMBER(SEARCH(G$2:G$30,$B187,5)))</f>
        <v>0</v>
      </c>
      <c r="J187" s="3" t="str">
        <f t="shared" si="5"/>
        <v>ZZZ</v>
      </c>
      <c r="K187" s="3" t="b">
        <f t="array" ref="K187">OR(ISNUMBER(SEARCH(J$2:J$30,$B187,5)))</f>
        <v>0</v>
      </c>
      <c r="M187" s="3" t="str">
        <f t="shared" si="6"/>
        <v>ZZZ</v>
      </c>
      <c r="N187" s="3" t="b">
        <f t="array" ref="N187">OR(ISNUMBER(SEARCH(M$2:M$30,$B187,5)))</f>
        <v>0</v>
      </c>
      <c r="P187" s="3" t="str">
        <f t="shared" si="7"/>
        <v>ZZZ</v>
      </c>
      <c r="Q187" s="3" t="b">
        <f t="array" ref="Q187">OR(ISNUMBER(SEARCH(P$2:P$50,$B187,5)))</f>
        <v>0</v>
      </c>
      <c r="S187" s="3" t="str">
        <f t="shared" si="8"/>
        <v>ZZZ</v>
      </c>
      <c r="T187" s="3" t="b">
        <f t="array" ref="T187">OR(ISNUMBER(SEARCH(S$2:S$100,$B187,5)))</f>
        <v>0</v>
      </c>
      <c r="V187" s="3" t="str">
        <f t="shared" si="9"/>
        <v>ZZZ</v>
      </c>
      <c r="W187" s="3" t="b">
        <f t="array" ref="W187">OR(ISNUMBER(SEARCH(V$2:V$100,$B187,5)))</f>
        <v>0</v>
      </c>
      <c r="Y187" s="3" t="str">
        <f t="shared" si="10"/>
        <v>ZZZ</v>
      </c>
      <c r="Z187" s="3" t="b">
        <f t="array" ref="Z187">OR(ISNUMBER(SEARCH(Y$2:Y$100,$B187,5)))</f>
        <v>0</v>
      </c>
      <c r="AB187" s="3" t="str">
        <f t="shared" si="11"/>
        <v>ZZZ</v>
      </c>
      <c r="AC187" s="3" t="b">
        <f t="array" ref="AC187">OR(ISNUMBER(SEARCH(AB$2:AB$100,$B187,5)))</f>
        <v>0</v>
      </c>
      <c r="AE187" s="3" t="str">
        <f t="shared" si="12"/>
        <v>ZZZ</v>
      </c>
      <c r="AF187" s="3" t="b">
        <f t="array" ref="AF187">OR(ISNUMBER(SEARCH(AE$2:AE$100,$B187,5)))</f>
        <v>0</v>
      </c>
      <c r="AH187" s="3" t="str">
        <f t="shared" si="13"/>
        <v>ZZZ</v>
      </c>
      <c r="AI187" s="3" t="b">
        <f t="array" ref="AI187">OR(ISNUMBER(SEARCH(AH$2:AH$100,$B187,5)))</f>
        <v>0</v>
      </c>
      <c r="AK187" s="3" t="str">
        <f t="shared" si="14"/>
        <v>ZZZ</v>
      </c>
      <c r="AL187" s="3" t="b">
        <f t="array" ref="AL187">OR(ISNUMBER(SEARCH(AK$2:AK$100,$B187,5)))</f>
        <v>0</v>
      </c>
      <c r="AU187" s="8"/>
      <c r="AV187" s="6"/>
      <c r="AW187" s="8"/>
      <c r="AX187" s="8"/>
      <c r="AY187" s="6"/>
      <c r="AZ187" s="8"/>
      <c r="BA187" s="8"/>
      <c r="BB187" s="6" t="str">
        <f>IFERROR(__xludf.DUMMYFUNCTION("""COMPUTED_VALUE"""),"plaid olive")</f>
        <v>plaid olive</v>
      </c>
      <c r="BC187" s="8" t="str">
        <f>IFERROR(__xludf.DUMMYFUNCTION("""COMPUTED_VALUE"""),"drab beige")</f>
        <v>drab beige</v>
      </c>
      <c r="BD187" s="8"/>
      <c r="BE187" s="6"/>
      <c r="BF187" s="8"/>
      <c r="BG187" s="8"/>
      <c r="BH187" s="6"/>
      <c r="BI187" s="8"/>
      <c r="BJ187" s="8"/>
      <c r="BK187" s="6"/>
      <c r="BL187" s="8"/>
      <c r="BM187" s="8"/>
      <c r="BN187" s="6"/>
      <c r="BO187" s="8"/>
      <c r="BP187" s="8"/>
      <c r="BQ187" s="6"/>
      <c r="BR187" s="8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</row>
    <row r="188">
      <c r="A188" s="6"/>
      <c r="B188" s="6" t="s">
        <v>188</v>
      </c>
      <c r="C188" s="3" t="str">
        <f t="shared" si="3"/>
        <v>shiny chartreuse</v>
      </c>
      <c r="D188" s="3" t="str">
        <f t="shared" si="17"/>
        <v>ZZZ</v>
      </c>
      <c r="E188" s="3" t="b">
        <f t="array" ref="E188">OR(ISNUMBER(SEARCH(D$2:D$30,$B188,5)))</f>
        <v>0</v>
      </c>
      <c r="G188" s="3" t="str">
        <f t="shared" si="4"/>
        <v>ZZZ</v>
      </c>
      <c r="H188" s="3" t="b">
        <f t="array" ref="H188">OR(ISNUMBER(SEARCH(G$2:G$30,$B188,5)))</f>
        <v>0</v>
      </c>
      <c r="J188" s="3" t="str">
        <f t="shared" si="5"/>
        <v>ZZZ</v>
      </c>
      <c r="K188" s="3" t="b">
        <f t="array" ref="K188">OR(ISNUMBER(SEARCH(J$2:J$30,$B188,5)))</f>
        <v>0</v>
      </c>
      <c r="M188" s="3" t="str">
        <f t="shared" si="6"/>
        <v>ZZZ</v>
      </c>
      <c r="N188" s="3" t="b">
        <f t="array" ref="N188">OR(ISNUMBER(SEARCH(M$2:M$30,$B188,5)))</f>
        <v>0</v>
      </c>
      <c r="P188" s="3" t="str">
        <f t="shared" si="7"/>
        <v>ZZZ</v>
      </c>
      <c r="Q188" s="3" t="b">
        <f t="array" ref="Q188">OR(ISNUMBER(SEARCH(P$2:P$50,$B188,5)))</f>
        <v>0</v>
      </c>
      <c r="S188" s="3" t="str">
        <f t="shared" si="8"/>
        <v>ZZZ</v>
      </c>
      <c r="T188" s="3" t="b">
        <f t="array" ref="T188">OR(ISNUMBER(SEARCH(S$2:S$100,$B188,5)))</f>
        <v>0</v>
      </c>
      <c r="V188" s="3" t="str">
        <f t="shared" si="9"/>
        <v>ZZZ</v>
      </c>
      <c r="W188" s="3" t="b">
        <f t="array" ref="W188">OR(ISNUMBER(SEARCH(V$2:V$100,$B188,5)))</f>
        <v>0</v>
      </c>
      <c r="Y188" s="3" t="str">
        <f t="shared" si="10"/>
        <v>ZZZ</v>
      </c>
      <c r="Z188" s="3" t="b">
        <f t="array" ref="Z188">OR(ISNUMBER(SEARCH(Y$2:Y$100,$B188,5)))</f>
        <v>0</v>
      </c>
      <c r="AB188" s="3" t="str">
        <f t="shared" si="11"/>
        <v>ZZZ</v>
      </c>
      <c r="AC188" s="3" t="b">
        <f t="array" ref="AC188">OR(ISNUMBER(SEARCH(AB$2:AB$100,$B188,5)))</f>
        <v>0</v>
      </c>
      <c r="AE188" s="3" t="str">
        <f t="shared" si="12"/>
        <v>ZZZ</v>
      </c>
      <c r="AF188" s="3" t="b">
        <f t="array" ref="AF188">OR(ISNUMBER(SEARCH(AE$2:AE$100,$B188,5)))</f>
        <v>0</v>
      </c>
      <c r="AH188" s="3" t="str">
        <f t="shared" si="13"/>
        <v>ZZZ</v>
      </c>
      <c r="AI188" s="3" t="b">
        <f t="array" ref="AI188">OR(ISNUMBER(SEARCH(AH$2:AH$100,$B188,5)))</f>
        <v>0</v>
      </c>
      <c r="AK188" s="3" t="str">
        <f t="shared" si="14"/>
        <v>ZZZ</v>
      </c>
      <c r="AL188" s="3" t="b">
        <f t="array" ref="AL188">OR(ISNUMBER(SEARCH(AK$2:AK$100,$B188,5)))</f>
        <v>0</v>
      </c>
      <c r="AU188" s="8"/>
      <c r="AV188" s="6"/>
      <c r="AW188" s="8"/>
      <c r="AX188" s="8"/>
      <c r="AY188" s="6"/>
      <c r="AZ188" s="8"/>
      <c r="BA188" s="8"/>
      <c r="BB188" s="6" t="str">
        <f>IFERROR(__xludf.DUMMYFUNCTION("""COMPUTED_VALUE"""),"bright aqua")</f>
        <v>bright aqua</v>
      </c>
      <c r="BC188" s="8" t="str">
        <f>IFERROR(__xludf.DUMMYFUNCTION("""COMPUTED_VALUE"""),"striped fuchsia")</f>
        <v>striped fuchsia</v>
      </c>
      <c r="BD188" s="8"/>
      <c r="BE188" s="6"/>
      <c r="BF188" s="8"/>
      <c r="BG188" s="8"/>
      <c r="BH188" s="6"/>
      <c r="BI188" s="8"/>
      <c r="BJ188" s="8"/>
      <c r="BK188" s="6"/>
      <c r="BL188" s="8"/>
      <c r="BM188" s="8"/>
      <c r="BN188" s="6"/>
      <c r="BO188" s="8"/>
      <c r="BP188" s="8"/>
      <c r="BQ188" s="6"/>
      <c r="BR188" s="8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</row>
    <row r="189">
      <c r="A189" s="6"/>
      <c r="B189" s="6" t="s">
        <v>189</v>
      </c>
      <c r="C189" s="3" t="str">
        <f t="shared" si="3"/>
        <v>dark silver</v>
      </c>
      <c r="D189" s="3" t="str">
        <f t="shared" si="17"/>
        <v>ZZZ</v>
      </c>
      <c r="E189" s="3" t="b">
        <f t="array" ref="E189">OR(ISNUMBER(SEARCH(D$2:D$30,$B189,5)))</f>
        <v>0</v>
      </c>
      <c r="G189" s="3" t="str">
        <f t="shared" si="4"/>
        <v>ZZZ</v>
      </c>
      <c r="H189" s="3" t="b">
        <f t="array" ref="H189">OR(ISNUMBER(SEARCH(G$2:G$30,$B189,5)))</f>
        <v>0</v>
      </c>
      <c r="J189" s="3" t="str">
        <f t="shared" si="5"/>
        <v>ZZZ</v>
      </c>
      <c r="K189" s="3" t="b">
        <f t="array" ref="K189">OR(ISNUMBER(SEARCH(J$2:J$30,$B189,5)))</f>
        <v>0</v>
      </c>
      <c r="M189" s="3" t="str">
        <f t="shared" si="6"/>
        <v>ZZZ</v>
      </c>
      <c r="N189" s="3" t="b">
        <f t="array" ref="N189">OR(ISNUMBER(SEARCH(M$2:M$30,$B189,5)))</f>
        <v>0</v>
      </c>
      <c r="P189" s="3" t="str">
        <f t="shared" si="7"/>
        <v>ZZZ</v>
      </c>
      <c r="Q189" s="3" t="b">
        <f t="array" ref="Q189">OR(ISNUMBER(SEARCH(P$2:P$50,$B189,5)))</f>
        <v>1</v>
      </c>
      <c r="S189" s="3" t="str">
        <f t="shared" si="8"/>
        <v>ZZZ</v>
      </c>
      <c r="T189" s="3" t="b">
        <f t="array" ref="T189">OR(ISNUMBER(SEARCH(S$2:S$100,$B189,5)))</f>
        <v>1</v>
      </c>
      <c r="V189" s="3" t="str">
        <f t="shared" si="9"/>
        <v>ZZZ</v>
      </c>
      <c r="W189" s="3" t="b">
        <f t="array" ref="W189">OR(ISNUMBER(SEARCH(V$2:V$100,$B189,5)))</f>
        <v>0</v>
      </c>
      <c r="Y189" s="3" t="str">
        <f t="shared" si="10"/>
        <v>ZZZ</v>
      </c>
      <c r="Z189" s="3" t="b">
        <f t="array" ref="Z189">OR(ISNUMBER(SEARCH(Y$2:Y$100,$B189,5)))</f>
        <v>1</v>
      </c>
      <c r="AB189" s="3" t="str">
        <f t="shared" si="11"/>
        <v>ZZZ</v>
      </c>
      <c r="AC189" s="3" t="b">
        <f t="array" ref="AC189">OR(ISNUMBER(SEARCH(AB$2:AB$100,$B189,5)))</f>
        <v>0</v>
      </c>
      <c r="AE189" s="3" t="str">
        <f t="shared" si="12"/>
        <v>ZZZ</v>
      </c>
      <c r="AF189" s="3" t="b">
        <f t="array" ref="AF189">OR(ISNUMBER(SEARCH(AE$2:AE$100,$B189,5)))</f>
        <v>0</v>
      </c>
      <c r="AH189" s="3" t="str">
        <f t="shared" si="13"/>
        <v>ZZZ</v>
      </c>
      <c r="AI189" s="3" t="b">
        <f t="array" ref="AI189">OR(ISNUMBER(SEARCH(AH$2:AH$100,$B189,5)))</f>
        <v>0</v>
      </c>
      <c r="AK189" s="3" t="str">
        <f t="shared" si="14"/>
        <v>ZZZ</v>
      </c>
      <c r="AL189" s="3" t="b">
        <f t="array" ref="AL189">OR(ISNUMBER(SEARCH(AK$2:AK$100,$B189,5)))</f>
        <v>0</v>
      </c>
      <c r="AU189" s="8"/>
      <c r="AV189" s="6"/>
      <c r="AW189" s="8"/>
      <c r="AX189" s="8"/>
      <c r="AY189" s="6"/>
      <c r="AZ189" s="8"/>
      <c r="BA189" s="8"/>
      <c r="BB189" s="6" t="str">
        <f>IFERROR(__xludf.DUMMYFUNCTION("""COMPUTED_VALUE"""),"striped violet")</f>
        <v>striped violet</v>
      </c>
      <c r="BC189" s="8" t="str">
        <f>IFERROR(__xludf.DUMMYFUNCTION("""COMPUTED_VALUE"""),"faded aqua")</f>
        <v>faded aqua</v>
      </c>
      <c r="BD189" s="8"/>
      <c r="BE189" s="6"/>
      <c r="BF189" s="8"/>
      <c r="BG189" s="8"/>
      <c r="BH189" s="6"/>
      <c r="BI189" s="8"/>
      <c r="BJ189" s="8"/>
      <c r="BK189" s="6"/>
      <c r="BL189" s="8"/>
      <c r="BM189" s="8"/>
      <c r="BN189" s="6"/>
      <c r="BO189" s="8"/>
      <c r="BP189" s="8"/>
      <c r="BQ189" s="6"/>
      <c r="BR189" s="8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</row>
    <row r="190">
      <c r="A190" s="6"/>
      <c r="B190" s="6" t="s">
        <v>190</v>
      </c>
      <c r="C190" s="3" t="str">
        <f t="shared" si="3"/>
        <v>mirrored violet</v>
      </c>
      <c r="D190" s="3" t="str">
        <f t="shared" si="17"/>
        <v>ZZZ</v>
      </c>
      <c r="E190" s="3" t="b">
        <f t="array" ref="E190">OR(ISNUMBER(SEARCH(D$2:D$30,$B190,5)))</f>
        <v>0</v>
      </c>
      <c r="G190" s="3" t="str">
        <f t="shared" si="4"/>
        <v>ZZZ</v>
      </c>
      <c r="H190" s="3" t="b">
        <f t="array" ref="H190">OR(ISNUMBER(SEARCH(G$2:G$30,$B190,5)))</f>
        <v>0</v>
      </c>
      <c r="J190" s="3" t="str">
        <f t="shared" si="5"/>
        <v>ZZZ</v>
      </c>
      <c r="K190" s="3" t="b">
        <f t="array" ref="K190">OR(ISNUMBER(SEARCH(J$2:J$30,$B190,5)))</f>
        <v>0</v>
      </c>
      <c r="M190" s="3" t="str">
        <f t="shared" si="6"/>
        <v>ZZZ</v>
      </c>
      <c r="N190" s="3" t="b">
        <f t="array" ref="N190">OR(ISNUMBER(SEARCH(M$2:M$30,$B190,5)))</f>
        <v>0</v>
      </c>
      <c r="P190" s="3" t="str">
        <f t="shared" si="7"/>
        <v>ZZZ</v>
      </c>
      <c r="Q190" s="3" t="b">
        <f t="array" ref="Q190">OR(ISNUMBER(SEARCH(P$2:P$50,$B190,5)))</f>
        <v>0</v>
      </c>
      <c r="S190" s="3" t="str">
        <f t="shared" si="8"/>
        <v>ZZZ</v>
      </c>
      <c r="T190" s="3" t="b">
        <f t="array" ref="T190">OR(ISNUMBER(SEARCH(S$2:S$100,$B190,5)))</f>
        <v>0</v>
      </c>
      <c r="V190" s="3" t="str">
        <f t="shared" si="9"/>
        <v>ZZZ</v>
      </c>
      <c r="W190" s="3" t="b">
        <f t="array" ref="W190">OR(ISNUMBER(SEARCH(V$2:V$100,$B190,5)))</f>
        <v>0</v>
      </c>
      <c r="Y190" s="3" t="str">
        <f t="shared" si="10"/>
        <v>ZZZ</v>
      </c>
      <c r="Z190" s="3" t="b">
        <f t="array" ref="Z190">OR(ISNUMBER(SEARCH(Y$2:Y$100,$B190,5)))</f>
        <v>0</v>
      </c>
      <c r="AB190" s="3" t="str">
        <f t="shared" si="11"/>
        <v>ZZZ</v>
      </c>
      <c r="AC190" s="3" t="b">
        <f t="array" ref="AC190">OR(ISNUMBER(SEARCH(AB$2:AB$100,$B190,5)))</f>
        <v>0</v>
      </c>
      <c r="AE190" s="3" t="str">
        <f t="shared" si="12"/>
        <v>ZZZ</v>
      </c>
      <c r="AF190" s="3" t="b">
        <f t="array" ref="AF190">OR(ISNUMBER(SEARCH(AE$2:AE$100,$B190,5)))</f>
        <v>0</v>
      </c>
      <c r="AH190" s="3" t="str">
        <f t="shared" si="13"/>
        <v>ZZZ</v>
      </c>
      <c r="AI190" s="3" t="b">
        <f t="array" ref="AI190">OR(ISNUMBER(SEARCH(AH$2:AH$100,$B190,5)))</f>
        <v>0</v>
      </c>
      <c r="AK190" s="3" t="str">
        <f t="shared" si="14"/>
        <v>ZZZ</v>
      </c>
      <c r="AL190" s="3" t="b">
        <f t="array" ref="AL190">OR(ISNUMBER(SEARCH(AK$2:AK$100,$B190,5)))</f>
        <v>0</v>
      </c>
      <c r="AU190" s="8"/>
      <c r="AV190" s="6"/>
      <c r="AW190" s="8"/>
      <c r="AX190" s="8"/>
      <c r="AY190" s="6"/>
      <c r="AZ190" s="8"/>
      <c r="BA190" s="8"/>
      <c r="BB190" s="6" t="str">
        <f>IFERROR(__xludf.DUMMYFUNCTION("""COMPUTED_VALUE"""),"light white")</f>
        <v>light white</v>
      </c>
      <c r="BC190" s="8" t="str">
        <f>IFERROR(__xludf.DUMMYFUNCTION("""COMPUTED_VALUE"""),"dark chartreuse")</f>
        <v>dark chartreuse</v>
      </c>
      <c r="BD190" s="8"/>
      <c r="BE190" s="6"/>
      <c r="BF190" s="8"/>
      <c r="BG190" s="8"/>
      <c r="BH190" s="6"/>
      <c r="BI190" s="8"/>
      <c r="BJ190" s="8"/>
      <c r="BK190" s="6"/>
      <c r="BL190" s="8"/>
      <c r="BM190" s="8"/>
      <c r="BN190" s="6"/>
      <c r="BO190" s="8"/>
      <c r="BP190" s="8"/>
      <c r="BQ190" s="6"/>
      <c r="BR190" s="8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</row>
    <row r="191">
      <c r="A191" s="6"/>
      <c r="B191" s="6" t="s">
        <v>191</v>
      </c>
      <c r="C191" s="3" t="str">
        <f t="shared" si="3"/>
        <v>clear aqua</v>
      </c>
      <c r="D191" s="3" t="str">
        <f t="shared" si="17"/>
        <v>ZZZ</v>
      </c>
      <c r="E191" s="3" t="b">
        <f t="array" ref="E191">OR(ISNUMBER(SEARCH(D$2:D$30,$B191,5)))</f>
        <v>0</v>
      </c>
      <c r="G191" s="3" t="str">
        <f t="shared" si="4"/>
        <v>ZZZ</v>
      </c>
      <c r="H191" s="3" t="b">
        <f t="array" ref="H191">OR(ISNUMBER(SEARCH(G$2:G$30,$B191,5)))</f>
        <v>0</v>
      </c>
      <c r="J191" s="3" t="str">
        <f t="shared" si="5"/>
        <v>ZZZ</v>
      </c>
      <c r="K191" s="3" t="b">
        <f t="array" ref="K191">OR(ISNUMBER(SEARCH(J$2:J$30,$B191,5)))</f>
        <v>0</v>
      </c>
      <c r="M191" s="3" t="str">
        <f t="shared" si="6"/>
        <v>ZZZ</v>
      </c>
      <c r="N191" s="3" t="b">
        <f t="array" ref="N191">OR(ISNUMBER(SEARCH(M$2:M$30,$B191,5)))</f>
        <v>0</v>
      </c>
      <c r="P191" s="3" t="str">
        <f t="shared" si="7"/>
        <v>ZZZ</v>
      </c>
      <c r="Q191" s="3" t="b">
        <f t="array" ref="Q191">OR(ISNUMBER(SEARCH(P$2:P$50,$B191,5)))</f>
        <v>0</v>
      </c>
      <c r="S191" s="3" t="str">
        <f t="shared" si="8"/>
        <v>ZZZ</v>
      </c>
      <c r="T191" s="3" t="b">
        <f t="array" ref="T191">OR(ISNUMBER(SEARCH(S$2:S$100,$B191,5)))</f>
        <v>0</v>
      </c>
      <c r="V191" s="3" t="str">
        <f t="shared" si="9"/>
        <v>ZZZ</v>
      </c>
      <c r="W191" s="3" t="b">
        <f t="array" ref="W191">OR(ISNUMBER(SEARCH(V$2:V$100,$B191,5)))</f>
        <v>1</v>
      </c>
      <c r="Y191" s="3" t="str">
        <f t="shared" si="10"/>
        <v>ZZZ</v>
      </c>
      <c r="Z191" s="3" t="b">
        <f t="array" ref="Z191">OR(ISNUMBER(SEARCH(Y$2:Y$100,$B191,5)))</f>
        <v>0</v>
      </c>
      <c r="AB191" s="3" t="str">
        <f t="shared" si="11"/>
        <v>ZZZ</v>
      </c>
      <c r="AC191" s="3" t="b">
        <f t="array" ref="AC191">OR(ISNUMBER(SEARCH(AB$2:AB$100,$B191,5)))</f>
        <v>1</v>
      </c>
      <c r="AE191" s="3" t="str">
        <f t="shared" si="12"/>
        <v>ZZZ</v>
      </c>
      <c r="AF191" s="3" t="b">
        <f t="array" ref="AF191">OR(ISNUMBER(SEARCH(AE$2:AE$100,$B191,5)))</f>
        <v>0</v>
      </c>
      <c r="AH191" s="3" t="str">
        <f t="shared" si="13"/>
        <v>ZZZ</v>
      </c>
      <c r="AI191" s="3" t="b">
        <f t="array" ref="AI191">OR(ISNUMBER(SEARCH(AH$2:AH$100,$B191,5)))</f>
        <v>0</v>
      </c>
      <c r="AK191" s="3" t="str">
        <f t="shared" si="14"/>
        <v>ZZZ</v>
      </c>
      <c r="AL191" s="3" t="b">
        <f t="array" ref="AL191">OR(ISNUMBER(SEARCH(AK$2:AK$100,$B191,5)))</f>
        <v>0</v>
      </c>
      <c r="AU191" s="8"/>
      <c r="AV191" s="6"/>
      <c r="AW191" s="8"/>
      <c r="AX191" s="8"/>
      <c r="AY191" s="6"/>
      <c r="AZ191" s="8"/>
      <c r="BA191" s="8"/>
      <c r="BB191" s="6" t="str">
        <f>IFERROR(__xludf.DUMMYFUNCTION("""COMPUTED_VALUE"""),"dark gray")</f>
        <v>dark gray</v>
      </c>
      <c r="BC191" s="8" t="str">
        <f>IFERROR(__xludf.DUMMYFUNCTION("""COMPUTED_VALUE"""),"pale crimson")</f>
        <v>pale crimson</v>
      </c>
      <c r="BD191" s="8"/>
      <c r="BE191" s="6"/>
      <c r="BF191" s="8"/>
      <c r="BG191" s="8"/>
      <c r="BH191" s="6"/>
      <c r="BI191" s="8"/>
      <c r="BJ191" s="8"/>
      <c r="BK191" s="6"/>
      <c r="BL191" s="8"/>
      <c r="BM191" s="8"/>
      <c r="BN191" s="6"/>
      <c r="BO191" s="8"/>
      <c r="BP191" s="8"/>
      <c r="BQ191" s="6"/>
      <c r="BR191" s="8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</row>
    <row r="192">
      <c r="A192" s="6"/>
      <c r="B192" s="6" t="s">
        <v>192</v>
      </c>
      <c r="C192" s="3" t="str">
        <f t="shared" si="3"/>
        <v>plaid teal</v>
      </c>
      <c r="D192" s="3" t="str">
        <f t="shared" si="17"/>
        <v>ZZZ</v>
      </c>
      <c r="E192" s="3" t="b">
        <f t="array" ref="E192">OR(ISNUMBER(SEARCH(D$2:D$30,$B192,5)))</f>
        <v>0</v>
      </c>
      <c r="G192" s="3" t="str">
        <f t="shared" si="4"/>
        <v>ZZZ</v>
      </c>
      <c r="H192" s="3" t="b">
        <f t="array" ref="H192">OR(ISNUMBER(SEARCH(G$2:G$30,$B192,5)))</f>
        <v>0</v>
      </c>
      <c r="J192" s="3" t="str">
        <f t="shared" si="5"/>
        <v>ZZZ</v>
      </c>
      <c r="K192" s="3" t="b">
        <f t="array" ref="K192">OR(ISNUMBER(SEARCH(J$2:J$30,$B192,5)))</f>
        <v>0</v>
      </c>
      <c r="M192" s="3" t="str">
        <f t="shared" si="6"/>
        <v>ZZZ</v>
      </c>
      <c r="N192" s="3" t="b">
        <f t="array" ref="N192">OR(ISNUMBER(SEARCH(M$2:M$30,$B192,5)))</f>
        <v>0</v>
      </c>
      <c r="P192" s="3" t="str">
        <f t="shared" si="7"/>
        <v>ZZZ</v>
      </c>
      <c r="Q192" s="3" t="b">
        <f t="array" ref="Q192">OR(ISNUMBER(SEARCH(P$2:P$50,$B192,5)))</f>
        <v>0</v>
      </c>
      <c r="S192" s="3" t="str">
        <f t="shared" si="8"/>
        <v>ZZZ</v>
      </c>
      <c r="T192" s="3" t="b">
        <f t="array" ref="T192">OR(ISNUMBER(SEARCH(S$2:S$100,$B192,5)))</f>
        <v>0</v>
      </c>
      <c r="V192" s="3" t="str">
        <f t="shared" si="9"/>
        <v>ZZZ</v>
      </c>
      <c r="W192" s="3" t="b">
        <f t="array" ref="W192">OR(ISNUMBER(SEARCH(V$2:V$100,$B192,5)))</f>
        <v>0</v>
      </c>
      <c r="Y192" s="3" t="str">
        <f t="shared" si="10"/>
        <v>ZZZ</v>
      </c>
      <c r="Z192" s="3" t="b">
        <f t="array" ref="Z192">OR(ISNUMBER(SEARCH(Y$2:Y$100,$B192,5)))</f>
        <v>0</v>
      </c>
      <c r="AB192" s="3" t="str">
        <f t="shared" si="11"/>
        <v>ZZZ</v>
      </c>
      <c r="AC192" s="3" t="b">
        <f t="array" ref="AC192">OR(ISNUMBER(SEARCH(AB$2:AB$100,$B192,5)))</f>
        <v>0</v>
      </c>
      <c r="AE192" s="3" t="str">
        <f t="shared" si="12"/>
        <v>ZZZ</v>
      </c>
      <c r="AF192" s="3" t="b">
        <f t="array" ref="AF192">OR(ISNUMBER(SEARCH(AE$2:AE$100,$B192,5)))</f>
        <v>0</v>
      </c>
      <c r="AH192" s="3" t="str">
        <f t="shared" si="13"/>
        <v>ZZZ</v>
      </c>
      <c r="AI192" s="3" t="b">
        <f t="array" ref="AI192">OR(ISNUMBER(SEARCH(AH$2:AH$100,$B192,5)))</f>
        <v>0</v>
      </c>
      <c r="AK192" s="3" t="str">
        <f t="shared" si="14"/>
        <v>ZZZ</v>
      </c>
      <c r="AL192" s="3" t="b">
        <f t="array" ref="AL192">OR(ISNUMBER(SEARCH(AK$2:AK$100,$B192,5)))</f>
        <v>0</v>
      </c>
      <c r="AU192" s="8"/>
      <c r="AV192" s="6"/>
      <c r="AW192" s="8"/>
      <c r="AX192" s="8"/>
      <c r="AY192" s="6"/>
      <c r="AZ192" s="8"/>
      <c r="BA192" s="8"/>
      <c r="BB192" s="6" t="str">
        <f>IFERROR(__xludf.DUMMYFUNCTION("""COMPUTED_VALUE"""),"clear plum")</f>
        <v>clear plum</v>
      </c>
      <c r="BC192" s="8" t="str">
        <f>IFERROR(__xludf.DUMMYFUNCTION("""COMPUTED_VALUE"""),"dotted teal")</f>
        <v>dotted teal</v>
      </c>
      <c r="BD192" s="8"/>
      <c r="BE192" s="6"/>
      <c r="BF192" s="8"/>
      <c r="BG192" s="8"/>
      <c r="BH192" s="6"/>
      <c r="BI192" s="8"/>
      <c r="BJ192" s="8"/>
      <c r="BK192" s="6"/>
      <c r="BL192" s="8"/>
      <c r="BM192" s="8"/>
      <c r="BN192" s="6"/>
      <c r="BO192" s="8"/>
      <c r="BP192" s="8"/>
      <c r="BQ192" s="6"/>
      <c r="BR192" s="8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</row>
    <row r="193">
      <c r="A193" s="6"/>
      <c r="B193" s="6" t="s">
        <v>193</v>
      </c>
      <c r="C193" s="3" t="str">
        <f t="shared" si="3"/>
        <v>wavy olive</v>
      </c>
      <c r="D193" s="3" t="str">
        <f t="shared" si="17"/>
        <v>ZZZ</v>
      </c>
      <c r="E193" s="3" t="b">
        <f t="array" ref="E193">OR(ISNUMBER(SEARCH(D$2:D$30,$B193,5)))</f>
        <v>0</v>
      </c>
      <c r="G193" s="3" t="str">
        <f t="shared" si="4"/>
        <v>ZZZ</v>
      </c>
      <c r="H193" s="3" t="b">
        <f t="array" ref="H193">OR(ISNUMBER(SEARCH(G$2:G$30,$B193,5)))</f>
        <v>0</v>
      </c>
      <c r="J193" s="3" t="str">
        <f t="shared" si="5"/>
        <v>ZZZ</v>
      </c>
      <c r="K193" s="3" t="b">
        <f t="array" ref="K193">OR(ISNUMBER(SEARCH(J$2:J$30,$B193,5)))</f>
        <v>0</v>
      </c>
      <c r="M193" s="3" t="str">
        <f t="shared" si="6"/>
        <v>ZZZ</v>
      </c>
      <c r="N193" s="3" t="b">
        <f t="array" ref="N193">OR(ISNUMBER(SEARCH(M$2:M$30,$B193,5)))</f>
        <v>0</v>
      </c>
      <c r="P193" s="3" t="str">
        <f t="shared" si="7"/>
        <v>ZZZ</v>
      </c>
      <c r="Q193" s="3" t="b">
        <f t="array" ref="Q193">OR(ISNUMBER(SEARCH(P$2:P$50,$B193,5)))</f>
        <v>0</v>
      </c>
      <c r="S193" s="3" t="str">
        <f t="shared" si="8"/>
        <v>ZZZ</v>
      </c>
      <c r="T193" s="3" t="b">
        <f t="array" ref="T193">OR(ISNUMBER(SEARCH(S$2:S$100,$B193,5)))</f>
        <v>0</v>
      </c>
      <c r="V193" s="3" t="str">
        <f t="shared" si="9"/>
        <v>ZZZ</v>
      </c>
      <c r="W193" s="3" t="b">
        <f t="array" ref="W193">OR(ISNUMBER(SEARCH(V$2:V$100,$B193,5)))</f>
        <v>0</v>
      </c>
      <c r="Y193" s="3" t="str">
        <f t="shared" si="10"/>
        <v>ZZZ</v>
      </c>
      <c r="Z193" s="3" t="b">
        <f t="array" ref="Z193">OR(ISNUMBER(SEARCH(Y$2:Y$100,$B193,5)))</f>
        <v>0</v>
      </c>
      <c r="AB193" s="3" t="str">
        <f t="shared" si="11"/>
        <v>ZZZ</v>
      </c>
      <c r="AC193" s="3" t="b">
        <f t="array" ref="AC193">OR(ISNUMBER(SEARCH(AB$2:AB$100,$B193,5)))</f>
        <v>0</v>
      </c>
      <c r="AE193" s="3" t="str">
        <f t="shared" si="12"/>
        <v>ZZZ</v>
      </c>
      <c r="AF193" s="3" t="b">
        <f t="array" ref="AF193">OR(ISNUMBER(SEARCH(AE$2:AE$100,$B193,5)))</f>
        <v>0</v>
      </c>
      <c r="AH193" s="3" t="str">
        <f t="shared" si="13"/>
        <v>ZZZ</v>
      </c>
      <c r="AI193" s="3" t="b">
        <f t="array" ref="AI193">OR(ISNUMBER(SEARCH(AH$2:AH$100,$B193,5)))</f>
        <v>0</v>
      </c>
      <c r="AK193" s="3" t="str">
        <f t="shared" si="14"/>
        <v>ZZZ</v>
      </c>
      <c r="AL193" s="3" t="b">
        <f t="array" ref="AL193">OR(ISNUMBER(SEARCH(AK$2:AK$100,$B193,5)))</f>
        <v>0</v>
      </c>
      <c r="AU193" s="8"/>
      <c r="AV193" s="6"/>
      <c r="AW193" s="8"/>
      <c r="AX193" s="8"/>
      <c r="AY193" s="6"/>
      <c r="AZ193" s="8"/>
      <c r="BA193" s="8"/>
      <c r="BB193" s="6" t="str">
        <f>IFERROR(__xludf.DUMMYFUNCTION("""COMPUTED_VALUE"""),"mirrored tomato")</f>
        <v>mirrored tomato</v>
      </c>
      <c r="BC193" s="8" t="str">
        <f>IFERROR(__xludf.DUMMYFUNCTION("""COMPUTED_VALUE"""),"pale cyan")</f>
        <v>pale cyan</v>
      </c>
      <c r="BD193" s="8"/>
      <c r="BE193" s="6"/>
      <c r="BF193" s="8"/>
      <c r="BG193" s="8"/>
      <c r="BH193" s="6"/>
      <c r="BI193" s="8"/>
      <c r="BJ193" s="8"/>
      <c r="BK193" s="6"/>
      <c r="BL193" s="8"/>
      <c r="BM193" s="8"/>
      <c r="BN193" s="6"/>
      <c r="BO193" s="8"/>
      <c r="BP193" s="8"/>
      <c r="BQ193" s="6"/>
      <c r="BR193" s="8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</row>
    <row r="194">
      <c r="A194" s="6"/>
      <c r="B194" s="6" t="s">
        <v>194</v>
      </c>
      <c r="C194" s="3" t="str">
        <f t="shared" si="3"/>
        <v>pale lavender</v>
      </c>
      <c r="D194" s="3" t="str">
        <f t="shared" si="17"/>
        <v>ZZZ</v>
      </c>
      <c r="E194" s="3" t="b">
        <f t="array" ref="E194">OR(ISNUMBER(SEARCH(D$2:D$30,$B194,5)))</f>
        <v>0</v>
      </c>
      <c r="G194" s="3" t="str">
        <f t="shared" si="4"/>
        <v>ZZZ</v>
      </c>
      <c r="H194" s="3" t="b">
        <f t="array" ref="H194">OR(ISNUMBER(SEARCH(G$2:G$30,$B194,5)))</f>
        <v>0</v>
      </c>
      <c r="J194" s="3" t="str">
        <f t="shared" si="5"/>
        <v>ZZZ</v>
      </c>
      <c r="K194" s="3" t="b">
        <f t="array" ref="K194">OR(ISNUMBER(SEARCH(J$2:J$30,$B194,5)))</f>
        <v>0</v>
      </c>
      <c r="M194" s="3" t="str">
        <f t="shared" si="6"/>
        <v>ZZZ</v>
      </c>
      <c r="N194" s="3" t="b">
        <f t="array" ref="N194">OR(ISNUMBER(SEARCH(M$2:M$30,$B194,5)))</f>
        <v>0</v>
      </c>
      <c r="P194" s="3" t="str">
        <f t="shared" si="7"/>
        <v>ZZZ</v>
      </c>
      <c r="Q194" s="3" t="b">
        <f t="array" ref="Q194">OR(ISNUMBER(SEARCH(P$2:P$50,$B194,5)))</f>
        <v>0</v>
      </c>
      <c r="S194" s="3" t="str">
        <f t="shared" si="8"/>
        <v>ZZZ</v>
      </c>
      <c r="T194" s="3" t="b">
        <f t="array" ref="T194">OR(ISNUMBER(SEARCH(S$2:S$100,$B194,5)))</f>
        <v>0</v>
      </c>
      <c r="V194" s="3" t="str">
        <f t="shared" si="9"/>
        <v>ZZZ</v>
      </c>
      <c r="W194" s="3" t="b">
        <f t="array" ref="W194">OR(ISNUMBER(SEARCH(V$2:V$100,$B194,5)))</f>
        <v>0</v>
      </c>
      <c r="Y194" s="3" t="str">
        <f t="shared" si="10"/>
        <v>ZZZ</v>
      </c>
      <c r="Z194" s="3" t="b">
        <f t="array" ref="Z194">OR(ISNUMBER(SEARCH(Y$2:Y$100,$B194,5)))</f>
        <v>1</v>
      </c>
      <c r="AB194" s="3" t="str">
        <f t="shared" si="11"/>
        <v>ZZZ</v>
      </c>
      <c r="AC194" s="3" t="b">
        <f t="array" ref="AC194">OR(ISNUMBER(SEARCH(AB$2:AB$100,$B194,5)))</f>
        <v>0</v>
      </c>
      <c r="AE194" s="3" t="str">
        <f t="shared" si="12"/>
        <v>ZZZ</v>
      </c>
      <c r="AF194" s="3" t="b">
        <f t="array" ref="AF194">OR(ISNUMBER(SEARCH(AE$2:AE$100,$B194,5)))</f>
        <v>0</v>
      </c>
      <c r="AH194" s="3" t="str">
        <f t="shared" si="13"/>
        <v>ZZZ</v>
      </c>
      <c r="AI194" s="3" t="b">
        <f t="array" ref="AI194">OR(ISNUMBER(SEARCH(AH$2:AH$100,$B194,5)))</f>
        <v>0</v>
      </c>
      <c r="AK194" s="3" t="str">
        <f t="shared" si="14"/>
        <v>ZZZ</v>
      </c>
      <c r="AL194" s="3" t="b">
        <f t="array" ref="AL194">OR(ISNUMBER(SEARCH(AK$2:AK$100,$B194,5)))</f>
        <v>0</v>
      </c>
      <c r="AU194" s="8"/>
      <c r="AV194" s="6"/>
      <c r="AW194" s="8"/>
      <c r="AX194" s="8"/>
      <c r="AY194" s="6"/>
      <c r="AZ194" s="8"/>
      <c r="BA194" s="8"/>
      <c r="BB194" s="6" t="str">
        <f>IFERROR(__xludf.DUMMYFUNCTION("""COMPUTED_VALUE"""),"dotted plum")</f>
        <v>dotted plum</v>
      </c>
      <c r="BC194" s="8" t="str">
        <f>IFERROR(__xludf.DUMMYFUNCTION("""COMPUTED_VALUE"""),"faded tan")</f>
        <v>faded tan</v>
      </c>
      <c r="BD194" s="8"/>
      <c r="BE194" s="6"/>
      <c r="BF194" s="8"/>
      <c r="BG194" s="8"/>
      <c r="BH194" s="6"/>
      <c r="BI194" s="8"/>
      <c r="BJ194" s="8"/>
      <c r="BK194" s="6"/>
      <c r="BL194" s="8"/>
      <c r="BM194" s="8"/>
      <c r="BN194" s="6"/>
      <c r="BO194" s="8"/>
      <c r="BP194" s="8"/>
      <c r="BQ194" s="6"/>
      <c r="BR194" s="8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</row>
    <row r="195">
      <c r="A195" s="6"/>
      <c r="B195" s="6" t="s">
        <v>195</v>
      </c>
      <c r="C195" s="3" t="str">
        <f t="shared" si="3"/>
        <v>shiny blue</v>
      </c>
      <c r="D195" s="3" t="str">
        <f t="shared" si="17"/>
        <v>ZZZ</v>
      </c>
      <c r="E195" s="3" t="b">
        <f t="array" ref="E195">OR(ISNUMBER(SEARCH(D$2:D$30,$B195,5)))</f>
        <v>0</v>
      </c>
      <c r="G195" s="3" t="str">
        <f t="shared" si="4"/>
        <v>ZZZ</v>
      </c>
      <c r="H195" s="3" t="b">
        <f t="array" ref="H195">OR(ISNUMBER(SEARCH(G$2:G$30,$B195,5)))</f>
        <v>0</v>
      </c>
      <c r="J195" s="3" t="str">
        <f t="shared" si="5"/>
        <v>ZZZ</v>
      </c>
      <c r="K195" s="3" t="b">
        <f t="array" ref="K195">OR(ISNUMBER(SEARCH(J$2:J$30,$B195,5)))</f>
        <v>0</v>
      </c>
      <c r="M195" s="3" t="str">
        <f t="shared" si="6"/>
        <v>ZZZ</v>
      </c>
      <c r="N195" s="3" t="b">
        <f t="array" ref="N195">OR(ISNUMBER(SEARCH(M$2:M$30,$B195,5)))</f>
        <v>0</v>
      </c>
      <c r="P195" s="3" t="str">
        <f t="shared" si="7"/>
        <v>ZZZ</v>
      </c>
      <c r="Q195" s="3" t="b">
        <f t="array" ref="Q195">OR(ISNUMBER(SEARCH(P$2:P$50,$B195,5)))</f>
        <v>0</v>
      </c>
      <c r="S195" s="3" t="str">
        <f t="shared" si="8"/>
        <v>ZZZ</v>
      </c>
      <c r="T195" s="3" t="b">
        <f t="array" ref="T195">OR(ISNUMBER(SEARCH(S$2:S$100,$B195,5)))</f>
        <v>0</v>
      </c>
      <c r="V195" s="3" t="str">
        <f t="shared" si="9"/>
        <v>ZZZ</v>
      </c>
      <c r="W195" s="3" t="b">
        <f t="array" ref="W195">OR(ISNUMBER(SEARCH(V$2:V$100,$B195,5)))</f>
        <v>1</v>
      </c>
      <c r="Y195" s="3" t="str">
        <f t="shared" si="10"/>
        <v>ZZZ</v>
      </c>
      <c r="Z195" s="3" t="b">
        <f t="array" ref="Z195">OR(ISNUMBER(SEARCH(Y$2:Y$100,$B195,5)))</f>
        <v>1</v>
      </c>
      <c r="AB195" s="3" t="str">
        <f t="shared" si="11"/>
        <v>ZZZ</v>
      </c>
      <c r="AC195" s="3" t="b">
        <f t="array" ref="AC195">OR(ISNUMBER(SEARCH(AB$2:AB$100,$B195,5)))</f>
        <v>0</v>
      </c>
      <c r="AE195" s="3" t="str">
        <f t="shared" si="12"/>
        <v>ZZZ</v>
      </c>
      <c r="AF195" s="3" t="b">
        <f t="array" ref="AF195">OR(ISNUMBER(SEARCH(AE$2:AE$100,$B195,5)))</f>
        <v>0</v>
      </c>
      <c r="AH195" s="3" t="str">
        <f t="shared" si="13"/>
        <v>ZZZ</v>
      </c>
      <c r="AI195" s="3" t="b">
        <f t="array" ref="AI195">OR(ISNUMBER(SEARCH(AH$2:AH$100,$B195,5)))</f>
        <v>0</v>
      </c>
      <c r="AK195" s="3" t="str">
        <f t="shared" si="14"/>
        <v>ZZZ</v>
      </c>
      <c r="AL195" s="3" t="b">
        <f t="array" ref="AL195">OR(ISNUMBER(SEARCH(AK$2:AK$100,$B195,5)))</f>
        <v>0</v>
      </c>
      <c r="AU195" s="8"/>
      <c r="AV195" s="6"/>
      <c r="AW195" s="8"/>
      <c r="AX195" s="8"/>
      <c r="AY195" s="6"/>
      <c r="AZ195" s="8"/>
      <c r="BA195" s="8"/>
      <c r="BB195" s="6" t="str">
        <f>IFERROR(__xludf.DUMMYFUNCTION("""COMPUTED_VALUE"""),"shiny bronze")</f>
        <v>shiny bronze</v>
      </c>
      <c r="BC195" s="8"/>
      <c r="BD195" s="8"/>
      <c r="BE195" s="6"/>
      <c r="BF195" s="8"/>
      <c r="BG195" s="8"/>
      <c r="BH195" s="6"/>
      <c r="BI195" s="8"/>
      <c r="BJ195" s="8"/>
      <c r="BK195" s="6"/>
      <c r="BL195" s="8"/>
      <c r="BM195" s="8"/>
      <c r="BN195" s="6"/>
      <c r="BO195" s="8"/>
      <c r="BP195" s="8"/>
      <c r="BQ195" s="6"/>
      <c r="BR195" s="8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</row>
    <row r="196">
      <c r="A196" s="6"/>
      <c r="B196" s="6" t="s">
        <v>196</v>
      </c>
      <c r="C196" s="3" t="str">
        <f t="shared" si="3"/>
        <v>light coral</v>
      </c>
      <c r="D196" s="3" t="str">
        <f t="shared" si="17"/>
        <v>ZZZ</v>
      </c>
      <c r="E196" s="3" t="b">
        <f t="array" ref="E196">OR(ISNUMBER(SEARCH(D$2:D$30,$B196,5)))</f>
        <v>0</v>
      </c>
      <c r="G196" s="3" t="str">
        <f t="shared" si="4"/>
        <v>ZZZ</v>
      </c>
      <c r="H196" s="3" t="b">
        <f t="array" ref="H196">OR(ISNUMBER(SEARCH(G$2:G$30,$B196,5)))</f>
        <v>0</v>
      </c>
      <c r="J196" s="3" t="str">
        <f t="shared" si="5"/>
        <v>ZZZ</v>
      </c>
      <c r="K196" s="3" t="b">
        <f t="array" ref="K196">OR(ISNUMBER(SEARCH(J$2:J$30,$B196,5)))</f>
        <v>0</v>
      </c>
      <c r="M196" s="3" t="str">
        <f t="shared" si="6"/>
        <v>ZZZ</v>
      </c>
      <c r="N196" s="3" t="b">
        <f t="array" ref="N196">OR(ISNUMBER(SEARCH(M$2:M$30,$B196,5)))</f>
        <v>0</v>
      </c>
      <c r="P196" s="3" t="str">
        <f t="shared" si="7"/>
        <v>ZZZ</v>
      </c>
      <c r="Q196" s="3" t="b">
        <f t="array" ref="Q196">OR(ISNUMBER(SEARCH(P$2:P$50,$B196,5)))</f>
        <v>0</v>
      </c>
      <c r="S196" s="3" t="str">
        <f t="shared" si="8"/>
        <v>ZZZ</v>
      </c>
      <c r="T196" s="3" t="b">
        <f t="array" ref="T196">OR(ISNUMBER(SEARCH(S$2:S$100,$B196,5)))</f>
        <v>0</v>
      </c>
      <c r="V196" s="3" t="str">
        <f t="shared" si="9"/>
        <v>ZZZ</v>
      </c>
      <c r="W196" s="3" t="b">
        <f t="array" ref="W196">OR(ISNUMBER(SEARCH(V$2:V$100,$B196,5)))</f>
        <v>0</v>
      </c>
      <c r="Y196" s="3" t="str">
        <f t="shared" si="10"/>
        <v>ZZZ</v>
      </c>
      <c r="Z196" s="3" t="b">
        <f t="array" ref="Z196">OR(ISNUMBER(SEARCH(Y$2:Y$100,$B196,5)))</f>
        <v>0</v>
      </c>
      <c r="AB196" s="3" t="str">
        <f t="shared" si="11"/>
        <v>ZZZ</v>
      </c>
      <c r="AC196" s="3" t="b">
        <f t="array" ref="AC196">OR(ISNUMBER(SEARCH(AB$2:AB$100,$B196,5)))</f>
        <v>0</v>
      </c>
      <c r="AE196" s="3" t="str">
        <f t="shared" si="12"/>
        <v>ZZZ</v>
      </c>
      <c r="AF196" s="3" t="b">
        <f t="array" ref="AF196">OR(ISNUMBER(SEARCH(AE$2:AE$100,$B196,5)))</f>
        <v>0</v>
      </c>
      <c r="AH196" s="3" t="str">
        <f t="shared" si="13"/>
        <v>ZZZ</v>
      </c>
      <c r="AI196" s="3" t="b">
        <f t="array" ref="AI196">OR(ISNUMBER(SEARCH(AH$2:AH$100,$B196,5)))</f>
        <v>0</v>
      </c>
      <c r="AK196" s="3" t="str">
        <f t="shared" si="14"/>
        <v>ZZZ</v>
      </c>
      <c r="AL196" s="3" t="b">
        <f t="array" ref="AL196">OR(ISNUMBER(SEARCH(AK$2:AK$100,$B196,5)))</f>
        <v>0</v>
      </c>
      <c r="AU196" s="8"/>
      <c r="AV196" s="6"/>
      <c r="AW196" s="8"/>
      <c r="AX196" s="8"/>
      <c r="AY196" s="6"/>
      <c r="AZ196" s="8"/>
      <c r="BA196" s="8"/>
      <c r="BB196" s="6" t="str">
        <f>IFERROR(__xludf.DUMMYFUNCTION("""COMPUTED_VALUE"""),"posh teal")</f>
        <v>posh teal</v>
      </c>
      <c r="BC196" s="8"/>
      <c r="BD196" s="8"/>
      <c r="BE196" s="6"/>
      <c r="BF196" s="8"/>
      <c r="BG196" s="8"/>
      <c r="BH196" s="6"/>
      <c r="BI196" s="8"/>
      <c r="BJ196" s="8"/>
      <c r="BK196" s="6"/>
      <c r="BL196" s="8"/>
      <c r="BM196" s="8"/>
      <c r="BN196" s="6"/>
      <c r="BO196" s="8"/>
      <c r="BP196" s="8"/>
      <c r="BQ196" s="6"/>
      <c r="BR196" s="8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</row>
    <row r="197">
      <c r="A197" s="6"/>
      <c r="B197" s="6" t="s">
        <v>197</v>
      </c>
      <c r="C197" s="3" t="str">
        <f t="shared" si="3"/>
        <v>pale brown</v>
      </c>
      <c r="D197" s="3" t="str">
        <f t="shared" si="17"/>
        <v>ZZZ</v>
      </c>
      <c r="E197" s="3" t="b">
        <f t="array" ref="E197">OR(ISNUMBER(SEARCH(D$2:D$30,$B197,5)))</f>
        <v>0</v>
      </c>
      <c r="G197" s="3" t="str">
        <f t="shared" si="4"/>
        <v>ZZZ</v>
      </c>
      <c r="H197" s="3" t="b">
        <f t="array" ref="H197">OR(ISNUMBER(SEARCH(G$2:G$30,$B197,5)))</f>
        <v>0</v>
      </c>
      <c r="J197" s="3" t="str">
        <f t="shared" si="5"/>
        <v>ZZZ</v>
      </c>
      <c r="K197" s="3" t="b">
        <f t="array" ref="K197">OR(ISNUMBER(SEARCH(J$2:J$30,$B197,5)))</f>
        <v>0</v>
      </c>
      <c r="M197" s="3" t="str">
        <f t="shared" si="6"/>
        <v>ZZZ</v>
      </c>
      <c r="N197" s="3" t="b">
        <f t="array" ref="N197">OR(ISNUMBER(SEARCH(M$2:M$30,$B197,5)))</f>
        <v>0</v>
      </c>
      <c r="P197" s="3" t="str">
        <f t="shared" si="7"/>
        <v>ZZZ</v>
      </c>
      <c r="Q197" s="3" t="b">
        <f t="array" ref="Q197">OR(ISNUMBER(SEARCH(P$2:P$50,$B197,5)))</f>
        <v>0</v>
      </c>
      <c r="S197" s="3" t="str">
        <f t="shared" si="8"/>
        <v>ZZZ</v>
      </c>
      <c r="T197" s="3" t="b">
        <f t="array" ref="T197">OR(ISNUMBER(SEARCH(S$2:S$100,$B197,5)))</f>
        <v>1</v>
      </c>
      <c r="V197" s="3" t="str">
        <f t="shared" si="9"/>
        <v>ZZZ</v>
      </c>
      <c r="W197" s="3" t="b">
        <f t="array" ref="W197">OR(ISNUMBER(SEARCH(V$2:V$100,$B197,5)))</f>
        <v>0</v>
      </c>
      <c r="Y197" s="3" t="str">
        <f t="shared" si="10"/>
        <v>ZZZ</v>
      </c>
      <c r="Z197" s="3" t="b">
        <f t="array" ref="Z197">OR(ISNUMBER(SEARCH(Y$2:Y$100,$B197,5)))</f>
        <v>0</v>
      </c>
      <c r="AB197" s="3" t="str">
        <f t="shared" si="11"/>
        <v>ZZZ</v>
      </c>
      <c r="AC197" s="3" t="b">
        <f t="array" ref="AC197">OR(ISNUMBER(SEARCH(AB$2:AB$100,$B197,5)))</f>
        <v>1</v>
      </c>
      <c r="AE197" s="3" t="str">
        <f t="shared" si="12"/>
        <v>ZZZ</v>
      </c>
      <c r="AF197" s="3" t="b">
        <f t="array" ref="AF197">OR(ISNUMBER(SEARCH(AE$2:AE$100,$B197,5)))</f>
        <v>0</v>
      </c>
      <c r="AH197" s="3" t="str">
        <f t="shared" si="13"/>
        <v>ZZZ</v>
      </c>
      <c r="AI197" s="3" t="b">
        <f t="array" ref="AI197">OR(ISNUMBER(SEARCH(AH$2:AH$100,$B197,5)))</f>
        <v>0</v>
      </c>
      <c r="AK197" s="3" t="str">
        <f t="shared" si="14"/>
        <v>ZZZ</v>
      </c>
      <c r="AL197" s="3" t="b">
        <f t="array" ref="AL197">OR(ISNUMBER(SEARCH(AK$2:AK$100,$B197,5)))</f>
        <v>0</v>
      </c>
      <c r="AU197" s="8"/>
      <c r="AV197" s="6"/>
      <c r="AW197" s="8"/>
      <c r="AX197" s="8"/>
      <c r="AY197" s="6"/>
      <c r="AZ197" s="8"/>
      <c r="BA197" s="8"/>
      <c r="BB197" s="6" t="str">
        <f>IFERROR(__xludf.DUMMYFUNCTION("""COMPUTED_VALUE"""),"faded lavender")</f>
        <v>faded lavender</v>
      </c>
      <c r="BC197" s="8"/>
      <c r="BD197" s="8"/>
      <c r="BE197" s="6"/>
      <c r="BF197" s="8"/>
      <c r="BG197" s="8"/>
      <c r="BH197" s="6"/>
      <c r="BI197" s="8"/>
      <c r="BJ197" s="8"/>
      <c r="BK197" s="6"/>
      <c r="BL197" s="8"/>
      <c r="BM197" s="8"/>
      <c r="BN197" s="6"/>
      <c r="BO197" s="8"/>
      <c r="BP197" s="8"/>
      <c r="BQ197" s="6"/>
      <c r="BR197" s="8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</row>
    <row r="198">
      <c r="A198" s="6"/>
      <c r="B198" s="6" t="s">
        <v>198</v>
      </c>
      <c r="C198" s="3" t="str">
        <f t="shared" si="3"/>
        <v>vibrant tomato</v>
      </c>
      <c r="D198" s="3" t="str">
        <f t="shared" si="17"/>
        <v>ZZZ</v>
      </c>
      <c r="E198" s="3" t="b">
        <f t="array" ref="E198">OR(ISNUMBER(SEARCH(D$2:D$30,$B198,5)))</f>
        <v>0</v>
      </c>
      <c r="G198" s="3" t="str">
        <f t="shared" si="4"/>
        <v>ZZZ</v>
      </c>
      <c r="H198" s="3" t="b">
        <f t="array" ref="H198">OR(ISNUMBER(SEARCH(G$2:G$30,$B198,5)))</f>
        <v>0</v>
      </c>
      <c r="J198" s="3" t="str">
        <f t="shared" si="5"/>
        <v>ZZZ</v>
      </c>
      <c r="K198" s="3" t="b">
        <f t="array" ref="K198">OR(ISNUMBER(SEARCH(J$2:J$30,$B198,5)))</f>
        <v>0</v>
      </c>
      <c r="M198" s="3" t="str">
        <f t="shared" si="6"/>
        <v>ZZZ</v>
      </c>
      <c r="N198" s="3" t="b">
        <f t="array" ref="N198">OR(ISNUMBER(SEARCH(M$2:M$30,$B198,5)))</f>
        <v>0</v>
      </c>
      <c r="P198" s="3" t="str">
        <f t="shared" si="7"/>
        <v>ZZZ</v>
      </c>
      <c r="Q198" s="3" t="b">
        <f t="array" ref="Q198">OR(ISNUMBER(SEARCH(P$2:P$50,$B198,5)))</f>
        <v>0</v>
      </c>
      <c r="S198" s="3" t="str">
        <f t="shared" si="8"/>
        <v>ZZZ</v>
      </c>
      <c r="T198" s="3" t="b">
        <f t="array" ref="T198">OR(ISNUMBER(SEARCH(S$2:S$100,$B198,5)))</f>
        <v>0</v>
      </c>
      <c r="V198" s="3" t="str">
        <f t="shared" si="9"/>
        <v>ZZZ</v>
      </c>
      <c r="W198" s="3" t="b">
        <f t="array" ref="W198">OR(ISNUMBER(SEARCH(V$2:V$100,$B198,5)))</f>
        <v>0</v>
      </c>
      <c r="Y198" s="3" t="str">
        <f t="shared" si="10"/>
        <v>ZZZ</v>
      </c>
      <c r="Z198" s="3" t="b">
        <f t="array" ref="Z198">OR(ISNUMBER(SEARCH(Y$2:Y$100,$B198,5)))</f>
        <v>0</v>
      </c>
      <c r="AB198" s="3" t="str">
        <f t="shared" si="11"/>
        <v>ZZZ</v>
      </c>
      <c r="AC198" s="3" t="b">
        <f t="array" ref="AC198">OR(ISNUMBER(SEARCH(AB$2:AB$100,$B198,5)))</f>
        <v>0</v>
      </c>
      <c r="AE198" s="3" t="str">
        <f t="shared" si="12"/>
        <v>ZZZ</v>
      </c>
      <c r="AF198" s="3" t="b">
        <f t="array" ref="AF198">OR(ISNUMBER(SEARCH(AE$2:AE$100,$B198,5)))</f>
        <v>0</v>
      </c>
      <c r="AH198" s="3" t="str">
        <f t="shared" si="13"/>
        <v>ZZZ</v>
      </c>
      <c r="AI198" s="3" t="b">
        <f t="array" ref="AI198">OR(ISNUMBER(SEARCH(AH$2:AH$100,$B198,5)))</f>
        <v>0</v>
      </c>
      <c r="AK198" s="3" t="str">
        <f t="shared" si="14"/>
        <v>ZZZ</v>
      </c>
      <c r="AL198" s="3" t="b">
        <f t="array" ref="AL198">OR(ISNUMBER(SEARCH(AK$2:AK$100,$B198,5)))</f>
        <v>0</v>
      </c>
      <c r="AU198" s="8"/>
      <c r="AV198" s="6"/>
      <c r="AW198" s="8"/>
      <c r="AX198" s="8"/>
      <c r="AY198" s="6"/>
      <c r="AZ198" s="8"/>
      <c r="BA198" s="8"/>
      <c r="BB198" s="6" t="str">
        <f>IFERROR(__xludf.DUMMYFUNCTION("""COMPUTED_VALUE"""),"dotted lime")</f>
        <v>dotted lime</v>
      </c>
      <c r="BC198" s="8"/>
      <c r="BD198" s="8"/>
      <c r="BE198" s="6"/>
      <c r="BF198" s="8"/>
      <c r="BG198" s="8"/>
      <c r="BH198" s="6"/>
      <c r="BI198" s="8"/>
      <c r="BJ198" s="8"/>
      <c r="BK198" s="6"/>
      <c r="BL198" s="8"/>
      <c r="BM198" s="8"/>
      <c r="BN198" s="6"/>
      <c r="BO198" s="8"/>
      <c r="BP198" s="8"/>
      <c r="BQ198" s="6"/>
      <c r="BR198" s="8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</row>
    <row r="199">
      <c r="A199" s="6"/>
      <c r="B199" s="6" t="s">
        <v>199</v>
      </c>
      <c r="C199" s="3" t="str">
        <f t="shared" si="3"/>
        <v>dull olive</v>
      </c>
      <c r="D199" s="3" t="str">
        <f t="shared" si="17"/>
        <v>ZZZ</v>
      </c>
      <c r="E199" s="3" t="b">
        <f t="array" ref="E199">OR(ISNUMBER(SEARCH(D$2:D$30,$B199,5)))</f>
        <v>0</v>
      </c>
      <c r="G199" s="3" t="str">
        <f t="shared" si="4"/>
        <v>ZZZ</v>
      </c>
      <c r="H199" s="3" t="b">
        <f t="array" ref="H199">OR(ISNUMBER(SEARCH(G$2:G$30,$B199,5)))</f>
        <v>0</v>
      </c>
      <c r="J199" s="3" t="str">
        <f t="shared" si="5"/>
        <v>ZZZ</v>
      </c>
      <c r="K199" s="3" t="b">
        <f t="array" ref="K199">OR(ISNUMBER(SEARCH(J$2:J$30,$B199,5)))</f>
        <v>0</v>
      </c>
      <c r="M199" s="3" t="str">
        <f t="shared" si="6"/>
        <v>ZZZ</v>
      </c>
      <c r="N199" s="3" t="b">
        <f t="array" ref="N199">OR(ISNUMBER(SEARCH(M$2:M$30,$B199,5)))</f>
        <v>1</v>
      </c>
      <c r="P199" s="3" t="str">
        <f t="shared" si="7"/>
        <v>ZZZ</v>
      </c>
      <c r="Q199" s="3" t="b">
        <f t="array" ref="Q199">OR(ISNUMBER(SEARCH(P$2:P$50,$B199,5)))</f>
        <v>0</v>
      </c>
      <c r="S199" s="3" t="str">
        <f t="shared" si="8"/>
        <v>ZZZ</v>
      </c>
      <c r="T199" s="3" t="b">
        <f t="array" ref="T199">OR(ISNUMBER(SEARCH(S$2:S$100,$B199,5)))</f>
        <v>0</v>
      </c>
      <c r="V199" s="3" t="str">
        <f t="shared" si="9"/>
        <v>ZZZ</v>
      </c>
      <c r="W199" s="3" t="b">
        <f t="array" ref="W199">OR(ISNUMBER(SEARCH(V$2:V$100,$B199,5)))</f>
        <v>0</v>
      </c>
      <c r="Y199" s="3" t="str">
        <f t="shared" si="10"/>
        <v>ZZZ</v>
      </c>
      <c r="Z199" s="3" t="b">
        <f t="array" ref="Z199">OR(ISNUMBER(SEARCH(Y$2:Y$100,$B199,5)))</f>
        <v>0</v>
      </c>
      <c r="AB199" s="3" t="str">
        <f t="shared" si="11"/>
        <v>ZZZ</v>
      </c>
      <c r="AC199" s="3" t="b">
        <f t="array" ref="AC199">OR(ISNUMBER(SEARCH(AB$2:AB$100,$B199,5)))</f>
        <v>0</v>
      </c>
      <c r="AE199" s="3" t="str">
        <f t="shared" si="12"/>
        <v>ZZZ</v>
      </c>
      <c r="AF199" s="3" t="b">
        <f t="array" ref="AF199">OR(ISNUMBER(SEARCH(AE$2:AE$100,$B199,5)))</f>
        <v>0</v>
      </c>
      <c r="AH199" s="3" t="str">
        <f t="shared" si="13"/>
        <v>ZZZ</v>
      </c>
      <c r="AI199" s="3" t="b">
        <f t="array" ref="AI199">OR(ISNUMBER(SEARCH(AH$2:AH$100,$B199,5)))</f>
        <v>0</v>
      </c>
      <c r="AK199" s="3" t="str">
        <f t="shared" si="14"/>
        <v>ZZZ</v>
      </c>
      <c r="AL199" s="3" t="b">
        <f t="array" ref="AL199">OR(ISNUMBER(SEARCH(AK$2:AK$100,$B199,5)))</f>
        <v>0</v>
      </c>
      <c r="AU199" s="8"/>
      <c r="AV199" s="6"/>
      <c r="AW199" s="8"/>
      <c r="AX199" s="8"/>
      <c r="AY199" s="6"/>
      <c r="AZ199" s="8"/>
      <c r="BA199" s="8"/>
      <c r="BB199" s="6" t="str">
        <f>IFERROR(__xludf.DUMMYFUNCTION("""COMPUTED_VALUE"""),"clear violet")</f>
        <v>clear violet</v>
      </c>
      <c r="BC199" s="8"/>
      <c r="BD199" s="8"/>
      <c r="BE199" s="6"/>
      <c r="BF199" s="8"/>
      <c r="BG199" s="8"/>
      <c r="BH199" s="6"/>
      <c r="BI199" s="8"/>
      <c r="BJ199" s="8"/>
      <c r="BK199" s="6"/>
      <c r="BL199" s="8"/>
      <c r="BM199" s="8"/>
      <c r="BN199" s="6"/>
      <c r="BO199" s="8"/>
      <c r="BP199" s="8"/>
      <c r="BQ199" s="6"/>
      <c r="BR199" s="8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</row>
    <row r="200">
      <c r="A200" s="6"/>
      <c r="B200" s="6" t="s">
        <v>200</v>
      </c>
      <c r="C200" s="3" t="str">
        <f t="shared" si="3"/>
        <v>light chartreuse</v>
      </c>
      <c r="D200" s="3" t="str">
        <f t="shared" si="17"/>
        <v>ZZZ</v>
      </c>
      <c r="E200" s="3" t="b">
        <f t="array" ref="E200">OR(ISNUMBER(SEARCH(D$2:D$30,$B200,5)))</f>
        <v>0</v>
      </c>
      <c r="G200" s="3" t="str">
        <f t="shared" si="4"/>
        <v>ZZZ</v>
      </c>
      <c r="H200" s="3" t="b">
        <f t="array" ref="H200">OR(ISNUMBER(SEARCH(G$2:G$30,$B200,5)))</f>
        <v>0</v>
      </c>
      <c r="J200" s="3" t="str">
        <f t="shared" si="5"/>
        <v>ZZZ</v>
      </c>
      <c r="K200" s="3" t="b">
        <f t="array" ref="K200">OR(ISNUMBER(SEARCH(J$2:J$30,$B200,5)))</f>
        <v>0</v>
      </c>
      <c r="M200" s="3" t="str">
        <f t="shared" si="6"/>
        <v>ZZZ</v>
      </c>
      <c r="N200" s="3" t="b">
        <f t="array" ref="N200">OR(ISNUMBER(SEARCH(M$2:M$30,$B200,5)))</f>
        <v>1</v>
      </c>
      <c r="P200" s="3" t="str">
        <f t="shared" si="7"/>
        <v>ZZZ</v>
      </c>
      <c r="Q200" s="3" t="b">
        <f t="array" ref="Q200">OR(ISNUMBER(SEARCH(P$2:P$50,$B200,5)))</f>
        <v>0</v>
      </c>
      <c r="S200" s="3" t="str">
        <f t="shared" si="8"/>
        <v>ZZZ</v>
      </c>
      <c r="T200" s="3" t="b">
        <f t="array" ref="T200">OR(ISNUMBER(SEARCH(S$2:S$100,$B200,5)))</f>
        <v>0</v>
      </c>
      <c r="V200" s="3" t="str">
        <f t="shared" si="9"/>
        <v>ZZZ</v>
      </c>
      <c r="W200" s="3" t="b">
        <f t="array" ref="W200">OR(ISNUMBER(SEARCH(V$2:V$100,$B200,5)))</f>
        <v>0</v>
      </c>
      <c r="Y200" s="3" t="str">
        <f t="shared" si="10"/>
        <v>ZZZ</v>
      </c>
      <c r="Z200" s="3" t="b">
        <f t="array" ref="Z200">OR(ISNUMBER(SEARCH(Y$2:Y$100,$B200,5)))</f>
        <v>0</v>
      </c>
      <c r="AB200" s="3" t="str">
        <f t="shared" si="11"/>
        <v>ZZZ</v>
      </c>
      <c r="AC200" s="3" t="b">
        <f t="array" ref="AC200">OR(ISNUMBER(SEARCH(AB$2:AB$100,$B200,5)))</f>
        <v>0</v>
      </c>
      <c r="AE200" s="3" t="str">
        <f t="shared" si="12"/>
        <v>ZZZ</v>
      </c>
      <c r="AF200" s="3" t="b">
        <f t="array" ref="AF200">OR(ISNUMBER(SEARCH(AE$2:AE$100,$B200,5)))</f>
        <v>0</v>
      </c>
      <c r="AH200" s="3" t="str">
        <f t="shared" si="13"/>
        <v>ZZZ</v>
      </c>
      <c r="AI200" s="3" t="b">
        <f t="array" ref="AI200">OR(ISNUMBER(SEARCH(AH$2:AH$100,$B200,5)))</f>
        <v>0</v>
      </c>
      <c r="AK200" s="3" t="str">
        <f t="shared" si="14"/>
        <v>ZZZ</v>
      </c>
      <c r="AL200" s="3" t="b">
        <f t="array" ref="AL200">OR(ISNUMBER(SEARCH(AK$2:AK$100,$B200,5)))</f>
        <v>0</v>
      </c>
      <c r="AU200" s="8"/>
      <c r="AV200" s="6"/>
      <c r="AW200" s="8"/>
      <c r="AX200" s="8"/>
      <c r="AY200" s="6"/>
      <c r="AZ200" s="8"/>
      <c r="BA200" s="8"/>
      <c r="BB200" s="6" t="str">
        <f>IFERROR(__xludf.DUMMYFUNCTION("""COMPUTED_VALUE"""),"dotted bronze")</f>
        <v>dotted bronze</v>
      </c>
      <c r="BC200" s="8"/>
      <c r="BD200" s="8"/>
      <c r="BE200" s="6"/>
      <c r="BF200" s="8"/>
      <c r="BG200" s="8"/>
      <c r="BH200" s="6"/>
      <c r="BI200" s="8"/>
      <c r="BJ200" s="8"/>
      <c r="BK200" s="6"/>
      <c r="BL200" s="8"/>
      <c r="BM200" s="8"/>
      <c r="BN200" s="6"/>
      <c r="BO200" s="8"/>
      <c r="BP200" s="8"/>
      <c r="BQ200" s="6"/>
      <c r="BR200" s="8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</row>
    <row r="201">
      <c r="A201" s="6"/>
      <c r="B201" s="6" t="s">
        <v>201</v>
      </c>
      <c r="C201" s="3" t="str">
        <f t="shared" si="3"/>
        <v>posh gray</v>
      </c>
      <c r="D201" s="3" t="str">
        <f t="shared" si="17"/>
        <v>ZZZ</v>
      </c>
      <c r="E201" s="3" t="b">
        <f t="array" ref="E201">OR(ISNUMBER(SEARCH(D$2:D$30,$B201,5)))</f>
        <v>0</v>
      </c>
      <c r="G201" s="3" t="str">
        <f t="shared" si="4"/>
        <v>ZZZ</v>
      </c>
      <c r="H201" s="3" t="b">
        <f t="array" ref="H201">OR(ISNUMBER(SEARCH(G$2:G$30,$B201,5)))</f>
        <v>0</v>
      </c>
      <c r="J201" s="3" t="str">
        <f t="shared" si="5"/>
        <v>ZZZ</v>
      </c>
      <c r="K201" s="3" t="b">
        <f t="array" ref="K201">OR(ISNUMBER(SEARCH(J$2:J$30,$B201,5)))</f>
        <v>0</v>
      </c>
      <c r="M201" s="3" t="str">
        <f t="shared" si="6"/>
        <v>ZZZ</v>
      </c>
      <c r="N201" s="3" t="b">
        <f t="array" ref="N201">OR(ISNUMBER(SEARCH(M$2:M$30,$B201,5)))</f>
        <v>0</v>
      </c>
      <c r="P201" s="3" t="str">
        <f t="shared" si="7"/>
        <v>ZZZ</v>
      </c>
      <c r="Q201" s="3" t="b">
        <f t="array" ref="Q201">OR(ISNUMBER(SEARCH(P$2:P$50,$B201,5)))</f>
        <v>0</v>
      </c>
      <c r="S201" s="3" t="str">
        <f t="shared" si="8"/>
        <v>ZZZ</v>
      </c>
      <c r="T201" s="3" t="b">
        <f t="array" ref="T201">OR(ISNUMBER(SEARCH(S$2:S$100,$B201,5)))</f>
        <v>0</v>
      </c>
      <c r="V201" s="3" t="str">
        <f t="shared" si="9"/>
        <v>ZZZ</v>
      </c>
      <c r="W201" s="3" t="b">
        <f t="array" ref="W201">OR(ISNUMBER(SEARCH(V$2:V$100,$B201,5)))</f>
        <v>0</v>
      </c>
      <c r="Y201" s="3" t="str">
        <f t="shared" si="10"/>
        <v>ZZZ</v>
      </c>
      <c r="Z201" s="3" t="b">
        <f t="array" ref="Z201">OR(ISNUMBER(SEARCH(Y$2:Y$100,$B201,5)))</f>
        <v>0</v>
      </c>
      <c r="AB201" s="3" t="str">
        <f t="shared" si="11"/>
        <v>ZZZ</v>
      </c>
      <c r="AC201" s="3" t="b">
        <f t="array" ref="AC201">OR(ISNUMBER(SEARCH(AB$2:AB$100,$B201,5)))</f>
        <v>0</v>
      </c>
      <c r="AE201" s="3" t="str">
        <f t="shared" si="12"/>
        <v>ZZZ</v>
      </c>
      <c r="AF201" s="3" t="b">
        <f t="array" ref="AF201">OR(ISNUMBER(SEARCH(AE$2:AE$100,$B201,5)))</f>
        <v>0</v>
      </c>
      <c r="AH201" s="3" t="str">
        <f t="shared" si="13"/>
        <v>ZZZ</v>
      </c>
      <c r="AI201" s="3" t="b">
        <f t="array" ref="AI201">OR(ISNUMBER(SEARCH(AH$2:AH$100,$B201,5)))</f>
        <v>0</v>
      </c>
      <c r="AK201" s="3" t="str">
        <f t="shared" si="14"/>
        <v>ZZZ</v>
      </c>
      <c r="AL201" s="3" t="b">
        <f t="array" ref="AL201">OR(ISNUMBER(SEARCH(AK$2:AK$100,$B201,5)))</f>
        <v>0</v>
      </c>
      <c r="AU201" s="8"/>
      <c r="AV201" s="6"/>
      <c r="AW201" s="8"/>
      <c r="AX201" s="8"/>
      <c r="AY201" s="6"/>
      <c r="AZ201" s="8"/>
      <c r="BA201" s="8"/>
      <c r="BB201" s="6" t="str">
        <f>IFERROR(__xludf.DUMMYFUNCTION("""COMPUTED_VALUE"""),"light lime")</f>
        <v>light lime</v>
      </c>
      <c r="BC201" s="8"/>
      <c r="BD201" s="8"/>
      <c r="BE201" s="6"/>
      <c r="BF201" s="8"/>
      <c r="BG201" s="8"/>
      <c r="BH201" s="6"/>
      <c r="BI201" s="8"/>
      <c r="BJ201" s="8"/>
      <c r="BK201" s="6"/>
      <c r="BL201" s="8"/>
      <c r="BM201" s="8"/>
      <c r="BN201" s="6"/>
      <c r="BO201" s="8"/>
      <c r="BP201" s="8"/>
      <c r="BQ201" s="6"/>
      <c r="BR201" s="8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</row>
    <row r="202">
      <c r="A202" s="6"/>
      <c r="B202" s="6" t="s">
        <v>202</v>
      </c>
      <c r="C202" s="3" t="str">
        <f t="shared" si="3"/>
        <v>bright yellow</v>
      </c>
      <c r="D202" s="3" t="str">
        <f t="shared" si="17"/>
        <v>ZZZ</v>
      </c>
      <c r="E202" s="3" t="b">
        <f t="array" ref="E202">OR(ISNUMBER(SEARCH(D$2:D$30,$B202,5)))</f>
        <v>0</v>
      </c>
      <c r="G202" s="3" t="str">
        <f t="shared" si="4"/>
        <v>ZZZ</v>
      </c>
      <c r="H202" s="3" t="b">
        <f t="array" ref="H202">OR(ISNUMBER(SEARCH(G$2:G$30,$B202,5)))</f>
        <v>0</v>
      </c>
      <c r="J202" s="3" t="str">
        <f t="shared" si="5"/>
        <v>ZZZ</v>
      </c>
      <c r="K202" s="3" t="b">
        <f t="array" ref="K202">OR(ISNUMBER(SEARCH(J$2:J$30,$B202,5)))</f>
        <v>1</v>
      </c>
      <c r="M202" s="3" t="str">
        <f t="shared" si="6"/>
        <v>ZZZ</v>
      </c>
      <c r="N202" s="3" t="b">
        <f t="array" ref="N202">OR(ISNUMBER(SEARCH(M$2:M$30,$B202,5)))</f>
        <v>0</v>
      </c>
      <c r="P202" s="3" t="str">
        <f t="shared" si="7"/>
        <v>ZZZ</v>
      </c>
      <c r="Q202" s="3" t="b">
        <f t="array" ref="Q202">OR(ISNUMBER(SEARCH(P$2:P$50,$B202,5)))</f>
        <v>0</v>
      </c>
      <c r="S202" s="3" t="str">
        <f t="shared" si="8"/>
        <v>ZZZ</v>
      </c>
      <c r="T202" s="3" t="b">
        <f t="array" ref="T202">OR(ISNUMBER(SEARCH(S$2:S$100,$B202,5)))</f>
        <v>0</v>
      </c>
      <c r="V202" s="3" t="str">
        <f t="shared" si="9"/>
        <v>ZZZ</v>
      </c>
      <c r="W202" s="3" t="b">
        <f t="array" ref="W202">OR(ISNUMBER(SEARCH(V$2:V$100,$B202,5)))</f>
        <v>0</v>
      </c>
      <c r="Y202" s="3" t="str">
        <f t="shared" si="10"/>
        <v>ZZZ</v>
      </c>
      <c r="Z202" s="3" t="b">
        <f t="array" ref="Z202">OR(ISNUMBER(SEARCH(Y$2:Y$100,$B202,5)))</f>
        <v>0</v>
      </c>
      <c r="AB202" s="3" t="str">
        <f t="shared" si="11"/>
        <v>ZZZ</v>
      </c>
      <c r="AC202" s="3" t="b">
        <f t="array" ref="AC202">OR(ISNUMBER(SEARCH(AB$2:AB$100,$B202,5)))</f>
        <v>0</v>
      </c>
      <c r="AE202" s="3" t="str">
        <f t="shared" si="12"/>
        <v>ZZZ</v>
      </c>
      <c r="AF202" s="3" t="b">
        <f t="array" ref="AF202">OR(ISNUMBER(SEARCH(AE$2:AE$100,$B202,5)))</f>
        <v>0</v>
      </c>
      <c r="AH202" s="3" t="str">
        <f t="shared" si="13"/>
        <v>ZZZ</v>
      </c>
      <c r="AI202" s="3" t="b">
        <f t="array" ref="AI202">OR(ISNUMBER(SEARCH(AH$2:AH$100,$B202,5)))</f>
        <v>0</v>
      </c>
      <c r="AK202" s="3" t="str">
        <f t="shared" si="14"/>
        <v>ZZZ</v>
      </c>
      <c r="AL202" s="3" t="b">
        <f t="array" ref="AL202">OR(ISNUMBER(SEARCH(AK$2:AK$100,$B202,5)))</f>
        <v>0</v>
      </c>
      <c r="AU202" s="8"/>
      <c r="AV202" s="6"/>
      <c r="AW202" s="8"/>
      <c r="AX202" s="8"/>
      <c r="AY202" s="6"/>
      <c r="AZ202" s="8"/>
      <c r="BA202" s="8"/>
      <c r="BB202" s="6" t="str">
        <f>IFERROR(__xludf.DUMMYFUNCTION("""COMPUTED_VALUE"""),"light blue")</f>
        <v>light blue</v>
      </c>
      <c r="BC202" s="8"/>
      <c r="BD202" s="8"/>
      <c r="BE202" s="6"/>
      <c r="BF202" s="8"/>
      <c r="BG202" s="8"/>
      <c r="BH202" s="6"/>
      <c r="BI202" s="8"/>
      <c r="BJ202" s="8"/>
      <c r="BK202" s="6"/>
      <c r="BL202" s="8"/>
      <c r="BM202" s="8"/>
      <c r="BN202" s="6"/>
      <c r="BO202" s="8"/>
      <c r="BP202" s="8"/>
      <c r="BQ202" s="6"/>
      <c r="BR202" s="8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</row>
    <row r="203">
      <c r="A203" s="6"/>
      <c r="B203" s="6" t="s">
        <v>203</v>
      </c>
      <c r="C203" s="3" t="str">
        <f t="shared" si="3"/>
        <v>bright gold</v>
      </c>
      <c r="D203" s="3" t="str">
        <f t="shared" si="17"/>
        <v>ZZZ</v>
      </c>
      <c r="E203" s="3" t="b">
        <f t="array" ref="E203">OR(ISNUMBER(SEARCH(D$2:D$30,$B203,5)))</f>
        <v>0</v>
      </c>
      <c r="G203" s="3" t="str">
        <f t="shared" si="4"/>
        <v>ZZZ</v>
      </c>
      <c r="H203" s="3" t="b">
        <f t="array" ref="H203">OR(ISNUMBER(SEARCH(G$2:G$30,$B203,5)))</f>
        <v>0</v>
      </c>
      <c r="J203" s="3" t="str">
        <f t="shared" si="5"/>
        <v>ZZZ</v>
      </c>
      <c r="K203" s="3" t="b">
        <f t="array" ref="K203">OR(ISNUMBER(SEARCH(J$2:J$30,$B203,5)))</f>
        <v>0</v>
      </c>
      <c r="M203" s="3" t="str">
        <f t="shared" si="6"/>
        <v>ZZZ</v>
      </c>
      <c r="N203" s="3" t="b">
        <f t="array" ref="N203">OR(ISNUMBER(SEARCH(M$2:M$30,$B203,5)))</f>
        <v>0</v>
      </c>
      <c r="P203" s="3" t="str">
        <f t="shared" si="7"/>
        <v>ZZZ</v>
      </c>
      <c r="Q203" s="3" t="b">
        <f t="array" ref="Q203">OR(ISNUMBER(SEARCH(P$2:P$50,$B203,5)))</f>
        <v>1</v>
      </c>
      <c r="S203" s="3" t="str">
        <f t="shared" si="8"/>
        <v>ZZZ</v>
      </c>
      <c r="T203" s="3" t="b">
        <f t="array" ref="T203">OR(ISNUMBER(SEARCH(S$2:S$100,$B203,5)))</f>
        <v>0</v>
      </c>
      <c r="V203" s="3" t="str">
        <f t="shared" si="9"/>
        <v>ZZZ</v>
      </c>
      <c r="W203" s="3" t="b">
        <f t="array" ref="W203">OR(ISNUMBER(SEARCH(V$2:V$100,$B203,5)))</f>
        <v>1</v>
      </c>
      <c r="Y203" s="3" t="str">
        <f t="shared" si="10"/>
        <v>ZZZ</v>
      </c>
      <c r="Z203" s="3" t="b">
        <f t="array" ref="Z203">OR(ISNUMBER(SEARCH(Y$2:Y$100,$B203,5)))</f>
        <v>0</v>
      </c>
      <c r="AB203" s="3" t="str">
        <f t="shared" si="11"/>
        <v>ZZZ</v>
      </c>
      <c r="AC203" s="3" t="b">
        <f t="array" ref="AC203">OR(ISNUMBER(SEARCH(AB$2:AB$100,$B203,5)))</f>
        <v>0</v>
      </c>
      <c r="AE203" s="3" t="str">
        <f t="shared" si="12"/>
        <v>ZZZ</v>
      </c>
      <c r="AF203" s="3" t="b">
        <f t="array" ref="AF203">OR(ISNUMBER(SEARCH(AE$2:AE$100,$B203,5)))</f>
        <v>0</v>
      </c>
      <c r="AH203" s="3" t="str">
        <f t="shared" si="13"/>
        <v>ZZZ</v>
      </c>
      <c r="AI203" s="3" t="b">
        <f t="array" ref="AI203">OR(ISNUMBER(SEARCH(AH$2:AH$100,$B203,5)))</f>
        <v>0</v>
      </c>
      <c r="AK203" s="3" t="str">
        <f t="shared" si="14"/>
        <v>ZZZ</v>
      </c>
      <c r="AL203" s="3" t="b">
        <f t="array" ref="AL203">OR(ISNUMBER(SEARCH(AK$2:AK$100,$B203,5)))</f>
        <v>0</v>
      </c>
      <c r="AU203" s="8"/>
      <c r="AV203" s="6"/>
      <c r="AW203" s="8"/>
      <c r="AX203" s="8"/>
      <c r="AY203" s="6"/>
      <c r="AZ203" s="8"/>
      <c r="BA203" s="8"/>
      <c r="BB203" s="6" t="str">
        <f>IFERROR(__xludf.DUMMYFUNCTION("""COMPUTED_VALUE"""),"light olive")</f>
        <v>light olive</v>
      </c>
      <c r="BC203" s="8"/>
      <c r="BD203" s="8"/>
      <c r="BE203" s="6"/>
      <c r="BF203" s="8"/>
      <c r="BG203" s="8"/>
      <c r="BH203" s="6"/>
      <c r="BI203" s="8"/>
      <c r="BJ203" s="8"/>
      <c r="BK203" s="6"/>
      <c r="BL203" s="8"/>
      <c r="BM203" s="8"/>
      <c r="BN203" s="6"/>
      <c r="BO203" s="8"/>
      <c r="BP203" s="8"/>
      <c r="BQ203" s="6"/>
      <c r="BR203" s="8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</row>
    <row r="204">
      <c r="A204" s="6"/>
      <c r="B204" s="6" t="s">
        <v>204</v>
      </c>
      <c r="C204" s="3" t="str">
        <f t="shared" si="3"/>
        <v>dotted red</v>
      </c>
      <c r="D204" s="3" t="str">
        <f t="shared" si="17"/>
        <v>ZZZ</v>
      </c>
      <c r="E204" s="3" t="b">
        <f t="array" ref="E204">OR(ISNUMBER(SEARCH(D$2:D$30,$B204,5)))</f>
        <v>0</v>
      </c>
      <c r="G204" s="3" t="str">
        <f t="shared" si="4"/>
        <v>ZZZ</v>
      </c>
      <c r="H204" s="3" t="b">
        <f t="array" ref="H204">OR(ISNUMBER(SEARCH(G$2:G$30,$B204,5)))</f>
        <v>0</v>
      </c>
      <c r="J204" s="3" t="str">
        <f t="shared" si="5"/>
        <v>ZZZ</v>
      </c>
      <c r="K204" s="3" t="b">
        <f t="array" ref="K204">OR(ISNUMBER(SEARCH(J$2:J$30,$B204,5)))</f>
        <v>0</v>
      </c>
      <c r="M204" s="3" t="str">
        <f t="shared" si="6"/>
        <v>ZZZ</v>
      </c>
      <c r="N204" s="3" t="b">
        <f t="array" ref="N204">OR(ISNUMBER(SEARCH(M$2:M$30,$B204,5)))</f>
        <v>0</v>
      </c>
      <c r="P204" s="3" t="str">
        <f t="shared" si="7"/>
        <v>ZZZ</v>
      </c>
      <c r="Q204" s="3" t="b">
        <f t="array" ref="Q204">OR(ISNUMBER(SEARCH(P$2:P$50,$B204,5)))</f>
        <v>0</v>
      </c>
      <c r="S204" s="3" t="str">
        <f t="shared" si="8"/>
        <v>ZZZ</v>
      </c>
      <c r="T204" s="3" t="b">
        <f t="array" ref="T204">OR(ISNUMBER(SEARCH(S$2:S$100,$B204,5)))</f>
        <v>0</v>
      </c>
      <c r="V204" s="3" t="str">
        <f t="shared" si="9"/>
        <v>ZZZ</v>
      </c>
      <c r="W204" s="3" t="b">
        <f t="array" ref="W204">OR(ISNUMBER(SEARCH(V$2:V$100,$B204,5)))</f>
        <v>0</v>
      </c>
      <c r="Y204" s="3" t="str">
        <f t="shared" si="10"/>
        <v>ZZZ</v>
      </c>
      <c r="Z204" s="3" t="b">
        <f t="array" ref="Z204">OR(ISNUMBER(SEARCH(Y$2:Y$100,$B204,5)))</f>
        <v>1</v>
      </c>
      <c r="AB204" s="3" t="str">
        <f t="shared" si="11"/>
        <v>ZZZ</v>
      </c>
      <c r="AC204" s="3" t="b">
        <f t="array" ref="AC204">OR(ISNUMBER(SEARCH(AB$2:AB$100,$B204,5)))</f>
        <v>0</v>
      </c>
      <c r="AE204" s="3" t="str">
        <f t="shared" si="12"/>
        <v>ZZZ</v>
      </c>
      <c r="AF204" s="3" t="b">
        <f t="array" ref="AF204">OR(ISNUMBER(SEARCH(AE$2:AE$100,$B204,5)))</f>
        <v>0</v>
      </c>
      <c r="AH204" s="3" t="str">
        <f t="shared" si="13"/>
        <v>ZZZ</v>
      </c>
      <c r="AI204" s="3" t="b">
        <f t="array" ref="AI204">OR(ISNUMBER(SEARCH(AH$2:AH$100,$B204,5)))</f>
        <v>0</v>
      </c>
      <c r="AK204" s="3" t="str">
        <f t="shared" si="14"/>
        <v>ZZZ</v>
      </c>
      <c r="AL204" s="3" t="b">
        <f t="array" ref="AL204">OR(ISNUMBER(SEARCH(AK$2:AK$100,$B204,5)))</f>
        <v>0</v>
      </c>
      <c r="AU204" s="8"/>
      <c r="AV204" s="6"/>
      <c r="AW204" s="8"/>
      <c r="AX204" s="8"/>
      <c r="AY204" s="6"/>
      <c r="AZ204" s="8"/>
      <c r="BA204" s="8"/>
      <c r="BB204" s="6" t="str">
        <f>IFERROR(__xludf.DUMMYFUNCTION("""COMPUTED_VALUE"""),"vibrant coral")</f>
        <v>vibrant coral</v>
      </c>
      <c r="BC204" s="8"/>
      <c r="BD204" s="8"/>
      <c r="BE204" s="6"/>
      <c r="BF204" s="8"/>
      <c r="BG204" s="8"/>
      <c r="BH204" s="6"/>
      <c r="BI204" s="8"/>
      <c r="BJ204" s="8"/>
      <c r="BK204" s="6"/>
      <c r="BL204" s="8"/>
      <c r="BM204" s="8"/>
      <c r="BN204" s="6"/>
      <c r="BO204" s="8"/>
      <c r="BP204" s="8"/>
      <c r="BQ204" s="6"/>
      <c r="BR204" s="8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</row>
    <row r="205">
      <c r="A205" s="6"/>
      <c r="B205" s="6" t="s">
        <v>205</v>
      </c>
      <c r="C205" s="3" t="str">
        <f t="shared" si="3"/>
        <v>clear brown</v>
      </c>
      <c r="D205" s="3" t="str">
        <f t="shared" si="17"/>
        <v>ZZZ</v>
      </c>
      <c r="E205" s="3" t="b">
        <f t="array" ref="E205">OR(ISNUMBER(SEARCH(D$2:D$30,$B205,5)))</f>
        <v>0</v>
      </c>
      <c r="G205" s="3" t="str">
        <f t="shared" si="4"/>
        <v>ZZZ</v>
      </c>
      <c r="H205" s="3" t="b">
        <f t="array" ref="H205">OR(ISNUMBER(SEARCH(G$2:G$30,$B205,5)))</f>
        <v>0</v>
      </c>
      <c r="J205" s="3" t="str">
        <f t="shared" si="5"/>
        <v>ZZZ</v>
      </c>
      <c r="K205" s="3" t="b">
        <f t="array" ref="K205">OR(ISNUMBER(SEARCH(J$2:J$30,$B205,5)))</f>
        <v>0</v>
      </c>
      <c r="M205" s="3" t="str">
        <f t="shared" si="6"/>
        <v>ZZZ</v>
      </c>
      <c r="N205" s="3" t="b">
        <f t="array" ref="N205">OR(ISNUMBER(SEARCH(M$2:M$30,$B205,5)))</f>
        <v>1</v>
      </c>
      <c r="P205" s="3" t="str">
        <f t="shared" si="7"/>
        <v>ZZZ</v>
      </c>
      <c r="Q205" s="3" t="b">
        <f t="array" ref="Q205">OR(ISNUMBER(SEARCH(P$2:P$50,$B205,5)))</f>
        <v>0</v>
      </c>
      <c r="S205" s="3" t="str">
        <f t="shared" si="8"/>
        <v>ZZZ</v>
      </c>
      <c r="T205" s="3" t="b">
        <f t="array" ref="T205">OR(ISNUMBER(SEARCH(S$2:S$100,$B205,5)))</f>
        <v>0</v>
      </c>
      <c r="V205" s="3" t="str">
        <f t="shared" si="9"/>
        <v>ZZZ</v>
      </c>
      <c r="W205" s="3" t="b">
        <f t="array" ref="W205">OR(ISNUMBER(SEARCH(V$2:V$100,$B205,5)))</f>
        <v>0</v>
      </c>
      <c r="Y205" s="3" t="str">
        <f t="shared" si="10"/>
        <v>ZZZ</v>
      </c>
      <c r="Z205" s="3" t="b">
        <f t="array" ref="Z205">OR(ISNUMBER(SEARCH(Y$2:Y$100,$B205,5)))</f>
        <v>0</v>
      </c>
      <c r="AB205" s="3" t="str">
        <f t="shared" si="11"/>
        <v>ZZZ</v>
      </c>
      <c r="AC205" s="3" t="b">
        <f t="array" ref="AC205">OR(ISNUMBER(SEARCH(AB$2:AB$100,$B205,5)))</f>
        <v>0</v>
      </c>
      <c r="AE205" s="3" t="str">
        <f t="shared" si="12"/>
        <v>ZZZ</v>
      </c>
      <c r="AF205" s="3" t="b">
        <f t="array" ref="AF205">OR(ISNUMBER(SEARCH(AE$2:AE$100,$B205,5)))</f>
        <v>0</v>
      </c>
      <c r="AH205" s="3" t="str">
        <f t="shared" si="13"/>
        <v>ZZZ</v>
      </c>
      <c r="AI205" s="3" t="b">
        <f t="array" ref="AI205">OR(ISNUMBER(SEARCH(AH$2:AH$100,$B205,5)))</f>
        <v>0</v>
      </c>
      <c r="AK205" s="3" t="str">
        <f t="shared" si="14"/>
        <v>ZZZ</v>
      </c>
      <c r="AL205" s="3" t="b">
        <f t="array" ref="AL205">OR(ISNUMBER(SEARCH(AK$2:AK$100,$B205,5)))</f>
        <v>0</v>
      </c>
      <c r="AU205" s="8"/>
      <c r="AV205" s="6"/>
      <c r="AW205" s="8"/>
      <c r="AX205" s="8"/>
      <c r="AY205" s="6"/>
      <c r="AZ205" s="8"/>
      <c r="BA205" s="8"/>
      <c r="BB205" s="6" t="str">
        <f>IFERROR(__xludf.DUMMYFUNCTION("""COMPUTED_VALUE"""),"vibrant fuchsia")</f>
        <v>vibrant fuchsia</v>
      </c>
      <c r="BC205" s="8"/>
      <c r="BD205" s="8"/>
      <c r="BE205" s="6"/>
      <c r="BF205" s="8"/>
      <c r="BG205" s="8"/>
      <c r="BH205" s="6"/>
      <c r="BI205" s="8"/>
      <c r="BJ205" s="8"/>
      <c r="BK205" s="6"/>
      <c r="BL205" s="8"/>
      <c r="BM205" s="8"/>
      <c r="BN205" s="6"/>
      <c r="BO205" s="8"/>
      <c r="BP205" s="8"/>
      <c r="BQ205" s="6"/>
      <c r="BR205" s="8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</row>
    <row r="206">
      <c r="A206" s="6"/>
      <c r="B206" s="6" t="s">
        <v>206</v>
      </c>
      <c r="C206" s="3" t="str">
        <f t="shared" si="3"/>
        <v>light plum</v>
      </c>
      <c r="D206" s="3" t="str">
        <f t="shared" si="17"/>
        <v>ZZZ</v>
      </c>
      <c r="E206" s="3" t="b">
        <f t="array" ref="E206">OR(ISNUMBER(SEARCH(D$2:D$30,$B206,5)))</f>
        <v>0</v>
      </c>
      <c r="G206" s="3" t="str">
        <f t="shared" si="4"/>
        <v>ZZZ</v>
      </c>
      <c r="H206" s="3" t="b">
        <f t="array" ref="H206">OR(ISNUMBER(SEARCH(G$2:G$30,$B206,5)))</f>
        <v>0</v>
      </c>
      <c r="J206" s="3" t="str">
        <f t="shared" si="5"/>
        <v>ZZZ</v>
      </c>
      <c r="K206" s="3" t="b">
        <f t="array" ref="K206">OR(ISNUMBER(SEARCH(J$2:J$30,$B206,5)))</f>
        <v>0</v>
      </c>
      <c r="M206" s="3" t="str">
        <f t="shared" si="6"/>
        <v>ZZZ</v>
      </c>
      <c r="N206" s="3" t="b">
        <f t="array" ref="N206">OR(ISNUMBER(SEARCH(M$2:M$30,$B206,5)))</f>
        <v>0</v>
      </c>
      <c r="P206" s="3" t="str">
        <f t="shared" si="7"/>
        <v>ZZZ</v>
      </c>
      <c r="Q206" s="3" t="b">
        <f t="array" ref="Q206">OR(ISNUMBER(SEARCH(P$2:P$50,$B206,5)))</f>
        <v>0</v>
      </c>
      <c r="S206" s="3" t="str">
        <f t="shared" si="8"/>
        <v>ZZZ</v>
      </c>
      <c r="T206" s="3" t="b">
        <f t="array" ref="T206">OR(ISNUMBER(SEARCH(S$2:S$100,$B206,5)))</f>
        <v>0</v>
      </c>
      <c r="V206" s="3" t="str">
        <f t="shared" si="9"/>
        <v>ZZZ</v>
      </c>
      <c r="W206" s="3" t="b">
        <f t="array" ref="W206">OR(ISNUMBER(SEARCH(V$2:V$100,$B206,5)))</f>
        <v>0</v>
      </c>
      <c r="Y206" s="3" t="str">
        <f t="shared" si="10"/>
        <v>ZZZ</v>
      </c>
      <c r="Z206" s="3" t="b">
        <f t="array" ref="Z206">OR(ISNUMBER(SEARCH(Y$2:Y$100,$B206,5)))</f>
        <v>0</v>
      </c>
      <c r="AB206" s="3" t="str">
        <f t="shared" si="11"/>
        <v>ZZZ</v>
      </c>
      <c r="AC206" s="3" t="b">
        <f t="array" ref="AC206">OR(ISNUMBER(SEARCH(AB$2:AB$100,$B206,5)))</f>
        <v>0</v>
      </c>
      <c r="AE206" s="3" t="str">
        <f t="shared" si="12"/>
        <v>ZZZ</v>
      </c>
      <c r="AF206" s="3" t="b">
        <f t="array" ref="AF206">OR(ISNUMBER(SEARCH(AE$2:AE$100,$B206,5)))</f>
        <v>0</v>
      </c>
      <c r="AH206" s="3" t="str">
        <f t="shared" si="13"/>
        <v>ZZZ</v>
      </c>
      <c r="AI206" s="3" t="b">
        <f t="array" ref="AI206">OR(ISNUMBER(SEARCH(AH$2:AH$100,$B206,5)))</f>
        <v>0</v>
      </c>
      <c r="AK206" s="3" t="str">
        <f t="shared" si="14"/>
        <v>ZZZ</v>
      </c>
      <c r="AL206" s="3" t="b">
        <f t="array" ref="AL206">OR(ISNUMBER(SEARCH(AK$2:AK$100,$B206,5)))</f>
        <v>0</v>
      </c>
      <c r="AU206" s="8"/>
      <c r="AV206" s="6"/>
      <c r="AW206" s="8"/>
      <c r="AX206" s="8"/>
      <c r="AY206" s="6"/>
      <c r="AZ206" s="8"/>
      <c r="BA206" s="8"/>
      <c r="BB206" s="6" t="str">
        <f>IFERROR(__xludf.DUMMYFUNCTION("""COMPUTED_VALUE"""),"dim silver")</f>
        <v>dim silver</v>
      </c>
      <c r="BC206" s="8"/>
      <c r="BD206" s="8"/>
      <c r="BE206" s="6"/>
      <c r="BF206" s="8"/>
      <c r="BG206" s="8"/>
      <c r="BH206" s="6"/>
      <c r="BI206" s="8"/>
      <c r="BJ206" s="8"/>
      <c r="BK206" s="6"/>
      <c r="BL206" s="8"/>
      <c r="BM206" s="8"/>
      <c r="BN206" s="6"/>
      <c r="BO206" s="8"/>
      <c r="BP206" s="8"/>
      <c r="BQ206" s="6"/>
      <c r="BR206" s="8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</row>
    <row r="207">
      <c r="A207" s="6"/>
      <c r="B207" s="6" t="s">
        <v>207</v>
      </c>
      <c r="C207" s="3" t="str">
        <f t="shared" si="3"/>
        <v>dim purple</v>
      </c>
      <c r="D207" s="3" t="str">
        <f t="shared" si="17"/>
        <v>ZZZ</v>
      </c>
      <c r="E207" s="3" t="b">
        <f t="array" ref="E207">OR(ISNUMBER(SEARCH(D$2:D$30,$B207,5)))</f>
        <v>0</v>
      </c>
      <c r="G207" s="3" t="str">
        <f t="shared" si="4"/>
        <v>ZZZ</v>
      </c>
      <c r="H207" s="3" t="b">
        <f t="array" ref="H207">OR(ISNUMBER(SEARCH(G$2:G$30,$B207,5)))</f>
        <v>0</v>
      </c>
      <c r="J207" s="3" t="str">
        <f t="shared" si="5"/>
        <v>ZZZ</v>
      </c>
      <c r="K207" s="3" t="b">
        <f t="array" ref="K207">OR(ISNUMBER(SEARCH(J$2:J$30,$B207,5)))</f>
        <v>0</v>
      </c>
      <c r="M207" s="3" t="str">
        <f t="shared" si="6"/>
        <v>ZZZ</v>
      </c>
      <c r="N207" s="3" t="b">
        <f t="array" ref="N207">OR(ISNUMBER(SEARCH(M$2:M$30,$B207,5)))</f>
        <v>0</v>
      </c>
      <c r="P207" s="3" t="str">
        <f t="shared" si="7"/>
        <v>ZZZ</v>
      </c>
      <c r="Q207" s="3" t="b">
        <f t="array" ref="Q207">OR(ISNUMBER(SEARCH(P$2:P$50,$B207,5)))</f>
        <v>0</v>
      </c>
      <c r="S207" s="3" t="str">
        <f t="shared" si="8"/>
        <v>ZZZ</v>
      </c>
      <c r="T207" s="3" t="b">
        <f t="array" ref="T207">OR(ISNUMBER(SEARCH(S$2:S$100,$B207,5)))</f>
        <v>0</v>
      </c>
      <c r="V207" s="3" t="str">
        <f t="shared" si="9"/>
        <v>ZZZ</v>
      </c>
      <c r="W207" s="3" t="b">
        <f t="array" ref="W207">OR(ISNUMBER(SEARCH(V$2:V$100,$B207,5)))</f>
        <v>0</v>
      </c>
      <c r="Y207" s="3" t="str">
        <f t="shared" si="10"/>
        <v>ZZZ</v>
      </c>
      <c r="Z207" s="3" t="b">
        <f t="array" ref="Z207">OR(ISNUMBER(SEARCH(Y$2:Y$100,$B207,5)))</f>
        <v>0</v>
      </c>
      <c r="AB207" s="3" t="str">
        <f t="shared" si="11"/>
        <v>ZZZ</v>
      </c>
      <c r="AC207" s="3" t="b">
        <f t="array" ref="AC207">OR(ISNUMBER(SEARCH(AB$2:AB$100,$B207,5)))</f>
        <v>0</v>
      </c>
      <c r="AE207" s="3" t="str">
        <f t="shared" si="12"/>
        <v>ZZZ</v>
      </c>
      <c r="AF207" s="3" t="b">
        <f t="array" ref="AF207">OR(ISNUMBER(SEARCH(AE$2:AE$100,$B207,5)))</f>
        <v>0</v>
      </c>
      <c r="AH207" s="3" t="str">
        <f t="shared" si="13"/>
        <v>ZZZ</v>
      </c>
      <c r="AI207" s="3" t="b">
        <f t="array" ref="AI207">OR(ISNUMBER(SEARCH(AH$2:AH$100,$B207,5)))</f>
        <v>0</v>
      </c>
      <c r="AK207" s="3" t="str">
        <f t="shared" si="14"/>
        <v>ZZZ</v>
      </c>
      <c r="AL207" s="3" t="b">
        <f t="array" ref="AL207">OR(ISNUMBER(SEARCH(AK$2:AK$100,$B207,5)))</f>
        <v>0</v>
      </c>
      <c r="AU207" s="8"/>
      <c r="AV207" s="6"/>
      <c r="AW207" s="8"/>
      <c r="AX207" s="8"/>
      <c r="AY207" s="6"/>
      <c r="AZ207" s="8"/>
      <c r="BA207" s="8"/>
      <c r="BB207" s="6" t="str">
        <f>IFERROR(__xludf.DUMMYFUNCTION("""COMPUTED_VALUE"""),"plaid beige")</f>
        <v>plaid beige</v>
      </c>
      <c r="BC207" s="8"/>
      <c r="BD207" s="8"/>
      <c r="BE207" s="6"/>
      <c r="BF207" s="8"/>
      <c r="BG207" s="8"/>
      <c r="BH207" s="6"/>
      <c r="BI207" s="8"/>
      <c r="BJ207" s="8"/>
      <c r="BK207" s="6"/>
      <c r="BL207" s="8"/>
      <c r="BM207" s="8"/>
      <c r="BN207" s="6"/>
      <c r="BO207" s="8"/>
      <c r="BP207" s="8"/>
      <c r="BQ207" s="6"/>
      <c r="BR207" s="8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</row>
    <row r="208">
      <c r="A208" s="6"/>
      <c r="B208" s="6" t="s">
        <v>208</v>
      </c>
      <c r="C208" s="3" t="str">
        <f t="shared" si="3"/>
        <v>dull yellow</v>
      </c>
      <c r="D208" s="3" t="str">
        <f t="shared" si="17"/>
        <v>ZZZ</v>
      </c>
      <c r="E208" s="3" t="b">
        <f t="array" ref="E208">OR(ISNUMBER(SEARCH(D$2:D$30,$B208,5)))</f>
        <v>0</v>
      </c>
      <c r="G208" s="3" t="str">
        <f t="shared" si="4"/>
        <v>ZZZ</v>
      </c>
      <c r="H208" s="3" t="b">
        <f t="array" ref="H208">OR(ISNUMBER(SEARCH(G$2:G$30,$B208,5)))</f>
        <v>0</v>
      </c>
      <c r="J208" s="3" t="str">
        <f t="shared" si="5"/>
        <v>ZZZ</v>
      </c>
      <c r="K208" s="3" t="b">
        <f t="array" ref="K208">OR(ISNUMBER(SEARCH(J$2:J$30,$B208,5)))</f>
        <v>0</v>
      </c>
      <c r="M208" s="3" t="str">
        <f t="shared" si="6"/>
        <v>ZZZ</v>
      </c>
      <c r="N208" s="3" t="b">
        <f t="array" ref="N208">OR(ISNUMBER(SEARCH(M$2:M$30,$B208,5)))</f>
        <v>0</v>
      </c>
      <c r="P208" s="3" t="str">
        <f t="shared" si="7"/>
        <v>ZZZ</v>
      </c>
      <c r="Q208" s="3" t="b">
        <f t="array" ref="Q208">OR(ISNUMBER(SEARCH(P$2:P$50,$B208,5)))</f>
        <v>0</v>
      </c>
      <c r="S208" s="3" t="str">
        <f t="shared" si="8"/>
        <v>ZZZ</v>
      </c>
      <c r="T208" s="3" t="b">
        <f t="array" ref="T208">OR(ISNUMBER(SEARCH(S$2:S$100,$B208,5)))</f>
        <v>0</v>
      </c>
      <c r="V208" s="3" t="str">
        <f t="shared" si="9"/>
        <v>ZZZ</v>
      </c>
      <c r="W208" s="3" t="b">
        <f t="array" ref="W208">OR(ISNUMBER(SEARCH(V$2:V$100,$B208,5)))</f>
        <v>0</v>
      </c>
      <c r="Y208" s="3" t="str">
        <f t="shared" si="10"/>
        <v>ZZZ</v>
      </c>
      <c r="Z208" s="3" t="b">
        <f t="array" ref="Z208">OR(ISNUMBER(SEARCH(Y$2:Y$100,$B208,5)))</f>
        <v>0</v>
      </c>
      <c r="AB208" s="3" t="str">
        <f t="shared" si="11"/>
        <v>ZZZ</v>
      </c>
      <c r="AC208" s="3" t="b">
        <f t="array" ref="AC208">OR(ISNUMBER(SEARCH(AB$2:AB$100,$B208,5)))</f>
        <v>0</v>
      </c>
      <c r="AE208" s="3" t="str">
        <f t="shared" si="12"/>
        <v>ZZZ</v>
      </c>
      <c r="AF208" s="3" t="b">
        <f t="array" ref="AF208">OR(ISNUMBER(SEARCH(AE$2:AE$100,$B208,5)))</f>
        <v>0</v>
      </c>
      <c r="AH208" s="3" t="str">
        <f t="shared" si="13"/>
        <v>ZZZ</v>
      </c>
      <c r="AI208" s="3" t="b">
        <f t="array" ref="AI208">OR(ISNUMBER(SEARCH(AH$2:AH$100,$B208,5)))</f>
        <v>0</v>
      </c>
      <c r="AK208" s="3" t="str">
        <f t="shared" si="14"/>
        <v>ZZZ</v>
      </c>
      <c r="AL208" s="3" t="b">
        <f t="array" ref="AL208">OR(ISNUMBER(SEARCH(AK$2:AK$100,$B208,5)))</f>
        <v>0</v>
      </c>
      <c r="AU208" s="8"/>
      <c r="AV208" s="6"/>
      <c r="AW208" s="8"/>
      <c r="AX208" s="8"/>
      <c r="AY208" s="6"/>
      <c r="AZ208" s="8"/>
      <c r="BA208" s="8"/>
      <c r="BB208" s="6" t="str">
        <f>IFERROR(__xludf.DUMMYFUNCTION("""COMPUTED_VALUE"""),"dotted blue")</f>
        <v>dotted blue</v>
      </c>
      <c r="BC208" s="8"/>
      <c r="BD208" s="8"/>
      <c r="BE208" s="6"/>
      <c r="BF208" s="8"/>
      <c r="BG208" s="8"/>
      <c r="BH208" s="6"/>
      <c r="BI208" s="8"/>
      <c r="BJ208" s="8"/>
      <c r="BK208" s="6"/>
      <c r="BL208" s="8"/>
      <c r="BM208" s="8"/>
      <c r="BN208" s="6"/>
      <c r="BO208" s="8"/>
      <c r="BP208" s="8"/>
      <c r="BQ208" s="6"/>
      <c r="BR208" s="8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</row>
    <row r="209">
      <c r="A209" s="6"/>
      <c r="B209" s="6" t="s">
        <v>209</v>
      </c>
      <c r="C209" s="3" t="str">
        <f t="shared" si="3"/>
        <v>shiny gold</v>
      </c>
      <c r="D209" s="3" t="str">
        <f t="shared" si="17"/>
        <v>ZZZ</v>
      </c>
      <c r="E209" s="3" t="b">
        <f t="array" ref="E209">OR(ISNUMBER(SEARCH(D$2:D$30,$B209,5)))</f>
        <v>0</v>
      </c>
      <c r="G209" s="3" t="str">
        <f t="shared" si="4"/>
        <v>ZZZ</v>
      </c>
      <c r="H209" s="3" t="b">
        <f t="array" ref="H209">OR(ISNUMBER(SEARCH(G$2:G$30,$B209,5)))</f>
        <v>0</v>
      </c>
      <c r="J209" s="3" t="str">
        <f t="shared" si="5"/>
        <v>ZZZ</v>
      </c>
      <c r="K209" s="3" t="b">
        <f t="array" ref="K209">OR(ISNUMBER(SEARCH(J$2:J$30,$B209,5)))</f>
        <v>0</v>
      </c>
      <c r="M209" s="3" t="str">
        <f t="shared" si="6"/>
        <v>ZZZ</v>
      </c>
      <c r="N209" s="3" t="b">
        <f t="array" ref="N209">OR(ISNUMBER(SEARCH(M$2:M$30,$B209,5)))</f>
        <v>0</v>
      </c>
      <c r="P209" s="3" t="str">
        <f t="shared" si="7"/>
        <v>ZZZ</v>
      </c>
      <c r="Q209" s="3" t="b">
        <f t="array" ref="Q209">OR(ISNUMBER(SEARCH(P$2:P$50,$B209,5)))</f>
        <v>0</v>
      </c>
      <c r="S209" s="3" t="str">
        <f t="shared" si="8"/>
        <v>ZZZ</v>
      </c>
      <c r="T209" s="3" t="b">
        <f t="array" ref="T209">OR(ISNUMBER(SEARCH(S$2:S$100,$B209,5)))</f>
        <v>0</v>
      </c>
      <c r="V209" s="3" t="str">
        <f t="shared" si="9"/>
        <v>ZZZ</v>
      </c>
      <c r="W209" s="3" t="b">
        <f t="array" ref="W209">OR(ISNUMBER(SEARCH(V$2:V$100,$B209,5)))</f>
        <v>0</v>
      </c>
      <c r="Y209" s="3" t="str">
        <f t="shared" si="10"/>
        <v>ZZZ</v>
      </c>
      <c r="Z209" s="3" t="b">
        <f t="array" ref="Z209">OR(ISNUMBER(SEARCH(Y$2:Y$100,$B209,5)))</f>
        <v>0</v>
      </c>
      <c r="AB209" s="3" t="str">
        <f t="shared" si="11"/>
        <v>ZZZ</v>
      </c>
      <c r="AC209" s="3" t="b">
        <f t="array" ref="AC209">OR(ISNUMBER(SEARCH(AB$2:AB$100,$B209,5)))</f>
        <v>0</v>
      </c>
      <c r="AE209" s="3" t="str">
        <f t="shared" si="12"/>
        <v>ZZZ</v>
      </c>
      <c r="AF209" s="3" t="b">
        <f t="array" ref="AF209">OR(ISNUMBER(SEARCH(AE$2:AE$100,$B209,5)))</f>
        <v>0</v>
      </c>
      <c r="AH209" s="3" t="str">
        <f t="shared" si="13"/>
        <v>ZZZ</v>
      </c>
      <c r="AI209" s="3" t="b">
        <f t="array" ref="AI209">OR(ISNUMBER(SEARCH(AH$2:AH$100,$B209,5)))</f>
        <v>0</v>
      </c>
      <c r="AK209" s="3" t="str">
        <f t="shared" si="14"/>
        <v>ZZZ</v>
      </c>
      <c r="AL209" s="3" t="b">
        <f t="array" ref="AL209">OR(ISNUMBER(SEARCH(AK$2:AK$100,$B209,5)))</f>
        <v>0</v>
      </c>
      <c r="AU209" s="8"/>
      <c r="AV209" s="6"/>
      <c r="AW209" s="8"/>
      <c r="AX209" s="8"/>
      <c r="AY209" s="6"/>
      <c r="AZ209" s="8"/>
      <c r="BA209" s="8"/>
      <c r="BB209" s="6" t="str">
        <f>IFERROR(__xludf.DUMMYFUNCTION("""COMPUTED_VALUE"""),"dark gold")</f>
        <v>dark gold</v>
      </c>
      <c r="BC209" s="8"/>
      <c r="BD209" s="8"/>
      <c r="BE209" s="6"/>
      <c r="BF209" s="8"/>
      <c r="BG209" s="8"/>
      <c r="BH209" s="6"/>
      <c r="BI209" s="8"/>
      <c r="BJ209" s="8"/>
      <c r="BK209" s="6"/>
      <c r="BL209" s="8"/>
      <c r="BM209" s="8"/>
      <c r="BN209" s="6"/>
      <c r="BO209" s="8"/>
      <c r="BP209" s="8"/>
      <c r="BQ209" s="6"/>
      <c r="BR209" s="8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</row>
    <row r="210">
      <c r="A210" s="6"/>
      <c r="B210" s="6" t="s">
        <v>210</v>
      </c>
      <c r="C210" s="3" t="str">
        <f t="shared" si="3"/>
        <v>mirrored crimson</v>
      </c>
      <c r="D210" s="3" t="str">
        <f t="shared" si="17"/>
        <v>ZZZ</v>
      </c>
      <c r="E210" s="3" t="b">
        <f t="array" ref="E210">OR(ISNUMBER(SEARCH(D$2:D$30,$B210,5)))</f>
        <v>0</v>
      </c>
      <c r="G210" s="3" t="str">
        <f t="shared" si="4"/>
        <v>ZZZ</v>
      </c>
      <c r="H210" s="3" t="b">
        <f t="array" ref="H210">OR(ISNUMBER(SEARCH(G$2:G$30,$B210,5)))</f>
        <v>0</v>
      </c>
      <c r="J210" s="3" t="str">
        <f t="shared" si="5"/>
        <v>ZZZ</v>
      </c>
      <c r="K210" s="3" t="b">
        <f t="array" ref="K210">OR(ISNUMBER(SEARCH(J$2:J$30,$B210,5)))</f>
        <v>0</v>
      </c>
      <c r="M210" s="3" t="str">
        <f t="shared" si="6"/>
        <v>ZZZ</v>
      </c>
      <c r="N210" s="3" t="b">
        <f t="array" ref="N210">OR(ISNUMBER(SEARCH(M$2:M$30,$B210,5)))</f>
        <v>0</v>
      </c>
      <c r="P210" s="3" t="str">
        <f t="shared" si="7"/>
        <v>ZZZ</v>
      </c>
      <c r="Q210" s="3" t="b">
        <f t="array" ref="Q210">OR(ISNUMBER(SEARCH(P$2:P$50,$B210,5)))</f>
        <v>0</v>
      </c>
      <c r="S210" s="3" t="str">
        <f t="shared" si="8"/>
        <v>ZZZ</v>
      </c>
      <c r="T210" s="3" t="b">
        <f t="array" ref="T210">OR(ISNUMBER(SEARCH(S$2:S$100,$B210,5)))</f>
        <v>0</v>
      </c>
      <c r="V210" s="3" t="str">
        <f t="shared" si="9"/>
        <v>ZZZ</v>
      </c>
      <c r="W210" s="3" t="b">
        <f t="array" ref="W210">OR(ISNUMBER(SEARCH(V$2:V$100,$B210,5)))</f>
        <v>0</v>
      </c>
      <c r="Y210" s="3" t="str">
        <f t="shared" si="10"/>
        <v>ZZZ</v>
      </c>
      <c r="Z210" s="3" t="b">
        <f t="array" ref="Z210">OR(ISNUMBER(SEARCH(Y$2:Y$100,$B210,5)))</f>
        <v>0</v>
      </c>
      <c r="AB210" s="3" t="str">
        <f t="shared" si="11"/>
        <v>ZZZ</v>
      </c>
      <c r="AC210" s="3" t="b">
        <f t="array" ref="AC210">OR(ISNUMBER(SEARCH(AB$2:AB$100,$B210,5)))</f>
        <v>0</v>
      </c>
      <c r="AE210" s="3" t="str">
        <f t="shared" si="12"/>
        <v>ZZZ</v>
      </c>
      <c r="AF210" s="3" t="b">
        <f t="array" ref="AF210">OR(ISNUMBER(SEARCH(AE$2:AE$100,$B210,5)))</f>
        <v>0</v>
      </c>
      <c r="AH210" s="3" t="str">
        <f t="shared" si="13"/>
        <v>ZZZ</v>
      </c>
      <c r="AI210" s="3" t="b">
        <f t="array" ref="AI210">OR(ISNUMBER(SEARCH(AH$2:AH$100,$B210,5)))</f>
        <v>0</v>
      </c>
      <c r="AK210" s="3" t="str">
        <f t="shared" si="14"/>
        <v>ZZZ</v>
      </c>
      <c r="AL210" s="3" t="b">
        <f t="array" ref="AL210">OR(ISNUMBER(SEARCH(AK$2:AK$100,$B210,5)))</f>
        <v>0</v>
      </c>
      <c r="AU210" s="8"/>
      <c r="AV210" s="6"/>
      <c r="AW210" s="8"/>
      <c r="AX210" s="8"/>
      <c r="AY210" s="6"/>
      <c r="AZ210" s="8"/>
      <c r="BA210" s="8"/>
      <c r="BB210" s="6" t="str">
        <f>IFERROR(__xludf.DUMMYFUNCTION("""COMPUTED_VALUE"""),"light salmon")</f>
        <v>light salmon</v>
      </c>
      <c r="BC210" s="8"/>
      <c r="BD210" s="8"/>
      <c r="BE210" s="6"/>
      <c r="BF210" s="8"/>
      <c r="BG210" s="8"/>
      <c r="BH210" s="6"/>
      <c r="BI210" s="8"/>
      <c r="BJ210" s="8"/>
      <c r="BK210" s="6"/>
      <c r="BL210" s="8"/>
      <c r="BM210" s="8"/>
      <c r="BN210" s="6"/>
      <c r="BO210" s="8"/>
      <c r="BP210" s="8"/>
      <c r="BQ210" s="6"/>
      <c r="BR210" s="8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</row>
    <row r="211">
      <c r="A211" s="6"/>
      <c r="B211" s="6" t="s">
        <v>211</v>
      </c>
      <c r="C211" s="3" t="str">
        <f t="shared" si="3"/>
        <v>shiny lavender</v>
      </c>
      <c r="D211" s="3" t="str">
        <f t="shared" si="17"/>
        <v>ZZZ</v>
      </c>
      <c r="E211" s="3" t="b">
        <f t="array" ref="E211">OR(ISNUMBER(SEARCH(D$2:D$30,$B211,5)))</f>
        <v>0</v>
      </c>
      <c r="G211" s="3" t="str">
        <f t="shared" si="4"/>
        <v>ZZZ</v>
      </c>
      <c r="H211" s="3" t="b">
        <f t="array" ref="H211">OR(ISNUMBER(SEARCH(G$2:G$30,$B211,5)))</f>
        <v>0</v>
      </c>
      <c r="J211" s="3" t="str">
        <f t="shared" si="5"/>
        <v>ZZZ</v>
      </c>
      <c r="K211" s="3" t="b">
        <f t="array" ref="K211">OR(ISNUMBER(SEARCH(J$2:J$30,$B211,5)))</f>
        <v>0</v>
      </c>
      <c r="M211" s="3" t="str">
        <f t="shared" si="6"/>
        <v>ZZZ</v>
      </c>
      <c r="N211" s="3" t="b">
        <f t="array" ref="N211">OR(ISNUMBER(SEARCH(M$2:M$30,$B211,5)))</f>
        <v>0</v>
      </c>
      <c r="P211" s="3" t="str">
        <f t="shared" si="7"/>
        <v>ZZZ</v>
      </c>
      <c r="Q211" s="3" t="b">
        <f t="array" ref="Q211">OR(ISNUMBER(SEARCH(P$2:P$50,$B211,5)))</f>
        <v>0</v>
      </c>
      <c r="S211" s="3" t="str">
        <f t="shared" si="8"/>
        <v>ZZZ</v>
      </c>
      <c r="T211" s="3" t="b">
        <f t="array" ref="T211">OR(ISNUMBER(SEARCH(S$2:S$100,$B211,5)))</f>
        <v>0</v>
      </c>
      <c r="V211" s="3" t="str">
        <f t="shared" si="9"/>
        <v>ZZZ</v>
      </c>
      <c r="W211" s="3" t="b">
        <f t="array" ref="W211">OR(ISNUMBER(SEARCH(V$2:V$100,$B211,5)))</f>
        <v>0</v>
      </c>
      <c r="Y211" s="3" t="str">
        <f t="shared" si="10"/>
        <v>ZZZ</v>
      </c>
      <c r="Z211" s="3" t="b">
        <f t="array" ref="Z211">OR(ISNUMBER(SEARCH(Y$2:Y$100,$B211,5)))</f>
        <v>0</v>
      </c>
      <c r="AB211" s="3" t="str">
        <f t="shared" si="11"/>
        <v>ZZZ</v>
      </c>
      <c r="AC211" s="3" t="b">
        <f t="array" ref="AC211">OR(ISNUMBER(SEARCH(AB$2:AB$100,$B211,5)))</f>
        <v>0</v>
      </c>
      <c r="AE211" s="3" t="str">
        <f t="shared" si="12"/>
        <v>ZZZ</v>
      </c>
      <c r="AF211" s="3" t="b">
        <f t="array" ref="AF211">OR(ISNUMBER(SEARCH(AE$2:AE$100,$B211,5)))</f>
        <v>0</v>
      </c>
      <c r="AH211" s="3" t="str">
        <f t="shared" si="13"/>
        <v>ZZZ</v>
      </c>
      <c r="AI211" s="3" t="b">
        <f t="array" ref="AI211">OR(ISNUMBER(SEARCH(AH$2:AH$100,$B211,5)))</f>
        <v>0</v>
      </c>
      <c r="AK211" s="3" t="str">
        <f t="shared" si="14"/>
        <v>ZZZ</v>
      </c>
      <c r="AL211" s="3" t="b">
        <f t="array" ref="AL211">OR(ISNUMBER(SEARCH(AK$2:AK$100,$B211,5)))</f>
        <v>0</v>
      </c>
      <c r="AU211" s="8"/>
      <c r="AV211" s="6"/>
      <c r="AW211" s="8"/>
      <c r="AX211" s="8"/>
      <c r="AY211" s="6"/>
      <c r="AZ211" s="8"/>
      <c r="BA211" s="8"/>
      <c r="BB211" s="6" t="str">
        <f>IFERROR(__xludf.DUMMYFUNCTION("""COMPUTED_VALUE"""),"pale chartreuse")</f>
        <v>pale chartreuse</v>
      </c>
      <c r="BC211" s="8"/>
      <c r="BD211" s="8"/>
      <c r="BE211" s="6"/>
      <c r="BF211" s="8"/>
      <c r="BG211" s="8"/>
      <c r="BH211" s="6"/>
      <c r="BI211" s="8"/>
      <c r="BJ211" s="8"/>
      <c r="BK211" s="6"/>
      <c r="BL211" s="8"/>
      <c r="BM211" s="8"/>
      <c r="BN211" s="6"/>
      <c r="BO211" s="8"/>
      <c r="BP211" s="8"/>
      <c r="BQ211" s="6"/>
      <c r="BR211" s="8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</row>
    <row r="212">
      <c r="A212" s="6"/>
      <c r="B212" s="6" t="s">
        <v>212</v>
      </c>
      <c r="C212" s="3" t="str">
        <f t="shared" si="3"/>
        <v>vibrant cyan</v>
      </c>
      <c r="D212" s="3" t="str">
        <f t="shared" si="17"/>
        <v>ZZZ</v>
      </c>
      <c r="E212" s="3" t="b">
        <f t="array" ref="E212">OR(ISNUMBER(SEARCH(D$2:D$30,$B212,5)))</f>
        <v>0</v>
      </c>
      <c r="G212" s="3" t="str">
        <f t="shared" si="4"/>
        <v>ZZZ</v>
      </c>
      <c r="H212" s="3" t="b">
        <f t="array" ref="H212">OR(ISNUMBER(SEARCH(G$2:G$30,$B212,5)))</f>
        <v>0</v>
      </c>
      <c r="J212" s="3" t="str">
        <f t="shared" si="5"/>
        <v>ZZZ</v>
      </c>
      <c r="K212" s="3" t="b">
        <f t="array" ref="K212">OR(ISNUMBER(SEARCH(J$2:J$30,$B212,5)))</f>
        <v>0</v>
      </c>
      <c r="M212" s="3" t="str">
        <f t="shared" si="6"/>
        <v>ZZZ</v>
      </c>
      <c r="N212" s="3" t="b">
        <f t="array" ref="N212">OR(ISNUMBER(SEARCH(M$2:M$30,$B212,5)))</f>
        <v>0</v>
      </c>
      <c r="P212" s="3" t="str">
        <f t="shared" si="7"/>
        <v>ZZZ</v>
      </c>
      <c r="Q212" s="3" t="b">
        <f t="array" ref="Q212">OR(ISNUMBER(SEARCH(P$2:P$50,$B212,5)))</f>
        <v>0</v>
      </c>
      <c r="S212" s="3" t="str">
        <f t="shared" si="8"/>
        <v>ZZZ</v>
      </c>
      <c r="T212" s="3" t="b">
        <f t="array" ref="T212">OR(ISNUMBER(SEARCH(S$2:S$100,$B212,5)))</f>
        <v>0</v>
      </c>
      <c r="V212" s="3" t="str">
        <f t="shared" si="9"/>
        <v>ZZZ</v>
      </c>
      <c r="W212" s="3" t="b">
        <f t="array" ref="W212">OR(ISNUMBER(SEARCH(V$2:V$100,$B212,5)))</f>
        <v>0</v>
      </c>
      <c r="Y212" s="3" t="str">
        <f t="shared" si="10"/>
        <v>ZZZ</v>
      </c>
      <c r="Z212" s="3" t="b">
        <f t="array" ref="Z212">OR(ISNUMBER(SEARCH(Y$2:Y$100,$B212,5)))</f>
        <v>0</v>
      </c>
      <c r="AB212" s="3" t="str">
        <f t="shared" si="11"/>
        <v>ZZZ</v>
      </c>
      <c r="AC212" s="3" t="b">
        <f t="array" ref="AC212">OR(ISNUMBER(SEARCH(AB$2:AB$100,$B212,5)))</f>
        <v>0</v>
      </c>
      <c r="AE212" s="3" t="str">
        <f t="shared" si="12"/>
        <v>ZZZ</v>
      </c>
      <c r="AF212" s="3" t="b">
        <f t="array" ref="AF212">OR(ISNUMBER(SEARCH(AE$2:AE$100,$B212,5)))</f>
        <v>0</v>
      </c>
      <c r="AH212" s="3" t="str">
        <f t="shared" si="13"/>
        <v>ZZZ</v>
      </c>
      <c r="AI212" s="3" t="b">
        <f t="array" ref="AI212">OR(ISNUMBER(SEARCH(AH$2:AH$100,$B212,5)))</f>
        <v>0</v>
      </c>
      <c r="AK212" s="3" t="str">
        <f t="shared" si="14"/>
        <v>ZZZ</v>
      </c>
      <c r="AL212" s="3" t="b">
        <f t="array" ref="AL212">OR(ISNUMBER(SEARCH(AK$2:AK$100,$B212,5)))</f>
        <v>0</v>
      </c>
      <c r="AU212" s="8"/>
      <c r="AV212" s="6"/>
      <c r="AW212" s="8"/>
      <c r="AX212" s="8"/>
      <c r="AY212" s="6"/>
      <c r="AZ212" s="8"/>
      <c r="BA212" s="8"/>
      <c r="BB212" s="6" t="str">
        <f>IFERROR(__xludf.DUMMYFUNCTION("""COMPUTED_VALUE"""),"bright maroon")</f>
        <v>bright maroon</v>
      </c>
      <c r="BC212" s="8"/>
      <c r="BD212" s="8"/>
      <c r="BE212" s="6"/>
      <c r="BF212" s="8"/>
      <c r="BG212" s="8"/>
      <c r="BH212" s="6"/>
      <c r="BI212" s="8"/>
      <c r="BJ212" s="8"/>
      <c r="BK212" s="6"/>
      <c r="BL212" s="8"/>
      <c r="BM212" s="8"/>
      <c r="BN212" s="6"/>
      <c r="BO212" s="8"/>
      <c r="BP212" s="8"/>
      <c r="BQ212" s="6"/>
      <c r="BR212" s="8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</row>
    <row r="213">
      <c r="A213" s="6"/>
      <c r="B213" s="6" t="s">
        <v>213</v>
      </c>
      <c r="C213" s="3" t="str">
        <f t="shared" si="3"/>
        <v>wavy gold</v>
      </c>
      <c r="D213" s="3" t="str">
        <f t="shared" si="17"/>
        <v>ZZZ</v>
      </c>
      <c r="E213" s="3" t="b">
        <f t="array" ref="E213">OR(ISNUMBER(SEARCH(D$2:D$30,$B213,5)))</f>
        <v>0</v>
      </c>
      <c r="G213" s="3" t="str">
        <f t="shared" si="4"/>
        <v>ZZZ</v>
      </c>
      <c r="H213" s="3" t="b">
        <f t="array" ref="H213">OR(ISNUMBER(SEARCH(G$2:G$30,$B213,5)))</f>
        <v>0</v>
      </c>
      <c r="J213" s="3" t="str">
        <f t="shared" si="5"/>
        <v>ZZZ</v>
      </c>
      <c r="K213" s="3" t="b">
        <f t="array" ref="K213">OR(ISNUMBER(SEARCH(J$2:J$30,$B213,5)))</f>
        <v>0</v>
      </c>
      <c r="M213" s="3" t="str">
        <f t="shared" si="6"/>
        <v>ZZZ</v>
      </c>
      <c r="N213" s="3" t="b">
        <f t="array" ref="N213">OR(ISNUMBER(SEARCH(M$2:M$30,$B213,5)))</f>
        <v>0</v>
      </c>
      <c r="P213" s="3" t="str">
        <f t="shared" si="7"/>
        <v>ZZZ</v>
      </c>
      <c r="Q213" s="3" t="b">
        <f t="array" ref="Q213">OR(ISNUMBER(SEARCH(P$2:P$50,$B213,5)))</f>
        <v>0</v>
      </c>
      <c r="S213" s="3" t="str">
        <f t="shared" si="8"/>
        <v>ZZZ</v>
      </c>
      <c r="T213" s="3" t="b">
        <f t="array" ref="T213">OR(ISNUMBER(SEARCH(S$2:S$100,$B213,5)))</f>
        <v>0</v>
      </c>
      <c r="V213" s="3" t="str">
        <f t="shared" si="9"/>
        <v>ZZZ</v>
      </c>
      <c r="W213" s="3" t="b">
        <f t="array" ref="W213">OR(ISNUMBER(SEARCH(V$2:V$100,$B213,5)))</f>
        <v>0</v>
      </c>
      <c r="Y213" s="3" t="str">
        <f t="shared" si="10"/>
        <v>ZZZ</v>
      </c>
      <c r="Z213" s="3" t="b">
        <f t="array" ref="Z213">OR(ISNUMBER(SEARCH(Y$2:Y$100,$B213,5)))</f>
        <v>0</v>
      </c>
      <c r="AB213" s="3" t="str">
        <f t="shared" si="11"/>
        <v>ZZZ</v>
      </c>
      <c r="AC213" s="3" t="b">
        <f t="array" ref="AC213">OR(ISNUMBER(SEARCH(AB$2:AB$100,$B213,5)))</f>
        <v>0</v>
      </c>
      <c r="AE213" s="3" t="str">
        <f t="shared" si="12"/>
        <v>ZZZ</v>
      </c>
      <c r="AF213" s="3" t="b">
        <f t="array" ref="AF213">OR(ISNUMBER(SEARCH(AE$2:AE$100,$B213,5)))</f>
        <v>0</v>
      </c>
      <c r="AH213" s="3" t="str">
        <f t="shared" si="13"/>
        <v>ZZZ</v>
      </c>
      <c r="AI213" s="3" t="b">
        <f t="array" ref="AI213">OR(ISNUMBER(SEARCH(AH$2:AH$100,$B213,5)))</f>
        <v>0</v>
      </c>
      <c r="AK213" s="3" t="str">
        <f t="shared" si="14"/>
        <v>ZZZ</v>
      </c>
      <c r="AL213" s="3" t="b">
        <f t="array" ref="AL213">OR(ISNUMBER(SEARCH(AK$2:AK$100,$B213,5)))</f>
        <v>0</v>
      </c>
      <c r="AU213" s="8"/>
      <c r="AV213" s="6"/>
      <c r="AW213" s="8"/>
      <c r="AX213" s="8"/>
      <c r="AY213" s="6"/>
      <c r="AZ213" s="8"/>
      <c r="BA213" s="8"/>
      <c r="BB213" s="6" t="str">
        <f>IFERROR(__xludf.DUMMYFUNCTION("""COMPUTED_VALUE"""),"plaid salmon")</f>
        <v>plaid salmon</v>
      </c>
      <c r="BC213" s="8"/>
      <c r="BD213" s="8"/>
      <c r="BE213" s="6"/>
      <c r="BF213" s="8"/>
      <c r="BG213" s="8"/>
      <c r="BH213" s="6"/>
      <c r="BI213" s="8"/>
      <c r="BJ213" s="8"/>
      <c r="BK213" s="6"/>
      <c r="BL213" s="8"/>
      <c r="BM213" s="8"/>
      <c r="BN213" s="6"/>
      <c r="BO213" s="8"/>
      <c r="BP213" s="8"/>
      <c r="BQ213" s="6"/>
      <c r="BR213" s="8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</row>
    <row r="214">
      <c r="A214" s="6"/>
      <c r="B214" s="6" t="s">
        <v>214</v>
      </c>
      <c r="C214" s="3" t="str">
        <f t="shared" si="3"/>
        <v>dark cyan</v>
      </c>
      <c r="D214" s="3" t="str">
        <f t="shared" si="17"/>
        <v>ZZZ</v>
      </c>
      <c r="E214" s="3" t="b">
        <f t="array" ref="E214">OR(ISNUMBER(SEARCH(D$2:D$30,$B214,5)))</f>
        <v>0</v>
      </c>
      <c r="G214" s="3" t="str">
        <f t="shared" si="4"/>
        <v>ZZZ</v>
      </c>
      <c r="H214" s="3" t="b">
        <f t="array" ref="H214">OR(ISNUMBER(SEARCH(G$2:G$30,$B214,5)))</f>
        <v>0</v>
      </c>
      <c r="J214" s="3" t="str">
        <f t="shared" si="5"/>
        <v>ZZZ</v>
      </c>
      <c r="K214" s="3" t="b">
        <f t="array" ref="K214">OR(ISNUMBER(SEARCH(J$2:J$30,$B214,5)))</f>
        <v>0</v>
      </c>
      <c r="M214" s="3" t="str">
        <f t="shared" si="6"/>
        <v>ZZZ</v>
      </c>
      <c r="N214" s="3" t="b">
        <f t="array" ref="N214">OR(ISNUMBER(SEARCH(M$2:M$30,$B214,5)))</f>
        <v>0</v>
      </c>
      <c r="P214" s="3" t="str">
        <f t="shared" si="7"/>
        <v>ZZZ</v>
      </c>
      <c r="Q214" s="3" t="b">
        <f t="array" ref="Q214">OR(ISNUMBER(SEARCH(P$2:P$50,$B214,5)))</f>
        <v>0</v>
      </c>
      <c r="S214" s="3" t="str">
        <f t="shared" si="8"/>
        <v>ZZZ</v>
      </c>
      <c r="T214" s="3" t="b">
        <f t="array" ref="T214">OR(ISNUMBER(SEARCH(S$2:S$100,$B214,5)))</f>
        <v>0</v>
      </c>
      <c r="V214" s="3" t="str">
        <f t="shared" si="9"/>
        <v>ZZZ</v>
      </c>
      <c r="W214" s="3" t="b">
        <f t="array" ref="W214">OR(ISNUMBER(SEARCH(V$2:V$100,$B214,5)))</f>
        <v>0</v>
      </c>
      <c r="Y214" s="3" t="str">
        <f t="shared" si="10"/>
        <v>ZZZ</v>
      </c>
      <c r="Z214" s="3" t="b">
        <f t="array" ref="Z214">OR(ISNUMBER(SEARCH(Y$2:Y$100,$B214,5)))</f>
        <v>0</v>
      </c>
      <c r="AB214" s="3" t="str">
        <f t="shared" si="11"/>
        <v>ZZZ</v>
      </c>
      <c r="AC214" s="3" t="b">
        <f t="array" ref="AC214">OR(ISNUMBER(SEARCH(AB$2:AB$100,$B214,5)))</f>
        <v>0</v>
      </c>
      <c r="AE214" s="3" t="str">
        <f t="shared" si="12"/>
        <v>ZZZ</v>
      </c>
      <c r="AF214" s="3" t="b">
        <f t="array" ref="AF214">OR(ISNUMBER(SEARCH(AE$2:AE$100,$B214,5)))</f>
        <v>0</v>
      </c>
      <c r="AH214" s="3" t="str">
        <f t="shared" si="13"/>
        <v>ZZZ</v>
      </c>
      <c r="AI214" s="3" t="b">
        <f t="array" ref="AI214">OR(ISNUMBER(SEARCH(AH$2:AH$100,$B214,5)))</f>
        <v>0</v>
      </c>
      <c r="AK214" s="3" t="str">
        <f t="shared" si="14"/>
        <v>ZZZ</v>
      </c>
      <c r="AL214" s="3" t="b">
        <f t="array" ref="AL214">OR(ISNUMBER(SEARCH(AK$2:AK$100,$B214,5)))</f>
        <v>0</v>
      </c>
      <c r="AU214" s="8"/>
      <c r="AV214" s="6"/>
      <c r="AW214" s="8"/>
      <c r="AX214" s="8"/>
      <c r="AY214" s="6"/>
      <c r="AZ214" s="8"/>
      <c r="BA214" s="8"/>
      <c r="BB214" s="6" t="str">
        <f>IFERROR(__xludf.DUMMYFUNCTION("""COMPUTED_VALUE"""),"pale plum")</f>
        <v>pale plum</v>
      </c>
      <c r="BC214" s="8"/>
      <c r="BD214" s="8"/>
      <c r="BE214" s="6"/>
      <c r="BF214" s="8"/>
      <c r="BG214" s="8"/>
      <c r="BH214" s="6"/>
      <c r="BI214" s="8"/>
      <c r="BJ214" s="8"/>
      <c r="BK214" s="6"/>
      <c r="BL214" s="8"/>
      <c r="BM214" s="8"/>
      <c r="BN214" s="6"/>
      <c r="BO214" s="8"/>
      <c r="BP214" s="8"/>
      <c r="BQ214" s="6"/>
      <c r="BR214" s="8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7"/>
      <c r="JJ214" s="7"/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</row>
    <row r="215">
      <c r="A215" s="6"/>
      <c r="B215" s="6" t="s">
        <v>215</v>
      </c>
      <c r="C215" s="3" t="str">
        <f t="shared" si="3"/>
        <v>posh lime</v>
      </c>
      <c r="D215" s="3" t="str">
        <f t="shared" si="17"/>
        <v>ZZZ</v>
      </c>
      <c r="E215" s="3" t="b">
        <f t="array" ref="E215">OR(ISNUMBER(SEARCH(D$2:D$30,$B215,5)))</f>
        <v>0</v>
      </c>
      <c r="G215" s="3" t="str">
        <f t="shared" si="4"/>
        <v>ZZZ</v>
      </c>
      <c r="H215" s="3" t="b">
        <f t="array" ref="H215">OR(ISNUMBER(SEARCH(G$2:G$30,$B215,5)))</f>
        <v>0</v>
      </c>
      <c r="J215" s="3" t="str">
        <f t="shared" si="5"/>
        <v>ZZZ</v>
      </c>
      <c r="K215" s="3" t="b">
        <f t="array" ref="K215">OR(ISNUMBER(SEARCH(J$2:J$30,$B215,5)))</f>
        <v>0</v>
      </c>
      <c r="M215" s="3" t="str">
        <f t="shared" si="6"/>
        <v>ZZZ</v>
      </c>
      <c r="N215" s="3" t="b">
        <f t="array" ref="N215">OR(ISNUMBER(SEARCH(M$2:M$30,$B215,5)))</f>
        <v>0</v>
      </c>
      <c r="P215" s="3" t="str">
        <f t="shared" si="7"/>
        <v>ZZZ</v>
      </c>
      <c r="Q215" s="3" t="b">
        <f t="array" ref="Q215">OR(ISNUMBER(SEARCH(P$2:P$50,$B215,5)))</f>
        <v>0</v>
      </c>
      <c r="S215" s="3" t="str">
        <f t="shared" si="8"/>
        <v>ZZZ</v>
      </c>
      <c r="T215" s="3" t="b">
        <f t="array" ref="T215">OR(ISNUMBER(SEARCH(S$2:S$100,$B215,5)))</f>
        <v>0</v>
      </c>
      <c r="V215" s="3" t="str">
        <f t="shared" si="9"/>
        <v>ZZZ</v>
      </c>
      <c r="W215" s="3" t="b">
        <f t="array" ref="W215">OR(ISNUMBER(SEARCH(V$2:V$100,$B215,5)))</f>
        <v>0</v>
      </c>
      <c r="Y215" s="3" t="str">
        <f t="shared" si="10"/>
        <v>ZZZ</v>
      </c>
      <c r="Z215" s="3" t="b">
        <f t="array" ref="Z215">OR(ISNUMBER(SEARCH(Y$2:Y$100,$B215,5)))</f>
        <v>0</v>
      </c>
      <c r="AB215" s="3" t="str">
        <f t="shared" si="11"/>
        <v>ZZZ</v>
      </c>
      <c r="AC215" s="3" t="b">
        <f t="array" ref="AC215">OR(ISNUMBER(SEARCH(AB$2:AB$100,$B215,5)))</f>
        <v>0</v>
      </c>
      <c r="AE215" s="3" t="str">
        <f t="shared" si="12"/>
        <v>ZZZ</v>
      </c>
      <c r="AF215" s="3" t="b">
        <f t="array" ref="AF215">OR(ISNUMBER(SEARCH(AE$2:AE$100,$B215,5)))</f>
        <v>0</v>
      </c>
      <c r="AH215" s="3" t="str">
        <f t="shared" si="13"/>
        <v>ZZZ</v>
      </c>
      <c r="AI215" s="3" t="b">
        <f t="array" ref="AI215">OR(ISNUMBER(SEARCH(AH$2:AH$100,$B215,5)))</f>
        <v>0</v>
      </c>
      <c r="AK215" s="3" t="str">
        <f t="shared" si="14"/>
        <v>ZZZ</v>
      </c>
      <c r="AL215" s="3" t="b">
        <f t="array" ref="AL215">OR(ISNUMBER(SEARCH(AK$2:AK$100,$B215,5)))</f>
        <v>0</v>
      </c>
      <c r="AU215" s="8"/>
      <c r="AV215" s="6"/>
      <c r="AW215" s="8"/>
      <c r="AX215" s="8"/>
      <c r="AY215" s="6"/>
      <c r="AZ215" s="8"/>
      <c r="BA215" s="8"/>
      <c r="BB215" s="6" t="str">
        <f>IFERROR(__xludf.DUMMYFUNCTION("""COMPUTED_VALUE"""),"pale teal")</f>
        <v>pale teal</v>
      </c>
      <c r="BC215" s="8"/>
      <c r="BD215" s="8"/>
      <c r="BE215" s="6"/>
      <c r="BF215" s="8"/>
      <c r="BG215" s="8"/>
      <c r="BH215" s="6"/>
      <c r="BI215" s="8"/>
      <c r="BJ215" s="8"/>
      <c r="BK215" s="6"/>
      <c r="BL215" s="8"/>
      <c r="BM215" s="8"/>
      <c r="BN215" s="6"/>
      <c r="BO215" s="8"/>
      <c r="BP215" s="8"/>
      <c r="BQ215" s="6"/>
      <c r="BR215" s="8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</row>
    <row r="216">
      <c r="A216" s="6"/>
      <c r="B216" s="6" t="s">
        <v>216</v>
      </c>
      <c r="C216" s="3" t="str">
        <f t="shared" si="3"/>
        <v>posh purple</v>
      </c>
      <c r="D216" s="3" t="str">
        <f t="shared" si="17"/>
        <v>ZZZ</v>
      </c>
      <c r="E216" s="3" t="b">
        <f t="array" ref="E216">OR(ISNUMBER(SEARCH(D$2:D$30,$B216,5)))</f>
        <v>0</v>
      </c>
      <c r="G216" s="3" t="str">
        <f t="shared" si="4"/>
        <v>ZZZ</v>
      </c>
      <c r="H216" s="3" t="b">
        <f t="array" ref="H216">OR(ISNUMBER(SEARCH(G$2:G$30,$B216,5)))</f>
        <v>0</v>
      </c>
      <c r="J216" s="3" t="str">
        <f t="shared" si="5"/>
        <v>ZZZ</v>
      </c>
      <c r="K216" s="3" t="b">
        <f t="array" ref="K216">OR(ISNUMBER(SEARCH(J$2:J$30,$B216,5)))</f>
        <v>0</v>
      </c>
      <c r="M216" s="3" t="str">
        <f t="shared" si="6"/>
        <v>ZZZ</v>
      </c>
      <c r="N216" s="3" t="b">
        <f t="array" ref="N216">OR(ISNUMBER(SEARCH(M$2:M$30,$B216,5)))</f>
        <v>0</v>
      </c>
      <c r="P216" s="3" t="str">
        <f t="shared" si="7"/>
        <v>ZZZ</v>
      </c>
      <c r="Q216" s="3" t="b">
        <f t="array" ref="Q216">OR(ISNUMBER(SEARCH(P$2:P$50,$B216,5)))</f>
        <v>0</v>
      </c>
      <c r="S216" s="3" t="str">
        <f t="shared" si="8"/>
        <v>ZZZ</v>
      </c>
      <c r="T216" s="3" t="b">
        <f t="array" ref="T216">OR(ISNUMBER(SEARCH(S$2:S$100,$B216,5)))</f>
        <v>0</v>
      </c>
      <c r="V216" s="3" t="str">
        <f t="shared" si="9"/>
        <v>ZZZ</v>
      </c>
      <c r="W216" s="3" t="b">
        <f t="array" ref="W216">OR(ISNUMBER(SEARCH(V$2:V$100,$B216,5)))</f>
        <v>0</v>
      </c>
      <c r="Y216" s="3" t="str">
        <f t="shared" si="10"/>
        <v>ZZZ</v>
      </c>
      <c r="Z216" s="3" t="b">
        <f t="array" ref="Z216">OR(ISNUMBER(SEARCH(Y$2:Y$100,$B216,5)))</f>
        <v>0</v>
      </c>
      <c r="AB216" s="3" t="str">
        <f t="shared" si="11"/>
        <v>ZZZ</v>
      </c>
      <c r="AC216" s="3" t="b">
        <f t="array" ref="AC216">OR(ISNUMBER(SEARCH(AB$2:AB$100,$B216,5)))</f>
        <v>0</v>
      </c>
      <c r="AE216" s="3" t="str">
        <f t="shared" si="12"/>
        <v>ZZZ</v>
      </c>
      <c r="AF216" s="3" t="b">
        <f t="array" ref="AF216">OR(ISNUMBER(SEARCH(AE$2:AE$100,$B216,5)))</f>
        <v>0</v>
      </c>
      <c r="AH216" s="3" t="str">
        <f t="shared" si="13"/>
        <v>ZZZ</v>
      </c>
      <c r="AI216" s="3" t="b">
        <f t="array" ref="AI216">OR(ISNUMBER(SEARCH(AH$2:AH$100,$B216,5)))</f>
        <v>0</v>
      </c>
      <c r="AK216" s="3" t="str">
        <f t="shared" si="14"/>
        <v>ZZZ</v>
      </c>
      <c r="AL216" s="3" t="b">
        <f t="array" ref="AL216">OR(ISNUMBER(SEARCH(AK$2:AK$100,$B216,5)))</f>
        <v>0</v>
      </c>
      <c r="AU216" s="8"/>
      <c r="AV216" s="6"/>
      <c r="AW216" s="8"/>
      <c r="AX216" s="8"/>
      <c r="AY216" s="6"/>
      <c r="AZ216" s="8"/>
      <c r="BA216" s="8"/>
      <c r="BB216" s="6" t="str">
        <f>IFERROR(__xludf.DUMMYFUNCTION("""COMPUTED_VALUE"""),"dull orange")</f>
        <v>dull orange</v>
      </c>
      <c r="BC216" s="8"/>
      <c r="BD216" s="8"/>
      <c r="BE216" s="6"/>
      <c r="BF216" s="8"/>
      <c r="BG216" s="8"/>
      <c r="BH216" s="6"/>
      <c r="BI216" s="8"/>
      <c r="BJ216" s="8"/>
      <c r="BK216" s="6"/>
      <c r="BL216" s="8"/>
      <c r="BM216" s="8"/>
      <c r="BN216" s="6"/>
      <c r="BO216" s="8"/>
      <c r="BP216" s="8"/>
      <c r="BQ216" s="6"/>
      <c r="BR216" s="8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</row>
    <row r="217">
      <c r="A217" s="6"/>
      <c r="B217" s="6" t="s">
        <v>217</v>
      </c>
      <c r="C217" s="3" t="str">
        <f t="shared" si="3"/>
        <v>pale magenta</v>
      </c>
      <c r="D217" s="3" t="str">
        <f t="shared" si="17"/>
        <v>ZZZ</v>
      </c>
      <c r="E217" s="3" t="b">
        <f t="array" ref="E217">OR(ISNUMBER(SEARCH(D$2:D$30,$B217,5)))</f>
        <v>0</v>
      </c>
      <c r="G217" s="3" t="str">
        <f t="shared" si="4"/>
        <v>ZZZ</v>
      </c>
      <c r="H217" s="3" t="b">
        <f t="array" ref="H217">OR(ISNUMBER(SEARCH(G$2:G$30,$B217,5)))</f>
        <v>0</v>
      </c>
      <c r="J217" s="3" t="str">
        <f t="shared" si="5"/>
        <v>ZZZ</v>
      </c>
      <c r="K217" s="3" t="b">
        <f t="array" ref="K217">OR(ISNUMBER(SEARCH(J$2:J$30,$B217,5)))</f>
        <v>0</v>
      </c>
      <c r="M217" s="3" t="str">
        <f t="shared" si="6"/>
        <v>ZZZ</v>
      </c>
      <c r="N217" s="3" t="b">
        <f t="array" ref="N217">OR(ISNUMBER(SEARCH(M$2:M$30,$B217,5)))</f>
        <v>1</v>
      </c>
      <c r="P217" s="3" t="str">
        <f t="shared" si="7"/>
        <v>ZZZ</v>
      </c>
      <c r="Q217" s="3" t="b">
        <f t="array" ref="Q217">OR(ISNUMBER(SEARCH(P$2:P$50,$B217,5)))</f>
        <v>0</v>
      </c>
      <c r="S217" s="3" t="str">
        <f t="shared" si="8"/>
        <v>ZZZ</v>
      </c>
      <c r="T217" s="3" t="b">
        <f t="array" ref="T217">OR(ISNUMBER(SEARCH(S$2:S$100,$B217,5)))</f>
        <v>0</v>
      </c>
      <c r="V217" s="3" t="str">
        <f t="shared" si="9"/>
        <v>ZZZ</v>
      </c>
      <c r="W217" s="3" t="b">
        <f t="array" ref="W217">OR(ISNUMBER(SEARCH(V$2:V$100,$B217,5)))</f>
        <v>0</v>
      </c>
      <c r="Y217" s="3" t="str">
        <f t="shared" si="10"/>
        <v>ZZZ</v>
      </c>
      <c r="Z217" s="3" t="b">
        <f t="array" ref="Z217">OR(ISNUMBER(SEARCH(Y$2:Y$100,$B217,5)))</f>
        <v>1</v>
      </c>
      <c r="AB217" s="3" t="str">
        <f t="shared" si="11"/>
        <v>ZZZ</v>
      </c>
      <c r="AC217" s="3" t="b">
        <f t="array" ref="AC217">OR(ISNUMBER(SEARCH(AB$2:AB$100,$B217,5)))</f>
        <v>0</v>
      </c>
      <c r="AE217" s="3" t="str">
        <f t="shared" si="12"/>
        <v>ZZZ</v>
      </c>
      <c r="AF217" s="3" t="b">
        <f t="array" ref="AF217">OR(ISNUMBER(SEARCH(AE$2:AE$100,$B217,5)))</f>
        <v>0</v>
      </c>
      <c r="AH217" s="3" t="str">
        <f t="shared" si="13"/>
        <v>ZZZ</v>
      </c>
      <c r="AI217" s="3" t="b">
        <f t="array" ref="AI217">OR(ISNUMBER(SEARCH(AH$2:AH$100,$B217,5)))</f>
        <v>0</v>
      </c>
      <c r="AK217" s="3" t="str">
        <f t="shared" si="14"/>
        <v>ZZZ</v>
      </c>
      <c r="AL217" s="3" t="b">
        <f t="array" ref="AL217">OR(ISNUMBER(SEARCH(AK$2:AK$100,$B217,5)))</f>
        <v>0</v>
      </c>
      <c r="AU217" s="8"/>
      <c r="AV217" s="6"/>
      <c r="AW217" s="8"/>
      <c r="AX217" s="8"/>
      <c r="AY217" s="6"/>
      <c r="AZ217" s="8"/>
      <c r="BA217" s="8"/>
      <c r="BB217" s="6" t="str">
        <f>IFERROR(__xludf.DUMMYFUNCTION("""COMPUTED_VALUE"""),"dotted lavender")</f>
        <v>dotted lavender</v>
      </c>
      <c r="BC217" s="8"/>
      <c r="BD217" s="8"/>
      <c r="BE217" s="6"/>
      <c r="BF217" s="8"/>
      <c r="BG217" s="8"/>
      <c r="BH217" s="6"/>
      <c r="BI217" s="8"/>
      <c r="BJ217" s="8"/>
      <c r="BK217" s="6"/>
      <c r="BL217" s="8"/>
      <c r="BM217" s="8"/>
      <c r="BN217" s="6"/>
      <c r="BO217" s="8"/>
      <c r="BP217" s="8"/>
      <c r="BQ217" s="6"/>
      <c r="BR217" s="8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</row>
    <row r="218">
      <c r="A218" s="6"/>
      <c r="B218" s="6" t="s">
        <v>218</v>
      </c>
      <c r="C218" s="3" t="str">
        <f t="shared" si="3"/>
        <v>dim plum</v>
      </c>
      <c r="D218" s="3" t="str">
        <f t="shared" si="17"/>
        <v>ZZZ</v>
      </c>
      <c r="E218" s="3" t="b">
        <f t="array" ref="E218">OR(ISNUMBER(SEARCH(D$2:D$30,$B218,5)))</f>
        <v>0</v>
      </c>
      <c r="G218" s="3" t="str">
        <f t="shared" si="4"/>
        <v>ZZZ</v>
      </c>
      <c r="H218" s="3" t="b">
        <f t="array" ref="H218">OR(ISNUMBER(SEARCH(G$2:G$30,$B218,5)))</f>
        <v>0</v>
      </c>
      <c r="J218" s="3" t="str">
        <f t="shared" si="5"/>
        <v>ZZZ</v>
      </c>
      <c r="K218" s="3" t="b">
        <f t="array" ref="K218">OR(ISNUMBER(SEARCH(J$2:J$30,$B218,5)))</f>
        <v>0</v>
      </c>
      <c r="M218" s="3" t="str">
        <f t="shared" si="6"/>
        <v>ZZZ</v>
      </c>
      <c r="N218" s="3" t="b">
        <f t="array" ref="N218">OR(ISNUMBER(SEARCH(M$2:M$30,$B218,5)))</f>
        <v>0</v>
      </c>
      <c r="P218" s="3" t="str">
        <f t="shared" si="7"/>
        <v>ZZZ</v>
      </c>
      <c r="Q218" s="3" t="b">
        <f t="array" ref="Q218">OR(ISNUMBER(SEARCH(P$2:P$50,$B218,5)))</f>
        <v>0</v>
      </c>
      <c r="S218" s="3" t="str">
        <f t="shared" si="8"/>
        <v>ZZZ</v>
      </c>
      <c r="T218" s="3" t="b">
        <f t="array" ref="T218">OR(ISNUMBER(SEARCH(S$2:S$100,$B218,5)))</f>
        <v>1</v>
      </c>
      <c r="V218" s="3" t="str">
        <f t="shared" si="9"/>
        <v>ZZZ</v>
      </c>
      <c r="W218" s="3" t="b">
        <f t="array" ref="W218">OR(ISNUMBER(SEARCH(V$2:V$100,$B218,5)))</f>
        <v>0</v>
      </c>
      <c r="Y218" s="3" t="str">
        <f t="shared" si="10"/>
        <v>ZZZ</v>
      </c>
      <c r="Z218" s="3" t="b">
        <f t="array" ref="Z218">OR(ISNUMBER(SEARCH(Y$2:Y$100,$B218,5)))</f>
        <v>0</v>
      </c>
      <c r="AB218" s="3" t="str">
        <f t="shared" si="11"/>
        <v>ZZZ</v>
      </c>
      <c r="AC218" s="3" t="b">
        <f t="array" ref="AC218">OR(ISNUMBER(SEARCH(AB$2:AB$100,$B218,5)))</f>
        <v>0</v>
      </c>
      <c r="AE218" s="3" t="str">
        <f t="shared" si="12"/>
        <v>ZZZ</v>
      </c>
      <c r="AF218" s="3" t="b">
        <f t="array" ref="AF218">OR(ISNUMBER(SEARCH(AE$2:AE$100,$B218,5)))</f>
        <v>0</v>
      </c>
      <c r="AH218" s="3" t="str">
        <f t="shared" si="13"/>
        <v>ZZZ</v>
      </c>
      <c r="AI218" s="3" t="b">
        <f t="array" ref="AI218">OR(ISNUMBER(SEARCH(AH$2:AH$100,$B218,5)))</f>
        <v>0</v>
      </c>
      <c r="AK218" s="3" t="str">
        <f t="shared" si="14"/>
        <v>ZZZ</v>
      </c>
      <c r="AL218" s="3" t="b">
        <f t="array" ref="AL218">OR(ISNUMBER(SEARCH(AK$2:AK$100,$B218,5)))</f>
        <v>0</v>
      </c>
      <c r="AU218" s="8"/>
      <c r="AV218" s="6"/>
      <c r="AW218" s="8"/>
      <c r="AX218" s="8"/>
      <c r="AY218" s="6"/>
      <c r="AZ218" s="8"/>
      <c r="BA218" s="8"/>
      <c r="BB218" s="6" t="str">
        <f>IFERROR(__xludf.DUMMYFUNCTION("""COMPUTED_VALUE"""),"shiny tomato")</f>
        <v>shiny tomato</v>
      </c>
      <c r="BC218" s="8"/>
      <c r="BD218" s="8"/>
      <c r="BE218" s="6"/>
      <c r="BF218" s="8"/>
      <c r="BG218" s="8"/>
      <c r="BH218" s="6"/>
      <c r="BI218" s="8"/>
      <c r="BJ218" s="8"/>
      <c r="BK218" s="6"/>
      <c r="BL218" s="8"/>
      <c r="BM218" s="8"/>
      <c r="BN218" s="6"/>
      <c r="BO218" s="8"/>
      <c r="BP218" s="8"/>
      <c r="BQ218" s="6"/>
      <c r="BR218" s="8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</row>
    <row r="219">
      <c r="A219" s="6"/>
      <c r="B219" s="6" t="s">
        <v>219</v>
      </c>
      <c r="C219" s="3" t="str">
        <f t="shared" si="3"/>
        <v>plaid indigo</v>
      </c>
      <c r="D219" s="3" t="str">
        <f t="shared" si="17"/>
        <v>ZZZ</v>
      </c>
      <c r="E219" s="3" t="b">
        <f t="array" ref="E219">OR(ISNUMBER(SEARCH(D$2:D$30,$B219,5)))</f>
        <v>0</v>
      </c>
      <c r="G219" s="3" t="str">
        <f t="shared" si="4"/>
        <v>ZZZ</v>
      </c>
      <c r="H219" s="3" t="b">
        <f t="array" ref="H219">OR(ISNUMBER(SEARCH(G$2:G$30,$B219,5)))</f>
        <v>0</v>
      </c>
      <c r="J219" s="3" t="str">
        <f t="shared" si="5"/>
        <v>ZZZ</v>
      </c>
      <c r="K219" s="3" t="b">
        <f t="array" ref="K219">OR(ISNUMBER(SEARCH(J$2:J$30,$B219,5)))</f>
        <v>0</v>
      </c>
      <c r="M219" s="3" t="str">
        <f t="shared" si="6"/>
        <v>ZZZ</v>
      </c>
      <c r="N219" s="3" t="b">
        <f t="array" ref="N219">OR(ISNUMBER(SEARCH(M$2:M$30,$B219,5)))</f>
        <v>0</v>
      </c>
      <c r="P219" s="3" t="str">
        <f t="shared" si="7"/>
        <v>ZZZ</v>
      </c>
      <c r="Q219" s="3" t="b">
        <f t="array" ref="Q219">OR(ISNUMBER(SEARCH(P$2:P$50,$B219,5)))</f>
        <v>0</v>
      </c>
      <c r="S219" s="3" t="str">
        <f t="shared" si="8"/>
        <v>ZZZ</v>
      </c>
      <c r="T219" s="3" t="b">
        <f t="array" ref="T219">OR(ISNUMBER(SEARCH(S$2:S$100,$B219,5)))</f>
        <v>0</v>
      </c>
      <c r="V219" s="3" t="str">
        <f t="shared" si="9"/>
        <v>ZZZ</v>
      </c>
      <c r="W219" s="3" t="b">
        <f t="array" ref="W219">OR(ISNUMBER(SEARCH(V$2:V$100,$B219,5)))</f>
        <v>0</v>
      </c>
      <c r="Y219" s="3" t="str">
        <f t="shared" si="10"/>
        <v>ZZZ</v>
      </c>
      <c r="Z219" s="3" t="b">
        <f t="array" ref="Z219">OR(ISNUMBER(SEARCH(Y$2:Y$100,$B219,5)))</f>
        <v>0</v>
      </c>
      <c r="AB219" s="3" t="str">
        <f t="shared" si="11"/>
        <v>ZZZ</v>
      </c>
      <c r="AC219" s="3" t="b">
        <f t="array" ref="AC219">OR(ISNUMBER(SEARCH(AB$2:AB$100,$B219,5)))</f>
        <v>0</v>
      </c>
      <c r="AE219" s="3" t="str">
        <f t="shared" si="12"/>
        <v>ZZZ</v>
      </c>
      <c r="AF219" s="3" t="b">
        <f t="array" ref="AF219">OR(ISNUMBER(SEARCH(AE$2:AE$100,$B219,5)))</f>
        <v>0</v>
      </c>
      <c r="AH219" s="3" t="str">
        <f t="shared" si="13"/>
        <v>ZZZ</v>
      </c>
      <c r="AI219" s="3" t="b">
        <f t="array" ref="AI219">OR(ISNUMBER(SEARCH(AH$2:AH$100,$B219,5)))</f>
        <v>0</v>
      </c>
      <c r="AK219" s="3" t="str">
        <f t="shared" si="14"/>
        <v>ZZZ</v>
      </c>
      <c r="AL219" s="3" t="b">
        <f t="array" ref="AL219">OR(ISNUMBER(SEARCH(AK$2:AK$100,$B219,5)))</f>
        <v>0</v>
      </c>
      <c r="AU219" s="8"/>
      <c r="AV219" s="6"/>
      <c r="AW219" s="8"/>
      <c r="AX219" s="8"/>
      <c r="AY219" s="6"/>
      <c r="AZ219" s="8"/>
      <c r="BA219" s="8"/>
      <c r="BB219" s="6" t="str">
        <f>IFERROR(__xludf.DUMMYFUNCTION("""COMPUTED_VALUE"""),"dim tan")</f>
        <v>dim tan</v>
      </c>
      <c r="BC219" s="8"/>
      <c r="BD219" s="8"/>
      <c r="BE219" s="6"/>
      <c r="BF219" s="8"/>
      <c r="BG219" s="8"/>
      <c r="BH219" s="6"/>
      <c r="BI219" s="8"/>
      <c r="BJ219" s="8"/>
      <c r="BK219" s="6"/>
      <c r="BL219" s="8"/>
      <c r="BM219" s="8"/>
      <c r="BN219" s="6"/>
      <c r="BO219" s="8"/>
      <c r="BP219" s="8"/>
      <c r="BQ219" s="6"/>
      <c r="BR219" s="8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</row>
    <row r="220">
      <c r="A220" s="6"/>
      <c r="B220" s="6" t="s">
        <v>220</v>
      </c>
      <c r="C220" s="3" t="str">
        <f t="shared" si="3"/>
        <v>dark blue</v>
      </c>
      <c r="D220" s="3" t="str">
        <f t="shared" si="17"/>
        <v>ZZZ</v>
      </c>
      <c r="E220" s="3" t="b">
        <f t="array" ref="E220">OR(ISNUMBER(SEARCH(D$2:D$30,$B220,5)))</f>
        <v>1</v>
      </c>
      <c r="G220" s="3" t="str">
        <f t="shared" si="4"/>
        <v>ZZZ</v>
      </c>
      <c r="H220" s="3" t="b">
        <f t="array" ref="H220">OR(ISNUMBER(SEARCH(G$2:G$30,$B220,5)))</f>
        <v>0</v>
      </c>
      <c r="J220" s="3" t="str">
        <f t="shared" si="5"/>
        <v>ZZZ</v>
      </c>
      <c r="K220" s="3" t="b">
        <f t="array" ref="K220">OR(ISNUMBER(SEARCH(J$2:J$30,$B220,5)))</f>
        <v>0</v>
      </c>
      <c r="M220" s="3" t="str">
        <f t="shared" si="6"/>
        <v>ZZZ</v>
      </c>
      <c r="N220" s="3" t="b">
        <f t="array" ref="N220">OR(ISNUMBER(SEARCH(M$2:M$30,$B220,5)))</f>
        <v>0</v>
      </c>
      <c r="P220" s="3" t="str">
        <f t="shared" si="7"/>
        <v>ZZZ</v>
      </c>
      <c r="Q220" s="3" t="b">
        <f t="array" ref="Q220">OR(ISNUMBER(SEARCH(P$2:P$50,$B220,5)))</f>
        <v>0</v>
      </c>
      <c r="S220" s="3" t="str">
        <f t="shared" si="8"/>
        <v>ZZZ</v>
      </c>
      <c r="T220" s="3" t="b">
        <f t="array" ref="T220">OR(ISNUMBER(SEARCH(S$2:S$100,$B220,5)))</f>
        <v>0</v>
      </c>
      <c r="V220" s="3" t="str">
        <f t="shared" si="9"/>
        <v>ZZZ</v>
      </c>
      <c r="W220" s="3" t="b">
        <f t="array" ref="W220">OR(ISNUMBER(SEARCH(V$2:V$100,$B220,5)))</f>
        <v>0</v>
      </c>
      <c r="Y220" s="3" t="str">
        <f t="shared" si="10"/>
        <v>ZZZ</v>
      </c>
      <c r="Z220" s="3" t="b">
        <f t="array" ref="Z220">OR(ISNUMBER(SEARCH(Y$2:Y$100,$B220,5)))</f>
        <v>0</v>
      </c>
      <c r="AB220" s="3" t="str">
        <f t="shared" si="11"/>
        <v>ZZZ</v>
      </c>
      <c r="AC220" s="3" t="b">
        <f t="array" ref="AC220">OR(ISNUMBER(SEARCH(AB$2:AB$100,$B220,5)))</f>
        <v>0</v>
      </c>
      <c r="AE220" s="3" t="str">
        <f t="shared" si="12"/>
        <v>ZZZ</v>
      </c>
      <c r="AF220" s="3" t="b">
        <f t="array" ref="AF220">OR(ISNUMBER(SEARCH(AE$2:AE$100,$B220,5)))</f>
        <v>0</v>
      </c>
      <c r="AH220" s="3" t="str">
        <f t="shared" si="13"/>
        <v>ZZZ</v>
      </c>
      <c r="AI220" s="3" t="b">
        <f t="array" ref="AI220">OR(ISNUMBER(SEARCH(AH$2:AH$100,$B220,5)))</f>
        <v>0</v>
      </c>
      <c r="AK220" s="3" t="str">
        <f t="shared" si="14"/>
        <v>ZZZ</v>
      </c>
      <c r="AL220" s="3" t="b">
        <f t="array" ref="AL220">OR(ISNUMBER(SEARCH(AK$2:AK$100,$B220,5)))</f>
        <v>0</v>
      </c>
      <c r="AU220" s="8"/>
      <c r="AV220" s="6"/>
      <c r="AW220" s="8"/>
      <c r="AX220" s="8"/>
      <c r="AY220" s="6"/>
      <c r="AZ220" s="8"/>
      <c r="BA220" s="8"/>
      <c r="BB220" s="6" t="str">
        <f>IFERROR(__xludf.DUMMYFUNCTION("""COMPUTED_VALUE"""),"light magenta")</f>
        <v>light magenta</v>
      </c>
      <c r="BC220" s="8"/>
      <c r="BD220" s="8"/>
      <c r="BE220" s="6"/>
      <c r="BF220" s="8"/>
      <c r="BG220" s="8"/>
      <c r="BH220" s="6"/>
      <c r="BI220" s="8"/>
      <c r="BJ220" s="8"/>
      <c r="BK220" s="6"/>
      <c r="BL220" s="8"/>
      <c r="BM220" s="8"/>
      <c r="BN220" s="6"/>
      <c r="BO220" s="8"/>
      <c r="BP220" s="8"/>
      <c r="BQ220" s="6"/>
      <c r="BR220" s="8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</row>
    <row r="221">
      <c r="A221" s="6"/>
      <c r="B221" s="6" t="s">
        <v>221</v>
      </c>
      <c r="C221" s="3" t="str">
        <f t="shared" si="3"/>
        <v>dull red</v>
      </c>
      <c r="D221" s="3" t="str">
        <f t="shared" si="17"/>
        <v>ZZZ</v>
      </c>
      <c r="E221" s="3" t="b">
        <f t="array" ref="E221">OR(ISNUMBER(SEARCH(D$2:D$30,$B221,5)))</f>
        <v>0</v>
      </c>
      <c r="G221" s="3" t="str">
        <f t="shared" si="4"/>
        <v>ZZZ</v>
      </c>
      <c r="H221" s="3" t="b">
        <f t="array" ref="H221">OR(ISNUMBER(SEARCH(G$2:G$30,$B221,5)))</f>
        <v>0</v>
      </c>
      <c r="J221" s="3" t="str">
        <f t="shared" si="5"/>
        <v>ZZZ</v>
      </c>
      <c r="K221" s="3" t="b">
        <f t="array" ref="K221">OR(ISNUMBER(SEARCH(J$2:J$30,$B221,5)))</f>
        <v>0</v>
      </c>
      <c r="M221" s="3" t="str">
        <f t="shared" si="6"/>
        <v>ZZZ</v>
      </c>
      <c r="N221" s="3" t="b">
        <f t="array" ref="N221">OR(ISNUMBER(SEARCH(M$2:M$30,$B221,5)))</f>
        <v>0</v>
      </c>
      <c r="P221" s="3" t="str">
        <f t="shared" si="7"/>
        <v>ZZZ</v>
      </c>
      <c r="Q221" s="3" t="b">
        <f t="array" ref="Q221">OR(ISNUMBER(SEARCH(P$2:P$50,$B221,5)))</f>
        <v>1</v>
      </c>
      <c r="S221" s="3" t="str">
        <f t="shared" si="8"/>
        <v>ZZZ</v>
      </c>
      <c r="T221" s="3" t="b">
        <f t="array" ref="T221">OR(ISNUMBER(SEARCH(S$2:S$100,$B221,5)))</f>
        <v>0</v>
      </c>
      <c r="V221" s="3" t="str">
        <f t="shared" si="9"/>
        <v>ZZZ</v>
      </c>
      <c r="W221" s="3" t="b">
        <f t="array" ref="W221">OR(ISNUMBER(SEARCH(V$2:V$100,$B221,5)))</f>
        <v>1</v>
      </c>
      <c r="Y221" s="3" t="str">
        <f t="shared" si="10"/>
        <v>ZZZ</v>
      </c>
      <c r="Z221" s="3" t="b">
        <f t="array" ref="Z221">OR(ISNUMBER(SEARCH(Y$2:Y$100,$B221,5)))</f>
        <v>0</v>
      </c>
      <c r="AB221" s="3" t="str">
        <f t="shared" si="11"/>
        <v>ZZZ</v>
      </c>
      <c r="AC221" s="3" t="b">
        <f t="array" ref="AC221">OR(ISNUMBER(SEARCH(AB$2:AB$100,$B221,5)))</f>
        <v>0</v>
      </c>
      <c r="AE221" s="3" t="str">
        <f t="shared" si="12"/>
        <v>ZZZ</v>
      </c>
      <c r="AF221" s="3" t="b">
        <f t="array" ref="AF221">OR(ISNUMBER(SEARCH(AE$2:AE$100,$B221,5)))</f>
        <v>0</v>
      </c>
      <c r="AH221" s="3" t="str">
        <f t="shared" si="13"/>
        <v>ZZZ</v>
      </c>
      <c r="AI221" s="3" t="b">
        <f t="array" ref="AI221">OR(ISNUMBER(SEARCH(AH$2:AH$100,$B221,5)))</f>
        <v>0</v>
      </c>
      <c r="AK221" s="3" t="str">
        <f t="shared" si="14"/>
        <v>ZZZ</v>
      </c>
      <c r="AL221" s="3" t="b">
        <f t="array" ref="AL221">OR(ISNUMBER(SEARCH(AK$2:AK$100,$B221,5)))</f>
        <v>0</v>
      </c>
      <c r="AU221" s="8"/>
      <c r="AV221" s="6"/>
      <c r="AW221" s="8"/>
      <c r="AX221" s="8"/>
      <c r="AY221" s="6"/>
      <c r="AZ221" s="8"/>
      <c r="BA221" s="8"/>
      <c r="BB221" s="6" t="str">
        <f>IFERROR(__xludf.DUMMYFUNCTION("""COMPUTED_VALUE"""),"light maroon")</f>
        <v>light maroon</v>
      </c>
      <c r="BC221" s="8"/>
      <c r="BD221" s="8"/>
      <c r="BE221" s="6"/>
      <c r="BF221" s="8"/>
      <c r="BG221" s="8"/>
      <c r="BH221" s="6"/>
      <c r="BI221" s="8"/>
      <c r="BJ221" s="8"/>
      <c r="BK221" s="6"/>
      <c r="BL221" s="8"/>
      <c r="BM221" s="8"/>
      <c r="BN221" s="6"/>
      <c r="BO221" s="8"/>
      <c r="BP221" s="8"/>
      <c r="BQ221" s="6"/>
      <c r="BR221" s="8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</row>
    <row r="222">
      <c r="A222" s="6"/>
      <c r="B222" s="6" t="s">
        <v>222</v>
      </c>
      <c r="C222" s="3" t="str">
        <f t="shared" si="3"/>
        <v>striped yellow</v>
      </c>
      <c r="D222" s="3" t="str">
        <f t="shared" si="17"/>
        <v>ZZZ</v>
      </c>
      <c r="E222" s="3" t="b">
        <f t="array" ref="E222">OR(ISNUMBER(SEARCH(D$2:D$30,$B222,5)))</f>
        <v>0</v>
      </c>
      <c r="G222" s="3" t="str">
        <f t="shared" si="4"/>
        <v>ZZZ</v>
      </c>
      <c r="H222" s="3" t="b">
        <f t="array" ref="H222">OR(ISNUMBER(SEARCH(G$2:G$30,$B222,5)))</f>
        <v>0</v>
      </c>
      <c r="J222" s="3" t="str">
        <f t="shared" si="5"/>
        <v>ZZZ</v>
      </c>
      <c r="K222" s="3" t="b">
        <f t="array" ref="K222">OR(ISNUMBER(SEARCH(J$2:J$30,$B222,5)))</f>
        <v>0</v>
      </c>
      <c r="M222" s="3" t="str">
        <f t="shared" si="6"/>
        <v>ZZZ</v>
      </c>
      <c r="N222" s="3" t="b">
        <f t="array" ref="N222">OR(ISNUMBER(SEARCH(M$2:M$30,$B222,5)))</f>
        <v>0</v>
      </c>
      <c r="P222" s="3" t="str">
        <f t="shared" si="7"/>
        <v>ZZZ</v>
      </c>
      <c r="Q222" s="3" t="b">
        <f t="array" ref="Q222">OR(ISNUMBER(SEARCH(P$2:P$50,$B222,5)))</f>
        <v>0</v>
      </c>
      <c r="S222" s="3" t="str">
        <f t="shared" si="8"/>
        <v>ZZZ</v>
      </c>
      <c r="T222" s="3" t="b">
        <f t="array" ref="T222">OR(ISNUMBER(SEARCH(S$2:S$100,$B222,5)))</f>
        <v>0</v>
      </c>
      <c r="V222" s="3" t="str">
        <f t="shared" si="9"/>
        <v>ZZZ</v>
      </c>
      <c r="W222" s="3" t="b">
        <f t="array" ref="W222">OR(ISNUMBER(SEARCH(V$2:V$100,$B222,5)))</f>
        <v>0</v>
      </c>
      <c r="Y222" s="3" t="str">
        <f t="shared" si="10"/>
        <v>ZZZ</v>
      </c>
      <c r="Z222" s="3" t="b">
        <f t="array" ref="Z222">OR(ISNUMBER(SEARCH(Y$2:Y$100,$B222,5)))</f>
        <v>0</v>
      </c>
      <c r="AB222" s="3" t="str">
        <f t="shared" si="11"/>
        <v>ZZZ</v>
      </c>
      <c r="AC222" s="3" t="b">
        <f t="array" ref="AC222">OR(ISNUMBER(SEARCH(AB$2:AB$100,$B222,5)))</f>
        <v>0</v>
      </c>
      <c r="AE222" s="3" t="str">
        <f t="shared" si="12"/>
        <v>ZZZ</v>
      </c>
      <c r="AF222" s="3" t="b">
        <f t="array" ref="AF222">OR(ISNUMBER(SEARCH(AE$2:AE$100,$B222,5)))</f>
        <v>0</v>
      </c>
      <c r="AH222" s="3" t="str">
        <f t="shared" si="13"/>
        <v>ZZZ</v>
      </c>
      <c r="AI222" s="3" t="b">
        <f t="array" ref="AI222">OR(ISNUMBER(SEARCH(AH$2:AH$100,$B222,5)))</f>
        <v>0</v>
      </c>
      <c r="AK222" s="3" t="str">
        <f t="shared" si="14"/>
        <v>ZZZ</v>
      </c>
      <c r="AL222" s="3" t="b">
        <f t="array" ref="AL222">OR(ISNUMBER(SEARCH(AK$2:AK$100,$B222,5)))</f>
        <v>0</v>
      </c>
      <c r="AU222" s="8"/>
      <c r="AV222" s="6"/>
      <c r="AW222" s="8"/>
      <c r="AX222" s="8"/>
      <c r="AY222" s="6"/>
      <c r="AZ222" s="8"/>
      <c r="BA222" s="8"/>
      <c r="BB222" s="6" t="str">
        <f>IFERROR(__xludf.DUMMYFUNCTION("""COMPUTED_VALUE"""),"plaid beige")</f>
        <v>plaid beige</v>
      </c>
      <c r="BC222" s="8"/>
      <c r="BD222" s="8"/>
      <c r="BE222" s="6"/>
      <c r="BF222" s="8"/>
      <c r="BG222" s="8"/>
      <c r="BH222" s="6"/>
      <c r="BI222" s="8"/>
      <c r="BJ222" s="8"/>
      <c r="BK222" s="6"/>
      <c r="BL222" s="8"/>
      <c r="BM222" s="8"/>
      <c r="BN222" s="6"/>
      <c r="BO222" s="8"/>
      <c r="BP222" s="8"/>
      <c r="BQ222" s="6"/>
      <c r="BR222" s="8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</row>
    <row r="223">
      <c r="A223" s="6"/>
      <c r="B223" s="6" t="s">
        <v>223</v>
      </c>
      <c r="C223" s="3" t="str">
        <f t="shared" si="3"/>
        <v>vibrant magenta</v>
      </c>
      <c r="D223" s="3" t="str">
        <f t="shared" si="17"/>
        <v>ZZZ</v>
      </c>
      <c r="E223" s="3" t="b">
        <f t="array" ref="E223">OR(ISNUMBER(SEARCH(D$2:D$30,$B223,5)))</f>
        <v>0</v>
      </c>
      <c r="G223" s="3" t="str">
        <f t="shared" si="4"/>
        <v>ZZZ</v>
      </c>
      <c r="H223" s="3" t="b">
        <f t="array" ref="H223">OR(ISNUMBER(SEARCH(G$2:G$30,$B223,5)))</f>
        <v>0</v>
      </c>
      <c r="J223" s="3" t="str">
        <f t="shared" si="5"/>
        <v>ZZZ</v>
      </c>
      <c r="K223" s="3" t="b">
        <f t="array" ref="K223">OR(ISNUMBER(SEARCH(J$2:J$30,$B223,5)))</f>
        <v>0</v>
      </c>
      <c r="M223" s="3" t="str">
        <f t="shared" si="6"/>
        <v>ZZZ</v>
      </c>
      <c r="N223" s="3" t="b">
        <f t="array" ref="N223">OR(ISNUMBER(SEARCH(M$2:M$30,$B223,5)))</f>
        <v>1</v>
      </c>
      <c r="P223" s="3" t="str">
        <f t="shared" si="7"/>
        <v>ZZZ</v>
      </c>
      <c r="Q223" s="3" t="b">
        <f t="array" ref="Q223">OR(ISNUMBER(SEARCH(P$2:P$50,$B223,5)))</f>
        <v>1</v>
      </c>
      <c r="S223" s="3" t="str">
        <f t="shared" si="8"/>
        <v>ZZZ</v>
      </c>
      <c r="T223" s="3" t="b">
        <f t="array" ref="T223">OR(ISNUMBER(SEARCH(S$2:S$100,$B223,5)))</f>
        <v>0</v>
      </c>
      <c r="V223" s="3" t="str">
        <f t="shared" si="9"/>
        <v>ZZZ</v>
      </c>
      <c r="W223" s="3" t="b">
        <f t="array" ref="W223">OR(ISNUMBER(SEARCH(V$2:V$100,$B223,5)))</f>
        <v>1</v>
      </c>
      <c r="Y223" s="3" t="str">
        <f t="shared" si="10"/>
        <v>ZZZ</v>
      </c>
      <c r="Z223" s="3" t="b">
        <f t="array" ref="Z223">OR(ISNUMBER(SEARCH(Y$2:Y$100,$B223,5)))</f>
        <v>0</v>
      </c>
      <c r="AB223" s="3" t="str">
        <f t="shared" si="11"/>
        <v>ZZZ</v>
      </c>
      <c r="AC223" s="3" t="b">
        <f t="array" ref="AC223">OR(ISNUMBER(SEARCH(AB$2:AB$100,$B223,5)))</f>
        <v>0</v>
      </c>
      <c r="AE223" s="3" t="str">
        <f t="shared" si="12"/>
        <v>ZZZ</v>
      </c>
      <c r="AF223" s="3" t="b">
        <f t="array" ref="AF223">OR(ISNUMBER(SEARCH(AE$2:AE$100,$B223,5)))</f>
        <v>0</v>
      </c>
      <c r="AH223" s="3" t="str">
        <f t="shared" si="13"/>
        <v>ZZZ</v>
      </c>
      <c r="AI223" s="3" t="b">
        <f t="array" ref="AI223">OR(ISNUMBER(SEARCH(AH$2:AH$100,$B223,5)))</f>
        <v>0</v>
      </c>
      <c r="AK223" s="3" t="str">
        <f t="shared" si="14"/>
        <v>ZZZ</v>
      </c>
      <c r="AL223" s="3" t="b">
        <f t="array" ref="AL223">OR(ISNUMBER(SEARCH(AK$2:AK$100,$B223,5)))</f>
        <v>0</v>
      </c>
      <c r="AU223" s="8"/>
      <c r="AV223" s="6"/>
      <c r="AW223" s="8"/>
      <c r="AX223" s="8"/>
      <c r="AY223" s="6"/>
      <c r="AZ223" s="8"/>
      <c r="BA223" s="8"/>
      <c r="BB223" s="6" t="str">
        <f>IFERROR(__xludf.DUMMYFUNCTION("""COMPUTED_VALUE"""),"faded blue")</f>
        <v>faded blue</v>
      </c>
      <c r="BC223" s="8"/>
      <c r="BD223" s="8"/>
      <c r="BE223" s="6"/>
      <c r="BF223" s="8"/>
      <c r="BG223" s="8"/>
      <c r="BH223" s="6"/>
      <c r="BI223" s="8"/>
      <c r="BJ223" s="8"/>
      <c r="BK223" s="6"/>
      <c r="BL223" s="8"/>
      <c r="BM223" s="8"/>
      <c r="BN223" s="6"/>
      <c r="BO223" s="8"/>
      <c r="BP223" s="8"/>
      <c r="BQ223" s="6"/>
      <c r="BR223" s="8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</row>
    <row r="224">
      <c r="A224" s="6"/>
      <c r="B224" s="6" t="s">
        <v>224</v>
      </c>
      <c r="C224" s="3" t="str">
        <f t="shared" si="3"/>
        <v>plaid red</v>
      </c>
      <c r="D224" s="3" t="str">
        <f t="shared" si="17"/>
        <v>ZZZ</v>
      </c>
      <c r="E224" s="3" t="b">
        <f t="array" ref="E224">OR(ISNUMBER(SEARCH(D$2:D$30,$B224,5)))</f>
        <v>0</v>
      </c>
      <c r="G224" s="3" t="str">
        <f t="shared" si="4"/>
        <v>ZZZ</v>
      </c>
      <c r="H224" s="3" t="b">
        <f t="array" ref="H224">OR(ISNUMBER(SEARCH(G$2:G$30,$B224,5)))</f>
        <v>0</v>
      </c>
      <c r="J224" s="3" t="str">
        <f t="shared" si="5"/>
        <v>ZZZ</v>
      </c>
      <c r="K224" s="3" t="b">
        <f t="array" ref="K224">OR(ISNUMBER(SEARCH(J$2:J$30,$B224,5)))</f>
        <v>0</v>
      </c>
      <c r="M224" s="3" t="str">
        <f t="shared" si="6"/>
        <v>ZZZ</v>
      </c>
      <c r="N224" s="3" t="b">
        <f t="array" ref="N224">OR(ISNUMBER(SEARCH(M$2:M$30,$B224,5)))</f>
        <v>0</v>
      </c>
      <c r="P224" s="3" t="str">
        <f t="shared" si="7"/>
        <v>ZZZ</v>
      </c>
      <c r="Q224" s="3" t="b">
        <f t="array" ref="Q224">OR(ISNUMBER(SEARCH(P$2:P$50,$B224,5)))</f>
        <v>0</v>
      </c>
      <c r="S224" s="3" t="str">
        <f t="shared" si="8"/>
        <v>ZZZ</v>
      </c>
      <c r="T224" s="3" t="b">
        <f t="array" ref="T224">OR(ISNUMBER(SEARCH(S$2:S$100,$B224,5)))</f>
        <v>0</v>
      </c>
      <c r="V224" s="3" t="str">
        <f t="shared" si="9"/>
        <v>ZZZ</v>
      </c>
      <c r="W224" s="3" t="b">
        <f t="array" ref="W224">OR(ISNUMBER(SEARCH(V$2:V$100,$B224,5)))</f>
        <v>0</v>
      </c>
      <c r="Y224" s="3" t="str">
        <f t="shared" si="10"/>
        <v>ZZZ</v>
      </c>
      <c r="Z224" s="3" t="b">
        <f t="array" ref="Z224">OR(ISNUMBER(SEARCH(Y$2:Y$100,$B224,5)))</f>
        <v>0</v>
      </c>
      <c r="AB224" s="3" t="str">
        <f t="shared" si="11"/>
        <v>ZZZ</v>
      </c>
      <c r="AC224" s="3" t="b">
        <f t="array" ref="AC224">OR(ISNUMBER(SEARCH(AB$2:AB$100,$B224,5)))</f>
        <v>0</v>
      </c>
      <c r="AE224" s="3" t="str">
        <f t="shared" si="12"/>
        <v>ZZZ</v>
      </c>
      <c r="AF224" s="3" t="b">
        <f t="array" ref="AF224">OR(ISNUMBER(SEARCH(AE$2:AE$100,$B224,5)))</f>
        <v>0</v>
      </c>
      <c r="AH224" s="3" t="str">
        <f t="shared" si="13"/>
        <v>ZZZ</v>
      </c>
      <c r="AI224" s="3" t="b">
        <f t="array" ref="AI224">OR(ISNUMBER(SEARCH(AH$2:AH$100,$B224,5)))</f>
        <v>0</v>
      </c>
      <c r="AK224" s="3" t="str">
        <f t="shared" si="14"/>
        <v>ZZZ</v>
      </c>
      <c r="AL224" s="3" t="b">
        <f t="array" ref="AL224">OR(ISNUMBER(SEARCH(AK$2:AK$100,$B224,5)))</f>
        <v>0</v>
      </c>
      <c r="AU224" s="8"/>
      <c r="AV224" s="6"/>
      <c r="AW224" s="8"/>
      <c r="AX224" s="8"/>
      <c r="AY224" s="6"/>
      <c r="AZ224" s="8"/>
      <c r="BA224" s="8"/>
      <c r="BB224" s="6" t="str">
        <f>IFERROR(__xludf.DUMMYFUNCTION("""COMPUTED_VALUE"""),"wavy lavender")</f>
        <v>wavy lavender</v>
      </c>
      <c r="BC224" s="8"/>
      <c r="BD224" s="8"/>
      <c r="BE224" s="6"/>
      <c r="BF224" s="8"/>
      <c r="BG224" s="8"/>
      <c r="BH224" s="6"/>
      <c r="BI224" s="8"/>
      <c r="BJ224" s="8"/>
      <c r="BK224" s="6"/>
      <c r="BL224" s="8"/>
      <c r="BM224" s="8"/>
      <c r="BN224" s="6"/>
      <c r="BO224" s="8"/>
      <c r="BP224" s="8"/>
      <c r="BQ224" s="6"/>
      <c r="BR224" s="8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</row>
    <row r="225">
      <c r="A225" s="6"/>
      <c r="B225" s="6" t="s">
        <v>225</v>
      </c>
      <c r="C225" s="3" t="str">
        <f t="shared" si="3"/>
        <v>wavy orange</v>
      </c>
      <c r="D225" s="3" t="str">
        <f t="shared" si="17"/>
        <v>ZZZ</v>
      </c>
      <c r="E225" s="3" t="b">
        <f t="array" ref="E225">OR(ISNUMBER(SEARCH(D$2:D$30,$B225,5)))</f>
        <v>0</v>
      </c>
      <c r="G225" s="3" t="str">
        <f t="shared" si="4"/>
        <v>ZZZ</v>
      </c>
      <c r="H225" s="3" t="b">
        <f t="array" ref="H225">OR(ISNUMBER(SEARCH(G$2:G$30,$B225,5)))</f>
        <v>0</v>
      </c>
      <c r="J225" s="3" t="str">
        <f t="shared" si="5"/>
        <v>ZZZ</v>
      </c>
      <c r="K225" s="3" t="b">
        <f t="array" ref="K225">OR(ISNUMBER(SEARCH(J$2:J$30,$B225,5)))</f>
        <v>0</v>
      </c>
      <c r="M225" s="3" t="str">
        <f t="shared" si="6"/>
        <v>ZZZ</v>
      </c>
      <c r="N225" s="3" t="b">
        <f t="array" ref="N225">OR(ISNUMBER(SEARCH(M$2:M$30,$B225,5)))</f>
        <v>0</v>
      </c>
      <c r="P225" s="3" t="str">
        <f t="shared" si="7"/>
        <v>ZZZ</v>
      </c>
      <c r="Q225" s="3" t="b">
        <f t="array" ref="Q225">OR(ISNUMBER(SEARCH(P$2:P$50,$B225,5)))</f>
        <v>0</v>
      </c>
      <c r="S225" s="3" t="str">
        <f t="shared" si="8"/>
        <v>ZZZ</v>
      </c>
      <c r="T225" s="3" t="b">
        <f t="array" ref="T225">OR(ISNUMBER(SEARCH(S$2:S$100,$B225,5)))</f>
        <v>0</v>
      </c>
      <c r="V225" s="3" t="str">
        <f t="shared" si="9"/>
        <v>ZZZ</v>
      </c>
      <c r="W225" s="3" t="b">
        <f t="array" ref="W225">OR(ISNUMBER(SEARCH(V$2:V$100,$B225,5)))</f>
        <v>0</v>
      </c>
      <c r="Y225" s="3" t="str">
        <f t="shared" si="10"/>
        <v>ZZZ</v>
      </c>
      <c r="Z225" s="3" t="b">
        <f t="array" ref="Z225">OR(ISNUMBER(SEARCH(Y$2:Y$100,$B225,5)))</f>
        <v>0</v>
      </c>
      <c r="AB225" s="3" t="str">
        <f t="shared" si="11"/>
        <v>ZZZ</v>
      </c>
      <c r="AC225" s="3" t="b">
        <f t="array" ref="AC225">OR(ISNUMBER(SEARCH(AB$2:AB$100,$B225,5)))</f>
        <v>0</v>
      </c>
      <c r="AE225" s="3" t="str">
        <f t="shared" si="12"/>
        <v>ZZZ</v>
      </c>
      <c r="AF225" s="3" t="b">
        <f t="array" ref="AF225">OR(ISNUMBER(SEARCH(AE$2:AE$100,$B225,5)))</f>
        <v>0</v>
      </c>
      <c r="AH225" s="3" t="str">
        <f t="shared" si="13"/>
        <v>ZZZ</v>
      </c>
      <c r="AI225" s="3" t="b">
        <f t="array" ref="AI225">OR(ISNUMBER(SEARCH(AH$2:AH$100,$B225,5)))</f>
        <v>0</v>
      </c>
      <c r="AK225" s="3" t="str">
        <f t="shared" si="14"/>
        <v>ZZZ</v>
      </c>
      <c r="AL225" s="3" t="b">
        <f t="array" ref="AL225">OR(ISNUMBER(SEARCH(AK$2:AK$100,$B225,5)))</f>
        <v>0</v>
      </c>
      <c r="AU225" s="8"/>
      <c r="AV225" s="6"/>
      <c r="AW225" s="8"/>
      <c r="AX225" s="8"/>
      <c r="AY225" s="6"/>
      <c r="AZ225" s="8"/>
      <c r="BA225" s="8"/>
      <c r="BB225" s="6" t="str">
        <f>IFERROR(__xludf.DUMMYFUNCTION("""COMPUTED_VALUE"""),"clear bronze")</f>
        <v>clear bronze</v>
      </c>
      <c r="BC225" s="8"/>
      <c r="BD225" s="8"/>
      <c r="BE225" s="6"/>
      <c r="BF225" s="8"/>
      <c r="BG225" s="8"/>
      <c r="BH225" s="6"/>
      <c r="BI225" s="8"/>
      <c r="BJ225" s="8"/>
      <c r="BK225" s="6"/>
      <c r="BL225" s="8"/>
      <c r="BM225" s="8"/>
      <c r="BN225" s="6"/>
      <c r="BO225" s="8"/>
      <c r="BP225" s="8"/>
      <c r="BQ225" s="6"/>
      <c r="BR225" s="8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</row>
    <row r="226">
      <c r="A226" s="6"/>
      <c r="B226" s="6" t="s">
        <v>226</v>
      </c>
      <c r="C226" s="3" t="str">
        <f t="shared" si="3"/>
        <v>pale green</v>
      </c>
      <c r="D226" s="3" t="str">
        <f t="shared" si="17"/>
        <v>ZZZ</v>
      </c>
      <c r="E226" s="3" t="b">
        <f t="array" ref="E226">OR(ISNUMBER(SEARCH(D$2:D$30,$B226,5)))</f>
        <v>0</v>
      </c>
      <c r="G226" s="3" t="str">
        <f t="shared" si="4"/>
        <v>ZZZ</v>
      </c>
      <c r="H226" s="3" t="b">
        <f t="array" ref="H226">OR(ISNUMBER(SEARCH(G$2:G$30,$B226,5)))</f>
        <v>0</v>
      </c>
      <c r="J226" s="3" t="str">
        <f t="shared" si="5"/>
        <v>ZZZ</v>
      </c>
      <c r="K226" s="3" t="b">
        <f t="array" ref="K226">OR(ISNUMBER(SEARCH(J$2:J$30,$B226,5)))</f>
        <v>1</v>
      </c>
      <c r="M226" s="3" t="str">
        <f t="shared" si="6"/>
        <v>ZZZ</v>
      </c>
      <c r="N226" s="3" t="b">
        <f t="array" ref="N226">OR(ISNUMBER(SEARCH(M$2:M$30,$B226,5)))</f>
        <v>0</v>
      </c>
      <c r="P226" s="3" t="str">
        <f t="shared" si="7"/>
        <v>ZZZ</v>
      </c>
      <c r="Q226" s="3" t="b">
        <f t="array" ref="Q226">OR(ISNUMBER(SEARCH(P$2:P$50,$B226,5)))</f>
        <v>0</v>
      </c>
      <c r="S226" s="3" t="str">
        <f t="shared" si="8"/>
        <v>ZZZ</v>
      </c>
      <c r="T226" s="3" t="b">
        <f t="array" ref="T226">OR(ISNUMBER(SEARCH(S$2:S$100,$B226,5)))</f>
        <v>0</v>
      </c>
      <c r="V226" s="3" t="str">
        <f t="shared" si="9"/>
        <v>ZZZ</v>
      </c>
      <c r="W226" s="3" t="b">
        <f t="array" ref="W226">OR(ISNUMBER(SEARCH(V$2:V$100,$B226,5)))</f>
        <v>0</v>
      </c>
      <c r="Y226" s="3" t="str">
        <f t="shared" si="10"/>
        <v>ZZZ</v>
      </c>
      <c r="Z226" s="3" t="b">
        <f t="array" ref="Z226">OR(ISNUMBER(SEARCH(Y$2:Y$100,$B226,5)))</f>
        <v>0</v>
      </c>
      <c r="AB226" s="3" t="str">
        <f t="shared" si="11"/>
        <v>ZZZ</v>
      </c>
      <c r="AC226" s="3" t="b">
        <f t="array" ref="AC226">OR(ISNUMBER(SEARCH(AB$2:AB$100,$B226,5)))</f>
        <v>0</v>
      </c>
      <c r="AE226" s="3" t="str">
        <f t="shared" si="12"/>
        <v>ZZZ</v>
      </c>
      <c r="AF226" s="3" t="b">
        <f t="array" ref="AF226">OR(ISNUMBER(SEARCH(AE$2:AE$100,$B226,5)))</f>
        <v>0</v>
      </c>
      <c r="AH226" s="3" t="str">
        <f t="shared" si="13"/>
        <v>ZZZ</v>
      </c>
      <c r="AI226" s="3" t="b">
        <f t="array" ref="AI226">OR(ISNUMBER(SEARCH(AH$2:AH$100,$B226,5)))</f>
        <v>0</v>
      </c>
      <c r="AK226" s="3" t="str">
        <f t="shared" si="14"/>
        <v>ZZZ</v>
      </c>
      <c r="AL226" s="3" t="b">
        <f t="array" ref="AL226">OR(ISNUMBER(SEARCH(AK$2:AK$100,$B226,5)))</f>
        <v>0</v>
      </c>
      <c r="AU226" s="8"/>
      <c r="AV226" s="6"/>
      <c r="AW226" s="8"/>
      <c r="AX226" s="8"/>
      <c r="AY226" s="6"/>
      <c r="AZ226" s="8"/>
      <c r="BA226" s="8"/>
      <c r="BB226" s="6" t="str">
        <f>IFERROR(__xludf.DUMMYFUNCTION("""COMPUTED_VALUE"""),"pale violet")</f>
        <v>pale violet</v>
      </c>
      <c r="BC226" s="8"/>
      <c r="BD226" s="8"/>
      <c r="BE226" s="6"/>
      <c r="BF226" s="8"/>
      <c r="BG226" s="8"/>
      <c r="BH226" s="6"/>
      <c r="BI226" s="8"/>
      <c r="BJ226" s="8"/>
      <c r="BK226" s="6"/>
      <c r="BL226" s="8"/>
      <c r="BM226" s="8"/>
      <c r="BN226" s="6"/>
      <c r="BO226" s="8"/>
      <c r="BP226" s="8"/>
      <c r="BQ226" s="6"/>
      <c r="BR226" s="8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</row>
    <row r="227">
      <c r="A227" s="6"/>
      <c r="B227" s="6" t="s">
        <v>227</v>
      </c>
      <c r="C227" s="3" t="str">
        <f t="shared" si="3"/>
        <v>dotted chartreuse</v>
      </c>
      <c r="D227" s="3" t="str">
        <f t="shared" si="17"/>
        <v>ZZZ</v>
      </c>
      <c r="E227" s="3" t="b">
        <f t="array" ref="E227">OR(ISNUMBER(SEARCH(D$2:D$30,$B227,5)))</f>
        <v>0</v>
      </c>
      <c r="G227" s="3" t="str">
        <f t="shared" si="4"/>
        <v>ZZZ</v>
      </c>
      <c r="H227" s="3" t="b">
        <f t="array" ref="H227">OR(ISNUMBER(SEARCH(G$2:G$30,$B227,5)))</f>
        <v>0</v>
      </c>
      <c r="J227" s="3" t="str">
        <f t="shared" si="5"/>
        <v>ZZZ</v>
      </c>
      <c r="K227" s="3" t="b">
        <f t="array" ref="K227">OR(ISNUMBER(SEARCH(J$2:J$30,$B227,5)))</f>
        <v>0</v>
      </c>
      <c r="M227" s="3" t="str">
        <f t="shared" si="6"/>
        <v>ZZZ</v>
      </c>
      <c r="N227" s="3" t="b">
        <f t="array" ref="N227">OR(ISNUMBER(SEARCH(M$2:M$30,$B227,5)))</f>
        <v>0</v>
      </c>
      <c r="P227" s="3" t="str">
        <f t="shared" si="7"/>
        <v>ZZZ</v>
      </c>
      <c r="Q227" s="3" t="b">
        <f t="array" ref="Q227">OR(ISNUMBER(SEARCH(P$2:P$50,$B227,5)))</f>
        <v>0</v>
      </c>
      <c r="S227" s="3" t="str">
        <f t="shared" si="8"/>
        <v>ZZZ</v>
      </c>
      <c r="T227" s="3" t="b">
        <f t="array" ref="T227">OR(ISNUMBER(SEARCH(S$2:S$100,$B227,5)))</f>
        <v>0</v>
      </c>
      <c r="V227" s="3" t="str">
        <f t="shared" si="9"/>
        <v>ZZZ</v>
      </c>
      <c r="W227" s="3" t="b">
        <f t="array" ref="W227">OR(ISNUMBER(SEARCH(V$2:V$100,$B227,5)))</f>
        <v>0</v>
      </c>
      <c r="Y227" s="3" t="str">
        <f t="shared" si="10"/>
        <v>ZZZ</v>
      </c>
      <c r="Z227" s="3" t="b">
        <f t="array" ref="Z227">OR(ISNUMBER(SEARCH(Y$2:Y$100,$B227,5)))</f>
        <v>0</v>
      </c>
      <c r="AB227" s="3" t="str">
        <f t="shared" si="11"/>
        <v>ZZZ</v>
      </c>
      <c r="AC227" s="3" t="b">
        <f t="array" ref="AC227">OR(ISNUMBER(SEARCH(AB$2:AB$100,$B227,5)))</f>
        <v>0</v>
      </c>
      <c r="AE227" s="3" t="str">
        <f t="shared" si="12"/>
        <v>ZZZ</v>
      </c>
      <c r="AF227" s="3" t="b">
        <f t="array" ref="AF227">OR(ISNUMBER(SEARCH(AE$2:AE$100,$B227,5)))</f>
        <v>0</v>
      </c>
      <c r="AH227" s="3" t="str">
        <f t="shared" si="13"/>
        <v>ZZZ</v>
      </c>
      <c r="AI227" s="3" t="b">
        <f t="array" ref="AI227">OR(ISNUMBER(SEARCH(AH$2:AH$100,$B227,5)))</f>
        <v>0</v>
      </c>
      <c r="AK227" s="3" t="str">
        <f t="shared" si="14"/>
        <v>ZZZ</v>
      </c>
      <c r="AL227" s="3" t="b">
        <f t="array" ref="AL227">OR(ISNUMBER(SEARCH(AK$2:AK$100,$B227,5)))</f>
        <v>0</v>
      </c>
      <c r="AU227" s="8"/>
      <c r="AV227" s="6"/>
      <c r="AW227" s="8"/>
      <c r="AX227" s="8"/>
      <c r="AY227" s="6"/>
      <c r="AZ227" s="8"/>
      <c r="BA227" s="8"/>
      <c r="BB227" s="6" t="str">
        <f>IFERROR(__xludf.DUMMYFUNCTION("""COMPUTED_VALUE"""),"clear gold")</f>
        <v>clear gold</v>
      </c>
      <c r="BC227" s="8"/>
      <c r="BD227" s="8"/>
      <c r="BE227" s="6"/>
      <c r="BF227" s="8"/>
      <c r="BG227" s="8"/>
      <c r="BH227" s="6"/>
      <c r="BI227" s="8"/>
      <c r="BJ227" s="8"/>
      <c r="BK227" s="6"/>
      <c r="BL227" s="8"/>
      <c r="BM227" s="8"/>
      <c r="BN227" s="6"/>
      <c r="BO227" s="8"/>
      <c r="BP227" s="8"/>
      <c r="BQ227" s="6"/>
      <c r="BR227" s="8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</row>
    <row r="228">
      <c r="A228" s="6"/>
      <c r="B228" s="6" t="s">
        <v>228</v>
      </c>
      <c r="C228" s="3" t="str">
        <f t="shared" si="3"/>
        <v>light turquoise</v>
      </c>
      <c r="D228" s="3" t="str">
        <f t="shared" si="17"/>
        <v>ZZZ</v>
      </c>
      <c r="E228" s="3" t="b">
        <f t="array" ref="E228">OR(ISNUMBER(SEARCH(D$2:D$30,$B228,5)))</f>
        <v>0</v>
      </c>
      <c r="G228" s="3" t="str">
        <f t="shared" si="4"/>
        <v>ZZZ</v>
      </c>
      <c r="H228" s="3" t="b">
        <f t="array" ref="H228">OR(ISNUMBER(SEARCH(G$2:G$30,$B228,5)))</f>
        <v>0</v>
      </c>
      <c r="J228" s="3" t="str">
        <f t="shared" si="5"/>
        <v>ZZZ</v>
      </c>
      <c r="K228" s="3" t="b">
        <f t="array" ref="K228">OR(ISNUMBER(SEARCH(J$2:J$30,$B228,5)))</f>
        <v>0</v>
      </c>
      <c r="M228" s="3" t="str">
        <f t="shared" si="6"/>
        <v>ZZZ</v>
      </c>
      <c r="N228" s="3" t="b">
        <f t="array" ref="N228">OR(ISNUMBER(SEARCH(M$2:M$30,$B228,5)))</f>
        <v>0</v>
      </c>
      <c r="P228" s="3" t="str">
        <f t="shared" si="7"/>
        <v>ZZZ</v>
      </c>
      <c r="Q228" s="3" t="b">
        <f t="array" ref="Q228">OR(ISNUMBER(SEARCH(P$2:P$50,$B228,5)))</f>
        <v>0</v>
      </c>
      <c r="S228" s="3" t="str">
        <f t="shared" si="8"/>
        <v>ZZZ</v>
      </c>
      <c r="T228" s="3" t="b">
        <f t="array" ref="T228">OR(ISNUMBER(SEARCH(S$2:S$100,$B228,5)))</f>
        <v>1</v>
      </c>
      <c r="V228" s="3" t="str">
        <f t="shared" si="9"/>
        <v>ZZZ</v>
      </c>
      <c r="W228" s="3" t="b">
        <f t="array" ref="W228">OR(ISNUMBER(SEARCH(V$2:V$100,$B228,5)))</f>
        <v>1</v>
      </c>
      <c r="Y228" s="3" t="str">
        <f t="shared" si="10"/>
        <v>ZZZ</v>
      </c>
      <c r="Z228" s="3" t="b">
        <f t="array" ref="Z228">OR(ISNUMBER(SEARCH(Y$2:Y$100,$B228,5)))</f>
        <v>0</v>
      </c>
      <c r="AB228" s="3" t="str">
        <f t="shared" si="11"/>
        <v>ZZZ</v>
      </c>
      <c r="AC228" s="3" t="b">
        <f t="array" ref="AC228">OR(ISNUMBER(SEARCH(AB$2:AB$100,$B228,5)))</f>
        <v>1</v>
      </c>
      <c r="AE228" s="3" t="str">
        <f t="shared" si="12"/>
        <v>ZZZ</v>
      </c>
      <c r="AF228" s="3" t="b">
        <f t="array" ref="AF228">OR(ISNUMBER(SEARCH(AE$2:AE$100,$B228,5)))</f>
        <v>0</v>
      </c>
      <c r="AH228" s="3" t="str">
        <f t="shared" si="13"/>
        <v>ZZZ</v>
      </c>
      <c r="AI228" s="3" t="b">
        <f t="array" ref="AI228">OR(ISNUMBER(SEARCH(AH$2:AH$100,$B228,5)))</f>
        <v>1</v>
      </c>
      <c r="AK228" s="3" t="str">
        <f t="shared" si="14"/>
        <v>ZZZ</v>
      </c>
      <c r="AL228" s="3" t="b">
        <f t="array" ref="AL228">OR(ISNUMBER(SEARCH(AK$2:AK$100,$B228,5)))</f>
        <v>0</v>
      </c>
      <c r="AU228" s="8"/>
      <c r="AV228" s="6"/>
      <c r="AW228" s="8"/>
      <c r="AX228" s="8"/>
      <c r="AY228" s="6"/>
      <c r="AZ228" s="8"/>
      <c r="BA228" s="8"/>
      <c r="BB228" s="6" t="str">
        <f>IFERROR(__xludf.DUMMYFUNCTION("""COMPUTED_VALUE"""),"vibrant fuchsia")</f>
        <v>vibrant fuchsia</v>
      </c>
      <c r="BC228" s="8"/>
      <c r="BD228" s="8"/>
      <c r="BE228" s="6"/>
      <c r="BF228" s="8"/>
      <c r="BG228" s="8"/>
      <c r="BH228" s="6"/>
      <c r="BI228" s="8"/>
      <c r="BJ228" s="8"/>
      <c r="BK228" s="6"/>
      <c r="BL228" s="8"/>
      <c r="BM228" s="8"/>
      <c r="BN228" s="6"/>
      <c r="BO228" s="8"/>
      <c r="BP228" s="8"/>
      <c r="BQ228" s="6"/>
      <c r="BR228" s="8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</row>
    <row r="229">
      <c r="A229" s="6"/>
      <c r="B229" s="6" t="s">
        <v>229</v>
      </c>
      <c r="C229" s="3" t="str">
        <f t="shared" si="3"/>
        <v>shiny violet</v>
      </c>
      <c r="D229" s="3" t="str">
        <f t="shared" si="17"/>
        <v>ZZZ</v>
      </c>
      <c r="E229" s="3" t="b">
        <f t="array" ref="E229">OR(ISNUMBER(SEARCH(D$2:D$30,$B229,5)))</f>
        <v>0</v>
      </c>
      <c r="G229" s="3" t="str">
        <f t="shared" si="4"/>
        <v>ZZZ</v>
      </c>
      <c r="H229" s="3" t="b">
        <f t="array" ref="H229">OR(ISNUMBER(SEARCH(G$2:G$30,$B229,5)))</f>
        <v>0</v>
      </c>
      <c r="J229" s="3" t="str">
        <f t="shared" si="5"/>
        <v>ZZZ</v>
      </c>
      <c r="K229" s="3" t="b">
        <f t="array" ref="K229">OR(ISNUMBER(SEARCH(J$2:J$30,$B229,5)))</f>
        <v>0</v>
      </c>
      <c r="M229" s="3" t="str">
        <f t="shared" si="6"/>
        <v>ZZZ</v>
      </c>
      <c r="N229" s="3" t="b">
        <f t="array" ref="N229">OR(ISNUMBER(SEARCH(M$2:M$30,$B229,5)))</f>
        <v>0</v>
      </c>
      <c r="P229" s="3" t="str">
        <f t="shared" si="7"/>
        <v>ZZZ</v>
      </c>
      <c r="Q229" s="3" t="b">
        <f t="array" ref="Q229">OR(ISNUMBER(SEARCH(P$2:P$50,$B229,5)))</f>
        <v>1</v>
      </c>
      <c r="S229" s="3" t="str">
        <f t="shared" si="8"/>
        <v>ZZZ</v>
      </c>
      <c r="T229" s="3" t="b">
        <f t="array" ref="T229">OR(ISNUMBER(SEARCH(S$2:S$100,$B229,5)))</f>
        <v>0</v>
      </c>
      <c r="V229" s="3" t="str">
        <f t="shared" si="9"/>
        <v>ZZZ</v>
      </c>
      <c r="W229" s="3" t="b">
        <f t="array" ref="W229">OR(ISNUMBER(SEARCH(V$2:V$100,$B229,5)))</f>
        <v>1</v>
      </c>
      <c r="Y229" s="3" t="str">
        <f t="shared" si="10"/>
        <v>ZZZ</v>
      </c>
      <c r="Z229" s="3" t="b">
        <f t="array" ref="Z229">OR(ISNUMBER(SEARCH(Y$2:Y$100,$B229,5)))</f>
        <v>0</v>
      </c>
      <c r="AB229" s="3" t="str">
        <f t="shared" si="11"/>
        <v>ZZZ</v>
      </c>
      <c r="AC229" s="3" t="b">
        <f t="array" ref="AC229">OR(ISNUMBER(SEARCH(AB$2:AB$100,$B229,5)))</f>
        <v>0</v>
      </c>
      <c r="AE229" s="3" t="str">
        <f t="shared" si="12"/>
        <v>ZZZ</v>
      </c>
      <c r="AF229" s="3" t="b">
        <f t="array" ref="AF229">OR(ISNUMBER(SEARCH(AE$2:AE$100,$B229,5)))</f>
        <v>0</v>
      </c>
      <c r="AH229" s="3" t="str">
        <f t="shared" si="13"/>
        <v>ZZZ</v>
      </c>
      <c r="AI229" s="3" t="b">
        <f t="array" ref="AI229">OR(ISNUMBER(SEARCH(AH$2:AH$100,$B229,5)))</f>
        <v>0</v>
      </c>
      <c r="AK229" s="3" t="str">
        <f t="shared" si="14"/>
        <v>ZZZ</v>
      </c>
      <c r="AL229" s="3" t="b">
        <f t="array" ref="AL229">OR(ISNUMBER(SEARCH(AK$2:AK$100,$B229,5)))</f>
        <v>0</v>
      </c>
      <c r="AU229" s="8"/>
      <c r="AV229" s="6"/>
      <c r="AW229" s="8"/>
      <c r="AX229" s="8"/>
      <c r="AY229" s="6"/>
      <c r="AZ229" s="8"/>
      <c r="BA229" s="8"/>
      <c r="BB229" s="6" t="str">
        <f>IFERROR(__xludf.DUMMYFUNCTION("""COMPUTED_VALUE"""),"drab plum")</f>
        <v>drab plum</v>
      </c>
      <c r="BC229" s="8"/>
      <c r="BD229" s="8"/>
      <c r="BE229" s="6"/>
      <c r="BF229" s="8"/>
      <c r="BG229" s="8"/>
      <c r="BH229" s="6"/>
      <c r="BI229" s="8"/>
      <c r="BJ229" s="8"/>
      <c r="BK229" s="6"/>
      <c r="BL229" s="8"/>
      <c r="BM229" s="8"/>
      <c r="BN229" s="6"/>
      <c r="BO229" s="8"/>
      <c r="BP229" s="8"/>
      <c r="BQ229" s="6"/>
      <c r="BR229" s="8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</row>
    <row r="230">
      <c r="A230" s="6"/>
      <c r="B230" s="6" t="s">
        <v>230</v>
      </c>
      <c r="C230" s="3" t="str">
        <f t="shared" si="3"/>
        <v>light white</v>
      </c>
      <c r="D230" s="3" t="str">
        <f t="shared" si="17"/>
        <v>ZZZ</v>
      </c>
      <c r="E230" s="3" t="b">
        <f t="array" ref="E230">OR(ISNUMBER(SEARCH(D$2:D$30,$B230,5)))</f>
        <v>0</v>
      </c>
      <c r="G230" s="3" t="str">
        <f t="shared" si="4"/>
        <v>ZZZ</v>
      </c>
      <c r="H230" s="3" t="b">
        <f t="array" ref="H230">OR(ISNUMBER(SEARCH(G$2:G$30,$B230,5)))</f>
        <v>0</v>
      </c>
      <c r="J230" s="3" t="str">
        <f t="shared" si="5"/>
        <v>ZZZ</v>
      </c>
      <c r="K230" s="3" t="b">
        <f t="array" ref="K230">OR(ISNUMBER(SEARCH(J$2:J$30,$B230,5)))</f>
        <v>0</v>
      </c>
      <c r="M230" s="3" t="str">
        <f t="shared" si="6"/>
        <v>ZZZ</v>
      </c>
      <c r="N230" s="3" t="b">
        <f t="array" ref="N230">OR(ISNUMBER(SEARCH(M$2:M$30,$B230,5)))</f>
        <v>0</v>
      </c>
      <c r="P230" s="3" t="str">
        <f t="shared" si="7"/>
        <v>ZZZ</v>
      </c>
      <c r="Q230" s="3" t="b">
        <f t="array" ref="Q230">OR(ISNUMBER(SEARCH(P$2:P$50,$B230,5)))</f>
        <v>1</v>
      </c>
      <c r="S230" s="3" t="str">
        <f t="shared" si="8"/>
        <v>ZZZ</v>
      </c>
      <c r="T230" s="3" t="b">
        <f t="array" ref="T230">OR(ISNUMBER(SEARCH(S$2:S$100,$B230,5)))</f>
        <v>0</v>
      </c>
      <c r="V230" s="3" t="str">
        <f t="shared" si="9"/>
        <v>ZZZ</v>
      </c>
      <c r="W230" s="3" t="b">
        <f t="array" ref="W230">OR(ISNUMBER(SEARCH(V$2:V$100,$B230,5)))</f>
        <v>0</v>
      </c>
      <c r="Y230" s="3" t="str">
        <f t="shared" si="10"/>
        <v>ZZZ</v>
      </c>
      <c r="Z230" s="3" t="b">
        <f t="array" ref="Z230">OR(ISNUMBER(SEARCH(Y$2:Y$100,$B230,5)))</f>
        <v>0</v>
      </c>
      <c r="AB230" s="3" t="str">
        <f t="shared" si="11"/>
        <v>ZZZ</v>
      </c>
      <c r="AC230" s="3" t="b">
        <f t="array" ref="AC230">OR(ISNUMBER(SEARCH(AB$2:AB$100,$B230,5)))</f>
        <v>0</v>
      </c>
      <c r="AE230" s="3" t="str">
        <f t="shared" si="12"/>
        <v>ZZZ</v>
      </c>
      <c r="AF230" s="3" t="b">
        <f t="array" ref="AF230">OR(ISNUMBER(SEARCH(AE$2:AE$100,$B230,5)))</f>
        <v>0</v>
      </c>
      <c r="AH230" s="3" t="str">
        <f t="shared" si="13"/>
        <v>ZZZ</v>
      </c>
      <c r="AI230" s="3" t="b">
        <f t="array" ref="AI230">OR(ISNUMBER(SEARCH(AH$2:AH$100,$B230,5)))</f>
        <v>0</v>
      </c>
      <c r="AK230" s="3" t="str">
        <f t="shared" si="14"/>
        <v>ZZZ</v>
      </c>
      <c r="AL230" s="3" t="b">
        <f t="array" ref="AL230">OR(ISNUMBER(SEARCH(AK$2:AK$100,$B230,5)))</f>
        <v>0</v>
      </c>
      <c r="AU230" s="8"/>
      <c r="AV230" s="6"/>
      <c r="AW230" s="8"/>
      <c r="AX230" s="8"/>
      <c r="AY230" s="6"/>
      <c r="AZ230" s="8"/>
      <c r="BA230" s="8"/>
      <c r="BB230" s="6" t="str">
        <f>IFERROR(__xludf.DUMMYFUNCTION("""COMPUTED_VALUE"""),"bright gray")</f>
        <v>bright gray</v>
      </c>
      <c r="BC230" s="8"/>
      <c r="BD230" s="8"/>
      <c r="BE230" s="6"/>
      <c r="BF230" s="8"/>
      <c r="BG230" s="8"/>
      <c r="BH230" s="6"/>
      <c r="BI230" s="8"/>
      <c r="BJ230" s="8"/>
      <c r="BK230" s="6"/>
      <c r="BL230" s="8"/>
      <c r="BM230" s="8"/>
      <c r="BN230" s="6"/>
      <c r="BO230" s="8"/>
      <c r="BP230" s="8"/>
      <c r="BQ230" s="6"/>
      <c r="BR230" s="8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</row>
    <row r="231">
      <c r="A231" s="6"/>
      <c r="B231" s="6" t="s">
        <v>231</v>
      </c>
      <c r="C231" s="3" t="str">
        <f t="shared" si="3"/>
        <v>muted beige</v>
      </c>
      <c r="D231" s="3" t="str">
        <f t="shared" si="17"/>
        <v>ZZZ</v>
      </c>
      <c r="E231" s="3" t="b">
        <f t="array" ref="E231">OR(ISNUMBER(SEARCH(D$2:D$30,$B231,5)))</f>
        <v>0</v>
      </c>
      <c r="G231" s="3" t="str">
        <f t="shared" si="4"/>
        <v>ZZZ</v>
      </c>
      <c r="H231" s="3" t="b">
        <f t="array" ref="H231">OR(ISNUMBER(SEARCH(G$2:G$30,$B231,5)))</f>
        <v>0</v>
      </c>
      <c r="J231" s="3" t="str">
        <f t="shared" si="5"/>
        <v>ZZZ</v>
      </c>
      <c r="K231" s="3" t="b">
        <f t="array" ref="K231">OR(ISNUMBER(SEARCH(J$2:J$30,$B231,5)))</f>
        <v>0</v>
      </c>
      <c r="M231" s="3" t="str">
        <f t="shared" si="6"/>
        <v>ZZZ</v>
      </c>
      <c r="N231" s="3" t="b">
        <f t="array" ref="N231">OR(ISNUMBER(SEARCH(M$2:M$30,$B231,5)))</f>
        <v>0</v>
      </c>
      <c r="P231" s="3" t="str">
        <f t="shared" si="7"/>
        <v>ZZZ</v>
      </c>
      <c r="Q231" s="3" t="b">
        <f t="array" ref="Q231">OR(ISNUMBER(SEARCH(P$2:P$50,$B231,5)))</f>
        <v>0</v>
      </c>
      <c r="S231" s="3" t="str">
        <f t="shared" si="8"/>
        <v>ZZZ</v>
      </c>
      <c r="T231" s="3" t="b">
        <f t="array" ref="T231">OR(ISNUMBER(SEARCH(S$2:S$100,$B231,5)))</f>
        <v>0</v>
      </c>
      <c r="V231" s="3" t="str">
        <f t="shared" si="9"/>
        <v>ZZZ</v>
      </c>
      <c r="W231" s="3" t="b">
        <f t="array" ref="W231">OR(ISNUMBER(SEARCH(V$2:V$100,$B231,5)))</f>
        <v>0</v>
      </c>
      <c r="Y231" s="3" t="str">
        <f t="shared" si="10"/>
        <v>ZZZ</v>
      </c>
      <c r="Z231" s="3" t="b">
        <f t="array" ref="Z231">OR(ISNUMBER(SEARCH(Y$2:Y$100,$B231,5)))</f>
        <v>0</v>
      </c>
      <c r="AB231" s="3" t="str">
        <f t="shared" si="11"/>
        <v>ZZZ</v>
      </c>
      <c r="AC231" s="3" t="b">
        <f t="array" ref="AC231">OR(ISNUMBER(SEARCH(AB$2:AB$100,$B231,5)))</f>
        <v>0</v>
      </c>
      <c r="AE231" s="3" t="str">
        <f t="shared" si="12"/>
        <v>ZZZ</v>
      </c>
      <c r="AF231" s="3" t="b">
        <f t="array" ref="AF231">OR(ISNUMBER(SEARCH(AE$2:AE$100,$B231,5)))</f>
        <v>0</v>
      </c>
      <c r="AH231" s="3" t="str">
        <f t="shared" si="13"/>
        <v>ZZZ</v>
      </c>
      <c r="AI231" s="3" t="b">
        <f t="array" ref="AI231">OR(ISNUMBER(SEARCH(AH$2:AH$100,$B231,5)))</f>
        <v>0</v>
      </c>
      <c r="AK231" s="3" t="str">
        <f t="shared" si="14"/>
        <v>ZZZ</v>
      </c>
      <c r="AL231" s="3" t="b">
        <f t="array" ref="AL231">OR(ISNUMBER(SEARCH(AK$2:AK$100,$B231,5)))</f>
        <v>0</v>
      </c>
      <c r="AU231" s="8"/>
      <c r="AV231" s="6"/>
      <c r="AW231" s="8"/>
      <c r="AX231" s="8"/>
      <c r="AY231" s="6"/>
      <c r="AZ231" s="8"/>
      <c r="BA231" s="8"/>
      <c r="BB231" s="6" t="str">
        <f>IFERROR(__xludf.DUMMYFUNCTION("""COMPUTED_VALUE"""),"bright red")</f>
        <v>bright red</v>
      </c>
      <c r="BC231" s="8"/>
      <c r="BD231" s="8"/>
      <c r="BE231" s="6"/>
      <c r="BF231" s="8"/>
      <c r="BG231" s="8"/>
      <c r="BH231" s="6"/>
      <c r="BI231" s="8"/>
      <c r="BJ231" s="8"/>
      <c r="BK231" s="6"/>
      <c r="BL231" s="8"/>
      <c r="BM231" s="8"/>
      <c r="BN231" s="6"/>
      <c r="BO231" s="8"/>
      <c r="BP231" s="8"/>
      <c r="BQ231" s="6"/>
      <c r="BR231" s="8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</row>
    <row r="232">
      <c r="A232" s="6"/>
      <c r="B232" s="6" t="s">
        <v>232</v>
      </c>
      <c r="C232" s="3" t="str">
        <f t="shared" si="3"/>
        <v>faded silver</v>
      </c>
      <c r="D232" s="3" t="str">
        <f t="shared" si="17"/>
        <v>ZZZ</v>
      </c>
      <c r="E232" s="3" t="b">
        <f t="array" ref="E232">OR(ISNUMBER(SEARCH(D$2:D$30,$B232,5)))</f>
        <v>0</v>
      </c>
      <c r="G232" s="3" t="str">
        <f t="shared" si="4"/>
        <v>ZZZ</v>
      </c>
      <c r="H232" s="3" t="b">
        <f t="array" ref="H232">OR(ISNUMBER(SEARCH(G$2:G$30,$B232,5)))</f>
        <v>0</v>
      </c>
      <c r="J232" s="3" t="str">
        <f t="shared" si="5"/>
        <v>ZZZ</v>
      </c>
      <c r="K232" s="3" t="b">
        <f t="array" ref="K232">OR(ISNUMBER(SEARCH(J$2:J$30,$B232,5)))</f>
        <v>0</v>
      </c>
      <c r="M232" s="3" t="str">
        <f t="shared" si="6"/>
        <v>ZZZ</v>
      </c>
      <c r="N232" s="3" t="b">
        <f t="array" ref="N232">OR(ISNUMBER(SEARCH(M$2:M$30,$B232,5)))</f>
        <v>0</v>
      </c>
      <c r="P232" s="3" t="str">
        <f t="shared" si="7"/>
        <v>ZZZ</v>
      </c>
      <c r="Q232" s="3" t="b">
        <f t="array" ref="Q232">OR(ISNUMBER(SEARCH(P$2:P$50,$B232,5)))</f>
        <v>0</v>
      </c>
      <c r="S232" s="3" t="str">
        <f t="shared" si="8"/>
        <v>ZZZ</v>
      </c>
      <c r="T232" s="3" t="b">
        <f t="array" ref="T232">OR(ISNUMBER(SEARCH(S$2:S$100,$B232,5)))</f>
        <v>0</v>
      </c>
      <c r="V232" s="3" t="str">
        <f t="shared" si="9"/>
        <v>ZZZ</v>
      </c>
      <c r="W232" s="3" t="b">
        <f t="array" ref="W232">OR(ISNUMBER(SEARCH(V$2:V$100,$B232,5)))</f>
        <v>0</v>
      </c>
      <c r="Y232" s="3" t="str">
        <f t="shared" si="10"/>
        <v>ZZZ</v>
      </c>
      <c r="Z232" s="3" t="b">
        <f t="array" ref="Z232">OR(ISNUMBER(SEARCH(Y$2:Y$100,$B232,5)))</f>
        <v>0</v>
      </c>
      <c r="AB232" s="3" t="str">
        <f t="shared" si="11"/>
        <v>ZZZ</v>
      </c>
      <c r="AC232" s="3" t="b">
        <f t="array" ref="AC232">OR(ISNUMBER(SEARCH(AB$2:AB$100,$B232,5)))</f>
        <v>0</v>
      </c>
      <c r="AE232" s="3" t="str">
        <f t="shared" si="12"/>
        <v>ZZZ</v>
      </c>
      <c r="AF232" s="3" t="b">
        <f t="array" ref="AF232">OR(ISNUMBER(SEARCH(AE$2:AE$100,$B232,5)))</f>
        <v>0</v>
      </c>
      <c r="AH232" s="3" t="str">
        <f t="shared" si="13"/>
        <v>ZZZ</v>
      </c>
      <c r="AI232" s="3" t="b">
        <f t="array" ref="AI232">OR(ISNUMBER(SEARCH(AH$2:AH$100,$B232,5)))</f>
        <v>0</v>
      </c>
      <c r="AK232" s="3" t="str">
        <f t="shared" si="14"/>
        <v>ZZZ</v>
      </c>
      <c r="AL232" s="3" t="b">
        <f t="array" ref="AL232">OR(ISNUMBER(SEARCH(AK$2:AK$100,$B232,5)))</f>
        <v>0</v>
      </c>
      <c r="AU232" s="8"/>
      <c r="AV232" s="6"/>
      <c r="AW232" s="8"/>
      <c r="AX232" s="8"/>
      <c r="AY232" s="6"/>
      <c r="AZ232" s="8"/>
      <c r="BA232" s="8"/>
      <c r="BB232" s="6" t="str">
        <f>IFERROR(__xludf.DUMMYFUNCTION("""COMPUTED_VALUE"""),"dark maroon")</f>
        <v>dark maroon</v>
      </c>
      <c r="BC232" s="8"/>
      <c r="BD232" s="8"/>
      <c r="BE232" s="6"/>
      <c r="BF232" s="8"/>
      <c r="BG232" s="8"/>
      <c r="BH232" s="6"/>
      <c r="BI232" s="8"/>
      <c r="BJ232" s="8"/>
      <c r="BK232" s="6"/>
      <c r="BL232" s="8"/>
      <c r="BM232" s="8"/>
      <c r="BN232" s="6"/>
      <c r="BO232" s="8"/>
      <c r="BP232" s="8"/>
      <c r="BQ232" s="6"/>
      <c r="BR232" s="8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7"/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</row>
    <row r="233">
      <c r="A233" s="6"/>
      <c r="B233" s="6" t="s">
        <v>233</v>
      </c>
      <c r="C233" s="3" t="str">
        <f t="shared" si="3"/>
        <v>faded red</v>
      </c>
      <c r="D233" s="3" t="str">
        <f t="shared" si="17"/>
        <v>ZZZ</v>
      </c>
      <c r="E233" s="3" t="b">
        <f t="array" ref="E233">OR(ISNUMBER(SEARCH(D$2:D$30,$B233,5)))</f>
        <v>0</v>
      </c>
      <c r="G233" s="3" t="str">
        <f t="shared" si="4"/>
        <v>ZZZ</v>
      </c>
      <c r="H233" s="3" t="b">
        <f t="array" ref="H233">OR(ISNUMBER(SEARCH(G$2:G$30,$B233,5)))</f>
        <v>0</v>
      </c>
      <c r="J233" s="3" t="str">
        <f t="shared" si="5"/>
        <v>ZZZ</v>
      </c>
      <c r="K233" s="3" t="b">
        <f t="array" ref="K233">OR(ISNUMBER(SEARCH(J$2:J$30,$B233,5)))</f>
        <v>0</v>
      </c>
      <c r="M233" s="3" t="str">
        <f t="shared" si="6"/>
        <v>ZZZ</v>
      </c>
      <c r="N233" s="3" t="b">
        <f t="array" ref="N233">OR(ISNUMBER(SEARCH(M$2:M$30,$B233,5)))</f>
        <v>0</v>
      </c>
      <c r="P233" s="3" t="str">
        <f t="shared" si="7"/>
        <v>ZZZ</v>
      </c>
      <c r="Q233" s="3" t="b">
        <f t="array" ref="Q233">OR(ISNUMBER(SEARCH(P$2:P$50,$B233,5)))</f>
        <v>0</v>
      </c>
      <c r="S233" s="3" t="str">
        <f t="shared" si="8"/>
        <v>ZZZ</v>
      </c>
      <c r="T233" s="3" t="b">
        <f t="array" ref="T233">OR(ISNUMBER(SEARCH(S$2:S$100,$B233,5)))</f>
        <v>0</v>
      </c>
      <c r="V233" s="3" t="str">
        <f t="shared" si="9"/>
        <v>ZZZ</v>
      </c>
      <c r="W233" s="3" t="b">
        <f t="array" ref="W233">OR(ISNUMBER(SEARCH(V$2:V$100,$B233,5)))</f>
        <v>0</v>
      </c>
      <c r="Y233" s="3" t="str">
        <f t="shared" si="10"/>
        <v>ZZZ</v>
      </c>
      <c r="Z233" s="3" t="b">
        <f t="array" ref="Z233">OR(ISNUMBER(SEARCH(Y$2:Y$100,$B233,5)))</f>
        <v>0</v>
      </c>
      <c r="AB233" s="3" t="str">
        <f t="shared" si="11"/>
        <v>ZZZ</v>
      </c>
      <c r="AC233" s="3" t="b">
        <f t="array" ref="AC233">OR(ISNUMBER(SEARCH(AB$2:AB$100,$B233,5)))</f>
        <v>0</v>
      </c>
      <c r="AE233" s="3" t="str">
        <f t="shared" si="12"/>
        <v>ZZZ</v>
      </c>
      <c r="AF233" s="3" t="b">
        <f t="array" ref="AF233">OR(ISNUMBER(SEARCH(AE$2:AE$100,$B233,5)))</f>
        <v>0</v>
      </c>
      <c r="AH233" s="3" t="str">
        <f t="shared" si="13"/>
        <v>ZZZ</v>
      </c>
      <c r="AI233" s="3" t="b">
        <f t="array" ref="AI233">OR(ISNUMBER(SEARCH(AH$2:AH$100,$B233,5)))</f>
        <v>0</v>
      </c>
      <c r="AK233" s="3" t="str">
        <f t="shared" si="14"/>
        <v>ZZZ</v>
      </c>
      <c r="AL233" s="3" t="b">
        <f t="array" ref="AL233">OR(ISNUMBER(SEARCH(AK$2:AK$100,$B233,5)))</f>
        <v>0</v>
      </c>
      <c r="AU233" s="8"/>
      <c r="AV233" s="6"/>
      <c r="AW233" s="8"/>
      <c r="AX233" s="8"/>
      <c r="AY233" s="6"/>
      <c r="AZ233" s="8"/>
      <c r="BA233" s="8"/>
      <c r="BB233" s="6" t="str">
        <f>IFERROR(__xludf.DUMMYFUNCTION("""COMPUTED_VALUE"""),"muted tomato")</f>
        <v>muted tomato</v>
      </c>
      <c r="BC233" s="8"/>
      <c r="BD233" s="8"/>
      <c r="BE233" s="6"/>
      <c r="BF233" s="8"/>
      <c r="BG233" s="8"/>
      <c r="BH233" s="6"/>
      <c r="BI233" s="8"/>
      <c r="BJ233" s="8"/>
      <c r="BK233" s="6"/>
      <c r="BL233" s="8"/>
      <c r="BM233" s="8"/>
      <c r="BN233" s="6"/>
      <c r="BO233" s="8"/>
      <c r="BP233" s="8"/>
      <c r="BQ233" s="6"/>
      <c r="BR233" s="8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</row>
    <row r="234">
      <c r="A234" s="6"/>
      <c r="B234" s="6" t="s">
        <v>234</v>
      </c>
      <c r="C234" s="3" t="str">
        <f t="shared" si="3"/>
        <v>shiny bronze</v>
      </c>
      <c r="D234" s="3" t="str">
        <f t="shared" si="17"/>
        <v>ZZZ</v>
      </c>
      <c r="E234" s="3" t="b">
        <f t="array" ref="E234">OR(ISNUMBER(SEARCH(D$2:D$30,$B234,5)))</f>
        <v>0</v>
      </c>
      <c r="G234" s="3" t="str">
        <f t="shared" si="4"/>
        <v>ZZZ</v>
      </c>
      <c r="H234" s="3" t="b">
        <f t="array" ref="H234">OR(ISNUMBER(SEARCH(G$2:G$30,$B234,5)))</f>
        <v>0</v>
      </c>
      <c r="J234" s="3" t="str">
        <f t="shared" si="5"/>
        <v>ZZZ</v>
      </c>
      <c r="K234" s="3" t="b">
        <f t="array" ref="K234">OR(ISNUMBER(SEARCH(J$2:J$30,$B234,5)))</f>
        <v>0</v>
      </c>
      <c r="M234" s="3" t="str">
        <f t="shared" si="6"/>
        <v>ZZZ</v>
      </c>
      <c r="N234" s="3" t="b">
        <f t="array" ref="N234">OR(ISNUMBER(SEARCH(M$2:M$30,$B234,5)))</f>
        <v>0</v>
      </c>
      <c r="P234" s="3" t="str">
        <f t="shared" si="7"/>
        <v>ZZZ</v>
      </c>
      <c r="Q234" s="3" t="b">
        <f t="array" ref="Q234">OR(ISNUMBER(SEARCH(P$2:P$50,$B234,5)))</f>
        <v>1</v>
      </c>
      <c r="S234" s="3" t="str">
        <f t="shared" si="8"/>
        <v>ZZZ</v>
      </c>
      <c r="T234" s="3" t="b">
        <f t="array" ref="T234">OR(ISNUMBER(SEARCH(S$2:S$100,$B234,5)))</f>
        <v>0</v>
      </c>
      <c r="V234" s="3" t="str">
        <f t="shared" si="9"/>
        <v>ZZZ</v>
      </c>
      <c r="W234" s="3" t="b">
        <f t="array" ref="W234">OR(ISNUMBER(SEARCH(V$2:V$100,$B234,5)))</f>
        <v>0</v>
      </c>
      <c r="Y234" s="3" t="str">
        <f t="shared" si="10"/>
        <v>ZZZ</v>
      </c>
      <c r="Z234" s="3" t="b">
        <f t="array" ref="Z234">OR(ISNUMBER(SEARCH(Y$2:Y$100,$B234,5)))</f>
        <v>0</v>
      </c>
      <c r="AB234" s="3" t="str">
        <f t="shared" si="11"/>
        <v>ZZZ</v>
      </c>
      <c r="AC234" s="3" t="b">
        <f t="array" ref="AC234">OR(ISNUMBER(SEARCH(AB$2:AB$100,$B234,5)))</f>
        <v>0</v>
      </c>
      <c r="AE234" s="3" t="str">
        <f t="shared" si="12"/>
        <v>ZZZ</v>
      </c>
      <c r="AF234" s="3" t="b">
        <f t="array" ref="AF234">OR(ISNUMBER(SEARCH(AE$2:AE$100,$B234,5)))</f>
        <v>0</v>
      </c>
      <c r="AH234" s="3" t="str">
        <f t="shared" si="13"/>
        <v>ZZZ</v>
      </c>
      <c r="AI234" s="3" t="b">
        <f t="array" ref="AI234">OR(ISNUMBER(SEARCH(AH$2:AH$100,$B234,5)))</f>
        <v>0</v>
      </c>
      <c r="AK234" s="3" t="str">
        <f t="shared" si="14"/>
        <v>ZZZ</v>
      </c>
      <c r="AL234" s="3" t="b">
        <f t="array" ref="AL234">OR(ISNUMBER(SEARCH(AK$2:AK$100,$B234,5)))</f>
        <v>0</v>
      </c>
      <c r="AU234" s="8"/>
      <c r="AV234" s="6"/>
      <c r="AW234" s="8"/>
      <c r="AX234" s="8"/>
      <c r="AY234" s="6"/>
      <c r="AZ234" s="8"/>
      <c r="BA234" s="8"/>
      <c r="BB234" s="6" t="str">
        <f>IFERROR(__xludf.DUMMYFUNCTION("""COMPUTED_VALUE"""),"posh crimson")</f>
        <v>posh crimson</v>
      </c>
      <c r="BC234" s="8"/>
      <c r="BD234" s="8"/>
      <c r="BE234" s="6"/>
      <c r="BF234" s="8"/>
      <c r="BG234" s="8"/>
      <c r="BH234" s="6"/>
      <c r="BI234" s="8"/>
      <c r="BJ234" s="8"/>
      <c r="BK234" s="6"/>
      <c r="BL234" s="8"/>
      <c r="BM234" s="8"/>
      <c r="BN234" s="6"/>
      <c r="BO234" s="8"/>
      <c r="BP234" s="8"/>
      <c r="BQ234" s="6"/>
      <c r="BR234" s="8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</row>
    <row r="235">
      <c r="A235" s="6"/>
      <c r="B235" s="6" t="s">
        <v>235</v>
      </c>
      <c r="C235" s="3" t="str">
        <f t="shared" si="3"/>
        <v>dull gold</v>
      </c>
      <c r="D235" s="3" t="str">
        <f t="shared" si="17"/>
        <v>ZZZ</v>
      </c>
      <c r="E235" s="3" t="b">
        <f t="array" ref="E235">OR(ISNUMBER(SEARCH(D$2:D$30,$B235,5)))</f>
        <v>0</v>
      </c>
      <c r="G235" s="3" t="str">
        <f t="shared" si="4"/>
        <v>ZZZ</v>
      </c>
      <c r="H235" s="3" t="b">
        <f t="array" ref="H235">OR(ISNUMBER(SEARCH(G$2:G$30,$B235,5)))</f>
        <v>0</v>
      </c>
      <c r="J235" s="3" t="str">
        <f t="shared" si="5"/>
        <v>ZZZ</v>
      </c>
      <c r="K235" s="3" t="b">
        <f t="array" ref="K235">OR(ISNUMBER(SEARCH(J$2:J$30,$B235,5)))</f>
        <v>0</v>
      </c>
      <c r="M235" s="3" t="str">
        <f t="shared" si="6"/>
        <v>ZZZ</v>
      </c>
      <c r="N235" s="3" t="b">
        <f t="array" ref="N235">OR(ISNUMBER(SEARCH(M$2:M$30,$B235,5)))</f>
        <v>0</v>
      </c>
      <c r="P235" s="3" t="str">
        <f t="shared" si="7"/>
        <v>ZZZ</v>
      </c>
      <c r="Q235" s="3" t="b">
        <f t="array" ref="Q235">OR(ISNUMBER(SEARCH(P$2:P$50,$B235,5)))</f>
        <v>0</v>
      </c>
      <c r="S235" s="3" t="str">
        <f t="shared" si="8"/>
        <v>ZZZ</v>
      </c>
      <c r="T235" s="3" t="b">
        <f t="array" ref="T235">OR(ISNUMBER(SEARCH(S$2:S$100,$B235,5)))</f>
        <v>0</v>
      </c>
      <c r="V235" s="3" t="str">
        <f t="shared" si="9"/>
        <v>ZZZ</v>
      </c>
      <c r="W235" s="3" t="b">
        <f t="array" ref="W235">OR(ISNUMBER(SEARCH(V$2:V$100,$B235,5)))</f>
        <v>0</v>
      </c>
      <c r="Y235" s="3" t="str">
        <f t="shared" si="10"/>
        <v>ZZZ</v>
      </c>
      <c r="Z235" s="3" t="b">
        <f t="array" ref="Z235">OR(ISNUMBER(SEARCH(Y$2:Y$100,$B235,5)))</f>
        <v>0</v>
      </c>
      <c r="AB235" s="3" t="str">
        <f t="shared" si="11"/>
        <v>ZZZ</v>
      </c>
      <c r="AC235" s="3" t="b">
        <f t="array" ref="AC235">OR(ISNUMBER(SEARCH(AB$2:AB$100,$B235,5)))</f>
        <v>0</v>
      </c>
      <c r="AE235" s="3" t="str">
        <f t="shared" si="12"/>
        <v>ZZZ</v>
      </c>
      <c r="AF235" s="3" t="b">
        <f t="array" ref="AF235">OR(ISNUMBER(SEARCH(AE$2:AE$100,$B235,5)))</f>
        <v>0</v>
      </c>
      <c r="AH235" s="3" t="str">
        <f t="shared" si="13"/>
        <v>ZZZ</v>
      </c>
      <c r="AI235" s="3" t="b">
        <f t="array" ref="AI235">OR(ISNUMBER(SEARCH(AH$2:AH$100,$B235,5)))</f>
        <v>0</v>
      </c>
      <c r="AK235" s="3" t="str">
        <f t="shared" si="14"/>
        <v>ZZZ</v>
      </c>
      <c r="AL235" s="3" t="b">
        <f t="array" ref="AL235">OR(ISNUMBER(SEARCH(AK$2:AK$100,$B235,5)))</f>
        <v>0</v>
      </c>
      <c r="AU235" s="8"/>
      <c r="AV235" s="6"/>
      <c r="AW235" s="8"/>
      <c r="AX235" s="8"/>
      <c r="AY235" s="6"/>
      <c r="AZ235" s="8"/>
      <c r="BA235" s="8"/>
      <c r="BB235" s="6" t="str">
        <f>IFERROR(__xludf.DUMMYFUNCTION("""COMPUTED_VALUE"""),"dim magenta")</f>
        <v>dim magenta</v>
      </c>
      <c r="BC235" s="8"/>
      <c r="BD235" s="8"/>
      <c r="BE235" s="6"/>
      <c r="BF235" s="8"/>
      <c r="BG235" s="8"/>
      <c r="BH235" s="6"/>
      <c r="BI235" s="8"/>
      <c r="BJ235" s="8"/>
      <c r="BK235" s="6"/>
      <c r="BL235" s="8"/>
      <c r="BM235" s="8"/>
      <c r="BN235" s="6"/>
      <c r="BO235" s="8"/>
      <c r="BP235" s="8"/>
      <c r="BQ235" s="6"/>
      <c r="BR235" s="8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</row>
    <row r="236">
      <c r="A236" s="6"/>
      <c r="B236" s="6" t="s">
        <v>236</v>
      </c>
      <c r="C236" s="3" t="str">
        <f t="shared" si="3"/>
        <v>muted olive</v>
      </c>
      <c r="D236" s="3" t="str">
        <f t="shared" si="17"/>
        <v>ZZZ</v>
      </c>
      <c r="E236" s="3" t="b">
        <f t="array" ref="E236">OR(ISNUMBER(SEARCH(D$2:D$30,$B236,5)))</f>
        <v>0</v>
      </c>
      <c r="G236" s="3" t="str">
        <f t="shared" si="4"/>
        <v>ZZZ</v>
      </c>
      <c r="H236" s="3" t="b">
        <f t="array" ref="H236">OR(ISNUMBER(SEARCH(G$2:G$30,$B236,5)))</f>
        <v>0</v>
      </c>
      <c r="J236" s="3" t="str">
        <f t="shared" si="5"/>
        <v>ZZZ</v>
      </c>
      <c r="K236" s="3" t="b">
        <f t="array" ref="K236">OR(ISNUMBER(SEARCH(J$2:J$30,$B236,5)))</f>
        <v>0</v>
      </c>
      <c r="M236" s="3" t="str">
        <f t="shared" si="6"/>
        <v>ZZZ</v>
      </c>
      <c r="N236" s="3" t="b">
        <f t="array" ref="N236">OR(ISNUMBER(SEARCH(M$2:M$30,$B236,5)))</f>
        <v>0</v>
      </c>
      <c r="P236" s="3" t="str">
        <f t="shared" si="7"/>
        <v>ZZZ</v>
      </c>
      <c r="Q236" s="3" t="b">
        <f t="array" ref="Q236">OR(ISNUMBER(SEARCH(P$2:P$50,$B236,5)))</f>
        <v>0</v>
      </c>
      <c r="S236" s="3" t="str">
        <f t="shared" si="8"/>
        <v>ZZZ</v>
      </c>
      <c r="T236" s="3" t="b">
        <f t="array" ref="T236">OR(ISNUMBER(SEARCH(S$2:S$100,$B236,5)))</f>
        <v>0</v>
      </c>
      <c r="V236" s="3" t="str">
        <f t="shared" si="9"/>
        <v>ZZZ</v>
      </c>
      <c r="W236" s="3" t="b">
        <f t="array" ref="W236">OR(ISNUMBER(SEARCH(V$2:V$100,$B236,5)))</f>
        <v>0</v>
      </c>
      <c r="Y236" s="3" t="str">
        <f t="shared" si="10"/>
        <v>ZZZ</v>
      </c>
      <c r="Z236" s="3" t="b">
        <f t="array" ref="Z236">OR(ISNUMBER(SEARCH(Y$2:Y$100,$B236,5)))</f>
        <v>0</v>
      </c>
      <c r="AB236" s="3" t="str">
        <f t="shared" si="11"/>
        <v>ZZZ</v>
      </c>
      <c r="AC236" s="3" t="b">
        <f t="array" ref="AC236">OR(ISNUMBER(SEARCH(AB$2:AB$100,$B236,5)))</f>
        <v>0</v>
      </c>
      <c r="AE236" s="3" t="str">
        <f t="shared" si="12"/>
        <v>ZZZ</v>
      </c>
      <c r="AF236" s="3" t="b">
        <f t="array" ref="AF236">OR(ISNUMBER(SEARCH(AE$2:AE$100,$B236,5)))</f>
        <v>0</v>
      </c>
      <c r="AH236" s="3" t="str">
        <f t="shared" si="13"/>
        <v>ZZZ</v>
      </c>
      <c r="AI236" s="3" t="b">
        <f t="array" ref="AI236">OR(ISNUMBER(SEARCH(AH$2:AH$100,$B236,5)))</f>
        <v>0</v>
      </c>
      <c r="AK236" s="3" t="str">
        <f t="shared" si="14"/>
        <v>ZZZ</v>
      </c>
      <c r="AL236" s="3" t="b">
        <f t="array" ref="AL236">OR(ISNUMBER(SEARCH(AK$2:AK$100,$B236,5)))</f>
        <v>0</v>
      </c>
      <c r="AU236" s="8"/>
      <c r="AV236" s="6"/>
      <c r="AW236" s="8"/>
      <c r="AX236" s="8"/>
      <c r="AY236" s="6"/>
      <c r="AZ236" s="8"/>
      <c r="BA236" s="8"/>
      <c r="BB236" s="6" t="str">
        <f>IFERROR(__xludf.DUMMYFUNCTION("""COMPUTED_VALUE"""),"muted black")</f>
        <v>muted black</v>
      </c>
      <c r="BC236" s="8"/>
      <c r="BD236" s="8"/>
      <c r="BE236" s="6"/>
      <c r="BF236" s="8"/>
      <c r="BG236" s="8"/>
      <c r="BH236" s="6"/>
      <c r="BI236" s="8"/>
      <c r="BJ236" s="8"/>
      <c r="BK236" s="6"/>
      <c r="BL236" s="8"/>
      <c r="BM236" s="8"/>
      <c r="BN236" s="6"/>
      <c r="BO236" s="8"/>
      <c r="BP236" s="8"/>
      <c r="BQ236" s="6"/>
      <c r="BR236" s="8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</row>
    <row r="237">
      <c r="A237" s="6"/>
      <c r="B237" s="6" t="s">
        <v>237</v>
      </c>
      <c r="C237" s="3" t="str">
        <f t="shared" si="3"/>
        <v>dotted bronze</v>
      </c>
      <c r="D237" s="3" t="str">
        <f t="shared" si="17"/>
        <v>ZZZ</v>
      </c>
      <c r="E237" s="3" t="b">
        <f t="array" ref="E237">OR(ISNUMBER(SEARCH(D$2:D$30,$B237,5)))</f>
        <v>0</v>
      </c>
      <c r="G237" s="3" t="str">
        <f t="shared" si="4"/>
        <v>ZZZ</v>
      </c>
      <c r="H237" s="3" t="b">
        <f t="array" ref="H237">OR(ISNUMBER(SEARCH(G$2:G$30,$B237,5)))</f>
        <v>0</v>
      </c>
      <c r="J237" s="3" t="str">
        <f t="shared" si="5"/>
        <v>ZZZ</v>
      </c>
      <c r="K237" s="3" t="b">
        <f t="array" ref="K237">OR(ISNUMBER(SEARCH(J$2:J$30,$B237,5)))</f>
        <v>0</v>
      </c>
      <c r="M237" s="3" t="str">
        <f t="shared" si="6"/>
        <v>ZZZ</v>
      </c>
      <c r="N237" s="3" t="b">
        <f t="array" ref="N237">OR(ISNUMBER(SEARCH(M$2:M$30,$B237,5)))</f>
        <v>0</v>
      </c>
      <c r="P237" s="3" t="str">
        <f t="shared" si="7"/>
        <v>ZZZ</v>
      </c>
      <c r="Q237" s="3" t="b">
        <f t="array" ref="Q237">OR(ISNUMBER(SEARCH(P$2:P$50,$B237,5)))</f>
        <v>1</v>
      </c>
      <c r="S237" s="3" t="str">
        <f t="shared" si="8"/>
        <v>ZZZ</v>
      </c>
      <c r="T237" s="3" t="b">
        <f t="array" ref="T237">OR(ISNUMBER(SEARCH(S$2:S$100,$B237,5)))</f>
        <v>0</v>
      </c>
      <c r="V237" s="3" t="str">
        <f t="shared" si="9"/>
        <v>ZZZ</v>
      </c>
      <c r="W237" s="3" t="b">
        <f t="array" ref="W237">OR(ISNUMBER(SEARCH(V$2:V$100,$B237,5)))</f>
        <v>1</v>
      </c>
      <c r="Y237" s="3" t="str">
        <f t="shared" si="10"/>
        <v>ZZZ</v>
      </c>
      <c r="Z237" s="3" t="b">
        <f t="array" ref="Z237">OR(ISNUMBER(SEARCH(Y$2:Y$100,$B237,5)))</f>
        <v>1</v>
      </c>
      <c r="AB237" s="3" t="str">
        <f t="shared" si="11"/>
        <v>ZZZ</v>
      </c>
      <c r="AC237" s="3" t="b">
        <f t="array" ref="AC237">OR(ISNUMBER(SEARCH(AB$2:AB$100,$B237,5)))</f>
        <v>0</v>
      </c>
      <c r="AE237" s="3" t="str">
        <f t="shared" si="12"/>
        <v>ZZZ</v>
      </c>
      <c r="AF237" s="3" t="b">
        <f t="array" ref="AF237">OR(ISNUMBER(SEARCH(AE$2:AE$100,$B237,5)))</f>
        <v>0</v>
      </c>
      <c r="AH237" s="3" t="str">
        <f t="shared" si="13"/>
        <v>ZZZ</v>
      </c>
      <c r="AI237" s="3" t="b">
        <f t="array" ref="AI237">OR(ISNUMBER(SEARCH(AH$2:AH$100,$B237,5)))</f>
        <v>0</v>
      </c>
      <c r="AK237" s="3" t="str">
        <f t="shared" si="14"/>
        <v>ZZZ</v>
      </c>
      <c r="AL237" s="3" t="b">
        <f t="array" ref="AL237">OR(ISNUMBER(SEARCH(AK$2:AK$100,$B237,5)))</f>
        <v>0</v>
      </c>
      <c r="AU237" s="8"/>
      <c r="AV237" s="6"/>
      <c r="AW237" s="8"/>
      <c r="AX237" s="8"/>
      <c r="AY237" s="6"/>
      <c r="AZ237" s="8"/>
      <c r="BA237" s="8"/>
      <c r="BB237" s="6" t="str">
        <f>IFERROR(__xludf.DUMMYFUNCTION("""COMPUTED_VALUE"""),"plaid coral")</f>
        <v>plaid coral</v>
      </c>
      <c r="BC237" s="8"/>
      <c r="BD237" s="8"/>
      <c r="BE237" s="6"/>
      <c r="BF237" s="8"/>
      <c r="BG237" s="8"/>
      <c r="BH237" s="6"/>
      <c r="BI237" s="8"/>
      <c r="BJ237" s="8"/>
      <c r="BK237" s="6"/>
      <c r="BL237" s="8"/>
      <c r="BM237" s="8"/>
      <c r="BN237" s="6"/>
      <c r="BO237" s="8"/>
      <c r="BP237" s="8"/>
      <c r="BQ237" s="6"/>
      <c r="BR237" s="8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</row>
    <row r="238">
      <c r="A238" s="6"/>
      <c r="B238" s="6" t="s">
        <v>238</v>
      </c>
      <c r="C238" s="3" t="str">
        <f t="shared" si="3"/>
        <v>shiny orange</v>
      </c>
      <c r="D238" s="3" t="str">
        <f t="shared" si="17"/>
        <v>ZZZ</v>
      </c>
      <c r="E238" s="3" t="b">
        <f t="array" ref="E238">OR(ISNUMBER(SEARCH(D$2:D$30,$B238,5)))</f>
        <v>0</v>
      </c>
      <c r="G238" s="3" t="str">
        <f t="shared" si="4"/>
        <v>ZZZ</v>
      </c>
      <c r="H238" s="3" t="b">
        <f t="array" ref="H238">OR(ISNUMBER(SEARCH(G$2:G$30,$B238,5)))</f>
        <v>0</v>
      </c>
      <c r="J238" s="3" t="str">
        <f t="shared" si="5"/>
        <v>ZZZ</v>
      </c>
      <c r="K238" s="3" t="b">
        <f t="array" ref="K238">OR(ISNUMBER(SEARCH(J$2:J$30,$B238,5)))</f>
        <v>0</v>
      </c>
      <c r="M238" s="3" t="str">
        <f t="shared" si="6"/>
        <v>ZZZ</v>
      </c>
      <c r="N238" s="3" t="b">
        <f t="array" ref="N238">OR(ISNUMBER(SEARCH(M$2:M$30,$B238,5)))</f>
        <v>0</v>
      </c>
      <c r="P238" s="3" t="str">
        <f t="shared" si="7"/>
        <v>ZZZ</v>
      </c>
      <c r="Q238" s="3" t="b">
        <f t="array" ref="Q238">OR(ISNUMBER(SEARCH(P$2:P$50,$B238,5)))</f>
        <v>0</v>
      </c>
      <c r="S238" s="3" t="str">
        <f t="shared" si="8"/>
        <v>ZZZ</v>
      </c>
      <c r="T238" s="3" t="b">
        <f t="array" ref="T238">OR(ISNUMBER(SEARCH(S$2:S$100,$B238,5)))</f>
        <v>0</v>
      </c>
      <c r="V238" s="3" t="str">
        <f t="shared" si="9"/>
        <v>ZZZ</v>
      </c>
      <c r="W238" s="3" t="b">
        <f t="array" ref="W238">OR(ISNUMBER(SEARCH(V$2:V$100,$B238,5)))</f>
        <v>1</v>
      </c>
      <c r="Y238" s="3" t="str">
        <f t="shared" si="10"/>
        <v>ZZZ</v>
      </c>
      <c r="Z238" s="3" t="b">
        <f t="array" ref="Z238">OR(ISNUMBER(SEARCH(Y$2:Y$100,$B238,5)))</f>
        <v>0</v>
      </c>
      <c r="AB238" s="3" t="str">
        <f t="shared" si="11"/>
        <v>ZZZ</v>
      </c>
      <c r="AC238" s="3" t="b">
        <f t="array" ref="AC238">OR(ISNUMBER(SEARCH(AB$2:AB$100,$B238,5)))</f>
        <v>0</v>
      </c>
      <c r="AE238" s="3" t="str">
        <f t="shared" si="12"/>
        <v>ZZZ</v>
      </c>
      <c r="AF238" s="3" t="b">
        <f t="array" ref="AF238">OR(ISNUMBER(SEARCH(AE$2:AE$100,$B238,5)))</f>
        <v>1</v>
      </c>
      <c r="AH238" s="3" t="str">
        <f t="shared" si="13"/>
        <v>ZZZ</v>
      </c>
      <c r="AI238" s="3" t="b">
        <f t="array" ref="AI238">OR(ISNUMBER(SEARCH(AH$2:AH$100,$B238,5)))</f>
        <v>0</v>
      </c>
      <c r="AK238" s="3" t="str">
        <f t="shared" si="14"/>
        <v>ZZZ</v>
      </c>
      <c r="AL238" s="3" t="b">
        <f t="array" ref="AL238">OR(ISNUMBER(SEARCH(AK$2:AK$100,$B238,5)))</f>
        <v>0</v>
      </c>
      <c r="AU238" s="8"/>
      <c r="AV238" s="6"/>
      <c r="AW238" s="8"/>
      <c r="AX238" s="8"/>
      <c r="AY238" s="6"/>
      <c r="AZ238" s="8"/>
      <c r="BA238" s="8"/>
      <c r="BB238" s="6" t="str">
        <f>IFERROR(__xludf.DUMMYFUNCTION("""COMPUTED_VALUE"""),"posh black")</f>
        <v>posh black</v>
      </c>
      <c r="BC238" s="8"/>
      <c r="BD238" s="8"/>
      <c r="BE238" s="6"/>
      <c r="BF238" s="8"/>
      <c r="BG238" s="8"/>
      <c r="BH238" s="6"/>
      <c r="BI238" s="8"/>
      <c r="BJ238" s="8"/>
      <c r="BK238" s="6"/>
      <c r="BL238" s="8"/>
      <c r="BM238" s="8"/>
      <c r="BN238" s="6"/>
      <c r="BO238" s="8"/>
      <c r="BP238" s="8"/>
      <c r="BQ238" s="6"/>
      <c r="BR238" s="8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</row>
    <row r="239">
      <c r="A239" s="6"/>
      <c r="B239" s="6" t="s">
        <v>239</v>
      </c>
      <c r="C239" s="3" t="str">
        <f t="shared" si="3"/>
        <v>wavy salmon</v>
      </c>
      <c r="D239" s="3" t="str">
        <f t="shared" si="17"/>
        <v>ZZZ</v>
      </c>
      <c r="E239" s="3" t="b">
        <f t="array" ref="E239">OR(ISNUMBER(SEARCH(D$2:D$30,$B239,5)))</f>
        <v>0</v>
      </c>
      <c r="G239" s="3" t="str">
        <f t="shared" si="4"/>
        <v>ZZZ</v>
      </c>
      <c r="H239" s="3" t="b">
        <f t="array" ref="H239">OR(ISNUMBER(SEARCH(G$2:G$30,$B239,5)))</f>
        <v>0</v>
      </c>
      <c r="J239" s="3" t="str">
        <f t="shared" si="5"/>
        <v>ZZZ</v>
      </c>
      <c r="K239" s="3" t="b">
        <f t="array" ref="K239">OR(ISNUMBER(SEARCH(J$2:J$30,$B239,5)))</f>
        <v>0</v>
      </c>
      <c r="M239" s="3" t="str">
        <f t="shared" si="6"/>
        <v>ZZZ</v>
      </c>
      <c r="N239" s="3" t="b">
        <f t="array" ref="N239">OR(ISNUMBER(SEARCH(M$2:M$30,$B239,5)))</f>
        <v>0</v>
      </c>
      <c r="P239" s="3" t="str">
        <f t="shared" si="7"/>
        <v>ZZZ</v>
      </c>
      <c r="Q239" s="3" t="b">
        <f t="array" ref="Q239">OR(ISNUMBER(SEARCH(P$2:P$50,$B239,5)))</f>
        <v>0</v>
      </c>
      <c r="S239" s="3" t="str">
        <f t="shared" si="8"/>
        <v>ZZZ</v>
      </c>
      <c r="T239" s="3" t="b">
        <f t="array" ref="T239">OR(ISNUMBER(SEARCH(S$2:S$100,$B239,5)))</f>
        <v>0</v>
      </c>
      <c r="V239" s="3" t="str">
        <f t="shared" si="9"/>
        <v>ZZZ</v>
      </c>
      <c r="W239" s="3" t="b">
        <f t="array" ref="W239">OR(ISNUMBER(SEARCH(V$2:V$100,$B239,5)))</f>
        <v>0</v>
      </c>
      <c r="Y239" s="3" t="str">
        <f t="shared" si="10"/>
        <v>ZZZ</v>
      </c>
      <c r="Z239" s="3" t="b">
        <f t="array" ref="Z239">OR(ISNUMBER(SEARCH(Y$2:Y$100,$B239,5)))</f>
        <v>0</v>
      </c>
      <c r="AB239" s="3" t="str">
        <f t="shared" si="11"/>
        <v>ZZZ</v>
      </c>
      <c r="AC239" s="3" t="b">
        <f t="array" ref="AC239">OR(ISNUMBER(SEARCH(AB$2:AB$100,$B239,5)))</f>
        <v>0</v>
      </c>
      <c r="AE239" s="3" t="str">
        <f t="shared" si="12"/>
        <v>ZZZ</v>
      </c>
      <c r="AF239" s="3" t="b">
        <f t="array" ref="AF239">OR(ISNUMBER(SEARCH(AE$2:AE$100,$B239,5)))</f>
        <v>0</v>
      </c>
      <c r="AH239" s="3" t="str">
        <f t="shared" si="13"/>
        <v>ZZZ</v>
      </c>
      <c r="AI239" s="3" t="b">
        <f t="array" ref="AI239">OR(ISNUMBER(SEARCH(AH$2:AH$100,$B239,5)))</f>
        <v>0</v>
      </c>
      <c r="AK239" s="3" t="str">
        <f t="shared" si="14"/>
        <v>ZZZ</v>
      </c>
      <c r="AL239" s="3" t="b">
        <f t="array" ref="AL239">OR(ISNUMBER(SEARCH(AK$2:AK$100,$B239,5)))</f>
        <v>0</v>
      </c>
      <c r="AU239" s="8"/>
      <c r="AV239" s="6"/>
      <c r="AW239" s="8"/>
      <c r="AX239" s="8"/>
      <c r="AY239" s="6"/>
      <c r="AZ239" s="8"/>
      <c r="BA239" s="8"/>
      <c r="BB239" s="6" t="str">
        <f>IFERROR(__xludf.DUMMYFUNCTION("""COMPUTED_VALUE"""),"muted orange")</f>
        <v>muted orange</v>
      </c>
      <c r="BC239" s="8"/>
      <c r="BD239" s="8"/>
      <c r="BE239" s="6"/>
      <c r="BF239" s="8"/>
      <c r="BG239" s="8"/>
      <c r="BH239" s="6"/>
      <c r="BI239" s="8"/>
      <c r="BJ239" s="8"/>
      <c r="BK239" s="6"/>
      <c r="BL239" s="8"/>
      <c r="BM239" s="8"/>
      <c r="BN239" s="6"/>
      <c r="BO239" s="8"/>
      <c r="BP239" s="8"/>
      <c r="BQ239" s="6"/>
      <c r="BR239" s="8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</row>
    <row r="240">
      <c r="A240" s="6"/>
      <c r="B240" s="6" t="s">
        <v>240</v>
      </c>
      <c r="C240" s="3" t="str">
        <f t="shared" si="3"/>
        <v>wavy crimson</v>
      </c>
      <c r="D240" s="3" t="str">
        <f t="shared" si="17"/>
        <v>ZZZ</v>
      </c>
      <c r="E240" s="3" t="b">
        <f t="array" ref="E240">OR(ISNUMBER(SEARCH(D$2:D$30,$B240,5)))</f>
        <v>0</v>
      </c>
      <c r="G240" s="3" t="str">
        <f t="shared" si="4"/>
        <v>ZZZ</v>
      </c>
      <c r="H240" s="3" t="b">
        <f t="array" ref="H240">OR(ISNUMBER(SEARCH(G$2:G$30,$B240,5)))</f>
        <v>0</v>
      </c>
      <c r="J240" s="3" t="str">
        <f t="shared" si="5"/>
        <v>ZZZ</v>
      </c>
      <c r="K240" s="3" t="b">
        <f t="array" ref="K240">OR(ISNUMBER(SEARCH(J$2:J$30,$B240,5)))</f>
        <v>0</v>
      </c>
      <c r="M240" s="3" t="str">
        <f t="shared" si="6"/>
        <v>ZZZ</v>
      </c>
      <c r="N240" s="3" t="b">
        <f t="array" ref="N240">OR(ISNUMBER(SEARCH(M$2:M$30,$B240,5)))</f>
        <v>0</v>
      </c>
      <c r="P240" s="3" t="str">
        <f t="shared" si="7"/>
        <v>ZZZ</v>
      </c>
      <c r="Q240" s="3" t="b">
        <f t="array" ref="Q240">OR(ISNUMBER(SEARCH(P$2:P$50,$B240,5)))</f>
        <v>0</v>
      </c>
      <c r="S240" s="3" t="str">
        <f t="shared" si="8"/>
        <v>ZZZ</v>
      </c>
      <c r="T240" s="3" t="b">
        <f t="array" ref="T240">OR(ISNUMBER(SEARCH(S$2:S$100,$B240,5)))</f>
        <v>1</v>
      </c>
      <c r="V240" s="3" t="str">
        <f t="shared" si="9"/>
        <v>ZZZ</v>
      </c>
      <c r="W240" s="3" t="b">
        <f t="array" ref="W240">OR(ISNUMBER(SEARCH(V$2:V$100,$B240,5)))</f>
        <v>0</v>
      </c>
      <c r="Y240" s="3" t="str">
        <f t="shared" si="10"/>
        <v>ZZZ</v>
      </c>
      <c r="Z240" s="3" t="b">
        <f t="array" ref="Z240">OR(ISNUMBER(SEARCH(Y$2:Y$100,$B240,5)))</f>
        <v>0</v>
      </c>
      <c r="AB240" s="3" t="str">
        <f t="shared" si="11"/>
        <v>ZZZ</v>
      </c>
      <c r="AC240" s="3" t="b">
        <f t="array" ref="AC240">OR(ISNUMBER(SEARCH(AB$2:AB$100,$B240,5)))</f>
        <v>0</v>
      </c>
      <c r="AE240" s="3" t="str">
        <f t="shared" si="12"/>
        <v>ZZZ</v>
      </c>
      <c r="AF240" s="3" t="b">
        <f t="array" ref="AF240">OR(ISNUMBER(SEARCH(AE$2:AE$100,$B240,5)))</f>
        <v>0</v>
      </c>
      <c r="AH240" s="3" t="str">
        <f t="shared" si="13"/>
        <v>ZZZ</v>
      </c>
      <c r="AI240" s="3" t="b">
        <f t="array" ref="AI240">OR(ISNUMBER(SEARCH(AH$2:AH$100,$B240,5)))</f>
        <v>0</v>
      </c>
      <c r="AK240" s="3" t="str">
        <f t="shared" si="14"/>
        <v>ZZZ</v>
      </c>
      <c r="AL240" s="3" t="b">
        <f t="array" ref="AL240">OR(ISNUMBER(SEARCH(AK$2:AK$100,$B240,5)))</f>
        <v>0</v>
      </c>
      <c r="AU240" s="8"/>
      <c r="AV240" s="6"/>
      <c r="AW240" s="8"/>
      <c r="AX240" s="8"/>
      <c r="AY240" s="6"/>
      <c r="AZ240" s="8"/>
      <c r="BA240" s="8"/>
      <c r="BB240" s="6" t="str">
        <f>IFERROR(__xludf.DUMMYFUNCTION("""COMPUTED_VALUE"""),"dotted tan")</f>
        <v>dotted tan</v>
      </c>
      <c r="BC240" s="8"/>
      <c r="BD240" s="8"/>
      <c r="BE240" s="6"/>
      <c r="BF240" s="8"/>
      <c r="BG240" s="8"/>
      <c r="BH240" s="6"/>
      <c r="BI240" s="8"/>
      <c r="BJ240" s="8"/>
      <c r="BK240" s="6"/>
      <c r="BL240" s="8"/>
      <c r="BM240" s="8"/>
      <c r="BN240" s="6"/>
      <c r="BO240" s="8"/>
      <c r="BP240" s="8"/>
      <c r="BQ240" s="6"/>
      <c r="BR240" s="8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</row>
    <row r="241">
      <c r="A241" s="6"/>
      <c r="B241" s="6" t="s">
        <v>241</v>
      </c>
      <c r="C241" s="3" t="str">
        <f t="shared" si="3"/>
        <v>bright coral</v>
      </c>
      <c r="D241" s="3" t="str">
        <f t="shared" si="17"/>
        <v>ZZZ</v>
      </c>
      <c r="E241" s="3" t="b">
        <f t="array" ref="E241">OR(ISNUMBER(SEARCH(D$2:D$30,$B241,5)))</f>
        <v>0</v>
      </c>
      <c r="G241" s="3" t="str">
        <f t="shared" si="4"/>
        <v>ZZZ</v>
      </c>
      <c r="H241" s="3" t="b">
        <f t="array" ref="H241">OR(ISNUMBER(SEARCH(G$2:G$30,$B241,5)))</f>
        <v>0</v>
      </c>
      <c r="J241" s="3" t="str">
        <f t="shared" si="5"/>
        <v>ZZZ</v>
      </c>
      <c r="K241" s="3" t="b">
        <f t="array" ref="K241">OR(ISNUMBER(SEARCH(J$2:J$30,$B241,5)))</f>
        <v>0</v>
      </c>
      <c r="M241" s="3" t="str">
        <f t="shared" si="6"/>
        <v>ZZZ</v>
      </c>
      <c r="N241" s="3" t="b">
        <f t="array" ref="N241">OR(ISNUMBER(SEARCH(M$2:M$30,$B241,5)))</f>
        <v>0</v>
      </c>
      <c r="P241" s="3" t="str">
        <f t="shared" si="7"/>
        <v>ZZZ</v>
      </c>
      <c r="Q241" s="3" t="b">
        <f t="array" ref="Q241">OR(ISNUMBER(SEARCH(P$2:P$50,$B241,5)))</f>
        <v>0</v>
      </c>
      <c r="S241" s="3" t="str">
        <f t="shared" si="8"/>
        <v>ZZZ</v>
      </c>
      <c r="T241" s="3" t="b">
        <f t="array" ref="T241">OR(ISNUMBER(SEARCH(S$2:S$100,$B241,5)))</f>
        <v>0</v>
      </c>
      <c r="V241" s="3" t="str">
        <f t="shared" si="9"/>
        <v>ZZZ</v>
      </c>
      <c r="W241" s="3" t="b">
        <f t="array" ref="W241">OR(ISNUMBER(SEARCH(V$2:V$100,$B241,5)))</f>
        <v>0</v>
      </c>
      <c r="Y241" s="3" t="str">
        <f t="shared" si="10"/>
        <v>ZZZ</v>
      </c>
      <c r="Z241" s="3" t="b">
        <f t="array" ref="Z241">OR(ISNUMBER(SEARCH(Y$2:Y$100,$B241,5)))</f>
        <v>0</v>
      </c>
      <c r="AB241" s="3" t="str">
        <f t="shared" si="11"/>
        <v>ZZZ</v>
      </c>
      <c r="AC241" s="3" t="b">
        <f t="array" ref="AC241">OR(ISNUMBER(SEARCH(AB$2:AB$100,$B241,5)))</f>
        <v>0</v>
      </c>
      <c r="AE241" s="3" t="str">
        <f t="shared" si="12"/>
        <v>ZZZ</v>
      </c>
      <c r="AF241" s="3" t="b">
        <f t="array" ref="AF241">OR(ISNUMBER(SEARCH(AE$2:AE$100,$B241,5)))</f>
        <v>0</v>
      </c>
      <c r="AH241" s="3" t="str">
        <f t="shared" si="13"/>
        <v>ZZZ</v>
      </c>
      <c r="AI241" s="3" t="b">
        <f t="array" ref="AI241">OR(ISNUMBER(SEARCH(AH$2:AH$100,$B241,5)))</f>
        <v>0</v>
      </c>
      <c r="AK241" s="3" t="str">
        <f t="shared" si="14"/>
        <v>ZZZ</v>
      </c>
      <c r="AL241" s="3" t="b">
        <f t="array" ref="AL241">OR(ISNUMBER(SEARCH(AK$2:AK$100,$B241,5)))</f>
        <v>0</v>
      </c>
      <c r="AU241" s="8"/>
      <c r="AV241" s="6"/>
      <c r="AW241" s="8"/>
      <c r="AX241" s="8"/>
      <c r="AY241" s="6"/>
      <c r="AZ241" s="8"/>
      <c r="BA241" s="8"/>
      <c r="BB241" s="6" t="str">
        <f>IFERROR(__xludf.DUMMYFUNCTION("""COMPUTED_VALUE"""),"plaid orange")</f>
        <v>plaid orange</v>
      </c>
      <c r="BC241" s="8"/>
      <c r="BD241" s="8"/>
      <c r="BE241" s="6"/>
      <c r="BF241" s="8"/>
      <c r="BG241" s="8"/>
      <c r="BH241" s="6"/>
      <c r="BI241" s="8"/>
      <c r="BJ241" s="8"/>
      <c r="BK241" s="6"/>
      <c r="BL241" s="8"/>
      <c r="BM241" s="8"/>
      <c r="BN241" s="6"/>
      <c r="BO241" s="8"/>
      <c r="BP241" s="8"/>
      <c r="BQ241" s="6"/>
      <c r="BR241" s="8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</row>
    <row r="242">
      <c r="A242" s="6"/>
      <c r="B242" s="6" t="s">
        <v>242</v>
      </c>
      <c r="C242" s="3" t="str">
        <f t="shared" si="3"/>
        <v>dotted crimson</v>
      </c>
      <c r="D242" s="3" t="str">
        <f t="shared" si="17"/>
        <v>ZZZ</v>
      </c>
      <c r="E242" s="3" t="b">
        <f t="array" ref="E242">OR(ISNUMBER(SEARCH(D$2:D$30,$B242,5)))</f>
        <v>0</v>
      </c>
      <c r="G242" s="3" t="str">
        <f t="shared" si="4"/>
        <v>ZZZ</v>
      </c>
      <c r="H242" s="3" t="b">
        <f t="array" ref="H242">OR(ISNUMBER(SEARCH(G$2:G$30,$B242,5)))</f>
        <v>0</v>
      </c>
      <c r="J242" s="3" t="str">
        <f t="shared" si="5"/>
        <v>ZZZ</v>
      </c>
      <c r="K242" s="3" t="b">
        <f t="array" ref="K242">OR(ISNUMBER(SEARCH(J$2:J$30,$B242,5)))</f>
        <v>0</v>
      </c>
      <c r="M242" s="3" t="str">
        <f t="shared" si="6"/>
        <v>ZZZ</v>
      </c>
      <c r="N242" s="3" t="b">
        <f t="array" ref="N242">OR(ISNUMBER(SEARCH(M$2:M$30,$B242,5)))</f>
        <v>0</v>
      </c>
      <c r="P242" s="3" t="str">
        <f t="shared" si="7"/>
        <v>ZZZ</v>
      </c>
      <c r="Q242" s="3" t="b">
        <f t="array" ref="Q242">OR(ISNUMBER(SEARCH(P$2:P$50,$B242,5)))</f>
        <v>0</v>
      </c>
      <c r="S242" s="3" t="str">
        <f t="shared" si="8"/>
        <v>ZZZ</v>
      </c>
      <c r="T242" s="3" t="b">
        <f t="array" ref="T242">OR(ISNUMBER(SEARCH(S$2:S$100,$B242,5)))</f>
        <v>0</v>
      </c>
      <c r="V242" s="3" t="str">
        <f t="shared" si="9"/>
        <v>ZZZ</v>
      </c>
      <c r="W242" s="3" t="b">
        <f t="array" ref="W242">OR(ISNUMBER(SEARCH(V$2:V$100,$B242,5)))</f>
        <v>0</v>
      </c>
      <c r="Y242" s="3" t="str">
        <f t="shared" si="10"/>
        <v>ZZZ</v>
      </c>
      <c r="Z242" s="3" t="b">
        <f t="array" ref="Z242">OR(ISNUMBER(SEARCH(Y$2:Y$100,$B242,5)))</f>
        <v>0</v>
      </c>
      <c r="AB242" s="3" t="str">
        <f t="shared" si="11"/>
        <v>ZZZ</v>
      </c>
      <c r="AC242" s="3" t="b">
        <f t="array" ref="AC242">OR(ISNUMBER(SEARCH(AB$2:AB$100,$B242,5)))</f>
        <v>0</v>
      </c>
      <c r="AE242" s="3" t="str">
        <f t="shared" si="12"/>
        <v>ZZZ</v>
      </c>
      <c r="AF242" s="3" t="b">
        <f t="array" ref="AF242">OR(ISNUMBER(SEARCH(AE$2:AE$100,$B242,5)))</f>
        <v>0</v>
      </c>
      <c r="AH242" s="3" t="str">
        <f t="shared" si="13"/>
        <v>ZZZ</v>
      </c>
      <c r="AI242" s="3" t="b">
        <f t="array" ref="AI242">OR(ISNUMBER(SEARCH(AH$2:AH$100,$B242,5)))</f>
        <v>0</v>
      </c>
      <c r="AK242" s="3" t="str">
        <f t="shared" si="14"/>
        <v>ZZZ</v>
      </c>
      <c r="AL242" s="3" t="b">
        <f t="array" ref="AL242">OR(ISNUMBER(SEARCH(AK$2:AK$100,$B242,5)))</f>
        <v>0</v>
      </c>
      <c r="AU242" s="8"/>
      <c r="AV242" s="6"/>
      <c r="AW242" s="8"/>
      <c r="AX242" s="8"/>
      <c r="AY242" s="6"/>
      <c r="AZ242" s="8"/>
      <c r="BA242" s="8"/>
      <c r="BB242" s="6" t="str">
        <f>IFERROR(__xludf.DUMMYFUNCTION("""COMPUTED_VALUE"""),"light salmon")</f>
        <v>light salmon</v>
      </c>
      <c r="BC242" s="8"/>
      <c r="BD242" s="8"/>
      <c r="BE242" s="6"/>
      <c r="BF242" s="8"/>
      <c r="BG242" s="8"/>
      <c r="BH242" s="6"/>
      <c r="BI242" s="8"/>
      <c r="BJ242" s="8"/>
      <c r="BK242" s="6"/>
      <c r="BL242" s="8"/>
      <c r="BM242" s="8"/>
      <c r="BN242" s="6"/>
      <c r="BO242" s="8"/>
      <c r="BP242" s="8"/>
      <c r="BQ242" s="6"/>
      <c r="BR242" s="8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</row>
    <row r="243">
      <c r="A243" s="6"/>
      <c r="B243" s="6" t="s">
        <v>243</v>
      </c>
      <c r="C243" s="3" t="str">
        <f t="shared" si="3"/>
        <v>bright violet</v>
      </c>
      <c r="D243" s="3" t="str">
        <f t="shared" si="17"/>
        <v>ZZZ</v>
      </c>
      <c r="E243" s="3" t="b">
        <f t="array" ref="E243">OR(ISNUMBER(SEARCH(D$2:D$30,$B243,5)))</f>
        <v>0</v>
      </c>
      <c r="G243" s="3" t="str">
        <f t="shared" si="4"/>
        <v>ZZZ</v>
      </c>
      <c r="H243" s="3" t="b">
        <f t="array" ref="H243">OR(ISNUMBER(SEARCH(G$2:G$30,$B243,5)))</f>
        <v>0</v>
      </c>
      <c r="J243" s="3" t="str">
        <f t="shared" si="5"/>
        <v>ZZZ</v>
      </c>
      <c r="K243" s="3" t="b">
        <f t="array" ref="K243">OR(ISNUMBER(SEARCH(J$2:J$30,$B243,5)))</f>
        <v>0</v>
      </c>
      <c r="M243" s="3" t="str">
        <f t="shared" si="6"/>
        <v>ZZZ</v>
      </c>
      <c r="N243" s="3" t="b">
        <f t="array" ref="N243">OR(ISNUMBER(SEARCH(M$2:M$30,$B243,5)))</f>
        <v>0</v>
      </c>
      <c r="P243" s="3" t="str">
        <f t="shared" si="7"/>
        <v>ZZZ</v>
      </c>
      <c r="Q243" s="3" t="b">
        <f t="array" ref="Q243">OR(ISNUMBER(SEARCH(P$2:P$50,$B243,5)))</f>
        <v>0</v>
      </c>
      <c r="S243" s="3" t="str">
        <f t="shared" si="8"/>
        <v>ZZZ</v>
      </c>
      <c r="T243" s="3" t="b">
        <f t="array" ref="T243">OR(ISNUMBER(SEARCH(S$2:S$100,$B243,5)))</f>
        <v>0</v>
      </c>
      <c r="V243" s="3" t="str">
        <f t="shared" si="9"/>
        <v>ZZZ</v>
      </c>
      <c r="W243" s="3" t="b">
        <f t="array" ref="W243">OR(ISNUMBER(SEARCH(V$2:V$100,$B243,5)))</f>
        <v>0</v>
      </c>
      <c r="Y243" s="3" t="str">
        <f t="shared" si="10"/>
        <v>ZZZ</v>
      </c>
      <c r="Z243" s="3" t="b">
        <f t="array" ref="Z243">OR(ISNUMBER(SEARCH(Y$2:Y$100,$B243,5)))</f>
        <v>0</v>
      </c>
      <c r="AB243" s="3" t="str">
        <f t="shared" si="11"/>
        <v>ZZZ</v>
      </c>
      <c r="AC243" s="3" t="b">
        <f t="array" ref="AC243">OR(ISNUMBER(SEARCH(AB$2:AB$100,$B243,5)))</f>
        <v>0</v>
      </c>
      <c r="AE243" s="3" t="str">
        <f t="shared" si="12"/>
        <v>ZZZ</v>
      </c>
      <c r="AF243" s="3" t="b">
        <f t="array" ref="AF243">OR(ISNUMBER(SEARCH(AE$2:AE$100,$B243,5)))</f>
        <v>0</v>
      </c>
      <c r="AH243" s="3" t="str">
        <f t="shared" si="13"/>
        <v>ZZZ</v>
      </c>
      <c r="AI243" s="3" t="b">
        <f t="array" ref="AI243">OR(ISNUMBER(SEARCH(AH$2:AH$100,$B243,5)))</f>
        <v>0</v>
      </c>
      <c r="AK243" s="3" t="str">
        <f t="shared" si="14"/>
        <v>ZZZ</v>
      </c>
      <c r="AL243" s="3" t="b">
        <f t="array" ref="AL243">OR(ISNUMBER(SEARCH(AK$2:AK$100,$B243,5)))</f>
        <v>0</v>
      </c>
      <c r="AU243" s="8"/>
      <c r="AV243" s="6"/>
      <c r="AW243" s="8"/>
      <c r="AX243" s="8"/>
      <c r="AY243" s="6"/>
      <c r="AZ243" s="8"/>
      <c r="BA243" s="8"/>
      <c r="BB243" s="6" t="str">
        <f>IFERROR(__xludf.DUMMYFUNCTION("""COMPUTED_VALUE"""),"dim teal")</f>
        <v>dim teal</v>
      </c>
      <c r="BC243" s="8"/>
      <c r="BD243" s="8"/>
      <c r="BE243" s="6"/>
      <c r="BF243" s="8"/>
      <c r="BG243" s="8"/>
      <c r="BH243" s="6"/>
      <c r="BI243" s="8"/>
      <c r="BJ243" s="8"/>
      <c r="BK243" s="6"/>
      <c r="BL243" s="8"/>
      <c r="BM243" s="8"/>
      <c r="BN243" s="6"/>
      <c r="BO243" s="8"/>
      <c r="BP243" s="8"/>
      <c r="BQ243" s="6"/>
      <c r="BR243" s="8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</row>
    <row r="244">
      <c r="A244" s="6"/>
      <c r="B244" s="6" t="s">
        <v>244</v>
      </c>
      <c r="C244" s="3" t="str">
        <f t="shared" si="3"/>
        <v>drab blue</v>
      </c>
      <c r="D244" s="3" t="str">
        <f t="shared" si="17"/>
        <v>ZZZ</v>
      </c>
      <c r="E244" s="3" t="b">
        <f t="array" ref="E244">OR(ISNUMBER(SEARCH(D$2:D$30,$B244,5)))</f>
        <v>1</v>
      </c>
      <c r="G244" s="3" t="str">
        <f t="shared" si="4"/>
        <v>ZZZ</v>
      </c>
      <c r="H244" s="3" t="b">
        <f t="array" ref="H244">OR(ISNUMBER(SEARCH(G$2:G$30,$B244,5)))</f>
        <v>0</v>
      </c>
      <c r="J244" s="3" t="str">
        <f t="shared" si="5"/>
        <v>ZZZ</v>
      </c>
      <c r="K244" s="3" t="b">
        <f t="array" ref="K244">OR(ISNUMBER(SEARCH(J$2:J$30,$B244,5)))</f>
        <v>0</v>
      </c>
      <c r="M244" s="3" t="str">
        <f t="shared" si="6"/>
        <v>ZZZ</v>
      </c>
      <c r="N244" s="3" t="b">
        <f t="array" ref="N244">OR(ISNUMBER(SEARCH(M$2:M$30,$B244,5)))</f>
        <v>0</v>
      </c>
      <c r="P244" s="3" t="str">
        <f t="shared" si="7"/>
        <v>ZZZ</v>
      </c>
      <c r="Q244" s="3" t="b">
        <f t="array" ref="Q244">OR(ISNUMBER(SEARCH(P$2:P$50,$B244,5)))</f>
        <v>0</v>
      </c>
      <c r="S244" s="3" t="str">
        <f t="shared" si="8"/>
        <v>ZZZ</v>
      </c>
      <c r="T244" s="3" t="b">
        <f t="array" ref="T244">OR(ISNUMBER(SEARCH(S$2:S$100,$B244,5)))</f>
        <v>1</v>
      </c>
      <c r="V244" s="3" t="str">
        <f t="shared" si="9"/>
        <v>ZZZ</v>
      </c>
      <c r="W244" s="3" t="b">
        <f t="array" ref="W244">OR(ISNUMBER(SEARCH(V$2:V$100,$B244,5)))</f>
        <v>1</v>
      </c>
      <c r="Y244" s="3" t="str">
        <f t="shared" si="10"/>
        <v>ZZZ</v>
      </c>
      <c r="Z244" s="3" t="b">
        <f t="array" ref="Z244">OR(ISNUMBER(SEARCH(Y$2:Y$100,$B244,5)))</f>
        <v>0</v>
      </c>
      <c r="AB244" s="3" t="str">
        <f t="shared" si="11"/>
        <v>ZZZ</v>
      </c>
      <c r="AC244" s="3" t="b">
        <f t="array" ref="AC244">OR(ISNUMBER(SEARCH(AB$2:AB$100,$B244,5)))</f>
        <v>1</v>
      </c>
      <c r="AE244" s="3" t="str">
        <f t="shared" si="12"/>
        <v>ZZZ</v>
      </c>
      <c r="AF244" s="3" t="b">
        <f t="array" ref="AF244">OR(ISNUMBER(SEARCH(AE$2:AE$100,$B244,5)))</f>
        <v>0</v>
      </c>
      <c r="AH244" s="3" t="str">
        <f t="shared" si="13"/>
        <v>ZZZ</v>
      </c>
      <c r="AI244" s="3" t="b">
        <f t="array" ref="AI244">OR(ISNUMBER(SEARCH(AH$2:AH$100,$B244,5)))</f>
        <v>0</v>
      </c>
      <c r="AK244" s="3" t="str">
        <f t="shared" si="14"/>
        <v>ZZZ</v>
      </c>
      <c r="AL244" s="3" t="b">
        <f t="array" ref="AL244">OR(ISNUMBER(SEARCH(AK$2:AK$100,$B244,5)))</f>
        <v>0</v>
      </c>
      <c r="AU244" s="8"/>
      <c r="AV244" s="6"/>
      <c r="AW244" s="8"/>
      <c r="AX244" s="8"/>
      <c r="AY244" s="6"/>
      <c r="AZ244" s="8"/>
      <c r="BA244" s="8"/>
      <c r="BB244" s="6" t="str">
        <f>IFERROR(__xludf.DUMMYFUNCTION("""COMPUTED_VALUE"""),"vibrant lime")</f>
        <v>vibrant lime</v>
      </c>
      <c r="BC244" s="8"/>
      <c r="BD244" s="8"/>
      <c r="BE244" s="6"/>
      <c r="BF244" s="8"/>
      <c r="BG244" s="8"/>
      <c r="BH244" s="6"/>
      <c r="BI244" s="8"/>
      <c r="BJ244" s="8"/>
      <c r="BK244" s="6"/>
      <c r="BL244" s="8"/>
      <c r="BM244" s="8"/>
      <c r="BN244" s="6"/>
      <c r="BO244" s="8"/>
      <c r="BP244" s="8"/>
      <c r="BQ244" s="6"/>
      <c r="BR244" s="8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</row>
    <row r="245">
      <c r="A245" s="6"/>
      <c r="B245" s="6" t="s">
        <v>245</v>
      </c>
      <c r="C245" s="3" t="str">
        <f t="shared" si="3"/>
        <v>posh salmon</v>
      </c>
      <c r="D245" s="3" t="str">
        <f t="shared" si="17"/>
        <v>ZZZ</v>
      </c>
      <c r="E245" s="3" t="b">
        <f t="array" ref="E245">OR(ISNUMBER(SEARCH(D$2:D$30,$B245,5)))</f>
        <v>0</v>
      </c>
      <c r="G245" s="3" t="str">
        <f t="shared" si="4"/>
        <v>ZZZ</v>
      </c>
      <c r="H245" s="3" t="b">
        <f t="array" ref="H245">OR(ISNUMBER(SEARCH(G$2:G$30,$B245,5)))</f>
        <v>1</v>
      </c>
      <c r="J245" s="3" t="str">
        <f t="shared" si="5"/>
        <v>ZZZ</v>
      </c>
      <c r="K245" s="3" t="b">
        <f t="array" ref="K245">OR(ISNUMBER(SEARCH(J$2:J$30,$B245,5)))</f>
        <v>0</v>
      </c>
      <c r="M245" s="3" t="str">
        <f t="shared" si="6"/>
        <v>ZZZ</v>
      </c>
      <c r="N245" s="3" t="b">
        <f t="array" ref="N245">OR(ISNUMBER(SEARCH(M$2:M$30,$B245,5)))</f>
        <v>0</v>
      </c>
      <c r="P245" s="3" t="str">
        <f t="shared" si="7"/>
        <v>ZZZ</v>
      </c>
      <c r="Q245" s="3" t="b">
        <f t="array" ref="Q245">OR(ISNUMBER(SEARCH(P$2:P$50,$B245,5)))</f>
        <v>0</v>
      </c>
      <c r="S245" s="3" t="str">
        <f t="shared" si="8"/>
        <v>ZZZ</v>
      </c>
      <c r="T245" s="3" t="b">
        <f t="array" ref="T245">OR(ISNUMBER(SEARCH(S$2:S$100,$B245,5)))</f>
        <v>0</v>
      </c>
      <c r="V245" s="3" t="str">
        <f t="shared" si="9"/>
        <v>ZZZ</v>
      </c>
      <c r="W245" s="3" t="b">
        <f t="array" ref="W245">OR(ISNUMBER(SEARCH(V$2:V$100,$B245,5)))</f>
        <v>0</v>
      </c>
      <c r="Y245" s="3" t="str">
        <f t="shared" si="10"/>
        <v>ZZZ</v>
      </c>
      <c r="Z245" s="3" t="b">
        <f t="array" ref="Z245">OR(ISNUMBER(SEARCH(Y$2:Y$100,$B245,5)))</f>
        <v>0</v>
      </c>
      <c r="AB245" s="3" t="str">
        <f t="shared" si="11"/>
        <v>ZZZ</v>
      </c>
      <c r="AC245" s="3" t="b">
        <f t="array" ref="AC245">OR(ISNUMBER(SEARCH(AB$2:AB$100,$B245,5)))</f>
        <v>0</v>
      </c>
      <c r="AE245" s="3" t="str">
        <f t="shared" si="12"/>
        <v>ZZZ</v>
      </c>
      <c r="AF245" s="3" t="b">
        <f t="array" ref="AF245">OR(ISNUMBER(SEARCH(AE$2:AE$100,$B245,5)))</f>
        <v>0</v>
      </c>
      <c r="AH245" s="3" t="str">
        <f t="shared" si="13"/>
        <v>ZZZ</v>
      </c>
      <c r="AI245" s="3" t="b">
        <f t="array" ref="AI245">OR(ISNUMBER(SEARCH(AH$2:AH$100,$B245,5)))</f>
        <v>0</v>
      </c>
      <c r="AK245" s="3" t="str">
        <f t="shared" si="14"/>
        <v>ZZZ</v>
      </c>
      <c r="AL245" s="3" t="b">
        <f t="array" ref="AL245">OR(ISNUMBER(SEARCH(AK$2:AK$100,$B245,5)))</f>
        <v>0</v>
      </c>
      <c r="AU245" s="8"/>
      <c r="AV245" s="6"/>
      <c r="AW245" s="8"/>
      <c r="AX245" s="8"/>
      <c r="AY245" s="6"/>
      <c r="AZ245" s="8"/>
      <c r="BA245" s="8"/>
      <c r="BB245" s="6" t="str">
        <f>IFERROR(__xludf.DUMMYFUNCTION("""COMPUTED_VALUE"""),"posh blue")</f>
        <v>posh blue</v>
      </c>
      <c r="BC245" s="8"/>
      <c r="BD245" s="8"/>
      <c r="BE245" s="6"/>
      <c r="BF245" s="8"/>
      <c r="BG245" s="8"/>
      <c r="BH245" s="6"/>
      <c r="BI245" s="8"/>
      <c r="BJ245" s="8"/>
      <c r="BK245" s="6"/>
      <c r="BL245" s="8"/>
      <c r="BM245" s="8"/>
      <c r="BN245" s="6"/>
      <c r="BO245" s="8"/>
      <c r="BP245" s="8"/>
      <c r="BQ245" s="6"/>
      <c r="BR245" s="8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</row>
    <row r="246">
      <c r="A246" s="6"/>
      <c r="B246" s="6" t="s">
        <v>246</v>
      </c>
      <c r="C246" s="3" t="str">
        <f t="shared" si="3"/>
        <v>dim coral</v>
      </c>
      <c r="D246" s="3" t="str">
        <f t="shared" si="17"/>
        <v>ZZZ</v>
      </c>
      <c r="E246" s="3" t="b">
        <f t="array" ref="E246">OR(ISNUMBER(SEARCH(D$2:D$30,$B246,5)))</f>
        <v>0</v>
      </c>
      <c r="G246" s="3" t="str">
        <f t="shared" si="4"/>
        <v>ZZZ</v>
      </c>
      <c r="H246" s="3" t="b">
        <f t="array" ref="H246">OR(ISNUMBER(SEARCH(G$2:G$30,$B246,5)))</f>
        <v>0</v>
      </c>
      <c r="J246" s="3" t="str">
        <f t="shared" si="5"/>
        <v>ZZZ</v>
      </c>
      <c r="K246" s="3" t="b">
        <f t="array" ref="K246">OR(ISNUMBER(SEARCH(J$2:J$30,$B246,5)))</f>
        <v>0</v>
      </c>
      <c r="M246" s="3" t="str">
        <f t="shared" si="6"/>
        <v>ZZZ</v>
      </c>
      <c r="N246" s="3" t="b">
        <f t="array" ref="N246">OR(ISNUMBER(SEARCH(M$2:M$30,$B246,5)))</f>
        <v>0</v>
      </c>
      <c r="P246" s="3" t="str">
        <f t="shared" si="7"/>
        <v>ZZZ</v>
      </c>
      <c r="Q246" s="3" t="b">
        <f t="array" ref="Q246">OR(ISNUMBER(SEARCH(P$2:P$50,$B246,5)))</f>
        <v>0</v>
      </c>
      <c r="S246" s="3" t="str">
        <f t="shared" si="8"/>
        <v>ZZZ</v>
      </c>
      <c r="T246" s="3" t="b">
        <f t="array" ref="T246">OR(ISNUMBER(SEARCH(S$2:S$100,$B246,5)))</f>
        <v>0</v>
      </c>
      <c r="V246" s="3" t="str">
        <f t="shared" si="9"/>
        <v>ZZZ</v>
      </c>
      <c r="W246" s="3" t="b">
        <f t="array" ref="W246">OR(ISNUMBER(SEARCH(V$2:V$100,$B246,5)))</f>
        <v>0</v>
      </c>
      <c r="Y246" s="3" t="str">
        <f t="shared" si="10"/>
        <v>ZZZ</v>
      </c>
      <c r="Z246" s="3" t="b">
        <f t="array" ref="Z246">OR(ISNUMBER(SEARCH(Y$2:Y$100,$B246,5)))</f>
        <v>0</v>
      </c>
      <c r="AB246" s="3" t="str">
        <f t="shared" si="11"/>
        <v>ZZZ</v>
      </c>
      <c r="AC246" s="3" t="b">
        <f t="array" ref="AC246">OR(ISNUMBER(SEARCH(AB$2:AB$100,$B246,5)))</f>
        <v>0</v>
      </c>
      <c r="AE246" s="3" t="str">
        <f t="shared" si="12"/>
        <v>ZZZ</v>
      </c>
      <c r="AF246" s="3" t="b">
        <f t="array" ref="AF246">OR(ISNUMBER(SEARCH(AE$2:AE$100,$B246,5)))</f>
        <v>0</v>
      </c>
      <c r="AH246" s="3" t="str">
        <f t="shared" si="13"/>
        <v>ZZZ</v>
      </c>
      <c r="AI246" s="3" t="b">
        <f t="array" ref="AI246">OR(ISNUMBER(SEARCH(AH$2:AH$100,$B246,5)))</f>
        <v>0</v>
      </c>
      <c r="AK246" s="3" t="str">
        <f t="shared" si="14"/>
        <v>ZZZ</v>
      </c>
      <c r="AL246" s="3" t="b">
        <f t="array" ref="AL246">OR(ISNUMBER(SEARCH(AK$2:AK$100,$B246,5)))</f>
        <v>0</v>
      </c>
      <c r="AU246" s="8"/>
      <c r="AV246" s="6"/>
      <c r="AW246" s="8"/>
      <c r="AX246" s="8"/>
      <c r="AY246" s="6"/>
      <c r="AZ246" s="8"/>
      <c r="BA246" s="8"/>
      <c r="BB246" s="6" t="str">
        <f>IFERROR(__xludf.DUMMYFUNCTION("""COMPUTED_VALUE"""),"bright gray")</f>
        <v>bright gray</v>
      </c>
      <c r="BC246" s="8"/>
      <c r="BD246" s="8"/>
      <c r="BE246" s="6"/>
      <c r="BF246" s="8"/>
      <c r="BG246" s="8"/>
      <c r="BH246" s="6"/>
      <c r="BI246" s="8"/>
      <c r="BJ246" s="8"/>
      <c r="BK246" s="6"/>
      <c r="BL246" s="8"/>
      <c r="BM246" s="8"/>
      <c r="BN246" s="6"/>
      <c r="BO246" s="8"/>
      <c r="BP246" s="8"/>
      <c r="BQ246" s="6"/>
      <c r="BR246" s="8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</row>
    <row r="247">
      <c r="A247" s="6"/>
      <c r="B247" s="6" t="s">
        <v>247</v>
      </c>
      <c r="C247" s="3" t="str">
        <f t="shared" si="3"/>
        <v>dark aqua</v>
      </c>
      <c r="D247" s="3" t="str">
        <f t="shared" si="17"/>
        <v>ZZZ</v>
      </c>
      <c r="E247" s="3" t="b">
        <f t="array" ref="E247">OR(ISNUMBER(SEARCH(D$2:D$30,$B247,5)))</f>
        <v>0</v>
      </c>
      <c r="G247" s="3" t="str">
        <f t="shared" si="4"/>
        <v>ZZZ</v>
      </c>
      <c r="H247" s="3" t="b">
        <f t="array" ref="H247">OR(ISNUMBER(SEARCH(G$2:G$30,$B247,5)))</f>
        <v>0</v>
      </c>
      <c r="J247" s="3" t="str">
        <f t="shared" si="5"/>
        <v>ZZZ</v>
      </c>
      <c r="K247" s="3" t="b">
        <f t="array" ref="K247">OR(ISNUMBER(SEARCH(J$2:J$30,$B247,5)))</f>
        <v>0</v>
      </c>
      <c r="M247" s="3" t="str">
        <f t="shared" si="6"/>
        <v>ZZZ</v>
      </c>
      <c r="N247" s="3" t="b">
        <f t="array" ref="N247">OR(ISNUMBER(SEARCH(M$2:M$30,$B247,5)))</f>
        <v>0</v>
      </c>
      <c r="P247" s="3" t="str">
        <f t="shared" si="7"/>
        <v>ZZZ</v>
      </c>
      <c r="Q247" s="3" t="b">
        <f t="array" ref="Q247">OR(ISNUMBER(SEARCH(P$2:P$50,$B247,5)))</f>
        <v>0</v>
      </c>
      <c r="S247" s="3" t="str">
        <f t="shared" si="8"/>
        <v>ZZZ</v>
      </c>
      <c r="T247" s="3" t="b">
        <f t="array" ref="T247">OR(ISNUMBER(SEARCH(S$2:S$100,$B247,5)))</f>
        <v>1</v>
      </c>
      <c r="V247" s="3" t="str">
        <f t="shared" si="9"/>
        <v>ZZZ</v>
      </c>
      <c r="W247" s="3" t="b">
        <f t="array" ref="W247">OR(ISNUMBER(SEARCH(V$2:V$100,$B247,5)))</f>
        <v>0</v>
      </c>
      <c r="Y247" s="3" t="str">
        <f t="shared" si="10"/>
        <v>ZZZ</v>
      </c>
      <c r="Z247" s="3" t="b">
        <f t="array" ref="Z247">OR(ISNUMBER(SEARCH(Y$2:Y$100,$B247,5)))</f>
        <v>0</v>
      </c>
      <c r="AB247" s="3" t="str">
        <f t="shared" si="11"/>
        <v>ZZZ</v>
      </c>
      <c r="AC247" s="3" t="b">
        <f t="array" ref="AC247">OR(ISNUMBER(SEARCH(AB$2:AB$100,$B247,5)))</f>
        <v>0</v>
      </c>
      <c r="AE247" s="3" t="str">
        <f t="shared" si="12"/>
        <v>ZZZ</v>
      </c>
      <c r="AF247" s="3" t="b">
        <f t="array" ref="AF247">OR(ISNUMBER(SEARCH(AE$2:AE$100,$B247,5)))</f>
        <v>0</v>
      </c>
      <c r="AH247" s="3" t="str">
        <f t="shared" si="13"/>
        <v>ZZZ</v>
      </c>
      <c r="AI247" s="3" t="b">
        <f t="array" ref="AI247">OR(ISNUMBER(SEARCH(AH$2:AH$100,$B247,5)))</f>
        <v>0</v>
      </c>
      <c r="AK247" s="3" t="str">
        <f t="shared" si="14"/>
        <v>ZZZ</v>
      </c>
      <c r="AL247" s="3" t="b">
        <f t="array" ref="AL247">OR(ISNUMBER(SEARCH(AK$2:AK$100,$B247,5)))</f>
        <v>0</v>
      </c>
      <c r="AU247" s="8"/>
      <c r="AV247" s="6"/>
      <c r="AW247" s="8"/>
      <c r="AX247" s="8"/>
      <c r="AY247" s="6"/>
      <c r="AZ247" s="8"/>
      <c r="BA247" s="8"/>
      <c r="BB247" s="6" t="str">
        <f>IFERROR(__xludf.DUMMYFUNCTION("""COMPUTED_VALUE"""),"faded lime")</f>
        <v>faded lime</v>
      </c>
      <c r="BC247" s="8"/>
      <c r="BD247" s="8"/>
      <c r="BE247" s="6"/>
      <c r="BF247" s="8"/>
      <c r="BG247" s="8"/>
      <c r="BH247" s="6"/>
      <c r="BI247" s="8"/>
      <c r="BJ247" s="8"/>
      <c r="BK247" s="6"/>
      <c r="BL247" s="8"/>
      <c r="BM247" s="8"/>
      <c r="BN247" s="6"/>
      <c r="BO247" s="8"/>
      <c r="BP247" s="8"/>
      <c r="BQ247" s="6"/>
      <c r="BR247" s="8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</row>
    <row r="248">
      <c r="A248" s="6"/>
      <c r="B248" s="6" t="s">
        <v>248</v>
      </c>
      <c r="C248" s="3" t="str">
        <f t="shared" si="3"/>
        <v>dark orange</v>
      </c>
      <c r="D248" s="3" t="str">
        <f t="shared" si="17"/>
        <v>ZZZ</v>
      </c>
      <c r="E248" s="3" t="b">
        <f t="array" ref="E248">OR(ISNUMBER(SEARCH(D$2:D$30,$B248,5)))</f>
        <v>0</v>
      </c>
      <c r="G248" s="3" t="str">
        <f t="shared" si="4"/>
        <v>ZZZ</v>
      </c>
      <c r="H248" s="3" t="b">
        <f t="array" ref="H248">OR(ISNUMBER(SEARCH(G$2:G$30,$B248,5)))</f>
        <v>0</v>
      </c>
      <c r="J248" s="3" t="str">
        <f t="shared" si="5"/>
        <v>ZZZ</v>
      </c>
      <c r="K248" s="3" t="b">
        <f t="array" ref="K248">OR(ISNUMBER(SEARCH(J$2:J$30,$B248,5)))</f>
        <v>0</v>
      </c>
      <c r="M248" s="3" t="str">
        <f t="shared" si="6"/>
        <v>ZZZ</v>
      </c>
      <c r="N248" s="3" t="b">
        <f t="array" ref="N248">OR(ISNUMBER(SEARCH(M$2:M$30,$B248,5)))</f>
        <v>1</v>
      </c>
      <c r="P248" s="3" t="str">
        <f t="shared" si="7"/>
        <v>ZZZ</v>
      </c>
      <c r="Q248" s="3" t="b">
        <f t="array" ref="Q248">OR(ISNUMBER(SEARCH(P$2:P$50,$B248,5)))</f>
        <v>0</v>
      </c>
      <c r="S248" s="3" t="str">
        <f t="shared" si="8"/>
        <v>ZZZ</v>
      </c>
      <c r="T248" s="3" t="b">
        <f t="array" ref="T248">OR(ISNUMBER(SEARCH(S$2:S$100,$B248,5)))</f>
        <v>0</v>
      </c>
      <c r="V248" s="3" t="str">
        <f t="shared" si="9"/>
        <v>ZZZ</v>
      </c>
      <c r="W248" s="3" t="b">
        <f t="array" ref="W248">OR(ISNUMBER(SEARCH(V$2:V$100,$B248,5)))</f>
        <v>0</v>
      </c>
      <c r="Y248" s="3" t="str">
        <f t="shared" si="10"/>
        <v>ZZZ</v>
      </c>
      <c r="Z248" s="3" t="b">
        <f t="array" ref="Z248">OR(ISNUMBER(SEARCH(Y$2:Y$100,$B248,5)))</f>
        <v>0</v>
      </c>
      <c r="AB248" s="3" t="str">
        <f t="shared" si="11"/>
        <v>ZZZ</v>
      </c>
      <c r="AC248" s="3" t="b">
        <f t="array" ref="AC248">OR(ISNUMBER(SEARCH(AB$2:AB$100,$B248,5)))</f>
        <v>0</v>
      </c>
      <c r="AE248" s="3" t="str">
        <f t="shared" si="12"/>
        <v>ZZZ</v>
      </c>
      <c r="AF248" s="3" t="b">
        <f t="array" ref="AF248">OR(ISNUMBER(SEARCH(AE$2:AE$100,$B248,5)))</f>
        <v>0</v>
      </c>
      <c r="AH248" s="3" t="str">
        <f t="shared" si="13"/>
        <v>ZZZ</v>
      </c>
      <c r="AI248" s="3" t="b">
        <f t="array" ref="AI248">OR(ISNUMBER(SEARCH(AH$2:AH$100,$B248,5)))</f>
        <v>0</v>
      </c>
      <c r="AK248" s="3" t="str">
        <f t="shared" si="14"/>
        <v>ZZZ</v>
      </c>
      <c r="AL248" s="3" t="b">
        <f t="array" ref="AL248">OR(ISNUMBER(SEARCH(AK$2:AK$100,$B248,5)))</f>
        <v>0</v>
      </c>
      <c r="AU248" s="8"/>
      <c r="AV248" s="6"/>
      <c r="AW248" s="8"/>
      <c r="AX248" s="8"/>
      <c r="AY248" s="6"/>
      <c r="AZ248" s="8"/>
      <c r="BA248" s="8"/>
      <c r="BB248" s="6" t="str">
        <f>IFERROR(__xludf.DUMMYFUNCTION("""COMPUTED_VALUE"""),"striped violet")</f>
        <v>striped violet</v>
      </c>
      <c r="BC248" s="8"/>
      <c r="BD248" s="8"/>
      <c r="BE248" s="6"/>
      <c r="BF248" s="8"/>
      <c r="BG248" s="8"/>
      <c r="BH248" s="6"/>
      <c r="BI248" s="8"/>
      <c r="BJ248" s="8"/>
      <c r="BK248" s="6"/>
      <c r="BL248" s="8"/>
      <c r="BM248" s="8"/>
      <c r="BN248" s="6"/>
      <c r="BO248" s="8"/>
      <c r="BP248" s="8"/>
      <c r="BQ248" s="6"/>
      <c r="BR248" s="8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</row>
    <row r="249">
      <c r="A249" s="6"/>
      <c r="B249" s="6" t="s">
        <v>249</v>
      </c>
      <c r="C249" s="3" t="str">
        <f t="shared" si="3"/>
        <v>vibrant red</v>
      </c>
      <c r="D249" s="3" t="str">
        <f t="shared" si="17"/>
        <v>ZZZ</v>
      </c>
      <c r="E249" s="3" t="b">
        <f t="array" ref="E249">OR(ISNUMBER(SEARCH(D$2:D$30,$B249,5)))</f>
        <v>0</v>
      </c>
      <c r="G249" s="3" t="str">
        <f t="shared" si="4"/>
        <v>ZZZ</v>
      </c>
      <c r="H249" s="3" t="b">
        <f t="array" ref="H249">OR(ISNUMBER(SEARCH(G$2:G$30,$B249,5)))</f>
        <v>0</v>
      </c>
      <c r="J249" s="3" t="str">
        <f t="shared" si="5"/>
        <v>ZZZ</v>
      </c>
      <c r="K249" s="3" t="b">
        <f t="array" ref="K249">OR(ISNUMBER(SEARCH(J$2:J$30,$B249,5)))</f>
        <v>0</v>
      </c>
      <c r="M249" s="3" t="str">
        <f t="shared" si="6"/>
        <v>ZZZ</v>
      </c>
      <c r="N249" s="3" t="b">
        <f t="array" ref="N249">OR(ISNUMBER(SEARCH(M$2:M$30,$B249,5)))</f>
        <v>0</v>
      </c>
      <c r="P249" s="3" t="str">
        <f t="shared" si="7"/>
        <v>ZZZ</v>
      </c>
      <c r="Q249" s="3" t="b">
        <f t="array" ref="Q249">OR(ISNUMBER(SEARCH(P$2:P$50,$B249,5)))</f>
        <v>0</v>
      </c>
      <c r="S249" s="3" t="str">
        <f t="shared" si="8"/>
        <v>ZZZ</v>
      </c>
      <c r="T249" s="3" t="b">
        <f t="array" ref="T249">OR(ISNUMBER(SEARCH(S$2:S$100,$B249,5)))</f>
        <v>0</v>
      </c>
      <c r="V249" s="3" t="str">
        <f t="shared" si="9"/>
        <v>ZZZ</v>
      </c>
      <c r="W249" s="3" t="b">
        <f t="array" ref="W249">OR(ISNUMBER(SEARCH(V$2:V$100,$B249,5)))</f>
        <v>0</v>
      </c>
      <c r="Y249" s="3" t="str">
        <f t="shared" si="10"/>
        <v>ZZZ</v>
      </c>
      <c r="Z249" s="3" t="b">
        <f t="array" ref="Z249">OR(ISNUMBER(SEARCH(Y$2:Y$100,$B249,5)))</f>
        <v>0</v>
      </c>
      <c r="AB249" s="3" t="str">
        <f t="shared" si="11"/>
        <v>ZZZ</v>
      </c>
      <c r="AC249" s="3" t="b">
        <f t="array" ref="AC249">OR(ISNUMBER(SEARCH(AB$2:AB$100,$B249,5)))</f>
        <v>0</v>
      </c>
      <c r="AE249" s="3" t="str">
        <f t="shared" si="12"/>
        <v>ZZZ</v>
      </c>
      <c r="AF249" s="3" t="b">
        <f t="array" ref="AF249">OR(ISNUMBER(SEARCH(AE$2:AE$100,$B249,5)))</f>
        <v>0</v>
      </c>
      <c r="AH249" s="3" t="str">
        <f t="shared" si="13"/>
        <v>ZZZ</v>
      </c>
      <c r="AI249" s="3" t="b">
        <f t="array" ref="AI249">OR(ISNUMBER(SEARCH(AH$2:AH$100,$B249,5)))</f>
        <v>0</v>
      </c>
      <c r="AK249" s="3" t="str">
        <f t="shared" si="14"/>
        <v>ZZZ</v>
      </c>
      <c r="AL249" s="3" t="b">
        <f t="array" ref="AL249">OR(ISNUMBER(SEARCH(AK$2:AK$100,$B249,5)))</f>
        <v>0</v>
      </c>
      <c r="AU249" s="8"/>
      <c r="AV249" s="6"/>
      <c r="AW249" s="8"/>
      <c r="AX249" s="8"/>
      <c r="AY249" s="6"/>
      <c r="AZ249" s="8"/>
      <c r="BA249" s="8"/>
      <c r="BB249" s="6" t="str">
        <f>IFERROR(__xludf.DUMMYFUNCTION("""COMPUTED_VALUE"""),"wavy silver")</f>
        <v>wavy silver</v>
      </c>
      <c r="BC249" s="8"/>
      <c r="BD249" s="8"/>
      <c r="BE249" s="6"/>
      <c r="BF249" s="8"/>
      <c r="BG249" s="8"/>
      <c r="BH249" s="6"/>
      <c r="BI249" s="8"/>
      <c r="BJ249" s="8"/>
      <c r="BK249" s="6"/>
      <c r="BL249" s="8"/>
      <c r="BM249" s="8"/>
      <c r="BN249" s="6"/>
      <c r="BO249" s="8"/>
      <c r="BP249" s="8"/>
      <c r="BQ249" s="6"/>
      <c r="BR249" s="8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</row>
    <row r="250">
      <c r="A250" s="6"/>
      <c r="B250" s="6" t="s">
        <v>250</v>
      </c>
      <c r="C250" s="3" t="str">
        <f t="shared" si="3"/>
        <v>muted lime</v>
      </c>
      <c r="D250" s="3" t="str">
        <f t="shared" si="17"/>
        <v>ZZZ</v>
      </c>
      <c r="E250" s="3" t="b">
        <f t="array" ref="E250">OR(ISNUMBER(SEARCH(D$2:D$30,$B250,5)))</f>
        <v>0</v>
      </c>
      <c r="G250" s="3" t="str">
        <f t="shared" si="4"/>
        <v>ZZZ</v>
      </c>
      <c r="H250" s="3" t="b">
        <f t="array" ref="H250">OR(ISNUMBER(SEARCH(G$2:G$30,$B250,5)))</f>
        <v>0</v>
      </c>
      <c r="J250" s="3" t="str">
        <f t="shared" si="5"/>
        <v>ZZZ</v>
      </c>
      <c r="K250" s="3" t="b">
        <f t="array" ref="K250">OR(ISNUMBER(SEARCH(J$2:J$30,$B250,5)))</f>
        <v>0</v>
      </c>
      <c r="M250" s="3" t="str">
        <f t="shared" si="6"/>
        <v>ZZZ</v>
      </c>
      <c r="N250" s="3" t="b">
        <f t="array" ref="N250">OR(ISNUMBER(SEARCH(M$2:M$30,$B250,5)))</f>
        <v>0</v>
      </c>
      <c r="P250" s="3" t="str">
        <f t="shared" si="7"/>
        <v>ZZZ</v>
      </c>
      <c r="Q250" s="3" t="b">
        <f t="array" ref="Q250">OR(ISNUMBER(SEARCH(P$2:P$50,$B250,5)))</f>
        <v>0</v>
      </c>
      <c r="S250" s="3" t="str">
        <f t="shared" si="8"/>
        <v>ZZZ</v>
      </c>
      <c r="T250" s="3" t="b">
        <f t="array" ref="T250">OR(ISNUMBER(SEARCH(S$2:S$100,$B250,5)))</f>
        <v>0</v>
      </c>
      <c r="V250" s="3" t="str">
        <f t="shared" si="9"/>
        <v>ZZZ</v>
      </c>
      <c r="W250" s="3" t="b">
        <f t="array" ref="W250">OR(ISNUMBER(SEARCH(V$2:V$100,$B250,5)))</f>
        <v>0</v>
      </c>
      <c r="Y250" s="3" t="str">
        <f t="shared" si="10"/>
        <v>ZZZ</v>
      </c>
      <c r="Z250" s="3" t="b">
        <f t="array" ref="Z250">OR(ISNUMBER(SEARCH(Y$2:Y$100,$B250,5)))</f>
        <v>0</v>
      </c>
      <c r="AB250" s="3" t="str">
        <f t="shared" si="11"/>
        <v>ZZZ</v>
      </c>
      <c r="AC250" s="3" t="b">
        <f t="array" ref="AC250">OR(ISNUMBER(SEARCH(AB$2:AB$100,$B250,5)))</f>
        <v>0</v>
      </c>
      <c r="AE250" s="3" t="str">
        <f t="shared" si="12"/>
        <v>ZZZ</v>
      </c>
      <c r="AF250" s="3" t="b">
        <f t="array" ref="AF250">OR(ISNUMBER(SEARCH(AE$2:AE$100,$B250,5)))</f>
        <v>0</v>
      </c>
      <c r="AH250" s="3" t="str">
        <f t="shared" si="13"/>
        <v>ZZZ</v>
      </c>
      <c r="AI250" s="3" t="b">
        <f t="array" ref="AI250">OR(ISNUMBER(SEARCH(AH$2:AH$100,$B250,5)))</f>
        <v>0</v>
      </c>
      <c r="AK250" s="3" t="str">
        <f t="shared" si="14"/>
        <v>ZZZ</v>
      </c>
      <c r="AL250" s="3" t="b">
        <f t="array" ref="AL250">OR(ISNUMBER(SEARCH(AK$2:AK$100,$B250,5)))</f>
        <v>0</v>
      </c>
      <c r="AU250" s="8"/>
      <c r="AV250" s="6"/>
      <c r="AW250" s="8"/>
      <c r="AX250" s="8"/>
      <c r="AY250" s="6"/>
      <c r="AZ250" s="8"/>
      <c r="BA250" s="8"/>
      <c r="BB250" s="6" t="str">
        <f>IFERROR(__xludf.DUMMYFUNCTION("""COMPUTED_VALUE"""),"mirrored aqua")</f>
        <v>mirrored aqua</v>
      </c>
      <c r="BC250" s="8"/>
      <c r="BD250" s="8"/>
      <c r="BE250" s="6"/>
      <c r="BF250" s="8"/>
      <c r="BG250" s="8"/>
      <c r="BH250" s="6"/>
      <c r="BI250" s="8"/>
      <c r="BJ250" s="8"/>
      <c r="BK250" s="6"/>
      <c r="BL250" s="8"/>
      <c r="BM250" s="8"/>
      <c r="BN250" s="6"/>
      <c r="BO250" s="8"/>
      <c r="BP250" s="8"/>
      <c r="BQ250" s="6"/>
      <c r="BR250" s="8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</row>
    <row r="251">
      <c r="A251" s="6"/>
      <c r="B251" s="6" t="s">
        <v>251</v>
      </c>
      <c r="C251" s="3" t="str">
        <f t="shared" si="3"/>
        <v>clear tan</v>
      </c>
      <c r="D251" s="3" t="str">
        <f t="shared" si="17"/>
        <v>ZZZ</v>
      </c>
      <c r="E251" s="3" t="b">
        <f t="array" ref="E251">OR(ISNUMBER(SEARCH(D$2:D$30,$B251,5)))</f>
        <v>0</v>
      </c>
      <c r="G251" s="3" t="str">
        <f t="shared" si="4"/>
        <v>ZZZ</v>
      </c>
      <c r="H251" s="3" t="b">
        <f t="array" ref="H251">OR(ISNUMBER(SEARCH(G$2:G$30,$B251,5)))</f>
        <v>0</v>
      </c>
      <c r="J251" s="3" t="str">
        <f t="shared" si="5"/>
        <v>ZZZ</v>
      </c>
      <c r="K251" s="3" t="b">
        <f t="array" ref="K251">OR(ISNUMBER(SEARCH(J$2:J$30,$B251,5)))</f>
        <v>0</v>
      </c>
      <c r="M251" s="3" t="str">
        <f t="shared" si="6"/>
        <v>ZZZ</v>
      </c>
      <c r="N251" s="3" t="b">
        <f t="array" ref="N251">OR(ISNUMBER(SEARCH(M$2:M$30,$B251,5)))</f>
        <v>0</v>
      </c>
      <c r="P251" s="3" t="str">
        <f t="shared" si="7"/>
        <v>ZZZ</v>
      </c>
      <c r="Q251" s="3" t="b">
        <f t="array" ref="Q251">OR(ISNUMBER(SEARCH(P$2:P$50,$B251,5)))</f>
        <v>0</v>
      </c>
      <c r="S251" s="3" t="str">
        <f t="shared" si="8"/>
        <v>ZZZ</v>
      </c>
      <c r="T251" s="3" t="b">
        <f t="array" ref="T251">OR(ISNUMBER(SEARCH(S$2:S$100,$B251,5)))</f>
        <v>0</v>
      </c>
      <c r="V251" s="3" t="str">
        <f t="shared" si="9"/>
        <v>ZZZ</v>
      </c>
      <c r="W251" s="3" t="b">
        <f t="array" ref="W251">OR(ISNUMBER(SEARCH(V$2:V$100,$B251,5)))</f>
        <v>1</v>
      </c>
      <c r="Y251" s="3" t="str">
        <f t="shared" si="10"/>
        <v>ZZZ</v>
      </c>
      <c r="Z251" s="3" t="b">
        <f t="array" ref="Z251">OR(ISNUMBER(SEARCH(Y$2:Y$100,$B251,5)))</f>
        <v>0</v>
      </c>
      <c r="AB251" s="3" t="str">
        <f t="shared" si="11"/>
        <v>ZZZ</v>
      </c>
      <c r="AC251" s="3" t="b">
        <f t="array" ref="AC251">OR(ISNUMBER(SEARCH(AB$2:AB$100,$B251,5)))</f>
        <v>1</v>
      </c>
      <c r="AE251" s="3" t="str">
        <f t="shared" si="12"/>
        <v>ZZZ</v>
      </c>
      <c r="AF251" s="3" t="b">
        <f t="array" ref="AF251">OR(ISNUMBER(SEARCH(AE$2:AE$100,$B251,5)))</f>
        <v>0</v>
      </c>
      <c r="AH251" s="3" t="str">
        <f t="shared" si="13"/>
        <v>ZZZ</v>
      </c>
      <c r="AI251" s="3" t="b">
        <f t="array" ref="AI251">OR(ISNUMBER(SEARCH(AH$2:AH$100,$B251,5)))</f>
        <v>0</v>
      </c>
      <c r="AK251" s="3" t="str">
        <f t="shared" si="14"/>
        <v>ZZZ</v>
      </c>
      <c r="AL251" s="3" t="b">
        <f t="array" ref="AL251">OR(ISNUMBER(SEARCH(AK$2:AK$100,$B251,5)))</f>
        <v>0</v>
      </c>
      <c r="AU251" s="8"/>
      <c r="AV251" s="6"/>
      <c r="AW251" s="8"/>
      <c r="AX251" s="8"/>
      <c r="AY251" s="6"/>
      <c r="AZ251" s="8"/>
      <c r="BA251" s="8"/>
      <c r="BB251" s="6" t="str">
        <f>IFERROR(__xludf.DUMMYFUNCTION("""COMPUTED_VALUE"""),"dark purple")</f>
        <v>dark purple</v>
      </c>
      <c r="BC251" s="8"/>
      <c r="BD251" s="8"/>
      <c r="BE251" s="6"/>
      <c r="BF251" s="8"/>
      <c r="BG251" s="8"/>
      <c r="BH251" s="6"/>
      <c r="BI251" s="8"/>
      <c r="BJ251" s="8"/>
      <c r="BK251" s="6"/>
      <c r="BL251" s="8"/>
      <c r="BM251" s="8"/>
      <c r="BN251" s="6"/>
      <c r="BO251" s="8"/>
      <c r="BP251" s="8"/>
      <c r="BQ251" s="6"/>
      <c r="BR251" s="8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</row>
    <row r="252">
      <c r="A252" s="6"/>
      <c r="B252" s="6" t="s">
        <v>252</v>
      </c>
      <c r="C252" s="3" t="str">
        <f t="shared" si="3"/>
        <v>vibrant coral</v>
      </c>
      <c r="D252" s="3" t="str">
        <f t="shared" si="17"/>
        <v>ZZZ</v>
      </c>
      <c r="E252" s="3" t="b">
        <f t="array" ref="E252">OR(ISNUMBER(SEARCH(D$2:D$30,$B252,5)))</f>
        <v>0</v>
      </c>
      <c r="G252" s="3" t="str">
        <f t="shared" si="4"/>
        <v>ZZZ</v>
      </c>
      <c r="H252" s="3" t="b">
        <f t="array" ref="H252">OR(ISNUMBER(SEARCH(G$2:G$30,$B252,5)))</f>
        <v>0</v>
      </c>
      <c r="J252" s="3" t="str">
        <f t="shared" si="5"/>
        <v>ZZZ</v>
      </c>
      <c r="K252" s="3" t="b">
        <f t="array" ref="K252">OR(ISNUMBER(SEARCH(J$2:J$30,$B252,5)))</f>
        <v>0</v>
      </c>
      <c r="M252" s="3" t="str">
        <f t="shared" si="6"/>
        <v>ZZZ</v>
      </c>
      <c r="N252" s="3" t="b">
        <f t="array" ref="N252">OR(ISNUMBER(SEARCH(M$2:M$30,$B252,5)))</f>
        <v>0</v>
      </c>
      <c r="P252" s="3" t="str">
        <f t="shared" si="7"/>
        <v>ZZZ</v>
      </c>
      <c r="Q252" s="3" t="b">
        <f t="array" ref="Q252">OR(ISNUMBER(SEARCH(P$2:P$50,$B252,5)))</f>
        <v>1</v>
      </c>
      <c r="S252" s="3" t="str">
        <f t="shared" si="8"/>
        <v>ZZZ</v>
      </c>
      <c r="T252" s="3" t="b">
        <f t="array" ref="T252">OR(ISNUMBER(SEARCH(S$2:S$100,$B252,5)))</f>
        <v>0</v>
      </c>
      <c r="V252" s="3" t="str">
        <f t="shared" si="9"/>
        <v>ZZZ</v>
      </c>
      <c r="W252" s="3" t="b">
        <f t="array" ref="W252">OR(ISNUMBER(SEARCH(V$2:V$100,$B252,5)))</f>
        <v>0</v>
      </c>
      <c r="Y252" s="3" t="str">
        <f t="shared" si="10"/>
        <v>ZZZ</v>
      </c>
      <c r="Z252" s="3" t="b">
        <f t="array" ref="Z252">OR(ISNUMBER(SEARCH(Y$2:Y$100,$B252,5)))</f>
        <v>0</v>
      </c>
      <c r="AB252" s="3" t="str">
        <f t="shared" si="11"/>
        <v>ZZZ</v>
      </c>
      <c r="AC252" s="3" t="b">
        <f t="array" ref="AC252">OR(ISNUMBER(SEARCH(AB$2:AB$100,$B252,5)))</f>
        <v>0</v>
      </c>
      <c r="AE252" s="3" t="str">
        <f t="shared" si="12"/>
        <v>ZZZ</v>
      </c>
      <c r="AF252" s="3" t="b">
        <f t="array" ref="AF252">OR(ISNUMBER(SEARCH(AE$2:AE$100,$B252,5)))</f>
        <v>0</v>
      </c>
      <c r="AH252" s="3" t="str">
        <f t="shared" si="13"/>
        <v>ZZZ</v>
      </c>
      <c r="AI252" s="3" t="b">
        <f t="array" ref="AI252">OR(ISNUMBER(SEARCH(AH$2:AH$100,$B252,5)))</f>
        <v>0</v>
      </c>
      <c r="AK252" s="3" t="str">
        <f t="shared" si="14"/>
        <v>ZZZ</v>
      </c>
      <c r="AL252" s="3" t="b">
        <f t="array" ref="AL252">OR(ISNUMBER(SEARCH(AK$2:AK$100,$B252,5)))</f>
        <v>0</v>
      </c>
      <c r="AU252" s="8"/>
      <c r="AV252" s="6"/>
      <c r="AW252" s="8"/>
      <c r="AX252" s="8"/>
      <c r="AY252" s="6"/>
      <c r="AZ252" s="8"/>
      <c r="BA252" s="8"/>
      <c r="BB252" s="6" t="str">
        <f>IFERROR(__xludf.DUMMYFUNCTION("""COMPUTED_VALUE"""),"posh aqua")</f>
        <v>posh aqua</v>
      </c>
      <c r="BC252" s="8"/>
      <c r="BD252" s="8"/>
      <c r="BE252" s="6"/>
      <c r="BF252" s="8"/>
      <c r="BG252" s="8"/>
      <c r="BH252" s="6"/>
      <c r="BI252" s="8"/>
      <c r="BJ252" s="8"/>
      <c r="BK252" s="6"/>
      <c r="BL252" s="8"/>
      <c r="BM252" s="8"/>
      <c r="BN252" s="6"/>
      <c r="BO252" s="8"/>
      <c r="BP252" s="8"/>
      <c r="BQ252" s="6"/>
      <c r="BR252" s="8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</row>
    <row r="253">
      <c r="A253" s="6"/>
      <c r="B253" s="6" t="s">
        <v>253</v>
      </c>
      <c r="C253" s="3" t="str">
        <f t="shared" si="3"/>
        <v>dark olive</v>
      </c>
      <c r="D253" s="3" t="str">
        <f t="shared" si="17"/>
        <v>ZZZ</v>
      </c>
      <c r="E253" s="3" t="b">
        <f t="array" ref="E253">OR(ISNUMBER(SEARCH(D$2:D$30,$B253,5)))</f>
        <v>0</v>
      </c>
      <c r="G253" s="3" t="str">
        <f t="shared" si="4"/>
        <v>ZZZ</v>
      </c>
      <c r="H253" s="3" t="b">
        <f t="array" ref="H253">OR(ISNUMBER(SEARCH(G$2:G$30,$B253,5)))</f>
        <v>0</v>
      </c>
      <c r="J253" s="3" t="str">
        <f t="shared" si="5"/>
        <v>ZZZ</v>
      </c>
      <c r="K253" s="3" t="b">
        <f t="array" ref="K253">OR(ISNUMBER(SEARCH(J$2:J$30,$B253,5)))</f>
        <v>0</v>
      </c>
      <c r="M253" s="3" t="str">
        <f t="shared" si="6"/>
        <v>ZZZ</v>
      </c>
      <c r="N253" s="3" t="b">
        <f t="array" ref="N253">OR(ISNUMBER(SEARCH(M$2:M$30,$B253,5)))</f>
        <v>0</v>
      </c>
      <c r="P253" s="3" t="str">
        <f t="shared" si="7"/>
        <v>ZZZ</v>
      </c>
      <c r="Q253" s="3" t="b">
        <f t="array" ref="Q253">OR(ISNUMBER(SEARCH(P$2:P$50,$B253,5)))</f>
        <v>0</v>
      </c>
      <c r="S253" s="3" t="str">
        <f t="shared" si="8"/>
        <v>ZZZ</v>
      </c>
      <c r="T253" s="3" t="b">
        <f t="array" ref="T253">OR(ISNUMBER(SEARCH(S$2:S$100,$B253,5)))</f>
        <v>0</v>
      </c>
      <c r="V253" s="3" t="str">
        <f t="shared" si="9"/>
        <v>ZZZ</v>
      </c>
      <c r="W253" s="3" t="b">
        <f t="array" ref="W253">OR(ISNUMBER(SEARCH(V$2:V$100,$B253,5)))</f>
        <v>0</v>
      </c>
      <c r="Y253" s="3" t="str">
        <f t="shared" si="10"/>
        <v>ZZZ</v>
      </c>
      <c r="Z253" s="3" t="b">
        <f t="array" ref="Z253">OR(ISNUMBER(SEARCH(Y$2:Y$100,$B253,5)))</f>
        <v>0</v>
      </c>
      <c r="AB253" s="3" t="str">
        <f t="shared" si="11"/>
        <v>ZZZ</v>
      </c>
      <c r="AC253" s="3" t="b">
        <f t="array" ref="AC253">OR(ISNUMBER(SEARCH(AB$2:AB$100,$B253,5)))</f>
        <v>0</v>
      </c>
      <c r="AE253" s="3" t="str">
        <f t="shared" si="12"/>
        <v>ZZZ</v>
      </c>
      <c r="AF253" s="3" t="b">
        <f t="array" ref="AF253">OR(ISNUMBER(SEARCH(AE$2:AE$100,$B253,5)))</f>
        <v>0</v>
      </c>
      <c r="AH253" s="3" t="str">
        <f t="shared" si="13"/>
        <v>ZZZ</v>
      </c>
      <c r="AI253" s="3" t="b">
        <f t="array" ref="AI253">OR(ISNUMBER(SEARCH(AH$2:AH$100,$B253,5)))</f>
        <v>0</v>
      </c>
      <c r="AK253" s="3" t="str">
        <f t="shared" si="14"/>
        <v>ZZZ</v>
      </c>
      <c r="AL253" s="3" t="b">
        <f t="array" ref="AL253">OR(ISNUMBER(SEARCH(AK$2:AK$100,$B253,5)))</f>
        <v>0</v>
      </c>
      <c r="AU253" s="8"/>
      <c r="AV253" s="6"/>
      <c r="AW253" s="8"/>
      <c r="AX253" s="8"/>
      <c r="AY253" s="6"/>
      <c r="AZ253" s="8"/>
      <c r="BA253" s="8"/>
      <c r="BB253" s="6" t="str">
        <f>IFERROR(__xludf.DUMMYFUNCTION("""COMPUTED_VALUE"""),"dark tomato")</f>
        <v>dark tomato</v>
      </c>
      <c r="BC253" s="8"/>
      <c r="BD253" s="8"/>
      <c r="BE253" s="6"/>
      <c r="BF253" s="8"/>
      <c r="BG253" s="8"/>
      <c r="BH253" s="6"/>
      <c r="BI253" s="8"/>
      <c r="BJ253" s="8"/>
      <c r="BK253" s="6"/>
      <c r="BL253" s="8"/>
      <c r="BM253" s="8"/>
      <c r="BN253" s="6"/>
      <c r="BO253" s="8"/>
      <c r="BP253" s="8"/>
      <c r="BQ253" s="6"/>
      <c r="BR253" s="8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</row>
    <row r="254">
      <c r="A254" s="6"/>
      <c r="B254" s="6" t="s">
        <v>254</v>
      </c>
      <c r="C254" s="3" t="str">
        <f t="shared" si="3"/>
        <v>dotted blue</v>
      </c>
      <c r="D254" s="3" t="str">
        <f t="shared" si="17"/>
        <v>ZZZ</v>
      </c>
      <c r="E254" s="3" t="b">
        <f t="array" ref="E254">OR(ISNUMBER(SEARCH(D$2:D$30,$B254,5)))</f>
        <v>0</v>
      </c>
      <c r="G254" s="3" t="str">
        <f t="shared" si="4"/>
        <v>ZZZ</v>
      </c>
      <c r="H254" s="3" t="b">
        <f t="array" ref="H254">OR(ISNUMBER(SEARCH(G$2:G$30,$B254,5)))</f>
        <v>0</v>
      </c>
      <c r="J254" s="3" t="str">
        <f t="shared" si="5"/>
        <v>ZZZ</v>
      </c>
      <c r="K254" s="3" t="b">
        <f t="array" ref="K254">OR(ISNUMBER(SEARCH(J$2:J$30,$B254,5)))</f>
        <v>0</v>
      </c>
      <c r="M254" s="3" t="str">
        <f t="shared" si="6"/>
        <v>ZZZ</v>
      </c>
      <c r="N254" s="3" t="b">
        <f t="array" ref="N254">OR(ISNUMBER(SEARCH(M$2:M$30,$B254,5)))</f>
        <v>0</v>
      </c>
      <c r="P254" s="3" t="str">
        <f t="shared" si="7"/>
        <v>ZZZ</v>
      </c>
      <c r="Q254" s="3" t="b">
        <f t="array" ref="Q254">OR(ISNUMBER(SEARCH(P$2:P$50,$B254,5)))</f>
        <v>1</v>
      </c>
      <c r="S254" s="3" t="str">
        <f t="shared" si="8"/>
        <v>ZZZ</v>
      </c>
      <c r="T254" s="3" t="b">
        <f t="array" ref="T254">OR(ISNUMBER(SEARCH(S$2:S$100,$B254,5)))</f>
        <v>0</v>
      </c>
      <c r="V254" s="3" t="str">
        <f t="shared" si="9"/>
        <v>ZZZ</v>
      </c>
      <c r="W254" s="3" t="b">
        <f t="array" ref="W254">OR(ISNUMBER(SEARCH(V$2:V$100,$B254,5)))</f>
        <v>0</v>
      </c>
      <c r="Y254" s="3" t="str">
        <f t="shared" si="10"/>
        <v>ZZZ</v>
      </c>
      <c r="Z254" s="3" t="b">
        <f t="array" ref="Z254">OR(ISNUMBER(SEARCH(Y$2:Y$100,$B254,5)))</f>
        <v>0</v>
      </c>
      <c r="AB254" s="3" t="str">
        <f t="shared" si="11"/>
        <v>ZZZ</v>
      </c>
      <c r="AC254" s="3" t="b">
        <f t="array" ref="AC254">OR(ISNUMBER(SEARCH(AB$2:AB$100,$B254,5)))</f>
        <v>0</v>
      </c>
      <c r="AE254" s="3" t="str">
        <f t="shared" si="12"/>
        <v>ZZZ</v>
      </c>
      <c r="AF254" s="3" t="b">
        <f t="array" ref="AF254">OR(ISNUMBER(SEARCH(AE$2:AE$100,$B254,5)))</f>
        <v>0</v>
      </c>
      <c r="AH254" s="3" t="str">
        <f t="shared" si="13"/>
        <v>ZZZ</v>
      </c>
      <c r="AI254" s="3" t="b">
        <f t="array" ref="AI254">OR(ISNUMBER(SEARCH(AH$2:AH$100,$B254,5)))</f>
        <v>0</v>
      </c>
      <c r="AK254" s="3" t="str">
        <f t="shared" si="14"/>
        <v>ZZZ</v>
      </c>
      <c r="AL254" s="3" t="b">
        <f t="array" ref="AL254">OR(ISNUMBER(SEARCH(AK$2:AK$100,$B254,5)))</f>
        <v>0</v>
      </c>
      <c r="AU254" s="8"/>
      <c r="AV254" s="6"/>
      <c r="AW254" s="8"/>
      <c r="AX254" s="8"/>
      <c r="AY254" s="6"/>
      <c r="AZ254" s="8"/>
      <c r="BA254" s="8"/>
      <c r="BB254" s="6" t="str">
        <f>IFERROR(__xludf.DUMMYFUNCTION("""COMPUTED_VALUE"""),"dim cyan")</f>
        <v>dim cyan</v>
      </c>
      <c r="BC254" s="8"/>
      <c r="BD254" s="8"/>
      <c r="BE254" s="6"/>
      <c r="BF254" s="8"/>
      <c r="BG254" s="8"/>
      <c r="BH254" s="6"/>
      <c r="BI254" s="8"/>
      <c r="BJ254" s="8"/>
      <c r="BK254" s="6"/>
      <c r="BL254" s="8"/>
      <c r="BM254" s="8"/>
      <c r="BN254" s="6"/>
      <c r="BO254" s="8"/>
      <c r="BP254" s="8"/>
      <c r="BQ254" s="6"/>
      <c r="BR254" s="8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</row>
    <row r="255">
      <c r="A255" s="6"/>
      <c r="B255" s="6" t="s">
        <v>255</v>
      </c>
      <c r="C255" s="3" t="str">
        <f t="shared" si="3"/>
        <v>bright maroon</v>
      </c>
      <c r="D255" s="3" t="str">
        <f t="shared" si="17"/>
        <v>ZZZ</v>
      </c>
      <c r="E255" s="3" t="b">
        <f t="array" ref="E255">OR(ISNUMBER(SEARCH(D$2:D$30,$B255,5)))</f>
        <v>0</v>
      </c>
      <c r="G255" s="3" t="str">
        <f t="shared" si="4"/>
        <v>ZZZ</v>
      </c>
      <c r="H255" s="3" t="b">
        <f t="array" ref="H255">OR(ISNUMBER(SEARCH(G$2:G$30,$B255,5)))</f>
        <v>0</v>
      </c>
      <c r="J255" s="3" t="str">
        <f t="shared" si="5"/>
        <v>ZZZ</v>
      </c>
      <c r="K255" s="3" t="b">
        <f t="array" ref="K255">OR(ISNUMBER(SEARCH(J$2:J$30,$B255,5)))</f>
        <v>0</v>
      </c>
      <c r="M255" s="3" t="str">
        <f t="shared" si="6"/>
        <v>ZZZ</v>
      </c>
      <c r="N255" s="3" t="b">
        <f t="array" ref="N255">OR(ISNUMBER(SEARCH(M$2:M$30,$B255,5)))</f>
        <v>0</v>
      </c>
      <c r="P255" s="3" t="str">
        <f t="shared" si="7"/>
        <v>ZZZ</v>
      </c>
      <c r="Q255" s="3" t="b">
        <f t="array" ref="Q255">OR(ISNUMBER(SEARCH(P$2:P$50,$B255,5)))</f>
        <v>1</v>
      </c>
      <c r="S255" s="3" t="str">
        <f t="shared" si="8"/>
        <v>ZZZ</v>
      </c>
      <c r="T255" s="3" t="b">
        <f t="array" ref="T255">OR(ISNUMBER(SEARCH(S$2:S$100,$B255,5)))</f>
        <v>0</v>
      </c>
      <c r="V255" s="3" t="str">
        <f t="shared" si="9"/>
        <v>ZZZ</v>
      </c>
      <c r="W255" s="3" t="b">
        <f t="array" ref="W255">OR(ISNUMBER(SEARCH(V$2:V$100,$B255,5)))</f>
        <v>0</v>
      </c>
      <c r="Y255" s="3" t="str">
        <f t="shared" si="10"/>
        <v>ZZZ</v>
      </c>
      <c r="Z255" s="3" t="b">
        <f t="array" ref="Z255">OR(ISNUMBER(SEARCH(Y$2:Y$100,$B255,5)))</f>
        <v>0</v>
      </c>
      <c r="AB255" s="3" t="str">
        <f t="shared" si="11"/>
        <v>ZZZ</v>
      </c>
      <c r="AC255" s="3" t="b">
        <f t="array" ref="AC255">OR(ISNUMBER(SEARCH(AB$2:AB$100,$B255,5)))</f>
        <v>0</v>
      </c>
      <c r="AE255" s="3" t="str">
        <f t="shared" si="12"/>
        <v>ZZZ</v>
      </c>
      <c r="AF255" s="3" t="b">
        <f t="array" ref="AF255">OR(ISNUMBER(SEARCH(AE$2:AE$100,$B255,5)))</f>
        <v>0</v>
      </c>
      <c r="AH255" s="3" t="str">
        <f t="shared" si="13"/>
        <v>ZZZ</v>
      </c>
      <c r="AI255" s="3" t="b">
        <f t="array" ref="AI255">OR(ISNUMBER(SEARCH(AH$2:AH$100,$B255,5)))</f>
        <v>0</v>
      </c>
      <c r="AK255" s="3" t="str">
        <f t="shared" si="14"/>
        <v>ZZZ</v>
      </c>
      <c r="AL255" s="3" t="b">
        <f t="array" ref="AL255">OR(ISNUMBER(SEARCH(AK$2:AK$100,$B255,5)))</f>
        <v>0</v>
      </c>
      <c r="AU255" s="8"/>
      <c r="AV255" s="6"/>
      <c r="AW255" s="8"/>
      <c r="AX255" s="8"/>
      <c r="AY255" s="6"/>
      <c r="AZ255" s="8"/>
      <c r="BA255" s="8"/>
      <c r="BB255" s="6" t="str">
        <f>IFERROR(__xludf.DUMMYFUNCTION("""COMPUTED_VALUE"""),"dotted green")</f>
        <v>dotted green</v>
      </c>
      <c r="BC255" s="8"/>
      <c r="BD255" s="8"/>
      <c r="BE255" s="6"/>
      <c r="BF255" s="8"/>
      <c r="BG255" s="8"/>
      <c r="BH255" s="6"/>
      <c r="BI255" s="8"/>
      <c r="BJ255" s="8"/>
      <c r="BK255" s="6"/>
      <c r="BL255" s="8"/>
      <c r="BM255" s="8"/>
      <c r="BN255" s="6"/>
      <c r="BO255" s="8"/>
      <c r="BP255" s="8"/>
      <c r="BQ255" s="6"/>
      <c r="BR255" s="8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</row>
    <row r="256">
      <c r="A256" s="6"/>
      <c r="B256" s="6" t="s">
        <v>256</v>
      </c>
      <c r="C256" s="3" t="str">
        <f t="shared" si="3"/>
        <v>bright cyan</v>
      </c>
      <c r="D256" s="3" t="str">
        <f t="shared" si="17"/>
        <v>ZZZ</v>
      </c>
      <c r="E256" s="3" t="b">
        <f t="array" ref="E256">OR(ISNUMBER(SEARCH(D$2:D$30,$B256,5)))</f>
        <v>0</v>
      </c>
      <c r="G256" s="3" t="str">
        <f t="shared" si="4"/>
        <v>ZZZ</v>
      </c>
      <c r="H256" s="3" t="b">
        <f t="array" ref="H256">OR(ISNUMBER(SEARCH(G$2:G$30,$B256,5)))</f>
        <v>0</v>
      </c>
      <c r="J256" s="3" t="str">
        <f t="shared" si="5"/>
        <v>ZZZ</v>
      </c>
      <c r="K256" s="3" t="b">
        <f t="array" ref="K256">OR(ISNUMBER(SEARCH(J$2:J$30,$B256,5)))</f>
        <v>0</v>
      </c>
      <c r="M256" s="3" t="str">
        <f t="shared" si="6"/>
        <v>ZZZ</v>
      </c>
      <c r="N256" s="3" t="b">
        <f t="array" ref="N256">OR(ISNUMBER(SEARCH(M$2:M$30,$B256,5)))</f>
        <v>0</v>
      </c>
      <c r="P256" s="3" t="str">
        <f t="shared" si="7"/>
        <v>ZZZ</v>
      </c>
      <c r="Q256" s="3" t="b">
        <f t="array" ref="Q256">OR(ISNUMBER(SEARCH(P$2:P$50,$B256,5)))</f>
        <v>0</v>
      </c>
      <c r="S256" s="3" t="str">
        <f t="shared" si="8"/>
        <v>ZZZ</v>
      </c>
      <c r="T256" s="3" t="b">
        <f t="array" ref="T256">OR(ISNUMBER(SEARCH(S$2:S$100,$B256,5)))</f>
        <v>0</v>
      </c>
      <c r="V256" s="3" t="str">
        <f t="shared" si="9"/>
        <v>ZZZ</v>
      </c>
      <c r="W256" s="3" t="b">
        <f t="array" ref="W256">OR(ISNUMBER(SEARCH(V$2:V$100,$B256,5)))</f>
        <v>0</v>
      </c>
      <c r="Y256" s="3" t="str">
        <f t="shared" si="10"/>
        <v>ZZZ</v>
      </c>
      <c r="Z256" s="3" t="b">
        <f t="array" ref="Z256">OR(ISNUMBER(SEARCH(Y$2:Y$100,$B256,5)))</f>
        <v>0</v>
      </c>
      <c r="AB256" s="3" t="str">
        <f t="shared" si="11"/>
        <v>ZZZ</v>
      </c>
      <c r="AC256" s="3" t="b">
        <f t="array" ref="AC256">OR(ISNUMBER(SEARCH(AB$2:AB$100,$B256,5)))</f>
        <v>0</v>
      </c>
      <c r="AE256" s="3" t="str">
        <f t="shared" si="12"/>
        <v>ZZZ</v>
      </c>
      <c r="AF256" s="3" t="b">
        <f t="array" ref="AF256">OR(ISNUMBER(SEARCH(AE$2:AE$100,$B256,5)))</f>
        <v>0</v>
      </c>
      <c r="AH256" s="3" t="str">
        <f t="shared" si="13"/>
        <v>ZZZ</v>
      </c>
      <c r="AI256" s="3" t="b">
        <f t="array" ref="AI256">OR(ISNUMBER(SEARCH(AH$2:AH$100,$B256,5)))</f>
        <v>0</v>
      </c>
      <c r="AK256" s="3" t="str">
        <f t="shared" si="14"/>
        <v>ZZZ</v>
      </c>
      <c r="AL256" s="3" t="b">
        <f t="array" ref="AL256">OR(ISNUMBER(SEARCH(AK$2:AK$100,$B256,5)))</f>
        <v>0</v>
      </c>
      <c r="AU256" s="8"/>
      <c r="AV256" s="6"/>
      <c r="AW256" s="8"/>
      <c r="AX256" s="8"/>
      <c r="AY256" s="6"/>
      <c r="AZ256" s="8"/>
      <c r="BA256" s="8"/>
      <c r="BB256" s="6" t="str">
        <f>IFERROR(__xludf.DUMMYFUNCTION("""COMPUTED_VALUE"""),"dark salmon")</f>
        <v>dark salmon</v>
      </c>
      <c r="BC256" s="8"/>
      <c r="BD256" s="8"/>
      <c r="BE256" s="6"/>
      <c r="BF256" s="8"/>
      <c r="BG256" s="8"/>
      <c r="BH256" s="6"/>
      <c r="BI256" s="8"/>
      <c r="BJ256" s="8"/>
      <c r="BK256" s="6"/>
      <c r="BL256" s="8"/>
      <c r="BM256" s="8"/>
      <c r="BN256" s="6"/>
      <c r="BO256" s="8"/>
      <c r="BP256" s="8"/>
      <c r="BQ256" s="6"/>
      <c r="BR256" s="8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</row>
    <row r="257">
      <c r="A257" s="6"/>
      <c r="B257" s="6" t="s">
        <v>257</v>
      </c>
      <c r="C257" s="3" t="str">
        <f t="shared" si="3"/>
        <v>plaid olive</v>
      </c>
      <c r="D257" s="3" t="str">
        <f t="shared" si="17"/>
        <v>ZZZ</v>
      </c>
      <c r="E257" s="3" t="b">
        <f t="array" ref="E257">OR(ISNUMBER(SEARCH(D$2:D$30,$B257,5)))</f>
        <v>0</v>
      </c>
      <c r="G257" s="3" t="str">
        <f t="shared" si="4"/>
        <v>ZZZ</v>
      </c>
      <c r="H257" s="3" t="b">
        <f t="array" ref="H257">OR(ISNUMBER(SEARCH(G$2:G$30,$B257,5)))</f>
        <v>0</v>
      </c>
      <c r="J257" s="3" t="str">
        <f t="shared" si="5"/>
        <v>ZZZ</v>
      </c>
      <c r="K257" s="3" t="b">
        <f t="array" ref="K257">OR(ISNUMBER(SEARCH(J$2:J$30,$B257,5)))</f>
        <v>0</v>
      </c>
      <c r="M257" s="3" t="str">
        <f t="shared" si="6"/>
        <v>ZZZ</v>
      </c>
      <c r="N257" s="3" t="b">
        <f t="array" ref="N257">OR(ISNUMBER(SEARCH(M$2:M$30,$B257,5)))</f>
        <v>0</v>
      </c>
      <c r="P257" s="3" t="str">
        <f t="shared" si="7"/>
        <v>ZZZ</v>
      </c>
      <c r="Q257" s="3" t="b">
        <f t="array" ref="Q257">OR(ISNUMBER(SEARCH(P$2:P$50,$B257,5)))</f>
        <v>0</v>
      </c>
      <c r="S257" s="3" t="str">
        <f t="shared" si="8"/>
        <v>ZZZ</v>
      </c>
      <c r="T257" s="3" t="b">
        <f t="array" ref="T257">OR(ISNUMBER(SEARCH(S$2:S$100,$B257,5)))</f>
        <v>0</v>
      </c>
      <c r="V257" s="3" t="str">
        <f t="shared" si="9"/>
        <v>ZZZ</v>
      </c>
      <c r="W257" s="3" t="b">
        <f t="array" ref="W257">OR(ISNUMBER(SEARCH(V$2:V$100,$B257,5)))</f>
        <v>1</v>
      </c>
      <c r="Y257" s="3" t="str">
        <f t="shared" si="10"/>
        <v>ZZZ</v>
      </c>
      <c r="Z257" s="3" t="b">
        <f t="array" ref="Z257">OR(ISNUMBER(SEARCH(Y$2:Y$100,$B257,5)))</f>
        <v>0</v>
      </c>
      <c r="AB257" s="3" t="str">
        <f t="shared" si="11"/>
        <v>ZZZ</v>
      </c>
      <c r="AC257" s="3" t="b">
        <f t="array" ref="AC257">OR(ISNUMBER(SEARCH(AB$2:AB$100,$B257,5)))</f>
        <v>1</v>
      </c>
      <c r="AE257" s="3" t="str">
        <f t="shared" si="12"/>
        <v>ZZZ</v>
      </c>
      <c r="AF257" s="3" t="b">
        <f t="array" ref="AF257">OR(ISNUMBER(SEARCH(AE$2:AE$100,$B257,5)))</f>
        <v>0</v>
      </c>
      <c r="AH257" s="3" t="str">
        <f t="shared" si="13"/>
        <v>ZZZ</v>
      </c>
      <c r="AI257" s="3" t="b">
        <f t="array" ref="AI257">OR(ISNUMBER(SEARCH(AH$2:AH$100,$B257,5)))</f>
        <v>0</v>
      </c>
      <c r="AK257" s="3" t="str">
        <f t="shared" si="14"/>
        <v>ZZZ</v>
      </c>
      <c r="AL257" s="3" t="b">
        <f t="array" ref="AL257">OR(ISNUMBER(SEARCH(AK$2:AK$100,$B257,5)))</f>
        <v>0</v>
      </c>
      <c r="AU257" s="8"/>
      <c r="AV257" s="6"/>
      <c r="AW257" s="8"/>
      <c r="AX257" s="8"/>
      <c r="AY257" s="6"/>
      <c r="AZ257" s="8"/>
      <c r="BA257" s="8"/>
      <c r="BB257" s="6" t="str">
        <f>IFERROR(__xludf.DUMMYFUNCTION("""COMPUTED_VALUE"""),"dull gray")</f>
        <v>dull gray</v>
      </c>
      <c r="BC257" s="8"/>
      <c r="BD257" s="8"/>
      <c r="BE257" s="6"/>
      <c r="BF257" s="8"/>
      <c r="BG257" s="8"/>
      <c r="BH257" s="6"/>
      <c r="BI257" s="8"/>
      <c r="BJ257" s="8"/>
      <c r="BK257" s="6"/>
      <c r="BL257" s="8"/>
      <c r="BM257" s="8"/>
      <c r="BN257" s="6"/>
      <c r="BO257" s="8"/>
      <c r="BP257" s="8"/>
      <c r="BQ257" s="6"/>
      <c r="BR257" s="8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</row>
    <row r="258">
      <c r="A258" s="6"/>
      <c r="B258" s="6" t="s">
        <v>258</v>
      </c>
      <c r="C258" s="3" t="str">
        <f t="shared" si="3"/>
        <v>plaid chartreuse</v>
      </c>
      <c r="D258" s="3" t="str">
        <f t="shared" si="17"/>
        <v>ZZZ</v>
      </c>
      <c r="E258" s="3" t="b">
        <f t="array" ref="E258">OR(ISNUMBER(SEARCH(D$2:D$30,$B258,5)))</f>
        <v>0</v>
      </c>
      <c r="G258" s="3" t="str">
        <f t="shared" si="4"/>
        <v>ZZZ</v>
      </c>
      <c r="H258" s="3" t="b">
        <f t="array" ref="H258">OR(ISNUMBER(SEARCH(G$2:G$30,$B258,5)))</f>
        <v>0</v>
      </c>
      <c r="J258" s="3" t="str">
        <f t="shared" si="5"/>
        <v>ZZZ</v>
      </c>
      <c r="K258" s="3" t="b">
        <f t="array" ref="K258">OR(ISNUMBER(SEARCH(J$2:J$30,$B258,5)))</f>
        <v>0</v>
      </c>
      <c r="M258" s="3" t="str">
        <f t="shared" si="6"/>
        <v>ZZZ</v>
      </c>
      <c r="N258" s="3" t="b">
        <f t="array" ref="N258">OR(ISNUMBER(SEARCH(M$2:M$30,$B258,5)))</f>
        <v>1</v>
      </c>
      <c r="P258" s="3" t="str">
        <f t="shared" si="7"/>
        <v>ZZZ</v>
      </c>
      <c r="Q258" s="3" t="b">
        <f t="array" ref="Q258">OR(ISNUMBER(SEARCH(P$2:P$50,$B258,5)))</f>
        <v>0</v>
      </c>
      <c r="S258" s="3" t="str">
        <f t="shared" si="8"/>
        <v>ZZZ</v>
      </c>
      <c r="T258" s="3" t="b">
        <f t="array" ref="T258">OR(ISNUMBER(SEARCH(S$2:S$100,$B258,5)))</f>
        <v>0</v>
      </c>
      <c r="V258" s="3" t="str">
        <f t="shared" si="9"/>
        <v>ZZZ</v>
      </c>
      <c r="W258" s="3" t="b">
        <f t="array" ref="W258">OR(ISNUMBER(SEARCH(V$2:V$100,$B258,5)))</f>
        <v>0</v>
      </c>
      <c r="Y258" s="3" t="str">
        <f t="shared" si="10"/>
        <v>ZZZ</v>
      </c>
      <c r="Z258" s="3" t="b">
        <f t="array" ref="Z258">OR(ISNUMBER(SEARCH(Y$2:Y$100,$B258,5)))</f>
        <v>0</v>
      </c>
      <c r="AB258" s="3" t="str">
        <f t="shared" si="11"/>
        <v>ZZZ</v>
      </c>
      <c r="AC258" s="3" t="b">
        <f t="array" ref="AC258">OR(ISNUMBER(SEARCH(AB$2:AB$100,$B258,5)))</f>
        <v>0</v>
      </c>
      <c r="AE258" s="3" t="str">
        <f t="shared" si="12"/>
        <v>ZZZ</v>
      </c>
      <c r="AF258" s="3" t="b">
        <f t="array" ref="AF258">OR(ISNUMBER(SEARCH(AE$2:AE$100,$B258,5)))</f>
        <v>0</v>
      </c>
      <c r="AH258" s="3" t="str">
        <f t="shared" si="13"/>
        <v>ZZZ</v>
      </c>
      <c r="AI258" s="3" t="b">
        <f t="array" ref="AI258">OR(ISNUMBER(SEARCH(AH$2:AH$100,$B258,5)))</f>
        <v>0</v>
      </c>
      <c r="AK258" s="3" t="str">
        <f t="shared" si="14"/>
        <v>ZZZ</v>
      </c>
      <c r="AL258" s="3" t="b">
        <f t="array" ref="AL258">OR(ISNUMBER(SEARCH(AK$2:AK$100,$B258,5)))</f>
        <v>0</v>
      </c>
      <c r="AU258" s="8"/>
      <c r="AV258" s="6"/>
      <c r="AW258" s="8"/>
      <c r="AX258" s="8"/>
      <c r="AY258" s="6"/>
      <c r="AZ258" s="8"/>
      <c r="BA258" s="8"/>
      <c r="BB258" s="6" t="str">
        <f>IFERROR(__xludf.DUMMYFUNCTION("""COMPUTED_VALUE"""),"plaid orange")</f>
        <v>plaid orange</v>
      </c>
      <c r="BC258" s="8"/>
      <c r="BD258" s="8"/>
      <c r="BE258" s="6"/>
      <c r="BF258" s="8"/>
      <c r="BG258" s="8"/>
      <c r="BH258" s="6"/>
      <c r="BI258" s="8"/>
      <c r="BJ258" s="8"/>
      <c r="BK258" s="6"/>
      <c r="BL258" s="8"/>
      <c r="BM258" s="8"/>
      <c r="BN258" s="6"/>
      <c r="BO258" s="8"/>
      <c r="BP258" s="8"/>
      <c r="BQ258" s="6"/>
      <c r="BR258" s="8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</row>
    <row r="259">
      <c r="A259" s="6"/>
      <c r="B259" s="6" t="s">
        <v>259</v>
      </c>
      <c r="C259" s="3" t="str">
        <f t="shared" si="3"/>
        <v>dull maroon</v>
      </c>
      <c r="D259" s="3" t="str">
        <f t="shared" si="17"/>
        <v>ZZZ</v>
      </c>
      <c r="E259" s="3" t="b">
        <f t="array" ref="E259">OR(ISNUMBER(SEARCH(D$2:D$30,$B259,5)))</f>
        <v>0</v>
      </c>
      <c r="G259" s="3" t="str">
        <f t="shared" si="4"/>
        <v>ZZZ</v>
      </c>
      <c r="H259" s="3" t="b">
        <f t="array" ref="H259">OR(ISNUMBER(SEARCH(G$2:G$30,$B259,5)))</f>
        <v>0</v>
      </c>
      <c r="J259" s="3" t="str">
        <f t="shared" si="5"/>
        <v>ZZZ</v>
      </c>
      <c r="K259" s="3" t="b">
        <f t="array" ref="K259">OR(ISNUMBER(SEARCH(J$2:J$30,$B259,5)))</f>
        <v>0</v>
      </c>
      <c r="M259" s="3" t="str">
        <f t="shared" si="6"/>
        <v>ZZZ</v>
      </c>
      <c r="N259" s="3" t="b">
        <f t="array" ref="N259">OR(ISNUMBER(SEARCH(M$2:M$30,$B259,5)))</f>
        <v>0</v>
      </c>
      <c r="P259" s="3" t="str">
        <f t="shared" si="7"/>
        <v>ZZZ</v>
      </c>
      <c r="Q259" s="3" t="b">
        <f t="array" ref="Q259">OR(ISNUMBER(SEARCH(P$2:P$50,$B259,5)))</f>
        <v>0</v>
      </c>
      <c r="S259" s="3" t="str">
        <f t="shared" si="8"/>
        <v>ZZZ</v>
      </c>
      <c r="T259" s="3" t="b">
        <f t="array" ref="T259">OR(ISNUMBER(SEARCH(S$2:S$100,$B259,5)))</f>
        <v>0</v>
      </c>
      <c r="V259" s="3" t="str">
        <f t="shared" si="9"/>
        <v>ZZZ</v>
      </c>
      <c r="W259" s="3" t="b">
        <f t="array" ref="W259">OR(ISNUMBER(SEARCH(V$2:V$100,$B259,5)))</f>
        <v>0</v>
      </c>
      <c r="Y259" s="3" t="str">
        <f t="shared" si="10"/>
        <v>ZZZ</v>
      </c>
      <c r="Z259" s="3" t="b">
        <f t="array" ref="Z259">OR(ISNUMBER(SEARCH(Y$2:Y$100,$B259,5)))</f>
        <v>0</v>
      </c>
      <c r="AB259" s="3" t="str">
        <f t="shared" si="11"/>
        <v>ZZZ</v>
      </c>
      <c r="AC259" s="3" t="b">
        <f t="array" ref="AC259">OR(ISNUMBER(SEARCH(AB$2:AB$100,$B259,5)))</f>
        <v>0</v>
      </c>
      <c r="AE259" s="3" t="str">
        <f t="shared" si="12"/>
        <v>ZZZ</v>
      </c>
      <c r="AF259" s="3" t="b">
        <f t="array" ref="AF259">OR(ISNUMBER(SEARCH(AE$2:AE$100,$B259,5)))</f>
        <v>0</v>
      </c>
      <c r="AH259" s="3" t="str">
        <f t="shared" si="13"/>
        <v>ZZZ</v>
      </c>
      <c r="AI259" s="3" t="b">
        <f t="array" ref="AI259">OR(ISNUMBER(SEARCH(AH$2:AH$100,$B259,5)))</f>
        <v>0</v>
      </c>
      <c r="AK259" s="3" t="str">
        <f t="shared" si="14"/>
        <v>ZZZ</v>
      </c>
      <c r="AL259" s="3" t="b">
        <f t="array" ref="AL259">OR(ISNUMBER(SEARCH(AK$2:AK$100,$B259,5)))</f>
        <v>0</v>
      </c>
      <c r="AU259" s="8"/>
      <c r="AV259" s="6"/>
      <c r="AW259" s="8"/>
      <c r="AX259" s="8"/>
      <c r="AY259" s="6"/>
      <c r="AZ259" s="8"/>
      <c r="BA259" s="8"/>
      <c r="BB259" s="6" t="str">
        <f>IFERROR(__xludf.DUMMYFUNCTION("""COMPUTED_VALUE"""),"dotted tan")</f>
        <v>dotted tan</v>
      </c>
      <c r="BC259" s="8"/>
      <c r="BD259" s="8"/>
      <c r="BE259" s="6"/>
      <c r="BF259" s="8"/>
      <c r="BG259" s="8"/>
      <c r="BH259" s="6"/>
      <c r="BI259" s="8"/>
      <c r="BJ259" s="8"/>
      <c r="BK259" s="6"/>
      <c r="BL259" s="8"/>
      <c r="BM259" s="8"/>
      <c r="BN259" s="6"/>
      <c r="BO259" s="8"/>
      <c r="BP259" s="8"/>
      <c r="BQ259" s="6"/>
      <c r="BR259" s="8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</row>
    <row r="260">
      <c r="A260" s="6"/>
      <c r="B260" s="6" t="s">
        <v>260</v>
      </c>
      <c r="C260" s="3" t="str">
        <f t="shared" si="3"/>
        <v>light fuchsia</v>
      </c>
      <c r="D260" s="3" t="str">
        <f t="shared" si="17"/>
        <v>ZZZ</v>
      </c>
      <c r="E260" s="3" t="b">
        <f t="array" ref="E260">OR(ISNUMBER(SEARCH(D$2:D$30,$B260,5)))</f>
        <v>0</v>
      </c>
      <c r="G260" s="3" t="str">
        <f t="shared" si="4"/>
        <v>ZZZ</v>
      </c>
      <c r="H260" s="3" t="b">
        <f t="array" ref="H260">OR(ISNUMBER(SEARCH(G$2:G$30,$B260,5)))</f>
        <v>0</v>
      </c>
      <c r="J260" s="3" t="str">
        <f t="shared" si="5"/>
        <v>ZZZ</v>
      </c>
      <c r="K260" s="3" t="b">
        <f t="array" ref="K260">OR(ISNUMBER(SEARCH(J$2:J$30,$B260,5)))</f>
        <v>1</v>
      </c>
      <c r="M260" s="3" t="str">
        <f t="shared" si="6"/>
        <v>ZZZ</v>
      </c>
      <c r="N260" s="3" t="b">
        <f t="array" ref="N260">OR(ISNUMBER(SEARCH(M$2:M$30,$B260,5)))</f>
        <v>0</v>
      </c>
      <c r="P260" s="3" t="str">
        <f t="shared" si="7"/>
        <v>ZZZ</v>
      </c>
      <c r="Q260" s="3" t="b">
        <f t="array" ref="Q260">OR(ISNUMBER(SEARCH(P$2:P$50,$B260,5)))</f>
        <v>0</v>
      </c>
      <c r="S260" s="3" t="str">
        <f t="shared" si="8"/>
        <v>ZZZ</v>
      </c>
      <c r="T260" s="3" t="b">
        <f t="array" ref="T260">OR(ISNUMBER(SEARCH(S$2:S$100,$B260,5)))</f>
        <v>0</v>
      </c>
      <c r="V260" s="3" t="str">
        <f t="shared" si="9"/>
        <v>ZZZ</v>
      </c>
      <c r="W260" s="3" t="b">
        <f t="array" ref="W260">OR(ISNUMBER(SEARCH(V$2:V$100,$B260,5)))</f>
        <v>0</v>
      </c>
      <c r="Y260" s="3" t="str">
        <f t="shared" si="10"/>
        <v>ZZZ</v>
      </c>
      <c r="Z260" s="3" t="b">
        <f t="array" ref="Z260">OR(ISNUMBER(SEARCH(Y$2:Y$100,$B260,5)))</f>
        <v>0</v>
      </c>
      <c r="AB260" s="3" t="str">
        <f t="shared" si="11"/>
        <v>ZZZ</v>
      </c>
      <c r="AC260" s="3" t="b">
        <f t="array" ref="AC260">OR(ISNUMBER(SEARCH(AB$2:AB$100,$B260,5)))</f>
        <v>0</v>
      </c>
      <c r="AE260" s="3" t="str">
        <f t="shared" si="12"/>
        <v>ZZZ</v>
      </c>
      <c r="AF260" s="3" t="b">
        <f t="array" ref="AF260">OR(ISNUMBER(SEARCH(AE$2:AE$100,$B260,5)))</f>
        <v>0</v>
      </c>
      <c r="AH260" s="3" t="str">
        <f t="shared" si="13"/>
        <v>ZZZ</v>
      </c>
      <c r="AI260" s="3" t="b">
        <f t="array" ref="AI260">OR(ISNUMBER(SEARCH(AH$2:AH$100,$B260,5)))</f>
        <v>1</v>
      </c>
      <c r="AK260" s="3" t="str">
        <f t="shared" si="14"/>
        <v>ZZZ</v>
      </c>
      <c r="AL260" s="3" t="b">
        <f t="array" ref="AL260">OR(ISNUMBER(SEARCH(AK$2:AK$100,$B260,5)))</f>
        <v>0</v>
      </c>
      <c r="AU260" s="8"/>
      <c r="AV260" s="6"/>
      <c r="AW260" s="8"/>
      <c r="AX260" s="8"/>
      <c r="AY260" s="6"/>
      <c r="AZ260" s="8"/>
      <c r="BA260" s="8"/>
      <c r="BB260" s="6" t="str">
        <f>IFERROR(__xludf.DUMMYFUNCTION("""COMPUTED_VALUE"""),"plaid green")</f>
        <v>plaid green</v>
      </c>
      <c r="BC260" s="8"/>
      <c r="BD260" s="8"/>
      <c r="BE260" s="6"/>
      <c r="BF260" s="8"/>
      <c r="BG260" s="8"/>
      <c r="BH260" s="6"/>
      <c r="BI260" s="8"/>
      <c r="BJ260" s="8"/>
      <c r="BK260" s="6"/>
      <c r="BL260" s="8"/>
      <c r="BM260" s="8"/>
      <c r="BN260" s="6"/>
      <c r="BO260" s="8"/>
      <c r="BP260" s="8"/>
      <c r="BQ260" s="6"/>
      <c r="BR260" s="8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</row>
    <row r="261">
      <c r="A261" s="6"/>
      <c r="B261" s="6" t="s">
        <v>261</v>
      </c>
      <c r="C261" s="3" t="str">
        <f t="shared" si="3"/>
        <v>dull orange</v>
      </c>
      <c r="D261" s="3" t="str">
        <f t="shared" si="17"/>
        <v>ZZZ</v>
      </c>
      <c r="E261" s="3" t="b">
        <f t="array" ref="E261">OR(ISNUMBER(SEARCH(D$2:D$30,$B261,5)))</f>
        <v>0</v>
      </c>
      <c r="G261" s="3" t="str">
        <f t="shared" si="4"/>
        <v>ZZZ</v>
      </c>
      <c r="H261" s="3" t="b">
        <f t="array" ref="H261">OR(ISNUMBER(SEARCH(G$2:G$30,$B261,5)))</f>
        <v>0</v>
      </c>
      <c r="J261" s="3" t="str">
        <f t="shared" si="5"/>
        <v>ZZZ</v>
      </c>
      <c r="K261" s="3" t="b">
        <f t="array" ref="K261">OR(ISNUMBER(SEARCH(J$2:J$30,$B261,5)))</f>
        <v>0</v>
      </c>
      <c r="M261" s="3" t="str">
        <f t="shared" si="6"/>
        <v>ZZZ</v>
      </c>
      <c r="N261" s="3" t="b">
        <f t="array" ref="N261">OR(ISNUMBER(SEARCH(M$2:M$30,$B261,5)))</f>
        <v>1</v>
      </c>
      <c r="P261" s="3" t="str">
        <f t="shared" si="7"/>
        <v>ZZZ</v>
      </c>
      <c r="Q261" s="3" t="b">
        <f t="array" ref="Q261">OR(ISNUMBER(SEARCH(P$2:P$50,$B261,5)))</f>
        <v>1</v>
      </c>
      <c r="S261" s="3" t="str">
        <f t="shared" si="8"/>
        <v>ZZZ</v>
      </c>
      <c r="T261" s="3" t="b">
        <f t="array" ref="T261">OR(ISNUMBER(SEARCH(S$2:S$100,$B261,5)))</f>
        <v>0</v>
      </c>
      <c r="V261" s="3" t="str">
        <f t="shared" si="9"/>
        <v>ZZZ</v>
      </c>
      <c r="W261" s="3" t="b">
        <f t="array" ref="W261">OR(ISNUMBER(SEARCH(V$2:V$100,$B261,5)))</f>
        <v>0</v>
      </c>
      <c r="Y261" s="3" t="str">
        <f t="shared" si="10"/>
        <v>ZZZ</v>
      </c>
      <c r="Z261" s="3" t="b">
        <f t="array" ref="Z261">OR(ISNUMBER(SEARCH(Y$2:Y$100,$B261,5)))</f>
        <v>0</v>
      </c>
      <c r="AB261" s="3" t="str">
        <f t="shared" si="11"/>
        <v>ZZZ</v>
      </c>
      <c r="AC261" s="3" t="b">
        <f t="array" ref="AC261">OR(ISNUMBER(SEARCH(AB$2:AB$100,$B261,5)))</f>
        <v>0</v>
      </c>
      <c r="AE261" s="3" t="str">
        <f t="shared" si="12"/>
        <v>ZZZ</v>
      </c>
      <c r="AF261" s="3" t="b">
        <f t="array" ref="AF261">OR(ISNUMBER(SEARCH(AE$2:AE$100,$B261,5)))</f>
        <v>0</v>
      </c>
      <c r="AH261" s="3" t="str">
        <f t="shared" si="13"/>
        <v>ZZZ</v>
      </c>
      <c r="AI261" s="3" t="b">
        <f t="array" ref="AI261">OR(ISNUMBER(SEARCH(AH$2:AH$100,$B261,5)))</f>
        <v>0</v>
      </c>
      <c r="AK261" s="3" t="str">
        <f t="shared" si="14"/>
        <v>ZZZ</v>
      </c>
      <c r="AL261" s="3" t="b">
        <f t="array" ref="AL261">OR(ISNUMBER(SEARCH(AK$2:AK$100,$B261,5)))</f>
        <v>0</v>
      </c>
      <c r="AU261" s="8"/>
      <c r="AV261" s="6"/>
      <c r="AW261" s="8"/>
      <c r="AX261" s="8"/>
      <c r="AY261" s="6"/>
      <c r="AZ261" s="8"/>
      <c r="BA261" s="8"/>
      <c r="BB261" s="6" t="str">
        <f>IFERROR(__xludf.DUMMYFUNCTION("""COMPUTED_VALUE"""),"vibrant silver")</f>
        <v>vibrant silver</v>
      </c>
      <c r="BC261" s="8"/>
      <c r="BD261" s="8"/>
      <c r="BE261" s="6"/>
      <c r="BF261" s="8"/>
      <c r="BG261" s="8"/>
      <c r="BH261" s="6"/>
      <c r="BI261" s="8"/>
      <c r="BJ261" s="8"/>
      <c r="BK261" s="6"/>
      <c r="BL261" s="8"/>
      <c r="BM261" s="8"/>
      <c r="BN261" s="6"/>
      <c r="BO261" s="8"/>
      <c r="BP261" s="8"/>
      <c r="BQ261" s="6"/>
      <c r="BR261" s="8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</row>
    <row r="262">
      <c r="A262" s="6"/>
      <c r="B262" s="6" t="s">
        <v>262</v>
      </c>
      <c r="C262" s="3" t="str">
        <f t="shared" si="3"/>
        <v>dull blue</v>
      </c>
      <c r="D262" s="3" t="str">
        <f t="shared" si="17"/>
        <v>ZZZ</v>
      </c>
      <c r="E262" s="3" t="b">
        <f t="array" ref="E262">OR(ISNUMBER(SEARCH(D$2:D$30,$B262,5)))</f>
        <v>0</v>
      </c>
      <c r="G262" s="3" t="str">
        <f t="shared" si="4"/>
        <v>ZZZ</v>
      </c>
      <c r="H262" s="3" t="b">
        <f t="array" ref="H262">OR(ISNUMBER(SEARCH(G$2:G$30,$B262,5)))</f>
        <v>0</v>
      </c>
      <c r="J262" s="3" t="str">
        <f t="shared" si="5"/>
        <v>ZZZ</v>
      </c>
      <c r="K262" s="3" t="b">
        <f t="array" ref="K262">OR(ISNUMBER(SEARCH(J$2:J$30,$B262,5)))</f>
        <v>0</v>
      </c>
      <c r="M262" s="3" t="str">
        <f t="shared" si="6"/>
        <v>ZZZ</v>
      </c>
      <c r="N262" s="3" t="b">
        <f t="array" ref="N262">OR(ISNUMBER(SEARCH(M$2:M$30,$B262,5)))</f>
        <v>0</v>
      </c>
      <c r="P262" s="3" t="str">
        <f t="shared" si="7"/>
        <v>ZZZ</v>
      </c>
      <c r="Q262" s="3" t="b">
        <f t="array" ref="Q262">OR(ISNUMBER(SEARCH(P$2:P$50,$B262,5)))</f>
        <v>0</v>
      </c>
      <c r="S262" s="3" t="str">
        <f t="shared" si="8"/>
        <v>ZZZ</v>
      </c>
      <c r="T262" s="3" t="b">
        <f t="array" ref="T262">OR(ISNUMBER(SEARCH(S$2:S$100,$B262,5)))</f>
        <v>0</v>
      </c>
      <c r="V262" s="3" t="str">
        <f t="shared" si="9"/>
        <v>ZZZ</v>
      </c>
      <c r="W262" s="3" t="b">
        <f t="array" ref="W262">OR(ISNUMBER(SEARCH(V$2:V$100,$B262,5)))</f>
        <v>0</v>
      </c>
      <c r="Y262" s="3" t="str">
        <f t="shared" si="10"/>
        <v>ZZZ</v>
      </c>
      <c r="Z262" s="3" t="b">
        <f t="array" ref="Z262">OR(ISNUMBER(SEARCH(Y$2:Y$100,$B262,5)))</f>
        <v>0</v>
      </c>
      <c r="AB262" s="3" t="str">
        <f t="shared" si="11"/>
        <v>ZZZ</v>
      </c>
      <c r="AC262" s="3" t="b">
        <f t="array" ref="AC262">OR(ISNUMBER(SEARCH(AB$2:AB$100,$B262,5)))</f>
        <v>0</v>
      </c>
      <c r="AE262" s="3" t="str">
        <f t="shared" si="12"/>
        <v>ZZZ</v>
      </c>
      <c r="AF262" s="3" t="b">
        <f t="array" ref="AF262">OR(ISNUMBER(SEARCH(AE$2:AE$100,$B262,5)))</f>
        <v>0</v>
      </c>
      <c r="AH262" s="3" t="str">
        <f t="shared" si="13"/>
        <v>ZZZ</v>
      </c>
      <c r="AI262" s="3" t="b">
        <f t="array" ref="AI262">OR(ISNUMBER(SEARCH(AH$2:AH$100,$B262,5)))</f>
        <v>0</v>
      </c>
      <c r="AK262" s="3" t="str">
        <f t="shared" si="14"/>
        <v>ZZZ</v>
      </c>
      <c r="AL262" s="3" t="b">
        <f t="array" ref="AL262">OR(ISNUMBER(SEARCH(AK$2:AK$100,$B262,5)))</f>
        <v>0</v>
      </c>
      <c r="AU262" s="8"/>
      <c r="AV262" s="6"/>
      <c r="AW262" s="8"/>
      <c r="AX262" s="8"/>
      <c r="AY262" s="6"/>
      <c r="AZ262" s="8"/>
      <c r="BA262" s="8"/>
      <c r="BB262" s="6" t="str">
        <f>IFERROR(__xludf.DUMMYFUNCTION("""COMPUTED_VALUE"""),"mirrored purple")</f>
        <v>mirrored purple</v>
      </c>
      <c r="BC262" s="8"/>
      <c r="BD262" s="8"/>
      <c r="BE262" s="6"/>
      <c r="BF262" s="8"/>
      <c r="BG262" s="8"/>
      <c r="BH262" s="6"/>
      <c r="BI262" s="8"/>
      <c r="BJ262" s="8"/>
      <c r="BK262" s="6"/>
      <c r="BL262" s="8"/>
      <c r="BM262" s="8"/>
      <c r="BN262" s="6"/>
      <c r="BO262" s="8"/>
      <c r="BP262" s="8"/>
      <c r="BQ262" s="6"/>
      <c r="BR262" s="8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</row>
    <row r="263">
      <c r="A263" s="6"/>
      <c r="B263" s="6" t="s">
        <v>263</v>
      </c>
      <c r="C263" s="3" t="str">
        <f t="shared" si="3"/>
        <v>plaid yellow</v>
      </c>
      <c r="D263" s="3" t="str">
        <f t="shared" si="17"/>
        <v>ZZZ</v>
      </c>
      <c r="E263" s="3" t="b">
        <f t="array" ref="E263">OR(ISNUMBER(SEARCH(D$2:D$30,$B263,5)))</f>
        <v>0</v>
      </c>
      <c r="G263" s="3" t="str">
        <f t="shared" si="4"/>
        <v>ZZZ</v>
      </c>
      <c r="H263" s="3" t="b">
        <f t="array" ref="H263">OR(ISNUMBER(SEARCH(G$2:G$30,$B263,5)))</f>
        <v>0</v>
      </c>
      <c r="J263" s="3" t="str">
        <f t="shared" si="5"/>
        <v>ZZZ</v>
      </c>
      <c r="K263" s="3" t="b">
        <f t="array" ref="K263">OR(ISNUMBER(SEARCH(J$2:J$30,$B263,5)))</f>
        <v>1</v>
      </c>
      <c r="M263" s="3" t="str">
        <f t="shared" si="6"/>
        <v>ZZZ</v>
      </c>
      <c r="N263" s="3" t="b">
        <f t="array" ref="N263">OR(ISNUMBER(SEARCH(M$2:M$30,$B263,5)))</f>
        <v>0</v>
      </c>
      <c r="P263" s="3" t="str">
        <f t="shared" si="7"/>
        <v>ZZZ</v>
      </c>
      <c r="Q263" s="3" t="b">
        <f t="array" ref="Q263">OR(ISNUMBER(SEARCH(P$2:P$50,$B263,5)))</f>
        <v>0</v>
      </c>
      <c r="S263" s="3" t="str">
        <f t="shared" si="8"/>
        <v>ZZZ</v>
      </c>
      <c r="T263" s="3" t="b">
        <f t="array" ref="T263">OR(ISNUMBER(SEARCH(S$2:S$100,$B263,5)))</f>
        <v>0</v>
      </c>
      <c r="V263" s="3" t="str">
        <f t="shared" si="9"/>
        <v>ZZZ</v>
      </c>
      <c r="W263" s="3" t="b">
        <f t="array" ref="W263">OR(ISNUMBER(SEARCH(V$2:V$100,$B263,5)))</f>
        <v>0</v>
      </c>
      <c r="Y263" s="3" t="str">
        <f t="shared" si="10"/>
        <v>ZZZ</v>
      </c>
      <c r="Z263" s="3" t="b">
        <f t="array" ref="Z263">OR(ISNUMBER(SEARCH(Y$2:Y$100,$B263,5)))</f>
        <v>0</v>
      </c>
      <c r="AB263" s="3" t="str">
        <f t="shared" si="11"/>
        <v>ZZZ</v>
      </c>
      <c r="AC263" s="3" t="b">
        <f t="array" ref="AC263">OR(ISNUMBER(SEARCH(AB$2:AB$100,$B263,5)))</f>
        <v>0</v>
      </c>
      <c r="AE263" s="3" t="str">
        <f t="shared" si="12"/>
        <v>ZZZ</v>
      </c>
      <c r="AF263" s="3" t="b">
        <f t="array" ref="AF263">OR(ISNUMBER(SEARCH(AE$2:AE$100,$B263,5)))</f>
        <v>0</v>
      </c>
      <c r="AH263" s="3" t="str">
        <f t="shared" si="13"/>
        <v>ZZZ</v>
      </c>
      <c r="AI263" s="3" t="b">
        <f t="array" ref="AI263">OR(ISNUMBER(SEARCH(AH$2:AH$100,$B263,5)))</f>
        <v>0</v>
      </c>
      <c r="AK263" s="3" t="str">
        <f t="shared" si="14"/>
        <v>ZZZ</v>
      </c>
      <c r="AL263" s="3" t="b">
        <f t="array" ref="AL263">OR(ISNUMBER(SEARCH(AK$2:AK$100,$B263,5)))</f>
        <v>0</v>
      </c>
      <c r="AU263" s="8"/>
      <c r="AV263" s="6"/>
      <c r="AW263" s="8"/>
      <c r="AX263" s="8"/>
      <c r="AY263" s="6"/>
      <c r="AZ263" s="8"/>
      <c r="BA263" s="8"/>
      <c r="BB263" s="6" t="str">
        <f>IFERROR(__xludf.DUMMYFUNCTION("""COMPUTED_VALUE"""),"dotted tomato")</f>
        <v>dotted tomato</v>
      </c>
      <c r="BC263" s="8"/>
      <c r="BD263" s="8"/>
      <c r="BE263" s="6"/>
      <c r="BF263" s="8"/>
      <c r="BG263" s="8"/>
      <c r="BH263" s="6"/>
      <c r="BI263" s="8"/>
      <c r="BJ263" s="8"/>
      <c r="BK263" s="6"/>
      <c r="BL263" s="8"/>
      <c r="BM263" s="8"/>
      <c r="BN263" s="6"/>
      <c r="BO263" s="8"/>
      <c r="BP263" s="8"/>
      <c r="BQ263" s="6"/>
      <c r="BR263" s="8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</row>
    <row r="264">
      <c r="A264" s="6"/>
      <c r="B264" s="6" t="s">
        <v>264</v>
      </c>
      <c r="C264" s="3" t="str">
        <f t="shared" si="3"/>
        <v>clear black</v>
      </c>
      <c r="D264" s="3" t="str">
        <f t="shared" si="17"/>
        <v>ZZZ</v>
      </c>
      <c r="E264" s="3" t="b">
        <f t="array" ref="E264">OR(ISNUMBER(SEARCH(D$2:D$30,$B264,5)))</f>
        <v>0</v>
      </c>
      <c r="G264" s="3" t="str">
        <f t="shared" si="4"/>
        <v>ZZZ</v>
      </c>
      <c r="H264" s="3" t="b">
        <f t="array" ref="H264">OR(ISNUMBER(SEARCH(G$2:G$30,$B264,5)))</f>
        <v>0</v>
      </c>
      <c r="J264" s="3" t="str">
        <f t="shared" si="5"/>
        <v>ZZZ</v>
      </c>
      <c r="K264" s="3" t="b">
        <f t="array" ref="K264">OR(ISNUMBER(SEARCH(J$2:J$30,$B264,5)))</f>
        <v>0</v>
      </c>
      <c r="M264" s="3" t="str">
        <f t="shared" si="6"/>
        <v>ZZZ</v>
      </c>
      <c r="N264" s="3" t="b">
        <f t="array" ref="N264">OR(ISNUMBER(SEARCH(M$2:M$30,$B264,5)))</f>
        <v>0</v>
      </c>
      <c r="P264" s="3" t="str">
        <f t="shared" si="7"/>
        <v>ZZZ</v>
      </c>
      <c r="Q264" s="3" t="b">
        <f t="array" ref="Q264">OR(ISNUMBER(SEARCH(P$2:P$50,$B264,5)))</f>
        <v>0</v>
      </c>
      <c r="S264" s="3" t="str">
        <f t="shared" si="8"/>
        <v>ZZZ</v>
      </c>
      <c r="T264" s="3" t="b">
        <f t="array" ref="T264">OR(ISNUMBER(SEARCH(S$2:S$100,$B264,5)))</f>
        <v>0</v>
      </c>
      <c r="V264" s="3" t="str">
        <f t="shared" si="9"/>
        <v>ZZZ</v>
      </c>
      <c r="W264" s="3" t="b">
        <f t="array" ref="W264">OR(ISNUMBER(SEARCH(V$2:V$100,$B264,5)))</f>
        <v>0</v>
      </c>
      <c r="Y264" s="3" t="str">
        <f t="shared" si="10"/>
        <v>ZZZ</v>
      </c>
      <c r="Z264" s="3" t="b">
        <f t="array" ref="Z264">OR(ISNUMBER(SEARCH(Y$2:Y$100,$B264,5)))</f>
        <v>0</v>
      </c>
      <c r="AB264" s="3" t="str">
        <f t="shared" si="11"/>
        <v>ZZZ</v>
      </c>
      <c r="AC264" s="3" t="b">
        <f t="array" ref="AC264">OR(ISNUMBER(SEARCH(AB$2:AB$100,$B264,5)))</f>
        <v>0</v>
      </c>
      <c r="AE264" s="3" t="str">
        <f t="shared" si="12"/>
        <v>ZZZ</v>
      </c>
      <c r="AF264" s="3" t="b">
        <f t="array" ref="AF264">OR(ISNUMBER(SEARCH(AE$2:AE$100,$B264,5)))</f>
        <v>0</v>
      </c>
      <c r="AH264" s="3" t="str">
        <f t="shared" si="13"/>
        <v>ZZZ</v>
      </c>
      <c r="AI264" s="3" t="b">
        <f t="array" ref="AI264">OR(ISNUMBER(SEARCH(AH$2:AH$100,$B264,5)))</f>
        <v>0</v>
      </c>
      <c r="AK264" s="3" t="str">
        <f t="shared" si="14"/>
        <v>ZZZ</v>
      </c>
      <c r="AL264" s="3" t="b">
        <f t="array" ref="AL264">OR(ISNUMBER(SEARCH(AK$2:AK$100,$B264,5)))</f>
        <v>0</v>
      </c>
      <c r="AU264" s="8"/>
      <c r="AV264" s="6"/>
      <c r="AW264" s="8"/>
      <c r="AX264" s="8"/>
      <c r="AY264" s="6"/>
      <c r="AZ264" s="8"/>
      <c r="BA264" s="8"/>
      <c r="BB264" s="6" t="str">
        <f>IFERROR(__xludf.DUMMYFUNCTION("""COMPUTED_VALUE"""),"vibrant gold")</f>
        <v>vibrant gold</v>
      </c>
      <c r="BC264" s="8"/>
      <c r="BD264" s="8"/>
      <c r="BE264" s="6"/>
      <c r="BF264" s="8"/>
      <c r="BG264" s="8"/>
      <c r="BH264" s="6"/>
      <c r="BI264" s="8"/>
      <c r="BJ264" s="8"/>
      <c r="BK264" s="6"/>
      <c r="BL264" s="8"/>
      <c r="BM264" s="8"/>
      <c r="BN264" s="6"/>
      <c r="BO264" s="8"/>
      <c r="BP264" s="8"/>
      <c r="BQ264" s="6"/>
      <c r="BR264" s="8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</row>
    <row r="265">
      <c r="A265" s="6"/>
      <c r="B265" s="6" t="s">
        <v>265</v>
      </c>
      <c r="C265" s="3" t="str">
        <f t="shared" si="3"/>
        <v>muted coral</v>
      </c>
      <c r="D265" s="3" t="str">
        <f t="shared" si="17"/>
        <v>ZZZ</v>
      </c>
      <c r="E265" s="3" t="b">
        <f t="array" ref="E265">OR(ISNUMBER(SEARCH(D$2:D$30,$B265,5)))</f>
        <v>0</v>
      </c>
      <c r="G265" s="3" t="str">
        <f t="shared" si="4"/>
        <v>ZZZ</v>
      </c>
      <c r="H265" s="3" t="b">
        <f t="array" ref="H265">OR(ISNUMBER(SEARCH(G$2:G$30,$B265,5)))</f>
        <v>0</v>
      </c>
      <c r="J265" s="3" t="str">
        <f t="shared" si="5"/>
        <v>ZZZ</v>
      </c>
      <c r="K265" s="3" t="b">
        <f t="array" ref="K265">OR(ISNUMBER(SEARCH(J$2:J$30,$B265,5)))</f>
        <v>0</v>
      </c>
      <c r="M265" s="3" t="str">
        <f t="shared" si="6"/>
        <v>ZZZ</v>
      </c>
      <c r="N265" s="3" t="b">
        <f t="array" ref="N265">OR(ISNUMBER(SEARCH(M$2:M$30,$B265,5)))</f>
        <v>0</v>
      </c>
      <c r="P265" s="3" t="str">
        <f t="shared" si="7"/>
        <v>ZZZ</v>
      </c>
      <c r="Q265" s="3" t="b">
        <f t="array" ref="Q265">OR(ISNUMBER(SEARCH(P$2:P$50,$B265,5)))</f>
        <v>0</v>
      </c>
      <c r="S265" s="3" t="str">
        <f t="shared" si="8"/>
        <v>ZZZ</v>
      </c>
      <c r="T265" s="3" t="b">
        <f t="array" ref="T265">OR(ISNUMBER(SEARCH(S$2:S$100,$B265,5)))</f>
        <v>0</v>
      </c>
      <c r="V265" s="3" t="str">
        <f t="shared" si="9"/>
        <v>ZZZ</v>
      </c>
      <c r="W265" s="3" t="b">
        <f t="array" ref="W265">OR(ISNUMBER(SEARCH(V$2:V$100,$B265,5)))</f>
        <v>0</v>
      </c>
      <c r="Y265" s="3" t="str">
        <f t="shared" si="10"/>
        <v>ZZZ</v>
      </c>
      <c r="Z265" s="3" t="b">
        <f t="array" ref="Z265">OR(ISNUMBER(SEARCH(Y$2:Y$100,$B265,5)))</f>
        <v>0</v>
      </c>
      <c r="AB265" s="3" t="str">
        <f t="shared" si="11"/>
        <v>ZZZ</v>
      </c>
      <c r="AC265" s="3" t="b">
        <f t="array" ref="AC265">OR(ISNUMBER(SEARCH(AB$2:AB$100,$B265,5)))</f>
        <v>0</v>
      </c>
      <c r="AE265" s="3" t="str">
        <f t="shared" si="12"/>
        <v>ZZZ</v>
      </c>
      <c r="AF265" s="3" t="b">
        <f t="array" ref="AF265">OR(ISNUMBER(SEARCH(AE$2:AE$100,$B265,5)))</f>
        <v>0</v>
      </c>
      <c r="AH265" s="3" t="str">
        <f t="shared" si="13"/>
        <v>ZZZ</v>
      </c>
      <c r="AI265" s="3" t="b">
        <f t="array" ref="AI265">OR(ISNUMBER(SEARCH(AH$2:AH$100,$B265,5)))</f>
        <v>0</v>
      </c>
      <c r="AK265" s="3" t="str">
        <f t="shared" si="14"/>
        <v>ZZZ</v>
      </c>
      <c r="AL265" s="3" t="b">
        <f t="array" ref="AL265">OR(ISNUMBER(SEARCH(AK$2:AK$100,$B265,5)))</f>
        <v>0</v>
      </c>
      <c r="AU265" s="8"/>
      <c r="AV265" s="6"/>
      <c r="AW265" s="8"/>
      <c r="AX265" s="8"/>
      <c r="AY265" s="6"/>
      <c r="AZ265" s="8"/>
      <c r="BA265" s="8"/>
      <c r="BB265" s="6" t="str">
        <f>IFERROR(__xludf.DUMMYFUNCTION("""COMPUTED_VALUE"""),"pale violet")</f>
        <v>pale violet</v>
      </c>
      <c r="BC265" s="8"/>
      <c r="BD265" s="8"/>
      <c r="BE265" s="6"/>
      <c r="BF265" s="8"/>
      <c r="BG265" s="8"/>
      <c r="BH265" s="6"/>
      <c r="BI265" s="8"/>
      <c r="BJ265" s="8"/>
      <c r="BK265" s="6"/>
      <c r="BL265" s="8"/>
      <c r="BM265" s="8"/>
      <c r="BN265" s="6"/>
      <c r="BO265" s="8"/>
      <c r="BP265" s="8"/>
      <c r="BQ265" s="6"/>
      <c r="BR265" s="8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</row>
    <row r="266">
      <c r="A266" s="6"/>
      <c r="B266" s="6" t="s">
        <v>266</v>
      </c>
      <c r="C266" s="3" t="str">
        <f t="shared" si="3"/>
        <v>plaid magenta</v>
      </c>
      <c r="D266" s="3" t="str">
        <f t="shared" si="17"/>
        <v>ZZZ</v>
      </c>
      <c r="E266" s="3" t="b">
        <f t="array" ref="E266">OR(ISNUMBER(SEARCH(D$2:D$30,$B266,5)))</f>
        <v>0</v>
      </c>
      <c r="G266" s="3" t="str">
        <f t="shared" si="4"/>
        <v>ZZZ</v>
      </c>
      <c r="H266" s="3" t="b">
        <f t="array" ref="H266">OR(ISNUMBER(SEARCH(G$2:G$30,$B266,5)))</f>
        <v>0</v>
      </c>
      <c r="J266" s="3" t="str">
        <f t="shared" si="5"/>
        <v>ZZZ</v>
      </c>
      <c r="K266" s="3" t="b">
        <f t="array" ref="K266">OR(ISNUMBER(SEARCH(J$2:J$30,$B266,5)))</f>
        <v>1</v>
      </c>
      <c r="M266" s="3" t="str">
        <f t="shared" si="6"/>
        <v>ZZZ</v>
      </c>
      <c r="N266" s="3" t="b">
        <f t="array" ref="N266">OR(ISNUMBER(SEARCH(M$2:M$30,$B266,5)))</f>
        <v>0</v>
      </c>
      <c r="P266" s="3" t="str">
        <f t="shared" si="7"/>
        <v>ZZZ</v>
      </c>
      <c r="Q266" s="3" t="b">
        <f t="array" ref="Q266">OR(ISNUMBER(SEARCH(P$2:P$50,$B266,5)))</f>
        <v>0</v>
      </c>
      <c r="S266" s="3" t="str">
        <f t="shared" si="8"/>
        <v>ZZZ</v>
      </c>
      <c r="T266" s="3" t="b">
        <f t="array" ref="T266">OR(ISNUMBER(SEARCH(S$2:S$100,$B266,5)))</f>
        <v>0</v>
      </c>
      <c r="V266" s="3" t="str">
        <f t="shared" si="9"/>
        <v>ZZZ</v>
      </c>
      <c r="W266" s="3" t="b">
        <f t="array" ref="W266">OR(ISNUMBER(SEARCH(V$2:V$100,$B266,5)))</f>
        <v>0</v>
      </c>
      <c r="Y266" s="3" t="str">
        <f t="shared" si="10"/>
        <v>ZZZ</v>
      </c>
      <c r="Z266" s="3" t="b">
        <f t="array" ref="Z266">OR(ISNUMBER(SEARCH(Y$2:Y$100,$B266,5)))</f>
        <v>0</v>
      </c>
      <c r="AB266" s="3" t="str">
        <f t="shared" si="11"/>
        <v>ZZZ</v>
      </c>
      <c r="AC266" s="3" t="b">
        <f t="array" ref="AC266">OR(ISNUMBER(SEARCH(AB$2:AB$100,$B266,5)))</f>
        <v>0</v>
      </c>
      <c r="AE266" s="3" t="str">
        <f t="shared" si="12"/>
        <v>ZZZ</v>
      </c>
      <c r="AF266" s="3" t="b">
        <f t="array" ref="AF266">OR(ISNUMBER(SEARCH(AE$2:AE$100,$B266,5)))</f>
        <v>0</v>
      </c>
      <c r="AH266" s="3" t="str">
        <f t="shared" si="13"/>
        <v>ZZZ</v>
      </c>
      <c r="AI266" s="3" t="b">
        <f t="array" ref="AI266">OR(ISNUMBER(SEARCH(AH$2:AH$100,$B266,5)))</f>
        <v>0</v>
      </c>
      <c r="AK266" s="3" t="str">
        <f t="shared" si="14"/>
        <v>ZZZ</v>
      </c>
      <c r="AL266" s="3" t="b">
        <f t="array" ref="AL266">OR(ISNUMBER(SEARCH(AK$2:AK$100,$B266,5)))</f>
        <v>0</v>
      </c>
      <c r="AU266" s="8"/>
      <c r="AV266" s="6"/>
      <c r="AW266" s="8"/>
      <c r="AX266" s="8"/>
      <c r="AY266" s="6"/>
      <c r="AZ266" s="8"/>
      <c r="BA266" s="8"/>
      <c r="BB266" s="6" t="str">
        <f>IFERROR(__xludf.DUMMYFUNCTION("""COMPUTED_VALUE"""),"bright aqua")</f>
        <v>bright aqua</v>
      </c>
      <c r="BC266" s="8"/>
      <c r="BD266" s="8"/>
      <c r="BE266" s="6"/>
      <c r="BF266" s="8"/>
      <c r="BG266" s="8"/>
      <c r="BH266" s="6"/>
      <c r="BI266" s="8"/>
      <c r="BJ266" s="8"/>
      <c r="BK266" s="6"/>
      <c r="BL266" s="8"/>
      <c r="BM266" s="8"/>
      <c r="BN266" s="6"/>
      <c r="BO266" s="8"/>
      <c r="BP266" s="8"/>
      <c r="BQ266" s="6"/>
      <c r="BR266" s="8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</row>
    <row r="267">
      <c r="A267" s="6"/>
      <c r="B267" s="6" t="s">
        <v>267</v>
      </c>
      <c r="C267" s="3" t="str">
        <f t="shared" si="3"/>
        <v>clear tomato</v>
      </c>
      <c r="D267" s="3" t="str">
        <f t="shared" si="17"/>
        <v>ZZZ</v>
      </c>
      <c r="E267" s="3" t="b">
        <f t="array" ref="E267">OR(ISNUMBER(SEARCH(D$2:D$30,$B267,5)))</f>
        <v>0</v>
      </c>
      <c r="G267" s="3" t="str">
        <f t="shared" si="4"/>
        <v>ZZZ</v>
      </c>
      <c r="H267" s="3" t="b">
        <f t="array" ref="H267">OR(ISNUMBER(SEARCH(G$2:G$30,$B267,5)))</f>
        <v>0</v>
      </c>
      <c r="J267" s="3" t="str">
        <f t="shared" si="5"/>
        <v>ZZZ</v>
      </c>
      <c r="K267" s="3" t="b">
        <f t="array" ref="K267">OR(ISNUMBER(SEARCH(J$2:J$30,$B267,5)))</f>
        <v>0</v>
      </c>
      <c r="M267" s="3" t="str">
        <f t="shared" si="6"/>
        <v>ZZZ</v>
      </c>
      <c r="N267" s="3" t="b">
        <f t="array" ref="N267">OR(ISNUMBER(SEARCH(M$2:M$30,$B267,5)))</f>
        <v>0</v>
      </c>
      <c r="P267" s="3" t="str">
        <f t="shared" si="7"/>
        <v>ZZZ</v>
      </c>
      <c r="Q267" s="3" t="b">
        <f t="array" ref="Q267">OR(ISNUMBER(SEARCH(P$2:P$50,$B267,5)))</f>
        <v>0</v>
      </c>
      <c r="S267" s="3" t="str">
        <f t="shared" si="8"/>
        <v>ZZZ</v>
      </c>
      <c r="T267" s="3" t="b">
        <f t="array" ref="T267">OR(ISNUMBER(SEARCH(S$2:S$100,$B267,5)))</f>
        <v>0</v>
      </c>
      <c r="V267" s="3" t="str">
        <f t="shared" si="9"/>
        <v>ZZZ</v>
      </c>
      <c r="W267" s="3" t="b">
        <f t="array" ref="W267">OR(ISNUMBER(SEARCH(V$2:V$100,$B267,5)))</f>
        <v>0</v>
      </c>
      <c r="Y267" s="3" t="str">
        <f t="shared" si="10"/>
        <v>ZZZ</v>
      </c>
      <c r="Z267" s="3" t="b">
        <f t="array" ref="Z267">OR(ISNUMBER(SEARCH(Y$2:Y$100,$B267,5)))</f>
        <v>0</v>
      </c>
      <c r="AB267" s="3" t="str">
        <f t="shared" si="11"/>
        <v>ZZZ</v>
      </c>
      <c r="AC267" s="3" t="b">
        <f t="array" ref="AC267">OR(ISNUMBER(SEARCH(AB$2:AB$100,$B267,5)))</f>
        <v>0</v>
      </c>
      <c r="AE267" s="3" t="str">
        <f t="shared" si="12"/>
        <v>ZZZ</v>
      </c>
      <c r="AF267" s="3" t="b">
        <f t="array" ref="AF267">OR(ISNUMBER(SEARCH(AE$2:AE$100,$B267,5)))</f>
        <v>0</v>
      </c>
      <c r="AH267" s="3" t="str">
        <f t="shared" si="13"/>
        <v>ZZZ</v>
      </c>
      <c r="AI267" s="3" t="b">
        <f t="array" ref="AI267">OR(ISNUMBER(SEARCH(AH$2:AH$100,$B267,5)))</f>
        <v>0</v>
      </c>
      <c r="AK267" s="3" t="str">
        <f t="shared" si="14"/>
        <v>ZZZ</v>
      </c>
      <c r="AL267" s="3" t="b">
        <f t="array" ref="AL267">OR(ISNUMBER(SEARCH(AK$2:AK$100,$B267,5)))</f>
        <v>0</v>
      </c>
      <c r="AU267" s="8"/>
      <c r="AV267" s="6"/>
      <c r="AW267" s="8"/>
      <c r="AX267" s="8"/>
      <c r="AY267" s="6"/>
      <c r="AZ267" s="8"/>
      <c r="BA267" s="8"/>
      <c r="BB267" s="6" t="str">
        <f>IFERROR(__xludf.DUMMYFUNCTION("""COMPUTED_VALUE"""),"posh crimson")</f>
        <v>posh crimson</v>
      </c>
      <c r="BC267" s="8"/>
      <c r="BD267" s="8"/>
      <c r="BE267" s="6"/>
      <c r="BF267" s="8"/>
      <c r="BG267" s="8"/>
      <c r="BH267" s="6"/>
      <c r="BI267" s="8"/>
      <c r="BJ267" s="8"/>
      <c r="BK267" s="6"/>
      <c r="BL267" s="8"/>
      <c r="BM267" s="8"/>
      <c r="BN267" s="6"/>
      <c r="BO267" s="8"/>
      <c r="BP267" s="8"/>
      <c r="BQ267" s="6"/>
      <c r="BR267" s="8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</row>
    <row r="268">
      <c r="A268" s="6"/>
      <c r="B268" s="6" t="s">
        <v>268</v>
      </c>
      <c r="C268" s="3" t="str">
        <f t="shared" si="3"/>
        <v>clear yellow</v>
      </c>
      <c r="D268" s="3" t="str">
        <f t="shared" si="17"/>
        <v>ZZZ</v>
      </c>
      <c r="E268" s="3" t="b">
        <f t="array" ref="E268">OR(ISNUMBER(SEARCH(D$2:D$30,$B268,5)))</f>
        <v>0</v>
      </c>
      <c r="G268" s="3" t="str">
        <f t="shared" si="4"/>
        <v>ZZZ</v>
      </c>
      <c r="H268" s="3" t="b">
        <f t="array" ref="H268">OR(ISNUMBER(SEARCH(G$2:G$30,$B268,5)))</f>
        <v>0</v>
      </c>
      <c r="J268" s="3" t="str">
        <f t="shared" si="5"/>
        <v>ZZZ</v>
      </c>
      <c r="K268" s="3" t="b">
        <f t="array" ref="K268">OR(ISNUMBER(SEARCH(J$2:J$30,$B268,5)))</f>
        <v>0</v>
      </c>
      <c r="M268" s="3" t="str">
        <f t="shared" si="6"/>
        <v>ZZZ</v>
      </c>
      <c r="N268" s="3" t="b">
        <f t="array" ref="N268">OR(ISNUMBER(SEARCH(M$2:M$30,$B268,5)))</f>
        <v>0</v>
      </c>
      <c r="P268" s="3" t="str">
        <f t="shared" si="7"/>
        <v>ZZZ</v>
      </c>
      <c r="Q268" s="3" t="b">
        <f t="array" ref="Q268">OR(ISNUMBER(SEARCH(P$2:P$50,$B268,5)))</f>
        <v>0</v>
      </c>
      <c r="S268" s="3" t="str">
        <f t="shared" si="8"/>
        <v>ZZZ</v>
      </c>
      <c r="T268" s="3" t="b">
        <f t="array" ref="T268">OR(ISNUMBER(SEARCH(S$2:S$100,$B268,5)))</f>
        <v>0</v>
      </c>
      <c r="V268" s="3" t="str">
        <f t="shared" si="9"/>
        <v>ZZZ</v>
      </c>
      <c r="W268" s="3" t="b">
        <f t="array" ref="W268">OR(ISNUMBER(SEARCH(V$2:V$100,$B268,5)))</f>
        <v>0</v>
      </c>
      <c r="Y268" s="3" t="str">
        <f t="shared" si="10"/>
        <v>ZZZ</v>
      </c>
      <c r="Z268" s="3" t="b">
        <f t="array" ref="Z268">OR(ISNUMBER(SEARCH(Y$2:Y$100,$B268,5)))</f>
        <v>0</v>
      </c>
      <c r="AB268" s="3" t="str">
        <f t="shared" si="11"/>
        <v>ZZZ</v>
      </c>
      <c r="AC268" s="3" t="b">
        <f t="array" ref="AC268">OR(ISNUMBER(SEARCH(AB$2:AB$100,$B268,5)))</f>
        <v>0</v>
      </c>
      <c r="AE268" s="3" t="str">
        <f t="shared" si="12"/>
        <v>ZZZ</v>
      </c>
      <c r="AF268" s="3" t="b">
        <f t="array" ref="AF268">OR(ISNUMBER(SEARCH(AE$2:AE$100,$B268,5)))</f>
        <v>0</v>
      </c>
      <c r="AH268" s="3" t="str">
        <f t="shared" si="13"/>
        <v>ZZZ</v>
      </c>
      <c r="AI268" s="3" t="b">
        <f t="array" ref="AI268">OR(ISNUMBER(SEARCH(AH$2:AH$100,$B268,5)))</f>
        <v>0</v>
      </c>
      <c r="AK268" s="3" t="str">
        <f t="shared" si="14"/>
        <v>ZZZ</v>
      </c>
      <c r="AL268" s="3" t="b">
        <f t="array" ref="AL268">OR(ISNUMBER(SEARCH(AK$2:AK$100,$B268,5)))</f>
        <v>0</v>
      </c>
      <c r="AU268" s="8"/>
      <c r="AV268" s="6"/>
      <c r="AW268" s="8"/>
      <c r="AX268" s="8"/>
      <c r="AY268" s="6"/>
      <c r="AZ268" s="8"/>
      <c r="BA268" s="8"/>
      <c r="BB268" s="6" t="str">
        <f>IFERROR(__xludf.DUMMYFUNCTION("""COMPUTED_VALUE"""),"drab beige")</f>
        <v>drab beige</v>
      </c>
      <c r="BC268" s="8"/>
      <c r="BD268" s="8"/>
      <c r="BE268" s="6"/>
      <c r="BF268" s="8"/>
      <c r="BG268" s="8"/>
      <c r="BH268" s="6"/>
      <c r="BI268" s="8"/>
      <c r="BJ268" s="8"/>
      <c r="BK268" s="6"/>
      <c r="BL268" s="8"/>
      <c r="BM268" s="8"/>
      <c r="BN268" s="6"/>
      <c r="BO268" s="8"/>
      <c r="BP268" s="8"/>
      <c r="BQ268" s="6"/>
      <c r="BR268" s="8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</row>
    <row r="269">
      <c r="A269" s="6"/>
      <c r="B269" s="6" t="s">
        <v>269</v>
      </c>
      <c r="C269" s="3" t="str">
        <f t="shared" si="3"/>
        <v>dark gray</v>
      </c>
      <c r="D269" s="3" t="str">
        <f t="shared" si="17"/>
        <v>ZZZ</v>
      </c>
      <c r="E269" s="3" t="b">
        <f t="array" ref="E269">OR(ISNUMBER(SEARCH(D$2:D$30,$B269,5)))</f>
        <v>0</v>
      </c>
      <c r="G269" s="3" t="str">
        <f t="shared" si="4"/>
        <v>ZZZ</v>
      </c>
      <c r="H269" s="3" t="b">
        <f t="array" ref="H269">OR(ISNUMBER(SEARCH(G$2:G$30,$B269,5)))</f>
        <v>0</v>
      </c>
      <c r="J269" s="3" t="str">
        <f t="shared" si="5"/>
        <v>ZZZ</v>
      </c>
      <c r="K269" s="3" t="b">
        <f t="array" ref="K269">OR(ISNUMBER(SEARCH(J$2:J$30,$B269,5)))</f>
        <v>0</v>
      </c>
      <c r="M269" s="3" t="str">
        <f t="shared" si="6"/>
        <v>ZZZ</v>
      </c>
      <c r="N269" s="3" t="b">
        <f t="array" ref="N269">OR(ISNUMBER(SEARCH(M$2:M$30,$B269,5)))</f>
        <v>0</v>
      </c>
      <c r="P269" s="3" t="str">
        <f t="shared" si="7"/>
        <v>ZZZ</v>
      </c>
      <c r="Q269" s="3" t="b">
        <f t="array" ref="Q269">OR(ISNUMBER(SEARCH(P$2:P$50,$B269,5)))</f>
        <v>0</v>
      </c>
      <c r="S269" s="3" t="str">
        <f t="shared" si="8"/>
        <v>ZZZ</v>
      </c>
      <c r="T269" s="3" t="b">
        <f t="array" ref="T269">OR(ISNUMBER(SEARCH(S$2:S$100,$B269,5)))</f>
        <v>1</v>
      </c>
      <c r="V269" s="3" t="str">
        <f t="shared" si="9"/>
        <v>ZZZ</v>
      </c>
      <c r="W269" s="3" t="b">
        <f t="array" ref="W269">OR(ISNUMBER(SEARCH(V$2:V$100,$B269,5)))</f>
        <v>0</v>
      </c>
      <c r="Y269" s="3" t="str">
        <f t="shared" si="10"/>
        <v>ZZZ</v>
      </c>
      <c r="Z269" s="3" t="b">
        <f t="array" ref="Z269">OR(ISNUMBER(SEARCH(Y$2:Y$100,$B269,5)))</f>
        <v>0</v>
      </c>
      <c r="AB269" s="3" t="str">
        <f t="shared" si="11"/>
        <v>ZZZ</v>
      </c>
      <c r="AC269" s="3" t="b">
        <f t="array" ref="AC269">OR(ISNUMBER(SEARCH(AB$2:AB$100,$B269,5)))</f>
        <v>0</v>
      </c>
      <c r="AE269" s="3" t="str">
        <f t="shared" si="12"/>
        <v>ZZZ</v>
      </c>
      <c r="AF269" s="3" t="b">
        <f t="array" ref="AF269">OR(ISNUMBER(SEARCH(AE$2:AE$100,$B269,5)))</f>
        <v>0</v>
      </c>
      <c r="AH269" s="3" t="str">
        <f t="shared" si="13"/>
        <v>ZZZ</v>
      </c>
      <c r="AI269" s="3" t="b">
        <f t="array" ref="AI269">OR(ISNUMBER(SEARCH(AH$2:AH$100,$B269,5)))</f>
        <v>0</v>
      </c>
      <c r="AK269" s="3" t="str">
        <f t="shared" si="14"/>
        <v>ZZZ</v>
      </c>
      <c r="AL269" s="3" t="b">
        <f t="array" ref="AL269">OR(ISNUMBER(SEARCH(AK$2:AK$100,$B269,5)))</f>
        <v>0</v>
      </c>
      <c r="AU269" s="8"/>
      <c r="AV269" s="6"/>
      <c r="AW269" s="8"/>
      <c r="AX269" s="8"/>
      <c r="AY269" s="6"/>
      <c r="AZ269" s="8"/>
      <c r="BA269" s="8"/>
      <c r="BB269" s="6" t="str">
        <f>IFERROR(__xludf.DUMMYFUNCTION("""COMPUTED_VALUE"""),"dotted green")</f>
        <v>dotted green</v>
      </c>
      <c r="BC269" s="8"/>
      <c r="BD269" s="8"/>
      <c r="BE269" s="6"/>
      <c r="BF269" s="8"/>
      <c r="BG269" s="8"/>
      <c r="BH269" s="6"/>
      <c r="BI269" s="8"/>
      <c r="BJ269" s="8"/>
      <c r="BK269" s="6"/>
      <c r="BL269" s="8"/>
      <c r="BM269" s="8"/>
      <c r="BN269" s="6"/>
      <c r="BO269" s="8"/>
      <c r="BP269" s="8"/>
      <c r="BQ269" s="6"/>
      <c r="BR269" s="8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</row>
    <row r="270">
      <c r="A270" s="6"/>
      <c r="B270" s="6" t="s">
        <v>270</v>
      </c>
      <c r="C270" s="3" t="str">
        <f t="shared" si="3"/>
        <v>light magenta</v>
      </c>
      <c r="D270" s="3" t="str">
        <f t="shared" si="17"/>
        <v>ZZZ</v>
      </c>
      <c r="E270" s="3" t="b">
        <f t="array" ref="E270">OR(ISNUMBER(SEARCH(D$2:D$30,$B270,5)))</f>
        <v>0</v>
      </c>
      <c r="G270" s="3" t="str">
        <f t="shared" si="4"/>
        <v>ZZZ</v>
      </c>
      <c r="H270" s="3" t="b">
        <f t="array" ref="H270">OR(ISNUMBER(SEARCH(G$2:G$30,$B270,5)))</f>
        <v>0</v>
      </c>
      <c r="J270" s="3" t="str">
        <f t="shared" si="5"/>
        <v>ZZZ</v>
      </c>
      <c r="K270" s="3" t="b">
        <f t="array" ref="K270">OR(ISNUMBER(SEARCH(J$2:J$30,$B270,5)))</f>
        <v>0</v>
      </c>
      <c r="M270" s="3" t="str">
        <f t="shared" si="6"/>
        <v>ZZZ</v>
      </c>
      <c r="N270" s="3" t="b">
        <f t="array" ref="N270">OR(ISNUMBER(SEARCH(M$2:M$30,$B270,5)))</f>
        <v>0</v>
      </c>
      <c r="P270" s="3" t="str">
        <f t="shared" si="7"/>
        <v>ZZZ</v>
      </c>
      <c r="Q270" s="3" t="b">
        <f t="array" ref="Q270">OR(ISNUMBER(SEARCH(P$2:P$50,$B270,5)))</f>
        <v>1</v>
      </c>
      <c r="S270" s="3" t="str">
        <f t="shared" si="8"/>
        <v>ZZZ</v>
      </c>
      <c r="T270" s="3" t="b">
        <f t="array" ref="T270">OR(ISNUMBER(SEARCH(S$2:S$100,$B270,5)))</f>
        <v>0</v>
      </c>
      <c r="V270" s="3" t="str">
        <f t="shared" si="9"/>
        <v>ZZZ</v>
      </c>
      <c r="W270" s="3" t="b">
        <f t="array" ref="W270">OR(ISNUMBER(SEARCH(V$2:V$100,$B270,5)))</f>
        <v>0</v>
      </c>
      <c r="Y270" s="3" t="str">
        <f t="shared" si="10"/>
        <v>ZZZ</v>
      </c>
      <c r="Z270" s="3" t="b">
        <f t="array" ref="Z270">OR(ISNUMBER(SEARCH(Y$2:Y$100,$B270,5)))</f>
        <v>0</v>
      </c>
      <c r="AB270" s="3" t="str">
        <f t="shared" si="11"/>
        <v>ZZZ</v>
      </c>
      <c r="AC270" s="3" t="b">
        <f t="array" ref="AC270">OR(ISNUMBER(SEARCH(AB$2:AB$100,$B270,5)))</f>
        <v>0</v>
      </c>
      <c r="AE270" s="3" t="str">
        <f t="shared" si="12"/>
        <v>ZZZ</v>
      </c>
      <c r="AF270" s="3" t="b">
        <f t="array" ref="AF270">OR(ISNUMBER(SEARCH(AE$2:AE$100,$B270,5)))</f>
        <v>0</v>
      </c>
      <c r="AH270" s="3" t="str">
        <f t="shared" si="13"/>
        <v>ZZZ</v>
      </c>
      <c r="AI270" s="3" t="b">
        <f t="array" ref="AI270">OR(ISNUMBER(SEARCH(AH$2:AH$100,$B270,5)))</f>
        <v>0</v>
      </c>
      <c r="AK270" s="3" t="str">
        <f t="shared" si="14"/>
        <v>ZZZ</v>
      </c>
      <c r="AL270" s="3" t="b">
        <f t="array" ref="AL270">OR(ISNUMBER(SEARCH(AK$2:AK$100,$B270,5)))</f>
        <v>0</v>
      </c>
      <c r="AU270" s="8"/>
      <c r="AV270" s="6"/>
      <c r="AW270" s="8"/>
      <c r="AX270" s="8"/>
      <c r="AY270" s="6"/>
      <c r="AZ270" s="8"/>
      <c r="BA270" s="8"/>
      <c r="BB270" s="6" t="str">
        <f>IFERROR(__xludf.DUMMYFUNCTION("""COMPUTED_VALUE"""),"striped fuchsia")</f>
        <v>striped fuchsia</v>
      </c>
      <c r="BC270" s="8"/>
      <c r="BD270" s="8"/>
      <c r="BE270" s="6"/>
      <c r="BF270" s="8"/>
      <c r="BG270" s="8"/>
      <c r="BH270" s="6"/>
      <c r="BI270" s="8"/>
      <c r="BJ270" s="8"/>
      <c r="BK270" s="6"/>
      <c r="BL270" s="8"/>
      <c r="BM270" s="8"/>
      <c r="BN270" s="6"/>
      <c r="BO270" s="8"/>
      <c r="BP270" s="8"/>
      <c r="BQ270" s="6"/>
      <c r="BR270" s="8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</row>
    <row r="271">
      <c r="A271" s="6"/>
      <c r="B271" s="6" t="s">
        <v>271</v>
      </c>
      <c r="C271" s="3" t="str">
        <f t="shared" si="3"/>
        <v>shiny indigo</v>
      </c>
      <c r="D271" s="3" t="str">
        <f t="shared" si="17"/>
        <v>ZZZ</v>
      </c>
      <c r="E271" s="3" t="b">
        <f t="array" ref="E271">OR(ISNUMBER(SEARCH(D$2:D$30,$B271,5)))</f>
        <v>0</v>
      </c>
      <c r="G271" s="3" t="str">
        <f t="shared" si="4"/>
        <v>ZZZ</v>
      </c>
      <c r="H271" s="3" t="b">
        <f t="array" ref="H271">OR(ISNUMBER(SEARCH(G$2:G$30,$B271,5)))</f>
        <v>0</v>
      </c>
      <c r="J271" s="3" t="str">
        <f t="shared" si="5"/>
        <v>ZZZ</v>
      </c>
      <c r="K271" s="3" t="b">
        <f t="array" ref="K271">OR(ISNUMBER(SEARCH(J$2:J$30,$B271,5)))</f>
        <v>0</v>
      </c>
      <c r="M271" s="3" t="str">
        <f t="shared" si="6"/>
        <v>ZZZ</v>
      </c>
      <c r="N271" s="3" t="b">
        <f t="array" ref="N271">OR(ISNUMBER(SEARCH(M$2:M$30,$B271,5)))</f>
        <v>0</v>
      </c>
      <c r="P271" s="3" t="str">
        <f t="shared" si="7"/>
        <v>ZZZ</v>
      </c>
      <c r="Q271" s="3" t="b">
        <f t="array" ref="Q271">OR(ISNUMBER(SEARCH(P$2:P$50,$B271,5)))</f>
        <v>0</v>
      </c>
      <c r="S271" s="3" t="str">
        <f t="shared" si="8"/>
        <v>ZZZ</v>
      </c>
      <c r="T271" s="3" t="b">
        <f t="array" ref="T271">OR(ISNUMBER(SEARCH(S$2:S$100,$B271,5)))</f>
        <v>0</v>
      </c>
      <c r="V271" s="3" t="str">
        <f t="shared" si="9"/>
        <v>ZZZ</v>
      </c>
      <c r="W271" s="3" t="b">
        <f t="array" ref="W271">OR(ISNUMBER(SEARCH(V$2:V$100,$B271,5)))</f>
        <v>0</v>
      </c>
      <c r="Y271" s="3" t="str">
        <f t="shared" si="10"/>
        <v>ZZZ</v>
      </c>
      <c r="Z271" s="3" t="b">
        <f t="array" ref="Z271">OR(ISNUMBER(SEARCH(Y$2:Y$100,$B271,5)))</f>
        <v>0</v>
      </c>
      <c r="AB271" s="3" t="str">
        <f t="shared" si="11"/>
        <v>ZZZ</v>
      </c>
      <c r="AC271" s="3" t="b">
        <f t="array" ref="AC271">OR(ISNUMBER(SEARCH(AB$2:AB$100,$B271,5)))</f>
        <v>0</v>
      </c>
      <c r="AE271" s="3" t="str">
        <f t="shared" si="12"/>
        <v>ZZZ</v>
      </c>
      <c r="AF271" s="3" t="b">
        <f t="array" ref="AF271">OR(ISNUMBER(SEARCH(AE$2:AE$100,$B271,5)))</f>
        <v>0</v>
      </c>
      <c r="AH271" s="3" t="str">
        <f t="shared" si="13"/>
        <v>ZZZ</v>
      </c>
      <c r="AI271" s="3" t="b">
        <f t="array" ref="AI271">OR(ISNUMBER(SEARCH(AH$2:AH$100,$B271,5)))</f>
        <v>0</v>
      </c>
      <c r="AK271" s="3" t="str">
        <f t="shared" si="14"/>
        <v>ZZZ</v>
      </c>
      <c r="AL271" s="3" t="b">
        <f t="array" ref="AL271">OR(ISNUMBER(SEARCH(AK$2:AK$100,$B271,5)))</f>
        <v>0</v>
      </c>
      <c r="AU271" s="8"/>
      <c r="AV271" s="6"/>
      <c r="AW271" s="8"/>
      <c r="AX271" s="8"/>
      <c r="AY271" s="6"/>
      <c r="AZ271" s="8"/>
      <c r="BA271" s="8"/>
      <c r="BB271" s="6" t="str">
        <f>IFERROR(__xludf.DUMMYFUNCTION("""COMPUTED_VALUE"""),"plaid orange")</f>
        <v>plaid orange</v>
      </c>
      <c r="BC271" s="8"/>
      <c r="BD271" s="8"/>
      <c r="BE271" s="6"/>
      <c r="BF271" s="8"/>
      <c r="BG271" s="8"/>
      <c r="BH271" s="6"/>
      <c r="BI271" s="8"/>
      <c r="BJ271" s="8"/>
      <c r="BK271" s="6"/>
      <c r="BL271" s="8"/>
      <c r="BM271" s="8"/>
      <c r="BN271" s="6"/>
      <c r="BO271" s="8"/>
      <c r="BP271" s="8"/>
      <c r="BQ271" s="6"/>
      <c r="BR271" s="8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</row>
    <row r="272">
      <c r="A272" s="6"/>
      <c r="B272" s="6" t="s">
        <v>272</v>
      </c>
      <c r="C272" s="3" t="str">
        <f t="shared" si="3"/>
        <v>muted gray</v>
      </c>
      <c r="D272" s="3" t="str">
        <f t="shared" si="17"/>
        <v>ZZZ</v>
      </c>
      <c r="E272" s="3" t="b">
        <f t="array" ref="E272">OR(ISNUMBER(SEARCH(D$2:D$30,$B272,5)))</f>
        <v>0</v>
      </c>
      <c r="G272" s="3" t="str">
        <f t="shared" si="4"/>
        <v>ZZZ</v>
      </c>
      <c r="H272" s="3" t="b">
        <f t="array" ref="H272">OR(ISNUMBER(SEARCH(G$2:G$30,$B272,5)))</f>
        <v>0</v>
      </c>
      <c r="J272" s="3" t="str">
        <f t="shared" si="5"/>
        <v>ZZZ</v>
      </c>
      <c r="K272" s="3" t="b">
        <f t="array" ref="K272">OR(ISNUMBER(SEARCH(J$2:J$30,$B272,5)))</f>
        <v>0</v>
      </c>
      <c r="M272" s="3" t="str">
        <f t="shared" si="6"/>
        <v>ZZZ</v>
      </c>
      <c r="N272" s="3" t="b">
        <f t="array" ref="N272">OR(ISNUMBER(SEARCH(M$2:M$30,$B272,5)))</f>
        <v>0</v>
      </c>
      <c r="P272" s="3" t="str">
        <f t="shared" si="7"/>
        <v>ZZZ</v>
      </c>
      <c r="Q272" s="3" t="b">
        <f t="array" ref="Q272">OR(ISNUMBER(SEARCH(P$2:P$50,$B272,5)))</f>
        <v>0</v>
      </c>
      <c r="S272" s="3" t="str">
        <f t="shared" si="8"/>
        <v>ZZZ</v>
      </c>
      <c r="T272" s="3" t="b">
        <f t="array" ref="T272">OR(ISNUMBER(SEARCH(S$2:S$100,$B272,5)))</f>
        <v>0</v>
      </c>
      <c r="V272" s="3" t="str">
        <f t="shared" si="9"/>
        <v>ZZZ</v>
      </c>
      <c r="W272" s="3" t="b">
        <f t="array" ref="W272">OR(ISNUMBER(SEARCH(V$2:V$100,$B272,5)))</f>
        <v>0</v>
      </c>
      <c r="Y272" s="3" t="str">
        <f t="shared" si="10"/>
        <v>ZZZ</v>
      </c>
      <c r="Z272" s="3" t="b">
        <f t="array" ref="Z272">OR(ISNUMBER(SEARCH(Y$2:Y$100,$B272,5)))</f>
        <v>0</v>
      </c>
      <c r="AB272" s="3" t="str">
        <f t="shared" si="11"/>
        <v>ZZZ</v>
      </c>
      <c r="AC272" s="3" t="b">
        <f t="array" ref="AC272">OR(ISNUMBER(SEARCH(AB$2:AB$100,$B272,5)))</f>
        <v>0</v>
      </c>
      <c r="AE272" s="3" t="str">
        <f t="shared" si="12"/>
        <v>ZZZ</v>
      </c>
      <c r="AF272" s="3" t="b">
        <f t="array" ref="AF272">OR(ISNUMBER(SEARCH(AE$2:AE$100,$B272,5)))</f>
        <v>0</v>
      </c>
      <c r="AH272" s="3" t="str">
        <f t="shared" si="13"/>
        <v>ZZZ</v>
      </c>
      <c r="AI272" s="3" t="b">
        <f t="array" ref="AI272">OR(ISNUMBER(SEARCH(AH$2:AH$100,$B272,5)))</f>
        <v>0</v>
      </c>
      <c r="AK272" s="3" t="str">
        <f t="shared" si="14"/>
        <v>ZZZ</v>
      </c>
      <c r="AL272" s="3" t="b">
        <f t="array" ref="AL272">OR(ISNUMBER(SEARCH(AK$2:AK$100,$B272,5)))</f>
        <v>0</v>
      </c>
      <c r="AU272" s="8"/>
      <c r="AV272" s="6"/>
      <c r="AW272" s="8"/>
      <c r="AX272" s="8"/>
      <c r="AY272" s="6"/>
      <c r="AZ272" s="8"/>
      <c r="BA272" s="8"/>
      <c r="BB272" s="6" t="str">
        <f>IFERROR(__xludf.DUMMYFUNCTION("""COMPUTED_VALUE"""),"dark tomato")</f>
        <v>dark tomato</v>
      </c>
      <c r="BC272" s="8"/>
      <c r="BD272" s="8"/>
      <c r="BE272" s="6"/>
      <c r="BF272" s="8"/>
      <c r="BG272" s="8"/>
      <c r="BH272" s="6"/>
      <c r="BI272" s="8"/>
      <c r="BJ272" s="8"/>
      <c r="BK272" s="6"/>
      <c r="BL272" s="8"/>
      <c r="BM272" s="8"/>
      <c r="BN272" s="6"/>
      <c r="BO272" s="8"/>
      <c r="BP272" s="8"/>
      <c r="BQ272" s="6"/>
      <c r="BR272" s="8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</row>
    <row r="273">
      <c r="A273" s="6"/>
      <c r="B273" s="6" t="s">
        <v>273</v>
      </c>
      <c r="C273" s="3" t="str">
        <f t="shared" si="3"/>
        <v>wavy lavender</v>
      </c>
      <c r="D273" s="3" t="str">
        <f t="shared" si="17"/>
        <v>ZZZ</v>
      </c>
      <c r="E273" s="3" t="b">
        <f t="array" ref="E273">OR(ISNUMBER(SEARCH(D$2:D$30,$B273,5)))</f>
        <v>0</v>
      </c>
      <c r="G273" s="3" t="str">
        <f t="shared" si="4"/>
        <v>ZZZ</v>
      </c>
      <c r="H273" s="3" t="b">
        <f t="array" ref="H273">OR(ISNUMBER(SEARCH(G$2:G$30,$B273,5)))</f>
        <v>0</v>
      </c>
      <c r="J273" s="3" t="str">
        <f t="shared" si="5"/>
        <v>ZZZ</v>
      </c>
      <c r="K273" s="3" t="b">
        <f t="array" ref="K273">OR(ISNUMBER(SEARCH(J$2:J$30,$B273,5)))</f>
        <v>0</v>
      </c>
      <c r="M273" s="3" t="str">
        <f t="shared" si="6"/>
        <v>ZZZ</v>
      </c>
      <c r="N273" s="3" t="b">
        <f t="array" ref="N273">OR(ISNUMBER(SEARCH(M$2:M$30,$B273,5)))</f>
        <v>0</v>
      </c>
      <c r="P273" s="3" t="str">
        <f t="shared" si="7"/>
        <v>ZZZ</v>
      </c>
      <c r="Q273" s="3" t="b">
        <f t="array" ref="Q273">OR(ISNUMBER(SEARCH(P$2:P$50,$B273,5)))</f>
        <v>1</v>
      </c>
      <c r="S273" s="3" t="str">
        <f t="shared" si="8"/>
        <v>ZZZ</v>
      </c>
      <c r="T273" s="3" t="b">
        <f t="array" ref="T273">OR(ISNUMBER(SEARCH(S$2:S$100,$B273,5)))</f>
        <v>0</v>
      </c>
      <c r="V273" s="3" t="str">
        <f t="shared" si="9"/>
        <v>ZZZ</v>
      </c>
      <c r="W273" s="3" t="b">
        <f t="array" ref="W273">OR(ISNUMBER(SEARCH(V$2:V$100,$B273,5)))</f>
        <v>0</v>
      </c>
      <c r="Y273" s="3" t="str">
        <f t="shared" si="10"/>
        <v>ZZZ</v>
      </c>
      <c r="Z273" s="3" t="b">
        <f t="array" ref="Z273">OR(ISNUMBER(SEARCH(Y$2:Y$100,$B273,5)))</f>
        <v>0</v>
      </c>
      <c r="AB273" s="3" t="str">
        <f t="shared" si="11"/>
        <v>ZZZ</v>
      </c>
      <c r="AC273" s="3" t="b">
        <f t="array" ref="AC273">OR(ISNUMBER(SEARCH(AB$2:AB$100,$B273,5)))</f>
        <v>0</v>
      </c>
      <c r="AE273" s="3" t="str">
        <f t="shared" si="12"/>
        <v>ZZZ</v>
      </c>
      <c r="AF273" s="3" t="b">
        <f t="array" ref="AF273">OR(ISNUMBER(SEARCH(AE$2:AE$100,$B273,5)))</f>
        <v>0</v>
      </c>
      <c r="AH273" s="3" t="str">
        <f t="shared" si="13"/>
        <v>ZZZ</v>
      </c>
      <c r="AI273" s="3" t="b">
        <f t="array" ref="AI273">OR(ISNUMBER(SEARCH(AH$2:AH$100,$B273,5)))</f>
        <v>0</v>
      </c>
      <c r="AK273" s="3" t="str">
        <f t="shared" si="14"/>
        <v>ZZZ</v>
      </c>
      <c r="AL273" s="3" t="b">
        <f t="array" ref="AL273">OR(ISNUMBER(SEARCH(AK$2:AK$100,$B273,5)))</f>
        <v>0</v>
      </c>
      <c r="AU273" s="8"/>
      <c r="AV273" s="6"/>
      <c r="AW273" s="8"/>
      <c r="AX273" s="8"/>
      <c r="AY273" s="6"/>
      <c r="AZ273" s="8"/>
      <c r="BA273" s="8"/>
      <c r="BB273" s="6" t="str">
        <f>IFERROR(__xludf.DUMMYFUNCTION("""COMPUTED_VALUE"""),"faded aqua")</f>
        <v>faded aqua</v>
      </c>
      <c r="BC273" s="8"/>
      <c r="BD273" s="8"/>
      <c r="BE273" s="6"/>
      <c r="BF273" s="8"/>
      <c r="BG273" s="8"/>
      <c r="BH273" s="6"/>
      <c r="BI273" s="8"/>
      <c r="BJ273" s="8"/>
      <c r="BK273" s="6"/>
      <c r="BL273" s="8"/>
      <c r="BM273" s="8"/>
      <c r="BN273" s="6"/>
      <c r="BO273" s="8"/>
      <c r="BP273" s="8"/>
      <c r="BQ273" s="6"/>
      <c r="BR273" s="8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</row>
    <row r="274">
      <c r="A274" s="6"/>
      <c r="B274" s="6" t="s">
        <v>274</v>
      </c>
      <c r="C274" s="3" t="str">
        <f t="shared" si="3"/>
        <v>faded olive</v>
      </c>
      <c r="D274" s="3" t="str">
        <f t="shared" si="17"/>
        <v>ZZZ</v>
      </c>
      <c r="E274" s="3" t="b">
        <f t="array" ref="E274">OR(ISNUMBER(SEARCH(D$2:D$30,$B274,5)))</f>
        <v>0</v>
      </c>
      <c r="G274" s="3" t="str">
        <f t="shared" si="4"/>
        <v>ZZZ</v>
      </c>
      <c r="H274" s="3" t="b">
        <f t="array" ref="H274">OR(ISNUMBER(SEARCH(G$2:G$30,$B274,5)))</f>
        <v>0</v>
      </c>
      <c r="J274" s="3" t="str">
        <f t="shared" si="5"/>
        <v>ZZZ</v>
      </c>
      <c r="K274" s="3" t="b">
        <f t="array" ref="K274">OR(ISNUMBER(SEARCH(J$2:J$30,$B274,5)))</f>
        <v>0</v>
      </c>
      <c r="M274" s="3" t="str">
        <f t="shared" si="6"/>
        <v>ZZZ</v>
      </c>
      <c r="N274" s="3" t="b">
        <f t="array" ref="N274">OR(ISNUMBER(SEARCH(M$2:M$30,$B274,5)))</f>
        <v>1</v>
      </c>
      <c r="P274" s="3" t="str">
        <f t="shared" si="7"/>
        <v>ZZZ</v>
      </c>
      <c r="Q274" s="3" t="b">
        <f t="array" ref="Q274">OR(ISNUMBER(SEARCH(P$2:P$50,$B274,5)))</f>
        <v>0</v>
      </c>
      <c r="S274" s="3" t="str">
        <f t="shared" si="8"/>
        <v>ZZZ</v>
      </c>
      <c r="T274" s="3" t="b">
        <f t="array" ref="T274">OR(ISNUMBER(SEARCH(S$2:S$100,$B274,5)))</f>
        <v>0</v>
      </c>
      <c r="V274" s="3" t="str">
        <f t="shared" si="9"/>
        <v>ZZZ</v>
      </c>
      <c r="W274" s="3" t="b">
        <f t="array" ref="W274">OR(ISNUMBER(SEARCH(V$2:V$100,$B274,5)))</f>
        <v>0</v>
      </c>
      <c r="Y274" s="3" t="str">
        <f t="shared" si="10"/>
        <v>ZZZ</v>
      </c>
      <c r="Z274" s="3" t="b">
        <f t="array" ref="Z274">OR(ISNUMBER(SEARCH(Y$2:Y$100,$B274,5)))</f>
        <v>0</v>
      </c>
      <c r="AB274" s="3" t="str">
        <f t="shared" si="11"/>
        <v>ZZZ</v>
      </c>
      <c r="AC274" s="3" t="b">
        <f t="array" ref="AC274">OR(ISNUMBER(SEARCH(AB$2:AB$100,$B274,5)))</f>
        <v>0</v>
      </c>
      <c r="AE274" s="3" t="str">
        <f t="shared" si="12"/>
        <v>ZZZ</v>
      </c>
      <c r="AF274" s="3" t="b">
        <f t="array" ref="AF274">OR(ISNUMBER(SEARCH(AE$2:AE$100,$B274,5)))</f>
        <v>0</v>
      </c>
      <c r="AH274" s="3" t="str">
        <f t="shared" si="13"/>
        <v>ZZZ</v>
      </c>
      <c r="AI274" s="3" t="b">
        <f t="array" ref="AI274">OR(ISNUMBER(SEARCH(AH$2:AH$100,$B274,5)))</f>
        <v>0</v>
      </c>
      <c r="AK274" s="3" t="str">
        <f t="shared" si="14"/>
        <v>ZZZ</v>
      </c>
      <c r="AL274" s="3" t="b">
        <f t="array" ref="AL274">OR(ISNUMBER(SEARCH(AK$2:AK$100,$B274,5)))</f>
        <v>0</v>
      </c>
      <c r="AU274" s="8"/>
      <c r="AV274" s="6"/>
      <c r="AW274" s="8"/>
      <c r="AX274" s="8"/>
      <c r="AY274" s="6"/>
      <c r="AZ274" s="8"/>
      <c r="BA274" s="8"/>
      <c r="BB274" s="6" t="str">
        <f>IFERROR(__xludf.DUMMYFUNCTION("""COMPUTED_VALUE"""),"mirrored tomato")</f>
        <v>mirrored tomato</v>
      </c>
      <c r="BC274" s="8"/>
      <c r="BD274" s="8"/>
      <c r="BE274" s="6"/>
      <c r="BF274" s="8"/>
      <c r="BG274" s="8"/>
      <c r="BH274" s="6"/>
      <c r="BI274" s="8"/>
      <c r="BJ274" s="8"/>
      <c r="BK274" s="6"/>
      <c r="BL274" s="8"/>
      <c r="BM274" s="8"/>
      <c r="BN274" s="6"/>
      <c r="BO274" s="8"/>
      <c r="BP274" s="8"/>
      <c r="BQ274" s="6"/>
      <c r="BR274" s="8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</row>
    <row r="275">
      <c r="A275" s="6"/>
      <c r="B275" s="6" t="s">
        <v>275</v>
      </c>
      <c r="C275" s="3" t="str">
        <f t="shared" si="3"/>
        <v>muted crimson</v>
      </c>
      <c r="D275" s="3" t="str">
        <f t="shared" si="17"/>
        <v>ZZZ</v>
      </c>
      <c r="E275" s="3" t="b">
        <f t="array" ref="E275">OR(ISNUMBER(SEARCH(D$2:D$30,$B275,5)))</f>
        <v>0</v>
      </c>
      <c r="G275" s="3" t="str">
        <f t="shared" si="4"/>
        <v>ZZZ</v>
      </c>
      <c r="H275" s="3" t="b">
        <f t="array" ref="H275">OR(ISNUMBER(SEARCH(G$2:G$30,$B275,5)))</f>
        <v>0</v>
      </c>
      <c r="J275" s="3" t="str">
        <f t="shared" si="5"/>
        <v>ZZZ</v>
      </c>
      <c r="K275" s="3" t="b">
        <f t="array" ref="K275">OR(ISNUMBER(SEARCH(J$2:J$30,$B275,5)))</f>
        <v>0</v>
      </c>
      <c r="M275" s="3" t="str">
        <f t="shared" si="6"/>
        <v>ZZZ</v>
      </c>
      <c r="N275" s="3" t="b">
        <f t="array" ref="N275">OR(ISNUMBER(SEARCH(M$2:M$30,$B275,5)))</f>
        <v>0</v>
      </c>
      <c r="P275" s="3" t="str">
        <f t="shared" si="7"/>
        <v>ZZZ</v>
      </c>
      <c r="Q275" s="3" t="b">
        <f t="array" ref="Q275">OR(ISNUMBER(SEARCH(P$2:P$50,$B275,5)))</f>
        <v>0</v>
      </c>
      <c r="S275" s="3" t="str">
        <f t="shared" si="8"/>
        <v>ZZZ</v>
      </c>
      <c r="T275" s="3" t="b">
        <f t="array" ref="T275">OR(ISNUMBER(SEARCH(S$2:S$100,$B275,5)))</f>
        <v>0</v>
      </c>
      <c r="V275" s="3" t="str">
        <f t="shared" si="9"/>
        <v>ZZZ</v>
      </c>
      <c r="W275" s="3" t="b">
        <f t="array" ref="W275">OR(ISNUMBER(SEARCH(V$2:V$100,$B275,5)))</f>
        <v>0</v>
      </c>
      <c r="Y275" s="3" t="str">
        <f t="shared" si="10"/>
        <v>ZZZ</v>
      </c>
      <c r="Z275" s="3" t="b">
        <f t="array" ref="Z275">OR(ISNUMBER(SEARCH(Y$2:Y$100,$B275,5)))</f>
        <v>0</v>
      </c>
      <c r="AB275" s="3" t="str">
        <f t="shared" si="11"/>
        <v>ZZZ</v>
      </c>
      <c r="AC275" s="3" t="b">
        <f t="array" ref="AC275">OR(ISNUMBER(SEARCH(AB$2:AB$100,$B275,5)))</f>
        <v>0</v>
      </c>
      <c r="AE275" s="3" t="str">
        <f t="shared" si="12"/>
        <v>ZZZ</v>
      </c>
      <c r="AF275" s="3" t="b">
        <f t="array" ref="AF275">OR(ISNUMBER(SEARCH(AE$2:AE$100,$B275,5)))</f>
        <v>0</v>
      </c>
      <c r="AH275" s="3" t="str">
        <f t="shared" si="13"/>
        <v>ZZZ</v>
      </c>
      <c r="AI275" s="3" t="b">
        <f t="array" ref="AI275">OR(ISNUMBER(SEARCH(AH$2:AH$100,$B275,5)))</f>
        <v>0</v>
      </c>
      <c r="AK275" s="3" t="str">
        <f t="shared" si="14"/>
        <v>ZZZ</v>
      </c>
      <c r="AL275" s="3" t="b">
        <f t="array" ref="AL275">OR(ISNUMBER(SEARCH(AK$2:AK$100,$B275,5)))</f>
        <v>0</v>
      </c>
      <c r="AU275" s="8"/>
      <c r="AV275" s="6"/>
      <c r="AW275" s="8"/>
      <c r="AX275" s="8"/>
      <c r="AY275" s="6"/>
      <c r="AZ275" s="8"/>
      <c r="BA275" s="8"/>
      <c r="BB275" s="6" t="str">
        <f>IFERROR(__xludf.DUMMYFUNCTION("""COMPUTED_VALUE"""),"dark chartreuse")</f>
        <v>dark chartreuse</v>
      </c>
      <c r="BC275" s="8"/>
      <c r="BD275" s="8"/>
      <c r="BE275" s="6"/>
      <c r="BF275" s="8"/>
      <c r="BG275" s="8"/>
      <c r="BH275" s="6"/>
      <c r="BI275" s="8"/>
      <c r="BJ275" s="8"/>
      <c r="BK275" s="6"/>
      <c r="BL275" s="8"/>
      <c r="BM275" s="8"/>
      <c r="BN275" s="6"/>
      <c r="BO275" s="8"/>
      <c r="BP275" s="8"/>
      <c r="BQ275" s="6"/>
      <c r="BR275" s="8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</row>
    <row r="276">
      <c r="A276" s="6"/>
      <c r="B276" s="6" t="s">
        <v>276</v>
      </c>
      <c r="C276" s="3" t="str">
        <f t="shared" si="3"/>
        <v>drab chartreuse</v>
      </c>
      <c r="D276" s="3" t="str">
        <f t="shared" si="17"/>
        <v>ZZZ</v>
      </c>
      <c r="E276" s="3" t="b">
        <f t="array" ref="E276">OR(ISNUMBER(SEARCH(D$2:D$30,$B276,5)))</f>
        <v>0</v>
      </c>
      <c r="G276" s="3" t="str">
        <f t="shared" si="4"/>
        <v>ZZZ</v>
      </c>
      <c r="H276" s="3" t="b">
        <f t="array" ref="H276">OR(ISNUMBER(SEARCH(G$2:G$30,$B276,5)))</f>
        <v>0</v>
      </c>
      <c r="J276" s="3" t="str">
        <f t="shared" si="5"/>
        <v>ZZZ</v>
      </c>
      <c r="K276" s="3" t="b">
        <f t="array" ref="K276">OR(ISNUMBER(SEARCH(J$2:J$30,$B276,5)))</f>
        <v>0</v>
      </c>
      <c r="M276" s="3" t="str">
        <f t="shared" si="6"/>
        <v>ZZZ</v>
      </c>
      <c r="N276" s="3" t="b">
        <f t="array" ref="N276">OR(ISNUMBER(SEARCH(M$2:M$30,$B276,5)))</f>
        <v>0</v>
      </c>
      <c r="P276" s="3" t="str">
        <f t="shared" si="7"/>
        <v>ZZZ</v>
      </c>
      <c r="Q276" s="3" t="b">
        <f t="array" ref="Q276">OR(ISNUMBER(SEARCH(P$2:P$50,$B276,5)))</f>
        <v>0</v>
      </c>
      <c r="S276" s="3" t="str">
        <f t="shared" si="8"/>
        <v>ZZZ</v>
      </c>
      <c r="T276" s="3" t="b">
        <f t="array" ref="T276">OR(ISNUMBER(SEARCH(S$2:S$100,$B276,5)))</f>
        <v>0</v>
      </c>
      <c r="V276" s="3" t="str">
        <f t="shared" si="9"/>
        <v>ZZZ</v>
      </c>
      <c r="W276" s="3" t="b">
        <f t="array" ref="W276">OR(ISNUMBER(SEARCH(V$2:V$100,$B276,5)))</f>
        <v>0</v>
      </c>
      <c r="Y276" s="3" t="str">
        <f t="shared" si="10"/>
        <v>ZZZ</v>
      </c>
      <c r="Z276" s="3" t="b">
        <f t="array" ref="Z276">OR(ISNUMBER(SEARCH(Y$2:Y$100,$B276,5)))</f>
        <v>0</v>
      </c>
      <c r="AB276" s="3" t="str">
        <f t="shared" si="11"/>
        <v>ZZZ</v>
      </c>
      <c r="AC276" s="3" t="b">
        <f t="array" ref="AC276">OR(ISNUMBER(SEARCH(AB$2:AB$100,$B276,5)))</f>
        <v>0</v>
      </c>
      <c r="AE276" s="3" t="str">
        <f t="shared" si="12"/>
        <v>ZZZ</v>
      </c>
      <c r="AF276" s="3" t="b">
        <f t="array" ref="AF276">OR(ISNUMBER(SEARCH(AE$2:AE$100,$B276,5)))</f>
        <v>0</v>
      </c>
      <c r="AH276" s="3" t="str">
        <f t="shared" si="13"/>
        <v>ZZZ</v>
      </c>
      <c r="AI276" s="3" t="b">
        <f t="array" ref="AI276">OR(ISNUMBER(SEARCH(AH$2:AH$100,$B276,5)))</f>
        <v>0</v>
      </c>
      <c r="AK276" s="3" t="str">
        <f t="shared" si="14"/>
        <v>ZZZ</v>
      </c>
      <c r="AL276" s="3" t="b">
        <f t="array" ref="AL276">OR(ISNUMBER(SEARCH(AK$2:AK$100,$B276,5)))</f>
        <v>0</v>
      </c>
      <c r="AU276" s="8"/>
      <c r="AV276" s="6"/>
      <c r="AW276" s="8"/>
      <c r="AX276" s="8"/>
      <c r="AY276" s="6"/>
      <c r="AZ276" s="8"/>
      <c r="BA276" s="8"/>
      <c r="BB276" s="6" t="str">
        <f>IFERROR(__xludf.DUMMYFUNCTION("""COMPUTED_VALUE"""),"bright aqua")</f>
        <v>bright aqua</v>
      </c>
      <c r="BC276" s="8"/>
      <c r="BD276" s="8"/>
      <c r="BE276" s="6"/>
      <c r="BF276" s="8"/>
      <c r="BG276" s="8"/>
      <c r="BH276" s="6"/>
      <c r="BI276" s="8"/>
      <c r="BJ276" s="8"/>
      <c r="BK276" s="6"/>
      <c r="BL276" s="8"/>
      <c r="BM276" s="8"/>
      <c r="BN276" s="6"/>
      <c r="BO276" s="8"/>
      <c r="BP276" s="8"/>
      <c r="BQ276" s="6"/>
      <c r="BR276" s="8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</row>
    <row r="277">
      <c r="A277" s="6"/>
      <c r="B277" s="6" t="s">
        <v>277</v>
      </c>
      <c r="C277" s="3" t="str">
        <f t="shared" si="3"/>
        <v>wavy cyan</v>
      </c>
      <c r="D277" s="3" t="str">
        <f t="shared" si="17"/>
        <v>ZZZ</v>
      </c>
      <c r="E277" s="3" t="b">
        <f t="array" ref="E277">OR(ISNUMBER(SEARCH(D$2:D$30,$B277,5)))</f>
        <v>0</v>
      </c>
      <c r="G277" s="3" t="str">
        <f t="shared" si="4"/>
        <v>ZZZ</v>
      </c>
      <c r="H277" s="3" t="b">
        <f t="array" ref="H277">OR(ISNUMBER(SEARCH(G$2:G$30,$B277,5)))</f>
        <v>0</v>
      </c>
      <c r="J277" s="3" t="str">
        <f t="shared" si="5"/>
        <v>ZZZ</v>
      </c>
      <c r="K277" s="3" t="b">
        <f t="array" ref="K277">OR(ISNUMBER(SEARCH(J$2:J$30,$B277,5)))</f>
        <v>0</v>
      </c>
      <c r="M277" s="3" t="str">
        <f t="shared" si="6"/>
        <v>ZZZ</v>
      </c>
      <c r="N277" s="3" t="b">
        <f t="array" ref="N277">OR(ISNUMBER(SEARCH(M$2:M$30,$B277,5)))</f>
        <v>0</v>
      </c>
      <c r="P277" s="3" t="str">
        <f t="shared" si="7"/>
        <v>ZZZ</v>
      </c>
      <c r="Q277" s="3" t="b">
        <f t="array" ref="Q277">OR(ISNUMBER(SEARCH(P$2:P$50,$B277,5)))</f>
        <v>0</v>
      </c>
      <c r="S277" s="3" t="str">
        <f t="shared" si="8"/>
        <v>ZZZ</v>
      </c>
      <c r="T277" s="3" t="b">
        <f t="array" ref="T277">OR(ISNUMBER(SEARCH(S$2:S$100,$B277,5)))</f>
        <v>0</v>
      </c>
      <c r="V277" s="3" t="str">
        <f t="shared" si="9"/>
        <v>ZZZ</v>
      </c>
      <c r="W277" s="3" t="b">
        <f t="array" ref="W277">OR(ISNUMBER(SEARCH(V$2:V$100,$B277,5)))</f>
        <v>0</v>
      </c>
      <c r="Y277" s="3" t="str">
        <f t="shared" si="10"/>
        <v>ZZZ</v>
      </c>
      <c r="Z277" s="3" t="b">
        <f t="array" ref="Z277">OR(ISNUMBER(SEARCH(Y$2:Y$100,$B277,5)))</f>
        <v>0</v>
      </c>
      <c r="AB277" s="3" t="str">
        <f t="shared" si="11"/>
        <v>ZZZ</v>
      </c>
      <c r="AC277" s="3" t="b">
        <f t="array" ref="AC277">OR(ISNUMBER(SEARCH(AB$2:AB$100,$B277,5)))</f>
        <v>0</v>
      </c>
      <c r="AE277" s="3" t="str">
        <f t="shared" si="12"/>
        <v>ZZZ</v>
      </c>
      <c r="AF277" s="3" t="b">
        <f t="array" ref="AF277">OR(ISNUMBER(SEARCH(AE$2:AE$100,$B277,5)))</f>
        <v>0</v>
      </c>
      <c r="AH277" s="3" t="str">
        <f t="shared" si="13"/>
        <v>ZZZ</v>
      </c>
      <c r="AI277" s="3" t="b">
        <f t="array" ref="AI277">OR(ISNUMBER(SEARCH(AH$2:AH$100,$B277,5)))</f>
        <v>0</v>
      </c>
      <c r="AK277" s="3" t="str">
        <f t="shared" si="14"/>
        <v>ZZZ</v>
      </c>
      <c r="AL277" s="3" t="b">
        <f t="array" ref="AL277">OR(ISNUMBER(SEARCH(AK$2:AK$100,$B277,5)))</f>
        <v>0</v>
      </c>
      <c r="AU277" s="8"/>
      <c r="AV277" s="6"/>
      <c r="AW277" s="8"/>
      <c r="AX277" s="8"/>
      <c r="AY277" s="6"/>
      <c r="AZ277" s="8"/>
      <c r="BA277" s="8"/>
      <c r="BB277" s="6" t="str">
        <f>IFERROR(__xludf.DUMMYFUNCTION("""COMPUTED_VALUE"""),"pale crimson")</f>
        <v>pale crimson</v>
      </c>
      <c r="BC277" s="8"/>
      <c r="BD277" s="8"/>
      <c r="BE277" s="6"/>
      <c r="BF277" s="8"/>
      <c r="BG277" s="8"/>
      <c r="BH277" s="6"/>
      <c r="BI277" s="8"/>
      <c r="BJ277" s="8"/>
      <c r="BK277" s="6"/>
      <c r="BL277" s="8"/>
      <c r="BM277" s="8"/>
      <c r="BN277" s="6"/>
      <c r="BO277" s="8"/>
      <c r="BP277" s="8"/>
      <c r="BQ277" s="6"/>
      <c r="BR277" s="8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</row>
    <row r="278">
      <c r="A278" s="6"/>
      <c r="B278" s="6" t="s">
        <v>278</v>
      </c>
      <c r="C278" s="3" t="str">
        <f t="shared" si="3"/>
        <v>mirrored plum</v>
      </c>
      <c r="D278" s="3" t="str">
        <f t="shared" si="17"/>
        <v>ZZZ</v>
      </c>
      <c r="E278" s="3" t="b">
        <f t="array" ref="E278">OR(ISNUMBER(SEARCH(D$2:D$30,$B278,5)))</f>
        <v>0</v>
      </c>
      <c r="G278" s="3" t="str">
        <f t="shared" si="4"/>
        <v>ZZZ</v>
      </c>
      <c r="H278" s="3" t="b">
        <f t="array" ref="H278">OR(ISNUMBER(SEARCH(G$2:G$30,$B278,5)))</f>
        <v>0</v>
      </c>
      <c r="J278" s="3" t="str">
        <f t="shared" si="5"/>
        <v>ZZZ</v>
      </c>
      <c r="K278" s="3" t="b">
        <f t="array" ref="K278">OR(ISNUMBER(SEARCH(J$2:J$30,$B278,5)))</f>
        <v>0</v>
      </c>
      <c r="M278" s="3" t="str">
        <f t="shared" si="6"/>
        <v>ZZZ</v>
      </c>
      <c r="N278" s="3" t="b">
        <f t="array" ref="N278">OR(ISNUMBER(SEARCH(M$2:M$30,$B278,5)))</f>
        <v>0</v>
      </c>
      <c r="P278" s="3" t="str">
        <f t="shared" si="7"/>
        <v>ZZZ</v>
      </c>
      <c r="Q278" s="3" t="b">
        <f t="array" ref="Q278">OR(ISNUMBER(SEARCH(P$2:P$50,$B278,5)))</f>
        <v>0</v>
      </c>
      <c r="S278" s="3" t="str">
        <f t="shared" si="8"/>
        <v>ZZZ</v>
      </c>
      <c r="T278" s="3" t="b">
        <f t="array" ref="T278">OR(ISNUMBER(SEARCH(S$2:S$100,$B278,5)))</f>
        <v>0</v>
      </c>
      <c r="V278" s="3" t="str">
        <f t="shared" si="9"/>
        <v>ZZZ</v>
      </c>
      <c r="W278" s="3" t="b">
        <f t="array" ref="W278">OR(ISNUMBER(SEARCH(V$2:V$100,$B278,5)))</f>
        <v>0</v>
      </c>
      <c r="Y278" s="3" t="str">
        <f t="shared" si="10"/>
        <v>ZZZ</v>
      </c>
      <c r="Z278" s="3" t="b">
        <f t="array" ref="Z278">OR(ISNUMBER(SEARCH(Y$2:Y$100,$B278,5)))</f>
        <v>0</v>
      </c>
      <c r="AB278" s="3" t="str">
        <f t="shared" si="11"/>
        <v>ZZZ</v>
      </c>
      <c r="AC278" s="3" t="b">
        <f t="array" ref="AC278">OR(ISNUMBER(SEARCH(AB$2:AB$100,$B278,5)))</f>
        <v>0</v>
      </c>
      <c r="AE278" s="3" t="str">
        <f t="shared" si="12"/>
        <v>ZZZ</v>
      </c>
      <c r="AF278" s="3" t="b">
        <f t="array" ref="AF278">OR(ISNUMBER(SEARCH(AE$2:AE$100,$B278,5)))</f>
        <v>0</v>
      </c>
      <c r="AH278" s="3" t="str">
        <f t="shared" si="13"/>
        <v>ZZZ</v>
      </c>
      <c r="AI278" s="3" t="b">
        <f t="array" ref="AI278">OR(ISNUMBER(SEARCH(AH$2:AH$100,$B278,5)))</f>
        <v>0</v>
      </c>
      <c r="AK278" s="3" t="str">
        <f t="shared" si="14"/>
        <v>ZZZ</v>
      </c>
      <c r="AL278" s="3" t="b">
        <f t="array" ref="AL278">OR(ISNUMBER(SEARCH(AK$2:AK$100,$B278,5)))</f>
        <v>0</v>
      </c>
      <c r="AU278" s="8"/>
      <c r="AV278" s="6"/>
      <c r="AW278" s="8"/>
      <c r="AX278" s="8"/>
      <c r="AY278" s="6"/>
      <c r="AZ278" s="8"/>
      <c r="BA278" s="8"/>
      <c r="BB278" s="6" t="str">
        <f>IFERROR(__xludf.DUMMYFUNCTION("""COMPUTED_VALUE"""),"dark salmon")</f>
        <v>dark salmon</v>
      </c>
      <c r="BC278" s="8"/>
      <c r="BD278" s="8"/>
      <c r="BE278" s="6"/>
      <c r="BF278" s="8"/>
      <c r="BG278" s="8"/>
      <c r="BH278" s="6"/>
      <c r="BI278" s="8"/>
      <c r="BJ278" s="8"/>
      <c r="BK278" s="6"/>
      <c r="BL278" s="8"/>
      <c r="BM278" s="8"/>
      <c r="BN278" s="6"/>
      <c r="BO278" s="8"/>
      <c r="BP278" s="8"/>
      <c r="BQ278" s="6"/>
      <c r="BR278" s="8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</row>
    <row r="279">
      <c r="A279" s="6"/>
      <c r="B279" s="6" t="s">
        <v>279</v>
      </c>
      <c r="C279" s="3" t="str">
        <f t="shared" si="3"/>
        <v>plaid lavender</v>
      </c>
      <c r="D279" s="3" t="str">
        <f t="shared" si="17"/>
        <v>ZZZ</v>
      </c>
      <c r="E279" s="3" t="b">
        <f t="array" ref="E279">OR(ISNUMBER(SEARCH(D$2:D$30,$B279,5)))</f>
        <v>0</v>
      </c>
      <c r="G279" s="3" t="str">
        <f t="shared" si="4"/>
        <v>ZZZ</v>
      </c>
      <c r="H279" s="3" t="b">
        <f t="array" ref="H279">OR(ISNUMBER(SEARCH(G$2:G$30,$B279,5)))</f>
        <v>0</v>
      </c>
      <c r="J279" s="3" t="str">
        <f t="shared" si="5"/>
        <v>ZZZ</v>
      </c>
      <c r="K279" s="3" t="b">
        <f t="array" ref="K279">OR(ISNUMBER(SEARCH(J$2:J$30,$B279,5)))</f>
        <v>0</v>
      </c>
      <c r="M279" s="3" t="str">
        <f t="shared" si="6"/>
        <v>ZZZ</v>
      </c>
      <c r="N279" s="3" t="b">
        <f t="array" ref="N279">OR(ISNUMBER(SEARCH(M$2:M$30,$B279,5)))</f>
        <v>0</v>
      </c>
      <c r="P279" s="3" t="str">
        <f t="shared" si="7"/>
        <v>ZZZ</v>
      </c>
      <c r="Q279" s="3" t="b">
        <f t="array" ref="Q279">OR(ISNUMBER(SEARCH(P$2:P$50,$B279,5)))</f>
        <v>0</v>
      </c>
      <c r="S279" s="3" t="str">
        <f t="shared" si="8"/>
        <v>ZZZ</v>
      </c>
      <c r="T279" s="3" t="b">
        <f t="array" ref="T279">OR(ISNUMBER(SEARCH(S$2:S$100,$B279,5)))</f>
        <v>0</v>
      </c>
      <c r="V279" s="3" t="str">
        <f t="shared" si="9"/>
        <v>ZZZ</v>
      </c>
      <c r="W279" s="3" t="b">
        <f t="array" ref="W279">OR(ISNUMBER(SEARCH(V$2:V$100,$B279,5)))</f>
        <v>0</v>
      </c>
      <c r="Y279" s="3" t="str">
        <f t="shared" si="10"/>
        <v>ZZZ</v>
      </c>
      <c r="Z279" s="3" t="b">
        <f t="array" ref="Z279">OR(ISNUMBER(SEARCH(Y$2:Y$100,$B279,5)))</f>
        <v>0</v>
      </c>
      <c r="AB279" s="3" t="str">
        <f t="shared" si="11"/>
        <v>ZZZ</v>
      </c>
      <c r="AC279" s="3" t="b">
        <f t="array" ref="AC279">OR(ISNUMBER(SEARCH(AB$2:AB$100,$B279,5)))</f>
        <v>0</v>
      </c>
      <c r="AE279" s="3" t="str">
        <f t="shared" si="12"/>
        <v>ZZZ</v>
      </c>
      <c r="AF279" s="3" t="b">
        <f t="array" ref="AF279">OR(ISNUMBER(SEARCH(AE$2:AE$100,$B279,5)))</f>
        <v>0</v>
      </c>
      <c r="AH279" s="3" t="str">
        <f t="shared" si="13"/>
        <v>ZZZ</v>
      </c>
      <c r="AI279" s="3" t="b">
        <f t="array" ref="AI279">OR(ISNUMBER(SEARCH(AH$2:AH$100,$B279,5)))</f>
        <v>0</v>
      </c>
      <c r="AK279" s="3" t="str">
        <f t="shared" si="14"/>
        <v>ZZZ</v>
      </c>
      <c r="AL279" s="3" t="b">
        <f t="array" ref="AL279">OR(ISNUMBER(SEARCH(AK$2:AK$100,$B279,5)))</f>
        <v>0</v>
      </c>
      <c r="AU279" s="8"/>
      <c r="AV279" s="6"/>
      <c r="AW279" s="8"/>
      <c r="AX279" s="8"/>
      <c r="AY279" s="6"/>
      <c r="AZ279" s="8"/>
      <c r="BA279" s="8"/>
      <c r="BB279" s="6" t="str">
        <f>IFERROR(__xludf.DUMMYFUNCTION("""COMPUTED_VALUE"""),"dotted teal")</f>
        <v>dotted teal</v>
      </c>
      <c r="BC279" s="8"/>
      <c r="BD279" s="8"/>
      <c r="BE279" s="6"/>
      <c r="BF279" s="8"/>
      <c r="BG279" s="8"/>
      <c r="BH279" s="6"/>
      <c r="BI279" s="8"/>
      <c r="BJ279" s="8"/>
      <c r="BK279" s="6"/>
      <c r="BL279" s="8"/>
      <c r="BM279" s="8"/>
      <c r="BN279" s="6"/>
      <c r="BO279" s="8"/>
      <c r="BP279" s="8"/>
      <c r="BQ279" s="6"/>
      <c r="BR279" s="8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</row>
    <row r="280">
      <c r="A280" s="6"/>
      <c r="B280" s="6" t="s">
        <v>280</v>
      </c>
      <c r="C280" s="3" t="str">
        <f t="shared" si="3"/>
        <v>muted gold</v>
      </c>
      <c r="D280" s="3" t="str">
        <f t="shared" si="17"/>
        <v>ZZZ</v>
      </c>
      <c r="E280" s="3" t="b">
        <f t="array" ref="E280">OR(ISNUMBER(SEARCH(D$2:D$30,$B280,5)))</f>
        <v>0</v>
      </c>
      <c r="G280" s="3" t="str">
        <f t="shared" si="4"/>
        <v>ZZZ</v>
      </c>
      <c r="H280" s="3" t="b">
        <f t="array" ref="H280">OR(ISNUMBER(SEARCH(G$2:G$30,$B280,5)))</f>
        <v>0</v>
      </c>
      <c r="J280" s="3" t="str">
        <f t="shared" si="5"/>
        <v>ZZZ</v>
      </c>
      <c r="K280" s="3" t="b">
        <f t="array" ref="K280">OR(ISNUMBER(SEARCH(J$2:J$30,$B280,5)))</f>
        <v>0</v>
      </c>
      <c r="M280" s="3" t="str">
        <f t="shared" si="6"/>
        <v>ZZZ</v>
      </c>
      <c r="N280" s="3" t="b">
        <f t="array" ref="N280">OR(ISNUMBER(SEARCH(M$2:M$30,$B280,5)))</f>
        <v>0</v>
      </c>
      <c r="P280" s="3" t="str">
        <f t="shared" si="7"/>
        <v>ZZZ</v>
      </c>
      <c r="Q280" s="3" t="b">
        <f t="array" ref="Q280">OR(ISNUMBER(SEARCH(P$2:P$50,$B280,5)))</f>
        <v>0</v>
      </c>
      <c r="S280" s="3" t="str">
        <f t="shared" si="8"/>
        <v>ZZZ</v>
      </c>
      <c r="T280" s="3" t="b">
        <f t="array" ref="T280">OR(ISNUMBER(SEARCH(S$2:S$100,$B280,5)))</f>
        <v>0</v>
      </c>
      <c r="V280" s="3" t="str">
        <f t="shared" si="9"/>
        <v>ZZZ</v>
      </c>
      <c r="W280" s="3" t="b">
        <f t="array" ref="W280">OR(ISNUMBER(SEARCH(V$2:V$100,$B280,5)))</f>
        <v>0</v>
      </c>
      <c r="Y280" s="3" t="str">
        <f t="shared" si="10"/>
        <v>ZZZ</v>
      </c>
      <c r="Z280" s="3" t="b">
        <f t="array" ref="Z280">OR(ISNUMBER(SEARCH(Y$2:Y$100,$B280,5)))</f>
        <v>0</v>
      </c>
      <c r="AB280" s="3" t="str">
        <f t="shared" si="11"/>
        <v>ZZZ</v>
      </c>
      <c r="AC280" s="3" t="b">
        <f t="array" ref="AC280">OR(ISNUMBER(SEARCH(AB$2:AB$100,$B280,5)))</f>
        <v>1</v>
      </c>
      <c r="AE280" s="3" t="str">
        <f t="shared" si="12"/>
        <v>ZZZ</v>
      </c>
      <c r="AF280" s="3" t="b">
        <f t="array" ref="AF280">OR(ISNUMBER(SEARCH(AE$2:AE$100,$B280,5)))</f>
        <v>0</v>
      </c>
      <c r="AH280" s="3" t="str">
        <f t="shared" si="13"/>
        <v>ZZZ</v>
      </c>
      <c r="AI280" s="3" t="b">
        <f t="array" ref="AI280">OR(ISNUMBER(SEARCH(AH$2:AH$100,$B280,5)))</f>
        <v>0</v>
      </c>
      <c r="AK280" s="3" t="str">
        <f t="shared" si="14"/>
        <v>ZZZ</v>
      </c>
      <c r="AL280" s="3" t="b">
        <f t="array" ref="AL280">OR(ISNUMBER(SEARCH(AK$2:AK$100,$B280,5)))</f>
        <v>0</v>
      </c>
      <c r="AU280" s="8"/>
      <c r="AV280" s="6"/>
      <c r="AW280" s="8"/>
      <c r="AX280" s="8"/>
      <c r="AY280" s="6"/>
      <c r="AZ280" s="8"/>
      <c r="BA280" s="8"/>
      <c r="BB280" s="6" t="str">
        <f>IFERROR(__xludf.DUMMYFUNCTION("""COMPUTED_VALUE"""),"pale cyan")</f>
        <v>pale cyan</v>
      </c>
      <c r="BC280" s="8"/>
      <c r="BD280" s="8"/>
      <c r="BE280" s="6"/>
      <c r="BF280" s="8"/>
      <c r="BG280" s="8"/>
      <c r="BH280" s="6"/>
      <c r="BI280" s="8"/>
      <c r="BJ280" s="8"/>
      <c r="BK280" s="6"/>
      <c r="BL280" s="8"/>
      <c r="BM280" s="8"/>
      <c r="BN280" s="6"/>
      <c r="BO280" s="8"/>
      <c r="BP280" s="8"/>
      <c r="BQ280" s="6"/>
      <c r="BR280" s="8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</row>
    <row r="281">
      <c r="A281" s="6"/>
      <c r="B281" s="6" t="s">
        <v>281</v>
      </c>
      <c r="C281" s="3" t="str">
        <f t="shared" si="3"/>
        <v>faded bronze</v>
      </c>
      <c r="D281" s="3" t="str">
        <f t="shared" si="17"/>
        <v>ZZZ</v>
      </c>
      <c r="E281" s="3" t="b">
        <f t="array" ref="E281">OR(ISNUMBER(SEARCH(D$2:D$30,$B281,5)))</f>
        <v>0</v>
      </c>
      <c r="G281" s="3" t="str">
        <f t="shared" si="4"/>
        <v>ZZZ</v>
      </c>
      <c r="H281" s="3" t="b">
        <f t="array" ref="H281">OR(ISNUMBER(SEARCH(G$2:G$30,$B281,5)))</f>
        <v>0</v>
      </c>
      <c r="J281" s="3" t="str">
        <f t="shared" si="5"/>
        <v>ZZZ</v>
      </c>
      <c r="K281" s="3" t="b">
        <f t="array" ref="K281">OR(ISNUMBER(SEARCH(J$2:J$30,$B281,5)))</f>
        <v>0</v>
      </c>
      <c r="M281" s="3" t="str">
        <f t="shared" si="6"/>
        <v>ZZZ</v>
      </c>
      <c r="N281" s="3" t="b">
        <f t="array" ref="N281">OR(ISNUMBER(SEARCH(M$2:M$30,$B281,5)))</f>
        <v>0</v>
      </c>
      <c r="P281" s="3" t="str">
        <f t="shared" si="7"/>
        <v>ZZZ</v>
      </c>
      <c r="Q281" s="3" t="b">
        <f t="array" ref="Q281">OR(ISNUMBER(SEARCH(P$2:P$50,$B281,5)))</f>
        <v>0</v>
      </c>
      <c r="S281" s="3" t="str">
        <f t="shared" si="8"/>
        <v>ZZZ</v>
      </c>
      <c r="T281" s="3" t="b">
        <f t="array" ref="T281">OR(ISNUMBER(SEARCH(S$2:S$100,$B281,5)))</f>
        <v>0</v>
      </c>
      <c r="V281" s="3" t="str">
        <f t="shared" si="9"/>
        <v>ZZZ</v>
      </c>
      <c r="W281" s="3" t="b">
        <f t="array" ref="W281">OR(ISNUMBER(SEARCH(V$2:V$100,$B281,5)))</f>
        <v>0</v>
      </c>
      <c r="Y281" s="3" t="str">
        <f t="shared" si="10"/>
        <v>ZZZ</v>
      </c>
      <c r="Z281" s="3" t="b">
        <f t="array" ref="Z281">OR(ISNUMBER(SEARCH(Y$2:Y$100,$B281,5)))</f>
        <v>0</v>
      </c>
      <c r="AB281" s="3" t="str">
        <f t="shared" si="11"/>
        <v>ZZZ</v>
      </c>
      <c r="AC281" s="3" t="b">
        <f t="array" ref="AC281">OR(ISNUMBER(SEARCH(AB$2:AB$100,$B281,5)))</f>
        <v>0</v>
      </c>
      <c r="AE281" s="3" t="str">
        <f t="shared" si="12"/>
        <v>ZZZ</v>
      </c>
      <c r="AF281" s="3" t="b">
        <f t="array" ref="AF281">OR(ISNUMBER(SEARCH(AE$2:AE$100,$B281,5)))</f>
        <v>0</v>
      </c>
      <c r="AH281" s="3" t="str">
        <f t="shared" si="13"/>
        <v>ZZZ</v>
      </c>
      <c r="AI281" s="3" t="b">
        <f t="array" ref="AI281">OR(ISNUMBER(SEARCH(AH$2:AH$100,$B281,5)))</f>
        <v>0</v>
      </c>
      <c r="AK281" s="3" t="str">
        <f t="shared" si="14"/>
        <v>ZZZ</v>
      </c>
      <c r="AL281" s="3" t="b">
        <f t="array" ref="AL281">OR(ISNUMBER(SEARCH(AK$2:AK$100,$B281,5)))</f>
        <v>0</v>
      </c>
      <c r="AU281" s="8"/>
      <c r="AV281" s="6"/>
      <c r="AW281" s="8"/>
      <c r="AX281" s="8"/>
      <c r="AY281" s="6"/>
      <c r="AZ281" s="8"/>
      <c r="BA281" s="8"/>
      <c r="BB281" s="6" t="str">
        <f>IFERROR(__xludf.DUMMYFUNCTION("""COMPUTED_VALUE"""),"faded tan")</f>
        <v>faded tan</v>
      </c>
      <c r="BC281" s="8"/>
      <c r="BD281" s="8"/>
      <c r="BE281" s="6"/>
      <c r="BF281" s="8"/>
      <c r="BG281" s="8"/>
      <c r="BH281" s="6"/>
      <c r="BI281" s="8"/>
      <c r="BJ281" s="8"/>
      <c r="BK281" s="6"/>
      <c r="BL281" s="8"/>
      <c r="BM281" s="8"/>
      <c r="BN281" s="6"/>
      <c r="BO281" s="8"/>
      <c r="BP281" s="8"/>
      <c r="BQ281" s="6"/>
      <c r="BR281" s="8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</row>
    <row r="282">
      <c r="A282" s="6"/>
      <c r="B282" s="6" t="s">
        <v>282</v>
      </c>
      <c r="C282" s="3" t="str">
        <f t="shared" si="3"/>
        <v>clear turquoise</v>
      </c>
      <c r="D282" s="3" t="str">
        <f t="shared" si="17"/>
        <v>ZZZ</v>
      </c>
      <c r="E282" s="3" t="b">
        <f t="array" ref="E282">OR(ISNUMBER(SEARCH(D$2:D$30,$B282,5)))</f>
        <v>0</v>
      </c>
      <c r="G282" s="3" t="str">
        <f t="shared" si="4"/>
        <v>ZZZ</v>
      </c>
      <c r="H282" s="3" t="b">
        <f t="array" ref="H282">OR(ISNUMBER(SEARCH(G$2:G$30,$B282,5)))</f>
        <v>0</v>
      </c>
      <c r="J282" s="3" t="str">
        <f t="shared" si="5"/>
        <v>ZZZ</v>
      </c>
      <c r="K282" s="3" t="b">
        <f t="array" ref="K282">OR(ISNUMBER(SEARCH(J$2:J$30,$B282,5)))</f>
        <v>0</v>
      </c>
      <c r="M282" s="3" t="str">
        <f t="shared" si="6"/>
        <v>ZZZ</v>
      </c>
      <c r="N282" s="3" t="b">
        <f t="array" ref="N282">OR(ISNUMBER(SEARCH(M$2:M$30,$B282,5)))</f>
        <v>0</v>
      </c>
      <c r="P282" s="3" t="str">
        <f t="shared" si="7"/>
        <v>ZZZ</v>
      </c>
      <c r="Q282" s="3" t="b">
        <f t="array" ref="Q282">OR(ISNUMBER(SEARCH(P$2:P$50,$B282,5)))</f>
        <v>0</v>
      </c>
      <c r="S282" s="3" t="str">
        <f t="shared" si="8"/>
        <v>ZZZ</v>
      </c>
      <c r="T282" s="3" t="b">
        <f t="array" ref="T282">OR(ISNUMBER(SEARCH(S$2:S$100,$B282,5)))</f>
        <v>0</v>
      </c>
      <c r="V282" s="3" t="str">
        <f t="shared" si="9"/>
        <v>ZZZ</v>
      </c>
      <c r="W282" s="3" t="b">
        <f t="array" ref="W282">OR(ISNUMBER(SEARCH(V$2:V$100,$B282,5)))</f>
        <v>0</v>
      </c>
      <c r="Y282" s="3" t="str">
        <f t="shared" si="10"/>
        <v>ZZZ</v>
      </c>
      <c r="Z282" s="3" t="b">
        <f t="array" ref="Z282">OR(ISNUMBER(SEARCH(Y$2:Y$100,$B282,5)))</f>
        <v>1</v>
      </c>
      <c r="AB282" s="3" t="str">
        <f t="shared" si="11"/>
        <v>ZZZ</v>
      </c>
      <c r="AC282" s="3" t="b">
        <f t="array" ref="AC282">OR(ISNUMBER(SEARCH(AB$2:AB$100,$B282,5)))</f>
        <v>0</v>
      </c>
      <c r="AE282" s="3" t="str">
        <f t="shared" si="12"/>
        <v>ZZZ</v>
      </c>
      <c r="AF282" s="3" t="b">
        <f t="array" ref="AF282">OR(ISNUMBER(SEARCH(AE$2:AE$100,$B282,5)))</f>
        <v>0</v>
      </c>
      <c r="AH282" s="3" t="str">
        <f t="shared" si="13"/>
        <v>ZZZ</v>
      </c>
      <c r="AI282" s="3" t="b">
        <f t="array" ref="AI282">OR(ISNUMBER(SEARCH(AH$2:AH$100,$B282,5)))</f>
        <v>0</v>
      </c>
      <c r="AK282" s="3" t="str">
        <f t="shared" si="14"/>
        <v>ZZZ</v>
      </c>
      <c r="AL282" s="3" t="b">
        <f t="array" ref="AL282">OR(ISNUMBER(SEARCH(AK$2:AK$100,$B282,5)))</f>
        <v>0</v>
      </c>
      <c r="AU282" s="8"/>
      <c r="AV282" s="6"/>
      <c r="AW282" s="8"/>
      <c r="AX282" s="8"/>
      <c r="AY282" s="6"/>
      <c r="AZ282" s="8"/>
      <c r="BA282" s="8"/>
      <c r="BB282" s="6"/>
      <c r="BC282" s="8"/>
      <c r="BD282" s="8"/>
      <c r="BE282" s="6"/>
      <c r="BF282" s="8"/>
      <c r="BG282" s="8"/>
      <c r="BH282" s="6"/>
      <c r="BI282" s="8"/>
      <c r="BJ282" s="8"/>
      <c r="BK282" s="6"/>
      <c r="BL282" s="8"/>
      <c r="BM282" s="8"/>
      <c r="BN282" s="6"/>
      <c r="BO282" s="8"/>
      <c r="BP282" s="8"/>
      <c r="BQ282" s="6"/>
      <c r="BR282" s="8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</row>
    <row r="283">
      <c r="A283" s="6"/>
      <c r="B283" s="6" t="s">
        <v>283</v>
      </c>
      <c r="C283" s="3" t="str">
        <f t="shared" si="3"/>
        <v>vibrant gray</v>
      </c>
      <c r="D283" s="3" t="str">
        <f t="shared" si="17"/>
        <v>ZZZ</v>
      </c>
      <c r="E283" s="3" t="b">
        <f t="array" ref="E283">OR(ISNUMBER(SEARCH(D$2:D$30,$B283,5)))</f>
        <v>0</v>
      </c>
      <c r="G283" s="3" t="str">
        <f t="shared" si="4"/>
        <v>ZZZ</v>
      </c>
      <c r="H283" s="3" t="b">
        <f t="array" ref="H283">OR(ISNUMBER(SEARCH(G$2:G$30,$B283,5)))</f>
        <v>0</v>
      </c>
      <c r="J283" s="3" t="str">
        <f t="shared" si="5"/>
        <v>ZZZ</v>
      </c>
      <c r="K283" s="3" t="b">
        <f t="array" ref="K283">OR(ISNUMBER(SEARCH(J$2:J$30,$B283,5)))</f>
        <v>0</v>
      </c>
      <c r="M283" s="3" t="str">
        <f t="shared" si="6"/>
        <v>ZZZ</v>
      </c>
      <c r="N283" s="3" t="b">
        <f t="array" ref="N283">OR(ISNUMBER(SEARCH(M$2:M$30,$B283,5)))</f>
        <v>0</v>
      </c>
      <c r="P283" s="3" t="str">
        <f t="shared" si="7"/>
        <v>ZZZ</v>
      </c>
      <c r="Q283" s="3" t="b">
        <f t="array" ref="Q283">OR(ISNUMBER(SEARCH(P$2:P$50,$B283,5)))</f>
        <v>0</v>
      </c>
      <c r="S283" s="3" t="str">
        <f t="shared" si="8"/>
        <v>ZZZ</v>
      </c>
      <c r="T283" s="3" t="b">
        <f t="array" ref="T283">OR(ISNUMBER(SEARCH(S$2:S$100,$B283,5)))</f>
        <v>0</v>
      </c>
      <c r="V283" s="3" t="str">
        <f t="shared" si="9"/>
        <v>ZZZ</v>
      </c>
      <c r="W283" s="3" t="b">
        <f t="array" ref="W283">OR(ISNUMBER(SEARCH(V$2:V$100,$B283,5)))</f>
        <v>0</v>
      </c>
      <c r="Y283" s="3" t="str">
        <f t="shared" si="10"/>
        <v>ZZZ</v>
      </c>
      <c r="Z283" s="3" t="b">
        <f t="array" ref="Z283">OR(ISNUMBER(SEARCH(Y$2:Y$100,$B283,5)))</f>
        <v>0</v>
      </c>
      <c r="AB283" s="3" t="str">
        <f t="shared" si="11"/>
        <v>ZZZ</v>
      </c>
      <c r="AC283" s="3" t="b">
        <f t="array" ref="AC283">OR(ISNUMBER(SEARCH(AB$2:AB$100,$B283,5)))</f>
        <v>0</v>
      </c>
      <c r="AE283" s="3" t="str">
        <f t="shared" si="12"/>
        <v>ZZZ</v>
      </c>
      <c r="AF283" s="3" t="b">
        <f t="array" ref="AF283">OR(ISNUMBER(SEARCH(AE$2:AE$100,$B283,5)))</f>
        <v>0</v>
      </c>
      <c r="AH283" s="3" t="str">
        <f t="shared" si="13"/>
        <v>ZZZ</v>
      </c>
      <c r="AI283" s="3" t="b">
        <f t="array" ref="AI283">OR(ISNUMBER(SEARCH(AH$2:AH$100,$B283,5)))</f>
        <v>0</v>
      </c>
      <c r="AK283" s="3" t="str">
        <f t="shared" si="14"/>
        <v>ZZZ</v>
      </c>
      <c r="AL283" s="3" t="b">
        <f t="array" ref="AL283">OR(ISNUMBER(SEARCH(AK$2:AK$100,$B283,5)))</f>
        <v>0</v>
      </c>
      <c r="AU283" s="8"/>
      <c r="AV283" s="6"/>
      <c r="AW283" s="8"/>
      <c r="AX283" s="8"/>
      <c r="AY283" s="6"/>
      <c r="AZ283" s="8"/>
      <c r="BA283" s="8"/>
      <c r="BB283" s="6"/>
      <c r="BC283" s="8"/>
      <c r="BD283" s="8"/>
      <c r="BE283" s="6"/>
      <c r="BF283" s="8"/>
      <c r="BG283" s="8"/>
      <c r="BH283" s="6"/>
      <c r="BI283" s="8"/>
      <c r="BJ283" s="8"/>
      <c r="BK283" s="6"/>
      <c r="BL283" s="8"/>
      <c r="BM283" s="8"/>
      <c r="BN283" s="6"/>
      <c r="BO283" s="8"/>
      <c r="BP283" s="8"/>
      <c r="BQ283" s="6"/>
      <c r="BR283" s="8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</row>
    <row r="284">
      <c r="A284" s="6"/>
      <c r="B284" s="6" t="s">
        <v>284</v>
      </c>
      <c r="C284" s="3" t="str">
        <f t="shared" si="3"/>
        <v>bright tan</v>
      </c>
      <c r="D284" s="3" t="str">
        <f t="shared" si="17"/>
        <v>ZZZ</v>
      </c>
      <c r="E284" s="3" t="b">
        <f t="array" ref="E284">OR(ISNUMBER(SEARCH(D$2:D$30,$B284,5)))</f>
        <v>0</v>
      </c>
      <c r="G284" s="3" t="str">
        <f t="shared" si="4"/>
        <v>ZZZ</v>
      </c>
      <c r="H284" s="3" t="b">
        <f t="array" ref="H284">OR(ISNUMBER(SEARCH(G$2:G$30,$B284,5)))</f>
        <v>0</v>
      </c>
      <c r="J284" s="3" t="str">
        <f t="shared" si="5"/>
        <v>ZZZ</v>
      </c>
      <c r="K284" s="3" t="b">
        <f t="array" ref="K284">OR(ISNUMBER(SEARCH(J$2:J$30,$B284,5)))</f>
        <v>0</v>
      </c>
      <c r="M284" s="3" t="str">
        <f t="shared" si="6"/>
        <v>ZZZ</v>
      </c>
      <c r="N284" s="3" t="b">
        <f t="array" ref="N284">OR(ISNUMBER(SEARCH(M$2:M$30,$B284,5)))</f>
        <v>0</v>
      </c>
      <c r="P284" s="3" t="str">
        <f t="shared" si="7"/>
        <v>ZZZ</v>
      </c>
      <c r="Q284" s="3" t="b">
        <f t="array" ref="Q284">OR(ISNUMBER(SEARCH(P$2:P$50,$B284,5)))</f>
        <v>0</v>
      </c>
      <c r="S284" s="3" t="str">
        <f t="shared" si="8"/>
        <v>ZZZ</v>
      </c>
      <c r="T284" s="3" t="b">
        <f t="array" ref="T284">OR(ISNUMBER(SEARCH(S$2:S$100,$B284,5)))</f>
        <v>0</v>
      </c>
      <c r="V284" s="3" t="str">
        <f t="shared" si="9"/>
        <v>ZZZ</v>
      </c>
      <c r="W284" s="3" t="b">
        <f t="array" ref="W284">OR(ISNUMBER(SEARCH(V$2:V$100,$B284,5)))</f>
        <v>0</v>
      </c>
      <c r="Y284" s="3" t="str">
        <f t="shared" si="10"/>
        <v>ZZZ</v>
      </c>
      <c r="Z284" s="3" t="b">
        <f t="array" ref="Z284">OR(ISNUMBER(SEARCH(Y$2:Y$100,$B284,5)))</f>
        <v>0</v>
      </c>
      <c r="AB284" s="3" t="str">
        <f t="shared" si="11"/>
        <v>ZZZ</v>
      </c>
      <c r="AC284" s="3" t="b">
        <f t="array" ref="AC284">OR(ISNUMBER(SEARCH(AB$2:AB$100,$B284,5)))</f>
        <v>0</v>
      </c>
      <c r="AE284" s="3" t="str">
        <f t="shared" si="12"/>
        <v>ZZZ</v>
      </c>
      <c r="AF284" s="3" t="b">
        <f t="array" ref="AF284">OR(ISNUMBER(SEARCH(AE$2:AE$100,$B284,5)))</f>
        <v>0</v>
      </c>
      <c r="AH284" s="3" t="str">
        <f t="shared" si="13"/>
        <v>ZZZ</v>
      </c>
      <c r="AI284" s="3" t="b">
        <f t="array" ref="AI284">OR(ISNUMBER(SEARCH(AH$2:AH$100,$B284,5)))</f>
        <v>0</v>
      </c>
      <c r="AK284" s="3" t="str">
        <f t="shared" si="14"/>
        <v>ZZZ</v>
      </c>
      <c r="AL284" s="3" t="b">
        <f t="array" ref="AL284">OR(ISNUMBER(SEARCH(AK$2:AK$100,$B284,5)))</f>
        <v>0</v>
      </c>
      <c r="AU284" s="8"/>
      <c r="AV284" s="6"/>
      <c r="AW284" s="8"/>
      <c r="AX284" s="8"/>
      <c r="AY284" s="6"/>
      <c r="AZ284" s="8"/>
      <c r="BA284" s="8"/>
      <c r="BB284" s="6"/>
      <c r="BC284" s="8"/>
      <c r="BD284" s="8"/>
      <c r="BE284" s="6"/>
      <c r="BF284" s="8"/>
      <c r="BG284" s="8"/>
      <c r="BH284" s="6"/>
      <c r="BI284" s="8"/>
      <c r="BJ284" s="8"/>
      <c r="BK284" s="6"/>
      <c r="BL284" s="8"/>
      <c r="BM284" s="8"/>
      <c r="BN284" s="6"/>
      <c r="BO284" s="8"/>
      <c r="BP284" s="8"/>
      <c r="BQ284" s="6"/>
      <c r="BR284" s="8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</row>
    <row r="285">
      <c r="A285" s="6"/>
      <c r="B285" s="6" t="s">
        <v>285</v>
      </c>
      <c r="C285" s="3" t="str">
        <f t="shared" si="3"/>
        <v>pale bronze</v>
      </c>
      <c r="D285" s="3" t="str">
        <f t="shared" si="17"/>
        <v>ZZZ</v>
      </c>
      <c r="E285" s="3" t="b">
        <f t="array" ref="E285">OR(ISNUMBER(SEARCH(D$2:D$30,$B285,5)))</f>
        <v>0</v>
      </c>
      <c r="G285" s="3" t="str">
        <f t="shared" si="4"/>
        <v>ZZZ</v>
      </c>
      <c r="H285" s="3" t="b">
        <f t="array" ref="H285">OR(ISNUMBER(SEARCH(G$2:G$30,$B285,5)))</f>
        <v>0</v>
      </c>
      <c r="J285" s="3" t="str">
        <f t="shared" si="5"/>
        <v>ZZZ</v>
      </c>
      <c r="K285" s="3" t="b">
        <f t="array" ref="K285">OR(ISNUMBER(SEARCH(J$2:J$30,$B285,5)))</f>
        <v>0</v>
      </c>
      <c r="M285" s="3" t="str">
        <f t="shared" si="6"/>
        <v>ZZZ</v>
      </c>
      <c r="N285" s="3" t="b">
        <f t="array" ref="N285">OR(ISNUMBER(SEARCH(M$2:M$30,$B285,5)))</f>
        <v>0</v>
      </c>
      <c r="P285" s="3" t="str">
        <f t="shared" si="7"/>
        <v>ZZZ</v>
      </c>
      <c r="Q285" s="3" t="b">
        <f t="array" ref="Q285">OR(ISNUMBER(SEARCH(P$2:P$50,$B285,5)))</f>
        <v>0</v>
      </c>
      <c r="S285" s="3" t="str">
        <f t="shared" si="8"/>
        <v>ZZZ</v>
      </c>
      <c r="T285" s="3" t="b">
        <f t="array" ref="T285">OR(ISNUMBER(SEARCH(S$2:S$100,$B285,5)))</f>
        <v>0</v>
      </c>
      <c r="V285" s="3" t="str">
        <f t="shared" si="9"/>
        <v>ZZZ</v>
      </c>
      <c r="W285" s="3" t="b">
        <f t="array" ref="W285">OR(ISNUMBER(SEARCH(V$2:V$100,$B285,5)))</f>
        <v>0</v>
      </c>
      <c r="Y285" s="3" t="str">
        <f t="shared" si="10"/>
        <v>ZZZ</v>
      </c>
      <c r="Z285" s="3" t="b">
        <f t="array" ref="Z285">OR(ISNUMBER(SEARCH(Y$2:Y$100,$B285,5)))</f>
        <v>0</v>
      </c>
      <c r="AB285" s="3" t="str">
        <f t="shared" si="11"/>
        <v>ZZZ</v>
      </c>
      <c r="AC285" s="3" t="b">
        <f t="array" ref="AC285">OR(ISNUMBER(SEARCH(AB$2:AB$100,$B285,5)))</f>
        <v>0</v>
      </c>
      <c r="AE285" s="3" t="str">
        <f t="shared" si="12"/>
        <v>ZZZ</v>
      </c>
      <c r="AF285" s="3" t="b">
        <f t="array" ref="AF285">OR(ISNUMBER(SEARCH(AE$2:AE$100,$B285,5)))</f>
        <v>0</v>
      </c>
      <c r="AH285" s="3" t="str">
        <f t="shared" si="13"/>
        <v>ZZZ</v>
      </c>
      <c r="AI285" s="3" t="b">
        <f t="array" ref="AI285">OR(ISNUMBER(SEARCH(AH$2:AH$100,$B285,5)))</f>
        <v>0</v>
      </c>
      <c r="AK285" s="3" t="str">
        <f t="shared" si="14"/>
        <v>ZZZ</v>
      </c>
      <c r="AL285" s="3" t="b">
        <f t="array" ref="AL285">OR(ISNUMBER(SEARCH(AK$2:AK$100,$B285,5)))</f>
        <v>0</v>
      </c>
      <c r="AU285" s="8"/>
      <c r="AV285" s="6"/>
      <c r="AW285" s="8"/>
      <c r="AX285" s="8"/>
      <c r="AY285" s="6"/>
      <c r="AZ285" s="8"/>
      <c r="BA285" s="8"/>
      <c r="BB285" s="6"/>
      <c r="BC285" s="8"/>
      <c r="BD285" s="8"/>
      <c r="BE285" s="6"/>
      <c r="BF285" s="8"/>
      <c r="BG285" s="8"/>
      <c r="BH285" s="6"/>
      <c r="BI285" s="8"/>
      <c r="BJ285" s="8"/>
      <c r="BK285" s="6"/>
      <c r="BL285" s="8"/>
      <c r="BM285" s="8"/>
      <c r="BN285" s="6"/>
      <c r="BO285" s="8"/>
      <c r="BP285" s="8"/>
      <c r="BQ285" s="6"/>
      <c r="BR285" s="8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</row>
    <row r="286">
      <c r="A286" s="6"/>
      <c r="B286" s="6" t="s">
        <v>286</v>
      </c>
      <c r="C286" s="3" t="str">
        <f t="shared" si="3"/>
        <v>clear plum</v>
      </c>
      <c r="D286" s="3" t="str">
        <f t="shared" si="17"/>
        <v>ZZZ</v>
      </c>
      <c r="E286" s="3" t="b">
        <f t="array" ref="E286">OR(ISNUMBER(SEARCH(D$2:D$30,$B286,5)))</f>
        <v>0</v>
      </c>
      <c r="G286" s="3" t="str">
        <f t="shared" si="4"/>
        <v>ZZZ</v>
      </c>
      <c r="H286" s="3" t="b">
        <f t="array" ref="H286">OR(ISNUMBER(SEARCH(G$2:G$30,$B286,5)))</f>
        <v>0</v>
      </c>
      <c r="J286" s="3" t="str">
        <f t="shared" si="5"/>
        <v>ZZZ</v>
      </c>
      <c r="K286" s="3" t="b">
        <f t="array" ref="K286">OR(ISNUMBER(SEARCH(J$2:J$30,$B286,5)))</f>
        <v>0</v>
      </c>
      <c r="M286" s="3" t="str">
        <f t="shared" si="6"/>
        <v>ZZZ</v>
      </c>
      <c r="N286" s="3" t="b">
        <f t="array" ref="N286">OR(ISNUMBER(SEARCH(M$2:M$30,$B286,5)))</f>
        <v>0</v>
      </c>
      <c r="P286" s="3" t="str">
        <f t="shared" si="7"/>
        <v>ZZZ</v>
      </c>
      <c r="Q286" s="3" t="b">
        <f t="array" ref="Q286">OR(ISNUMBER(SEARCH(P$2:P$50,$B286,5)))</f>
        <v>0</v>
      </c>
      <c r="S286" s="3" t="str">
        <f t="shared" si="8"/>
        <v>ZZZ</v>
      </c>
      <c r="T286" s="3" t="b">
        <f t="array" ref="T286">OR(ISNUMBER(SEARCH(S$2:S$100,$B286,5)))</f>
        <v>0</v>
      </c>
      <c r="V286" s="3" t="str">
        <f t="shared" si="9"/>
        <v>ZZZ</v>
      </c>
      <c r="W286" s="3" t="b">
        <f t="array" ref="W286">OR(ISNUMBER(SEARCH(V$2:V$100,$B286,5)))</f>
        <v>1</v>
      </c>
      <c r="Y286" s="3" t="str">
        <f t="shared" si="10"/>
        <v>ZZZ</v>
      </c>
      <c r="Z286" s="3" t="b">
        <f t="array" ref="Z286">OR(ISNUMBER(SEARCH(Y$2:Y$100,$B286,5)))</f>
        <v>1</v>
      </c>
      <c r="AB286" s="3" t="str">
        <f t="shared" si="11"/>
        <v>ZZZ</v>
      </c>
      <c r="AC286" s="3" t="b">
        <f t="array" ref="AC286">OR(ISNUMBER(SEARCH(AB$2:AB$100,$B286,5)))</f>
        <v>0</v>
      </c>
      <c r="AE286" s="3" t="str">
        <f t="shared" si="12"/>
        <v>ZZZ</v>
      </c>
      <c r="AF286" s="3" t="b">
        <f t="array" ref="AF286">OR(ISNUMBER(SEARCH(AE$2:AE$100,$B286,5)))</f>
        <v>0</v>
      </c>
      <c r="AH286" s="3" t="str">
        <f t="shared" si="13"/>
        <v>ZZZ</v>
      </c>
      <c r="AI286" s="3" t="b">
        <f t="array" ref="AI286">OR(ISNUMBER(SEARCH(AH$2:AH$100,$B286,5)))</f>
        <v>0</v>
      </c>
      <c r="AK286" s="3" t="str">
        <f t="shared" si="14"/>
        <v>ZZZ</v>
      </c>
      <c r="AL286" s="3" t="b">
        <f t="array" ref="AL286">OR(ISNUMBER(SEARCH(AK$2:AK$100,$B286,5)))</f>
        <v>0</v>
      </c>
      <c r="AU286" s="8"/>
      <c r="AV286" s="6"/>
      <c r="AW286" s="8"/>
      <c r="AX286" s="8"/>
      <c r="AY286" s="6"/>
      <c r="AZ286" s="8"/>
      <c r="BA286" s="8"/>
      <c r="BB286" s="6"/>
      <c r="BC286" s="8"/>
      <c r="BD286" s="8"/>
      <c r="BE286" s="6"/>
      <c r="BF286" s="8"/>
      <c r="BG286" s="8"/>
      <c r="BH286" s="6"/>
      <c r="BI286" s="8"/>
      <c r="BJ286" s="8"/>
      <c r="BK286" s="6"/>
      <c r="BL286" s="8"/>
      <c r="BM286" s="8"/>
      <c r="BN286" s="6"/>
      <c r="BO286" s="8"/>
      <c r="BP286" s="8"/>
      <c r="BQ286" s="6"/>
      <c r="BR286" s="8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</row>
    <row r="287">
      <c r="A287" s="6"/>
      <c r="B287" s="6" t="s">
        <v>287</v>
      </c>
      <c r="C287" s="3" t="str">
        <f t="shared" si="3"/>
        <v>posh turquoise</v>
      </c>
      <c r="D287" s="3" t="str">
        <f t="shared" si="17"/>
        <v>ZZZ</v>
      </c>
      <c r="E287" s="3" t="b">
        <f t="array" ref="E287">OR(ISNUMBER(SEARCH(D$2:D$30,$B287,5)))</f>
        <v>0</v>
      </c>
      <c r="G287" s="3" t="str">
        <f t="shared" si="4"/>
        <v>ZZZ</v>
      </c>
      <c r="H287" s="3" t="b">
        <f t="array" ref="H287">OR(ISNUMBER(SEARCH(G$2:G$30,$B287,5)))</f>
        <v>0</v>
      </c>
      <c r="J287" s="3" t="str">
        <f t="shared" si="5"/>
        <v>ZZZ</v>
      </c>
      <c r="K287" s="3" t="b">
        <f t="array" ref="K287">OR(ISNUMBER(SEARCH(J$2:J$30,$B287,5)))</f>
        <v>0</v>
      </c>
      <c r="M287" s="3" t="str">
        <f t="shared" si="6"/>
        <v>ZZZ</v>
      </c>
      <c r="N287" s="3" t="b">
        <f t="array" ref="N287">OR(ISNUMBER(SEARCH(M$2:M$30,$B287,5)))</f>
        <v>0</v>
      </c>
      <c r="P287" s="3" t="str">
        <f t="shared" si="7"/>
        <v>ZZZ</v>
      </c>
      <c r="Q287" s="3" t="b">
        <f t="array" ref="Q287">OR(ISNUMBER(SEARCH(P$2:P$50,$B287,5)))</f>
        <v>0</v>
      </c>
      <c r="S287" s="3" t="str">
        <f t="shared" si="8"/>
        <v>ZZZ</v>
      </c>
      <c r="T287" s="3" t="b">
        <f t="array" ref="T287">OR(ISNUMBER(SEARCH(S$2:S$100,$B287,5)))</f>
        <v>0</v>
      </c>
      <c r="V287" s="3" t="str">
        <f t="shared" si="9"/>
        <v>ZZZ</v>
      </c>
      <c r="W287" s="3" t="b">
        <f t="array" ref="W287">OR(ISNUMBER(SEARCH(V$2:V$100,$B287,5)))</f>
        <v>0</v>
      </c>
      <c r="Y287" s="3" t="str">
        <f t="shared" si="10"/>
        <v>ZZZ</v>
      </c>
      <c r="Z287" s="3" t="b">
        <f t="array" ref="Z287">OR(ISNUMBER(SEARCH(Y$2:Y$100,$B287,5)))</f>
        <v>0</v>
      </c>
      <c r="AB287" s="3" t="str">
        <f t="shared" si="11"/>
        <v>ZZZ</v>
      </c>
      <c r="AC287" s="3" t="b">
        <f t="array" ref="AC287">OR(ISNUMBER(SEARCH(AB$2:AB$100,$B287,5)))</f>
        <v>0</v>
      </c>
      <c r="AE287" s="3" t="str">
        <f t="shared" si="12"/>
        <v>ZZZ</v>
      </c>
      <c r="AF287" s="3" t="b">
        <f t="array" ref="AF287">OR(ISNUMBER(SEARCH(AE$2:AE$100,$B287,5)))</f>
        <v>0</v>
      </c>
      <c r="AH287" s="3" t="str">
        <f t="shared" si="13"/>
        <v>ZZZ</v>
      </c>
      <c r="AI287" s="3" t="b">
        <f t="array" ref="AI287">OR(ISNUMBER(SEARCH(AH$2:AH$100,$B287,5)))</f>
        <v>0</v>
      </c>
      <c r="AK287" s="3" t="str">
        <f t="shared" si="14"/>
        <v>ZZZ</v>
      </c>
      <c r="AL287" s="3" t="b">
        <f t="array" ref="AL287">OR(ISNUMBER(SEARCH(AK$2:AK$100,$B287,5)))</f>
        <v>0</v>
      </c>
      <c r="AU287" s="8"/>
      <c r="AV287" s="6"/>
      <c r="AW287" s="8"/>
      <c r="AX287" s="8"/>
      <c r="AY287" s="6"/>
      <c r="AZ287" s="8"/>
      <c r="BA287" s="8"/>
      <c r="BB287" s="6"/>
      <c r="BC287" s="8"/>
      <c r="BD287" s="8"/>
      <c r="BE287" s="6"/>
      <c r="BF287" s="8"/>
      <c r="BG287" s="8"/>
      <c r="BH287" s="6"/>
      <c r="BI287" s="8"/>
      <c r="BJ287" s="8"/>
      <c r="BK287" s="6"/>
      <c r="BL287" s="8"/>
      <c r="BM287" s="8"/>
      <c r="BN287" s="6"/>
      <c r="BO287" s="8"/>
      <c r="BP287" s="8"/>
      <c r="BQ287" s="6"/>
      <c r="BR287" s="8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</row>
    <row r="288">
      <c r="A288" s="6"/>
      <c r="B288" s="6" t="s">
        <v>288</v>
      </c>
      <c r="C288" s="3" t="str">
        <f t="shared" si="3"/>
        <v>posh teal</v>
      </c>
      <c r="D288" s="3" t="str">
        <f t="shared" si="17"/>
        <v>ZZZ</v>
      </c>
      <c r="E288" s="3" t="b">
        <f t="array" ref="E288">OR(ISNUMBER(SEARCH(D$2:D$30,$B288,5)))</f>
        <v>0</v>
      </c>
      <c r="G288" s="3" t="str">
        <f t="shared" si="4"/>
        <v>ZZZ</v>
      </c>
      <c r="H288" s="3" t="b">
        <f t="array" ref="H288">OR(ISNUMBER(SEARCH(G$2:G$30,$B288,5)))</f>
        <v>0</v>
      </c>
      <c r="J288" s="3" t="str">
        <f t="shared" si="5"/>
        <v>ZZZ</v>
      </c>
      <c r="K288" s="3" t="b">
        <f t="array" ref="K288">OR(ISNUMBER(SEARCH(J$2:J$30,$B288,5)))</f>
        <v>0</v>
      </c>
      <c r="M288" s="3" t="str">
        <f t="shared" si="6"/>
        <v>ZZZ</v>
      </c>
      <c r="N288" s="3" t="b">
        <f t="array" ref="N288">OR(ISNUMBER(SEARCH(M$2:M$30,$B288,5)))</f>
        <v>0</v>
      </c>
      <c r="P288" s="3" t="str">
        <f t="shared" si="7"/>
        <v>ZZZ</v>
      </c>
      <c r="Q288" s="3" t="b">
        <f t="array" ref="Q288">OR(ISNUMBER(SEARCH(P$2:P$50,$B288,5)))</f>
        <v>0</v>
      </c>
      <c r="S288" s="3" t="str">
        <f t="shared" si="8"/>
        <v>ZZZ</v>
      </c>
      <c r="T288" s="3" t="b">
        <f t="array" ref="T288">OR(ISNUMBER(SEARCH(S$2:S$100,$B288,5)))</f>
        <v>1</v>
      </c>
      <c r="V288" s="3" t="str">
        <f t="shared" si="9"/>
        <v>ZZZ</v>
      </c>
      <c r="W288" s="3" t="b">
        <f t="array" ref="W288">OR(ISNUMBER(SEARCH(V$2:V$100,$B288,5)))</f>
        <v>0</v>
      </c>
      <c r="Y288" s="3" t="str">
        <f t="shared" si="10"/>
        <v>ZZZ</v>
      </c>
      <c r="Z288" s="3" t="b">
        <f t="array" ref="Z288">OR(ISNUMBER(SEARCH(Y$2:Y$100,$B288,5)))</f>
        <v>1</v>
      </c>
      <c r="AB288" s="3" t="str">
        <f t="shared" si="11"/>
        <v>ZZZ</v>
      </c>
      <c r="AC288" s="3" t="b">
        <f t="array" ref="AC288">OR(ISNUMBER(SEARCH(AB$2:AB$100,$B288,5)))</f>
        <v>0</v>
      </c>
      <c r="AE288" s="3" t="str">
        <f t="shared" si="12"/>
        <v>ZZZ</v>
      </c>
      <c r="AF288" s="3" t="b">
        <f t="array" ref="AF288">OR(ISNUMBER(SEARCH(AE$2:AE$100,$B288,5)))</f>
        <v>0</v>
      </c>
      <c r="AH288" s="3" t="str">
        <f t="shared" si="13"/>
        <v>ZZZ</v>
      </c>
      <c r="AI288" s="3" t="b">
        <f t="array" ref="AI288">OR(ISNUMBER(SEARCH(AH$2:AH$100,$B288,5)))</f>
        <v>0</v>
      </c>
      <c r="AK288" s="3" t="str">
        <f t="shared" si="14"/>
        <v>ZZZ</v>
      </c>
      <c r="AL288" s="3" t="b">
        <f t="array" ref="AL288">OR(ISNUMBER(SEARCH(AK$2:AK$100,$B288,5)))</f>
        <v>0</v>
      </c>
      <c r="AU288" s="8"/>
      <c r="AV288" s="6"/>
      <c r="AW288" s="8"/>
      <c r="AX288" s="8"/>
      <c r="AY288" s="6"/>
      <c r="AZ288" s="8"/>
      <c r="BA288" s="8"/>
      <c r="BB288" s="6"/>
      <c r="BC288" s="8"/>
      <c r="BD288" s="8"/>
      <c r="BE288" s="6"/>
      <c r="BF288" s="8"/>
      <c r="BG288" s="8"/>
      <c r="BH288" s="6"/>
      <c r="BI288" s="8"/>
      <c r="BJ288" s="8"/>
      <c r="BK288" s="6"/>
      <c r="BL288" s="8"/>
      <c r="BM288" s="8"/>
      <c r="BN288" s="6"/>
      <c r="BO288" s="8"/>
      <c r="BP288" s="8"/>
      <c r="BQ288" s="6"/>
      <c r="BR288" s="8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</row>
    <row r="289">
      <c r="A289" s="6"/>
      <c r="B289" s="6" t="s">
        <v>289</v>
      </c>
      <c r="C289" s="3" t="str">
        <f t="shared" si="3"/>
        <v>dim yellow</v>
      </c>
      <c r="D289" s="3" t="str">
        <f t="shared" si="17"/>
        <v>ZZZ</v>
      </c>
      <c r="E289" s="3" t="b">
        <f t="array" ref="E289">OR(ISNUMBER(SEARCH(D$2:D$30,$B289,5)))</f>
        <v>0</v>
      </c>
      <c r="G289" s="3" t="str">
        <f t="shared" si="4"/>
        <v>ZZZ</v>
      </c>
      <c r="H289" s="3" t="b">
        <f t="array" ref="H289">OR(ISNUMBER(SEARCH(G$2:G$30,$B289,5)))</f>
        <v>0</v>
      </c>
      <c r="J289" s="3" t="str">
        <f t="shared" si="5"/>
        <v>ZZZ</v>
      </c>
      <c r="K289" s="3" t="b">
        <f t="array" ref="K289">OR(ISNUMBER(SEARCH(J$2:J$30,$B289,5)))</f>
        <v>0</v>
      </c>
      <c r="M289" s="3" t="str">
        <f t="shared" si="6"/>
        <v>ZZZ</v>
      </c>
      <c r="N289" s="3" t="b">
        <f t="array" ref="N289">OR(ISNUMBER(SEARCH(M$2:M$30,$B289,5)))</f>
        <v>0</v>
      </c>
      <c r="P289" s="3" t="str">
        <f t="shared" si="7"/>
        <v>ZZZ</v>
      </c>
      <c r="Q289" s="3" t="b">
        <f t="array" ref="Q289">OR(ISNUMBER(SEARCH(P$2:P$50,$B289,5)))</f>
        <v>0</v>
      </c>
      <c r="S289" s="3" t="str">
        <f t="shared" si="8"/>
        <v>ZZZ</v>
      </c>
      <c r="T289" s="3" t="b">
        <f t="array" ref="T289">OR(ISNUMBER(SEARCH(S$2:S$100,$B289,5)))</f>
        <v>0</v>
      </c>
      <c r="V289" s="3" t="str">
        <f t="shared" si="9"/>
        <v>ZZZ</v>
      </c>
      <c r="W289" s="3" t="b">
        <f t="array" ref="W289">OR(ISNUMBER(SEARCH(V$2:V$100,$B289,5)))</f>
        <v>0</v>
      </c>
      <c r="Y289" s="3" t="str">
        <f t="shared" si="10"/>
        <v>ZZZ</v>
      </c>
      <c r="Z289" s="3" t="b">
        <f t="array" ref="Z289">OR(ISNUMBER(SEARCH(Y$2:Y$100,$B289,5)))</f>
        <v>0</v>
      </c>
      <c r="AB289" s="3" t="str">
        <f t="shared" si="11"/>
        <v>ZZZ</v>
      </c>
      <c r="AC289" s="3" t="b">
        <f t="array" ref="AC289">OR(ISNUMBER(SEARCH(AB$2:AB$100,$B289,5)))</f>
        <v>0</v>
      </c>
      <c r="AE289" s="3" t="str">
        <f t="shared" si="12"/>
        <v>ZZZ</v>
      </c>
      <c r="AF289" s="3" t="b">
        <f t="array" ref="AF289">OR(ISNUMBER(SEARCH(AE$2:AE$100,$B289,5)))</f>
        <v>0</v>
      </c>
      <c r="AH289" s="3" t="str">
        <f t="shared" si="13"/>
        <v>ZZZ</v>
      </c>
      <c r="AI289" s="3" t="b">
        <f t="array" ref="AI289">OR(ISNUMBER(SEARCH(AH$2:AH$100,$B289,5)))</f>
        <v>0</v>
      </c>
      <c r="AK289" s="3" t="str">
        <f t="shared" si="14"/>
        <v>ZZZ</v>
      </c>
      <c r="AL289" s="3" t="b">
        <f t="array" ref="AL289">OR(ISNUMBER(SEARCH(AK$2:AK$100,$B289,5)))</f>
        <v>0</v>
      </c>
      <c r="AU289" s="8"/>
      <c r="AV289" s="6"/>
      <c r="AW289" s="8"/>
      <c r="AX289" s="8"/>
      <c r="AY289" s="6"/>
      <c r="AZ289" s="8"/>
      <c r="BA289" s="8"/>
      <c r="BB289" s="6"/>
      <c r="BC289" s="8"/>
      <c r="BD289" s="8"/>
      <c r="BE289" s="6"/>
      <c r="BF289" s="8"/>
      <c r="BG289" s="8"/>
      <c r="BH289" s="6"/>
      <c r="BI289" s="8"/>
      <c r="BJ289" s="8"/>
      <c r="BK289" s="6"/>
      <c r="BL289" s="8"/>
      <c r="BM289" s="8"/>
      <c r="BN289" s="6"/>
      <c r="BO289" s="8"/>
      <c r="BP289" s="8"/>
      <c r="BQ289" s="6"/>
      <c r="BR289" s="8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</row>
    <row r="290">
      <c r="A290" s="6"/>
      <c r="B290" s="6" t="s">
        <v>290</v>
      </c>
      <c r="C290" s="3" t="str">
        <f t="shared" si="3"/>
        <v>faded lavender</v>
      </c>
      <c r="D290" s="3" t="str">
        <f t="shared" si="17"/>
        <v>ZZZ</v>
      </c>
      <c r="E290" s="3" t="b">
        <f t="array" ref="E290">OR(ISNUMBER(SEARCH(D$2:D$30,$B290,5)))</f>
        <v>0</v>
      </c>
      <c r="G290" s="3" t="str">
        <f t="shared" si="4"/>
        <v>ZZZ</v>
      </c>
      <c r="H290" s="3" t="b">
        <f t="array" ref="H290">OR(ISNUMBER(SEARCH(G$2:G$30,$B290,5)))</f>
        <v>0</v>
      </c>
      <c r="J290" s="3" t="str">
        <f t="shared" si="5"/>
        <v>ZZZ</v>
      </c>
      <c r="K290" s="3" t="b">
        <f t="array" ref="K290">OR(ISNUMBER(SEARCH(J$2:J$30,$B290,5)))</f>
        <v>0</v>
      </c>
      <c r="M290" s="3" t="str">
        <f t="shared" si="6"/>
        <v>ZZZ</v>
      </c>
      <c r="N290" s="3" t="b">
        <f t="array" ref="N290">OR(ISNUMBER(SEARCH(M$2:M$30,$B290,5)))</f>
        <v>0</v>
      </c>
      <c r="P290" s="3" t="str">
        <f t="shared" si="7"/>
        <v>ZZZ</v>
      </c>
      <c r="Q290" s="3" t="b">
        <f t="array" ref="Q290">OR(ISNUMBER(SEARCH(P$2:P$50,$B290,5)))</f>
        <v>0</v>
      </c>
      <c r="S290" s="3" t="str">
        <f t="shared" si="8"/>
        <v>ZZZ</v>
      </c>
      <c r="T290" s="3" t="b">
        <f t="array" ref="T290">OR(ISNUMBER(SEARCH(S$2:S$100,$B290,5)))</f>
        <v>0</v>
      </c>
      <c r="V290" s="3" t="str">
        <f t="shared" si="9"/>
        <v>ZZZ</v>
      </c>
      <c r="W290" s="3" t="b">
        <f t="array" ref="W290">OR(ISNUMBER(SEARCH(V$2:V$100,$B290,5)))</f>
        <v>1</v>
      </c>
      <c r="Y290" s="3" t="str">
        <f t="shared" si="10"/>
        <v>ZZZ</v>
      </c>
      <c r="Z290" s="3" t="b">
        <f t="array" ref="Z290">OR(ISNUMBER(SEARCH(Y$2:Y$100,$B290,5)))</f>
        <v>0</v>
      </c>
      <c r="AB290" s="3" t="str">
        <f t="shared" si="11"/>
        <v>ZZZ</v>
      </c>
      <c r="AC290" s="3" t="b">
        <f t="array" ref="AC290">OR(ISNUMBER(SEARCH(AB$2:AB$100,$B290,5)))</f>
        <v>0</v>
      </c>
      <c r="AE290" s="3" t="str">
        <f t="shared" si="12"/>
        <v>ZZZ</v>
      </c>
      <c r="AF290" s="3" t="b">
        <f t="array" ref="AF290">OR(ISNUMBER(SEARCH(AE$2:AE$100,$B290,5)))</f>
        <v>0</v>
      </c>
      <c r="AH290" s="3" t="str">
        <f t="shared" si="13"/>
        <v>ZZZ</v>
      </c>
      <c r="AI290" s="3" t="b">
        <f t="array" ref="AI290">OR(ISNUMBER(SEARCH(AH$2:AH$100,$B290,5)))</f>
        <v>0</v>
      </c>
      <c r="AK290" s="3" t="str">
        <f t="shared" si="14"/>
        <v>ZZZ</v>
      </c>
      <c r="AL290" s="3" t="b">
        <f t="array" ref="AL290">OR(ISNUMBER(SEARCH(AK$2:AK$100,$B290,5)))</f>
        <v>0</v>
      </c>
      <c r="AU290" s="8"/>
      <c r="AV290" s="6"/>
      <c r="AW290" s="8"/>
      <c r="AX290" s="8"/>
      <c r="AY290" s="6"/>
      <c r="AZ290" s="8"/>
      <c r="BA290" s="8"/>
      <c r="BB290" s="6"/>
      <c r="BC290" s="8"/>
      <c r="BD290" s="8"/>
      <c r="BE290" s="6"/>
      <c r="BF290" s="8"/>
      <c r="BG290" s="8"/>
      <c r="BH290" s="6"/>
      <c r="BI290" s="8"/>
      <c r="BJ290" s="8"/>
      <c r="BK290" s="6"/>
      <c r="BL290" s="8"/>
      <c r="BM290" s="8"/>
      <c r="BN290" s="6"/>
      <c r="BO290" s="8"/>
      <c r="BP290" s="8"/>
      <c r="BQ290" s="6"/>
      <c r="BR290" s="8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</row>
    <row r="291">
      <c r="A291" s="6"/>
      <c r="B291" s="6" t="s">
        <v>291</v>
      </c>
      <c r="C291" s="3" t="str">
        <f t="shared" si="3"/>
        <v>wavy magenta</v>
      </c>
      <c r="D291" s="3" t="str">
        <f t="shared" si="17"/>
        <v>ZZZ</v>
      </c>
      <c r="E291" s="3" t="b">
        <f t="array" ref="E291">OR(ISNUMBER(SEARCH(D$2:D$30,$B291,5)))</f>
        <v>0</v>
      </c>
      <c r="G291" s="3" t="str">
        <f t="shared" si="4"/>
        <v>ZZZ</v>
      </c>
      <c r="H291" s="3" t="b">
        <f t="array" ref="H291">OR(ISNUMBER(SEARCH(G$2:G$30,$B291,5)))</f>
        <v>0</v>
      </c>
      <c r="J291" s="3" t="str">
        <f t="shared" si="5"/>
        <v>ZZZ</v>
      </c>
      <c r="K291" s="3" t="b">
        <f t="array" ref="K291">OR(ISNUMBER(SEARCH(J$2:J$30,$B291,5)))</f>
        <v>1</v>
      </c>
      <c r="M291" s="3" t="str">
        <f t="shared" si="6"/>
        <v>ZZZ</v>
      </c>
      <c r="N291" s="3" t="b">
        <f t="array" ref="N291">OR(ISNUMBER(SEARCH(M$2:M$30,$B291,5)))</f>
        <v>0</v>
      </c>
      <c r="P291" s="3" t="str">
        <f t="shared" si="7"/>
        <v>ZZZ</v>
      </c>
      <c r="Q291" s="3" t="b">
        <f t="array" ref="Q291">OR(ISNUMBER(SEARCH(P$2:P$50,$B291,5)))</f>
        <v>0</v>
      </c>
      <c r="S291" s="3" t="str">
        <f t="shared" si="8"/>
        <v>ZZZ</v>
      </c>
      <c r="T291" s="3" t="b">
        <f t="array" ref="T291">OR(ISNUMBER(SEARCH(S$2:S$100,$B291,5)))</f>
        <v>0</v>
      </c>
      <c r="V291" s="3" t="str">
        <f t="shared" si="9"/>
        <v>ZZZ</v>
      </c>
      <c r="W291" s="3" t="b">
        <f t="array" ref="W291">OR(ISNUMBER(SEARCH(V$2:V$100,$B291,5)))</f>
        <v>0</v>
      </c>
      <c r="Y291" s="3" t="str">
        <f t="shared" si="10"/>
        <v>ZZZ</v>
      </c>
      <c r="Z291" s="3" t="b">
        <f t="array" ref="Z291">OR(ISNUMBER(SEARCH(Y$2:Y$100,$B291,5)))</f>
        <v>0</v>
      </c>
      <c r="AB291" s="3" t="str">
        <f t="shared" si="11"/>
        <v>ZZZ</v>
      </c>
      <c r="AC291" s="3" t="b">
        <f t="array" ref="AC291">OR(ISNUMBER(SEARCH(AB$2:AB$100,$B291,5)))</f>
        <v>0</v>
      </c>
      <c r="AE291" s="3" t="str">
        <f t="shared" si="12"/>
        <v>ZZZ</v>
      </c>
      <c r="AF291" s="3" t="b">
        <f t="array" ref="AF291">OR(ISNUMBER(SEARCH(AE$2:AE$100,$B291,5)))</f>
        <v>0</v>
      </c>
      <c r="AH291" s="3" t="str">
        <f t="shared" si="13"/>
        <v>ZZZ</v>
      </c>
      <c r="AI291" s="3" t="b">
        <f t="array" ref="AI291">OR(ISNUMBER(SEARCH(AH$2:AH$100,$B291,5)))</f>
        <v>0</v>
      </c>
      <c r="AK291" s="3" t="str">
        <f t="shared" si="14"/>
        <v>ZZZ</v>
      </c>
      <c r="AL291" s="3" t="b">
        <f t="array" ref="AL291">OR(ISNUMBER(SEARCH(AK$2:AK$100,$B291,5)))</f>
        <v>0</v>
      </c>
      <c r="AU291" s="8"/>
      <c r="AV291" s="6"/>
      <c r="AW291" s="8"/>
      <c r="AX291" s="8"/>
      <c r="AY291" s="6"/>
      <c r="AZ291" s="8"/>
      <c r="BA291" s="8"/>
      <c r="BB291" s="6"/>
      <c r="BC291" s="8"/>
      <c r="BD291" s="8"/>
      <c r="BE291" s="6"/>
      <c r="BF291" s="8"/>
      <c r="BG291" s="8"/>
      <c r="BH291" s="6"/>
      <c r="BI291" s="8"/>
      <c r="BJ291" s="8"/>
      <c r="BK291" s="6"/>
      <c r="BL291" s="8"/>
      <c r="BM291" s="8"/>
      <c r="BN291" s="6"/>
      <c r="BO291" s="8"/>
      <c r="BP291" s="8"/>
      <c r="BQ291" s="6"/>
      <c r="BR291" s="8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</row>
    <row r="292">
      <c r="A292" s="6"/>
      <c r="B292" s="6" t="s">
        <v>292</v>
      </c>
      <c r="C292" s="3" t="str">
        <f t="shared" si="3"/>
        <v>dim brown</v>
      </c>
      <c r="D292" s="3" t="str">
        <f t="shared" si="17"/>
        <v>ZZZ</v>
      </c>
      <c r="E292" s="3" t="b">
        <f t="array" ref="E292">OR(ISNUMBER(SEARCH(D$2:D$30,$B292,5)))</f>
        <v>0</v>
      </c>
      <c r="G292" s="3" t="str">
        <f t="shared" si="4"/>
        <v>ZZZ</v>
      </c>
      <c r="H292" s="3" t="b">
        <f t="array" ref="H292">OR(ISNUMBER(SEARCH(G$2:G$30,$B292,5)))</f>
        <v>0</v>
      </c>
      <c r="J292" s="3" t="str">
        <f t="shared" si="5"/>
        <v>ZZZ</v>
      </c>
      <c r="K292" s="3" t="b">
        <f t="array" ref="K292">OR(ISNUMBER(SEARCH(J$2:J$30,$B292,5)))</f>
        <v>0</v>
      </c>
      <c r="M292" s="3" t="str">
        <f t="shared" si="6"/>
        <v>ZZZ</v>
      </c>
      <c r="N292" s="3" t="b">
        <f t="array" ref="N292">OR(ISNUMBER(SEARCH(M$2:M$30,$B292,5)))</f>
        <v>0</v>
      </c>
      <c r="P292" s="3" t="str">
        <f t="shared" si="7"/>
        <v>ZZZ</v>
      </c>
      <c r="Q292" s="3" t="b">
        <f t="array" ref="Q292">OR(ISNUMBER(SEARCH(P$2:P$50,$B292,5)))</f>
        <v>0</v>
      </c>
      <c r="S292" s="3" t="str">
        <f t="shared" si="8"/>
        <v>ZZZ</v>
      </c>
      <c r="T292" s="3" t="b">
        <f t="array" ref="T292">OR(ISNUMBER(SEARCH(S$2:S$100,$B292,5)))</f>
        <v>0</v>
      </c>
      <c r="V292" s="3" t="str">
        <f t="shared" si="9"/>
        <v>ZZZ</v>
      </c>
      <c r="W292" s="3" t="b">
        <f t="array" ref="W292">OR(ISNUMBER(SEARCH(V$2:V$100,$B292,5)))</f>
        <v>0</v>
      </c>
      <c r="Y292" s="3" t="str">
        <f t="shared" si="10"/>
        <v>ZZZ</v>
      </c>
      <c r="Z292" s="3" t="b">
        <f t="array" ref="Z292">OR(ISNUMBER(SEARCH(Y$2:Y$100,$B292,5)))</f>
        <v>0</v>
      </c>
      <c r="AB292" s="3" t="str">
        <f t="shared" si="11"/>
        <v>ZZZ</v>
      </c>
      <c r="AC292" s="3" t="b">
        <f t="array" ref="AC292">OR(ISNUMBER(SEARCH(AB$2:AB$100,$B292,5)))</f>
        <v>0</v>
      </c>
      <c r="AE292" s="3" t="str">
        <f t="shared" si="12"/>
        <v>ZZZ</v>
      </c>
      <c r="AF292" s="3" t="b">
        <f t="array" ref="AF292">OR(ISNUMBER(SEARCH(AE$2:AE$100,$B292,5)))</f>
        <v>0</v>
      </c>
      <c r="AH292" s="3" t="str">
        <f t="shared" si="13"/>
        <v>ZZZ</v>
      </c>
      <c r="AI292" s="3" t="b">
        <f t="array" ref="AI292">OR(ISNUMBER(SEARCH(AH$2:AH$100,$B292,5)))</f>
        <v>0</v>
      </c>
      <c r="AK292" s="3" t="str">
        <f t="shared" si="14"/>
        <v>ZZZ</v>
      </c>
      <c r="AL292" s="3" t="b">
        <f t="array" ref="AL292">OR(ISNUMBER(SEARCH(AK$2:AK$100,$B292,5)))</f>
        <v>0</v>
      </c>
      <c r="AU292" s="8"/>
      <c r="AV292" s="6"/>
      <c r="AW292" s="8"/>
      <c r="AX292" s="8"/>
      <c r="AY292" s="6"/>
      <c r="AZ292" s="8"/>
      <c r="BA292" s="8"/>
      <c r="BB292" s="6"/>
      <c r="BC292" s="8"/>
      <c r="BD292" s="8"/>
      <c r="BE292" s="6"/>
      <c r="BF292" s="8"/>
      <c r="BG292" s="8"/>
      <c r="BH292" s="6"/>
      <c r="BI292" s="8"/>
      <c r="BJ292" s="8"/>
      <c r="BK292" s="6"/>
      <c r="BL292" s="8"/>
      <c r="BM292" s="8"/>
      <c r="BN292" s="6"/>
      <c r="BO292" s="8"/>
      <c r="BP292" s="8"/>
      <c r="BQ292" s="6"/>
      <c r="BR292" s="8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</row>
    <row r="293">
      <c r="A293" s="6"/>
      <c r="B293" s="6" t="s">
        <v>293</v>
      </c>
      <c r="C293" s="3" t="str">
        <f t="shared" si="3"/>
        <v>light lime</v>
      </c>
      <c r="D293" s="3" t="str">
        <f t="shared" si="17"/>
        <v>ZZZ</v>
      </c>
      <c r="E293" s="3" t="b">
        <f t="array" ref="E293">OR(ISNUMBER(SEARCH(D$2:D$30,$B293,5)))</f>
        <v>0</v>
      </c>
      <c r="G293" s="3" t="str">
        <f t="shared" si="4"/>
        <v>ZZZ</v>
      </c>
      <c r="H293" s="3" t="b">
        <f t="array" ref="H293">OR(ISNUMBER(SEARCH(G$2:G$30,$B293,5)))</f>
        <v>0</v>
      </c>
      <c r="J293" s="3" t="str">
        <f t="shared" si="5"/>
        <v>ZZZ</v>
      </c>
      <c r="K293" s="3" t="b">
        <f t="array" ref="K293">OR(ISNUMBER(SEARCH(J$2:J$30,$B293,5)))</f>
        <v>0</v>
      </c>
      <c r="M293" s="3" t="str">
        <f t="shared" si="6"/>
        <v>ZZZ</v>
      </c>
      <c r="N293" s="3" t="b">
        <f t="array" ref="N293">OR(ISNUMBER(SEARCH(M$2:M$30,$B293,5)))</f>
        <v>0</v>
      </c>
      <c r="P293" s="3" t="str">
        <f t="shared" si="7"/>
        <v>ZZZ</v>
      </c>
      <c r="Q293" s="3" t="b">
        <f t="array" ref="Q293">OR(ISNUMBER(SEARCH(P$2:P$50,$B293,5)))</f>
        <v>0</v>
      </c>
      <c r="S293" s="3" t="str">
        <f t="shared" si="8"/>
        <v>ZZZ</v>
      </c>
      <c r="T293" s="3" t="b">
        <f t="array" ref="T293">OR(ISNUMBER(SEARCH(S$2:S$100,$B293,5)))</f>
        <v>1</v>
      </c>
      <c r="V293" s="3" t="str">
        <f t="shared" si="9"/>
        <v>ZZZ</v>
      </c>
      <c r="W293" s="3" t="b">
        <f t="array" ref="W293">OR(ISNUMBER(SEARCH(V$2:V$100,$B293,5)))</f>
        <v>0</v>
      </c>
      <c r="Y293" s="3" t="str">
        <f t="shared" si="10"/>
        <v>ZZZ</v>
      </c>
      <c r="Z293" s="3" t="b">
        <f t="array" ref="Z293">OR(ISNUMBER(SEARCH(Y$2:Y$100,$B293,5)))</f>
        <v>0</v>
      </c>
      <c r="AB293" s="3" t="str">
        <f t="shared" si="11"/>
        <v>ZZZ</v>
      </c>
      <c r="AC293" s="3" t="b">
        <f t="array" ref="AC293">OR(ISNUMBER(SEARCH(AB$2:AB$100,$B293,5)))</f>
        <v>0</v>
      </c>
      <c r="AE293" s="3" t="str">
        <f t="shared" si="12"/>
        <v>ZZZ</v>
      </c>
      <c r="AF293" s="3" t="b">
        <f t="array" ref="AF293">OR(ISNUMBER(SEARCH(AE$2:AE$100,$B293,5)))</f>
        <v>0</v>
      </c>
      <c r="AH293" s="3" t="str">
        <f t="shared" si="13"/>
        <v>ZZZ</v>
      </c>
      <c r="AI293" s="3" t="b">
        <f t="array" ref="AI293">OR(ISNUMBER(SEARCH(AH$2:AH$100,$B293,5)))</f>
        <v>0</v>
      </c>
      <c r="AK293" s="3" t="str">
        <f t="shared" si="14"/>
        <v>ZZZ</v>
      </c>
      <c r="AL293" s="3" t="b">
        <f t="array" ref="AL293">OR(ISNUMBER(SEARCH(AK$2:AK$100,$B293,5)))</f>
        <v>0</v>
      </c>
      <c r="AU293" s="8"/>
      <c r="AV293" s="6"/>
      <c r="AW293" s="8"/>
      <c r="AX293" s="8"/>
      <c r="AY293" s="6"/>
      <c r="AZ293" s="8"/>
      <c r="BA293" s="8"/>
      <c r="BB293" s="6"/>
      <c r="BC293" s="8"/>
      <c r="BD293" s="8"/>
      <c r="BE293" s="6"/>
      <c r="BF293" s="8"/>
      <c r="BG293" s="8"/>
      <c r="BH293" s="6"/>
      <c r="BI293" s="8"/>
      <c r="BJ293" s="8"/>
      <c r="BK293" s="6"/>
      <c r="BL293" s="8"/>
      <c r="BM293" s="8"/>
      <c r="BN293" s="6"/>
      <c r="BO293" s="8"/>
      <c r="BP293" s="8"/>
      <c r="BQ293" s="6"/>
      <c r="BR293" s="8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</row>
    <row r="294">
      <c r="A294" s="6"/>
      <c r="B294" s="6" t="s">
        <v>294</v>
      </c>
      <c r="C294" s="3" t="str">
        <f t="shared" si="3"/>
        <v>striped silver</v>
      </c>
      <c r="D294" s="3" t="str">
        <f t="shared" si="17"/>
        <v>ZZZ</v>
      </c>
      <c r="E294" s="3" t="b">
        <f t="array" ref="E294">OR(ISNUMBER(SEARCH(D$2:D$30,$B294,5)))</f>
        <v>0</v>
      </c>
      <c r="G294" s="3" t="str">
        <f t="shared" si="4"/>
        <v>ZZZ</v>
      </c>
      <c r="H294" s="3" t="b">
        <f t="array" ref="H294">OR(ISNUMBER(SEARCH(G$2:G$30,$B294,5)))</f>
        <v>0</v>
      </c>
      <c r="J294" s="3" t="str">
        <f t="shared" si="5"/>
        <v>ZZZ</v>
      </c>
      <c r="K294" s="3" t="b">
        <f t="array" ref="K294">OR(ISNUMBER(SEARCH(J$2:J$30,$B294,5)))</f>
        <v>0</v>
      </c>
      <c r="M294" s="3" t="str">
        <f t="shared" si="6"/>
        <v>ZZZ</v>
      </c>
      <c r="N294" s="3" t="b">
        <f t="array" ref="N294">OR(ISNUMBER(SEARCH(M$2:M$30,$B294,5)))</f>
        <v>0</v>
      </c>
      <c r="P294" s="3" t="str">
        <f t="shared" si="7"/>
        <v>ZZZ</v>
      </c>
      <c r="Q294" s="3" t="b">
        <f t="array" ref="Q294">OR(ISNUMBER(SEARCH(P$2:P$50,$B294,5)))</f>
        <v>0</v>
      </c>
      <c r="S294" s="3" t="str">
        <f t="shared" si="8"/>
        <v>ZZZ</v>
      </c>
      <c r="T294" s="3" t="b">
        <f t="array" ref="T294">OR(ISNUMBER(SEARCH(S$2:S$100,$B294,5)))</f>
        <v>0</v>
      </c>
      <c r="V294" s="3" t="str">
        <f t="shared" si="9"/>
        <v>ZZZ</v>
      </c>
      <c r="W294" s="3" t="b">
        <f t="array" ref="W294">OR(ISNUMBER(SEARCH(V$2:V$100,$B294,5)))</f>
        <v>0</v>
      </c>
      <c r="Y294" s="3" t="str">
        <f t="shared" si="10"/>
        <v>ZZZ</v>
      </c>
      <c r="Z294" s="3" t="b">
        <f t="array" ref="Z294">OR(ISNUMBER(SEARCH(Y$2:Y$100,$B294,5)))</f>
        <v>0</v>
      </c>
      <c r="AB294" s="3" t="str">
        <f t="shared" si="11"/>
        <v>ZZZ</v>
      </c>
      <c r="AC294" s="3" t="b">
        <f t="array" ref="AC294">OR(ISNUMBER(SEARCH(AB$2:AB$100,$B294,5)))</f>
        <v>0</v>
      </c>
      <c r="AE294" s="3" t="str">
        <f t="shared" si="12"/>
        <v>ZZZ</v>
      </c>
      <c r="AF294" s="3" t="b">
        <f t="array" ref="AF294">OR(ISNUMBER(SEARCH(AE$2:AE$100,$B294,5)))</f>
        <v>0</v>
      </c>
      <c r="AH294" s="3" t="str">
        <f t="shared" si="13"/>
        <v>ZZZ</v>
      </c>
      <c r="AI294" s="3" t="b">
        <f t="array" ref="AI294">OR(ISNUMBER(SEARCH(AH$2:AH$100,$B294,5)))</f>
        <v>0</v>
      </c>
      <c r="AK294" s="3" t="str">
        <f t="shared" si="14"/>
        <v>ZZZ</v>
      </c>
      <c r="AL294" s="3" t="b">
        <f t="array" ref="AL294">OR(ISNUMBER(SEARCH(AK$2:AK$100,$B294,5)))</f>
        <v>0</v>
      </c>
      <c r="AU294" s="8"/>
      <c r="AV294" s="6"/>
      <c r="AW294" s="8"/>
      <c r="AX294" s="8"/>
      <c r="AY294" s="6"/>
      <c r="AZ294" s="8"/>
      <c r="BA294" s="8"/>
      <c r="BB294" s="6"/>
      <c r="BC294" s="8"/>
      <c r="BD294" s="8"/>
      <c r="BE294" s="6"/>
      <c r="BF294" s="8"/>
      <c r="BG294" s="8"/>
      <c r="BH294" s="6"/>
      <c r="BI294" s="8"/>
      <c r="BJ294" s="8"/>
      <c r="BK294" s="6"/>
      <c r="BL294" s="8"/>
      <c r="BM294" s="8"/>
      <c r="BN294" s="6"/>
      <c r="BO294" s="8"/>
      <c r="BP294" s="8"/>
      <c r="BQ294" s="6"/>
      <c r="BR294" s="8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</row>
    <row r="295">
      <c r="A295" s="6"/>
      <c r="B295" s="6" t="s">
        <v>295</v>
      </c>
      <c r="C295" s="3" t="str">
        <f t="shared" si="3"/>
        <v>bright brown</v>
      </c>
      <c r="D295" s="3" t="str">
        <f t="shared" si="17"/>
        <v>ZZZ</v>
      </c>
      <c r="E295" s="3" t="b">
        <f t="array" ref="E295">OR(ISNUMBER(SEARCH(D$2:D$30,$B295,5)))</f>
        <v>0</v>
      </c>
      <c r="G295" s="3" t="str">
        <f t="shared" si="4"/>
        <v>ZZZ</v>
      </c>
      <c r="H295" s="3" t="b">
        <f t="array" ref="H295">OR(ISNUMBER(SEARCH(G$2:G$30,$B295,5)))</f>
        <v>0</v>
      </c>
      <c r="J295" s="3" t="str">
        <f t="shared" si="5"/>
        <v>ZZZ</v>
      </c>
      <c r="K295" s="3" t="b">
        <f t="array" ref="K295">OR(ISNUMBER(SEARCH(J$2:J$30,$B295,5)))</f>
        <v>0</v>
      </c>
      <c r="M295" s="3" t="str">
        <f t="shared" si="6"/>
        <v>ZZZ</v>
      </c>
      <c r="N295" s="3" t="b">
        <f t="array" ref="N295">OR(ISNUMBER(SEARCH(M$2:M$30,$B295,5)))</f>
        <v>0</v>
      </c>
      <c r="P295" s="3" t="str">
        <f t="shared" si="7"/>
        <v>ZZZ</v>
      </c>
      <c r="Q295" s="3" t="b">
        <f t="array" ref="Q295">OR(ISNUMBER(SEARCH(P$2:P$50,$B295,5)))</f>
        <v>0</v>
      </c>
      <c r="S295" s="3" t="str">
        <f t="shared" si="8"/>
        <v>ZZZ</v>
      </c>
      <c r="T295" s="3" t="b">
        <f t="array" ref="T295">OR(ISNUMBER(SEARCH(S$2:S$100,$B295,5)))</f>
        <v>0</v>
      </c>
      <c r="V295" s="3" t="str">
        <f t="shared" si="9"/>
        <v>ZZZ</v>
      </c>
      <c r="W295" s="3" t="b">
        <f t="array" ref="W295">OR(ISNUMBER(SEARCH(V$2:V$100,$B295,5)))</f>
        <v>0</v>
      </c>
      <c r="Y295" s="3" t="str">
        <f t="shared" si="10"/>
        <v>ZZZ</v>
      </c>
      <c r="Z295" s="3" t="b">
        <f t="array" ref="Z295">OR(ISNUMBER(SEARCH(Y$2:Y$100,$B295,5)))</f>
        <v>0</v>
      </c>
      <c r="AB295" s="3" t="str">
        <f t="shared" si="11"/>
        <v>ZZZ</v>
      </c>
      <c r="AC295" s="3" t="b">
        <f t="array" ref="AC295">OR(ISNUMBER(SEARCH(AB$2:AB$100,$B295,5)))</f>
        <v>0</v>
      </c>
      <c r="AE295" s="3" t="str">
        <f t="shared" si="12"/>
        <v>ZZZ</v>
      </c>
      <c r="AF295" s="3" t="b">
        <f t="array" ref="AF295">OR(ISNUMBER(SEARCH(AE$2:AE$100,$B295,5)))</f>
        <v>0</v>
      </c>
      <c r="AH295" s="3" t="str">
        <f t="shared" si="13"/>
        <v>ZZZ</v>
      </c>
      <c r="AI295" s="3" t="b">
        <f t="array" ref="AI295">OR(ISNUMBER(SEARCH(AH$2:AH$100,$B295,5)))</f>
        <v>0</v>
      </c>
      <c r="AK295" s="3" t="str">
        <f t="shared" si="14"/>
        <v>ZZZ</v>
      </c>
      <c r="AL295" s="3" t="b">
        <f t="array" ref="AL295">OR(ISNUMBER(SEARCH(AK$2:AK$100,$B295,5)))</f>
        <v>0</v>
      </c>
      <c r="AU295" s="8"/>
      <c r="AV295" s="6"/>
      <c r="AW295" s="8"/>
      <c r="AX295" s="8"/>
      <c r="AY295" s="6"/>
      <c r="AZ295" s="8"/>
      <c r="BA295" s="8"/>
      <c r="BB295" s="6"/>
      <c r="BC295" s="8"/>
      <c r="BD295" s="8"/>
      <c r="BE295" s="6"/>
      <c r="BF295" s="8"/>
      <c r="BG295" s="8"/>
      <c r="BH295" s="6"/>
      <c r="BI295" s="8"/>
      <c r="BJ295" s="8"/>
      <c r="BK295" s="6"/>
      <c r="BL295" s="8"/>
      <c r="BM295" s="8"/>
      <c r="BN295" s="6"/>
      <c r="BO295" s="8"/>
      <c r="BP295" s="8"/>
      <c r="BQ295" s="6"/>
      <c r="BR295" s="8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</row>
    <row r="296">
      <c r="A296" s="6"/>
      <c r="B296" s="6" t="s">
        <v>296</v>
      </c>
      <c r="C296" s="3" t="str">
        <f t="shared" si="3"/>
        <v>vibrant fuchsia</v>
      </c>
      <c r="D296" s="3" t="str">
        <f t="shared" si="17"/>
        <v>ZZZ</v>
      </c>
      <c r="E296" s="3" t="b">
        <f t="array" ref="E296">OR(ISNUMBER(SEARCH(D$2:D$30,$B296,5)))</f>
        <v>0</v>
      </c>
      <c r="G296" s="3" t="str">
        <f t="shared" si="4"/>
        <v>ZZZ</v>
      </c>
      <c r="H296" s="3" t="b">
        <f t="array" ref="H296">OR(ISNUMBER(SEARCH(G$2:G$30,$B296,5)))</f>
        <v>0</v>
      </c>
      <c r="J296" s="3" t="str">
        <f t="shared" si="5"/>
        <v>ZZZ</v>
      </c>
      <c r="K296" s="3" t="b">
        <f t="array" ref="K296">OR(ISNUMBER(SEARCH(J$2:J$30,$B296,5)))</f>
        <v>0</v>
      </c>
      <c r="M296" s="3" t="str">
        <f t="shared" si="6"/>
        <v>ZZZ</v>
      </c>
      <c r="N296" s="3" t="b">
        <f t="array" ref="N296">OR(ISNUMBER(SEARCH(M$2:M$30,$B296,5)))</f>
        <v>0</v>
      </c>
      <c r="P296" s="3" t="str">
        <f t="shared" si="7"/>
        <v>ZZZ</v>
      </c>
      <c r="Q296" s="3" t="b">
        <f t="array" ref="Q296">OR(ISNUMBER(SEARCH(P$2:P$50,$B296,5)))</f>
        <v>1</v>
      </c>
      <c r="S296" s="3" t="str">
        <f t="shared" si="8"/>
        <v>ZZZ</v>
      </c>
      <c r="T296" s="3" t="b">
        <f t="array" ref="T296">OR(ISNUMBER(SEARCH(S$2:S$100,$B296,5)))</f>
        <v>1</v>
      </c>
      <c r="V296" s="3" t="str">
        <f t="shared" si="9"/>
        <v>ZZZ</v>
      </c>
      <c r="W296" s="3" t="b">
        <f t="array" ref="W296">OR(ISNUMBER(SEARCH(V$2:V$100,$B296,5)))</f>
        <v>0</v>
      </c>
      <c r="Y296" s="3" t="str">
        <f t="shared" si="10"/>
        <v>ZZZ</v>
      </c>
      <c r="Z296" s="3" t="b">
        <f t="array" ref="Z296">OR(ISNUMBER(SEARCH(Y$2:Y$100,$B296,5)))</f>
        <v>1</v>
      </c>
      <c r="AB296" s="3" t="str">
        <f t="shared" si="11"/>
        <v>ZZZ</v>
      </c>
      <c r="AC296" s="3" t="b">
        <f t="array" ref="AC296">OR(ISNUMBER(SEARCH(AB$2:AB$100,$B296,5)))</f>
        <v>0</v>
      </c>
      <c r="AE296" s="3" t="str">
        <f t="shared" si="12"/>
        <v>ZZZ</v>
      </c>
      <c r="AF296" s="3" t="b">
        <f t="array" ref="AF296">OR(ISNUMBER(SEARCH(AE$2:AE$100,$B296,5)))</f>
        <v>0</v>
      </c>
      <c r="AH296" s="3" t="str">
        <f t="shared" si="13"/>
        <v>ZZZ</v>
      </c>
      <c r="AI296" s="3" t="b">
        <f t="array" ref="AI296">OR(ISNUMBER(SEARCH(AH$2:AH$100,$B296,5)))</f>
        <v>0</v>
      </c>
      <c r="AK296" s="3" t="str">
        <f t="shared" si="14"/>
        <v>ZZZ</v>
      </c>
      <c r="AL296" s="3" t="b">
        <f t="array" ref="AL296">OR(ISNUMBER(SEARCH(AK$2:AK$100,$B296,5)))</f>
        <v>0</v>
      </c>
      <c r="AU296" s="8"/>
      <c r="AV296" s="6"/>
      <c r="AW296" s="8"/>
      <c r="AX296" s="8"/>
      <c r="AY296" s="6"/>
      <c r="AZ296" s="8"/>
      <c r="BA296" s="8"/>
      <c r="BB296" s="6"/>
      <c r="BC296" s="8"/>
      <c r="BD296" s="8"/>
      <c r="BE296" s="6"/>
      <c r="BF296" s="8"/>
      <c r="BG296" s="8"/>
      <c r="BH296" s="6"/>
      <c r="BI296" s="8"/>
      <c r="BJ296" s="8"/>
      <c r="BK296" s="6"/>
      <c r="BL296" s="8"/>
      <c r="BM296" s="8"/>
      <c r="BN296" s="6"/>
      <c r="BO296" s="8"/>
      <c r="BP296" s="8"/>
      <c r="BQ296" s="6"/>
      <c r="BR296" s="8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</row>
    <row r="297">
      <c r="A297" s="6"/>
      <c r="B297" s="6" t="s">
        <v>297</v>
      </c>
      <c r="C297" s="3" t="str">
        <f t="shared" si="3"/>
        <v>plaid purple</v>
      </c>
      <c r="D297" s="3" t="str">
        <f t="shared" si="17"/>
        <v>ZZZ</v>
      </c>
      <c r="E297" s="3" t="b">
        <f t="array" ref="E297">OR(ISNUMBER(SEARCH(D$2:D$30,$B297,5)))</f>
        <v>0</v>
      </c>
      <c r="G297" s="3" t="str">
        <f t="shared" si="4"/>
        <v>ZZZ</v>
      </c>
      <c r="H297" s="3" t="b">
        <f t="array" ref="H297">OR(ISNUMBER(SEARCH(G$2:G$30,$B297,5)))</f>
        <v>0</v>
      </c>
      <c r="J297" s="3" t="str">
        <f t="shared" si="5"/>
        <v>ZZZ</v>
      </c>
      <c r="K297" s="3" t="b">
        <f t="array" ref="K297">OR(ISNUMBER(SEARCH(J$2:J$30,$B297,5)))</f>
        <v>0</v>
      </c>
      <c r="M297" s="3" t="str">
        <f t="shared" si="6"/>
        <v>ZZZ</v>
      </c>
      <c r="N297" s="3" t="b">
        <f t="array" ref="N297">OR(ISNUMBER(SEARCH(M$2:M$30,$B297,5)))</f>
        <v>0</v>
      </c>
      <c r="P297" s="3" t="str">
        <f t="shared" si="7"/>
        <v>ZZZ</v>
      </c>
      <c r="Q297" s="3" t="b">
        <f t="array" ref="Q297">OR(ISNUMBER(SEARCH(P$2:P$50,$B297,5)))</f>
        <v>0</v>
      </c>
      <c r="S297" s="3" t="str">
        <f t="shared" si="8"/>
        <v>ZZZ</v>
      </c>
      <c r="T297" s="3" t="b">
        <f t="array" ref="T297">OR(ISNUMBER(SEARCH(S$2:S$100,$B297,5)))</f>
        <v>0</v>
      </c>
      <c r="V297" s="3" t="str">
        <f t="shared" si="9"/>
        <v>ZZZ</v>
      </c>
      <c r="W297" s="3" t="b">
        <f t="array" ref="W297">OR(ISNUMBER(SEARCH(V$2:V$100,$B297,5)))</f>
        <v>0</v>
      </c>
      <c r="Y297" s="3" t="str">
        <f t="shared" si="10"/>
        <v>ZZZ</v>
      </c>
      <c r="Z297" s="3" t="b">
        <f t="array" ref="Z297">OR(ISNUMBER(SEARCH(Y$2:Y$100,$B297,5)))</f>
        <v>0</v>
      </c>
      <c r="AB297" s="3" t="str">
        <f t="shared" si="11"/>
        <v>ZZZ</v>
      </c>
      <c r="AC297" s="3" t="b">
        <f t="array" ref="AC297">OR(ISNUMBER(SEARCH(AB$2:AB$100,$B297,5)))</f>
        <v>0</v>
      </c>
      <c r="AE297" s="3" t="str">
        <f t="shared" si="12"/>
        <v>ZZZ</v>
      </c>
      <c r="AF297" s="3" t="b">
        <f t="array" ref="AF297">OR(ISNUMBER(SEARCH(AE$2:AE$100,$B297,5)))</f>
        <v>0</v>
      </c>
      <c r="AH297" s="3" t="str">
        <f t="shared" si="13"/>
        <v>ZZZ</v>
      </c>
      <c r="AI297" s="3" t="b">
        <f t="array" ref="AI297">OR(ISNUMBER(SEARCH(AH$2:AH$100,$B297,5)))</f>
        <v>0</v>
      </c>
      <c r="AK297" s="3" t="str">
        <f t="shared" si="14"/>
        <v>ZZZ</v>
      </c>
      <c r="AL297" s="3" t="b">
        <f t="array" ref="AL297">OR(ISNUMBER(SEARCH(AK$2:AK$100,$B297,5)))</f>
        <v>0</v>
      </c>
      <c r="AU297" s="8"/>
      <c r="AV297" s="6"/>
      <c r="AW297" s="8"/>
      <c r="AX297" s="8"/>
      <c r="AY297" s="6"/>
      <c r="AZ297" s="8"/>
      <c r="BA297" s="8"/>
      <c r="BB297" s="6"/>
      <c r="BC297" s="8"/>
      <c r="BD297" s="8"/>
      <c r="BE297" s="6"/>
      <c r="BF297" s="8"/>
      <c r="BG297" s="8"/>
      <c r="BH297" s="6"/>
      <c r="BI297" s="8"/>
      <c r="BJ297" s="8"/>
      <c r="BK297" s="6"/>
      <c r="BL297" s="8"/>
      <c r="BM297" s="8"/>
      <c r="BN297" s="6"/>
      <c r="BO297" s="8"/>
      <c r="BP297" s="8"/>
      <c r="BQ297" s="6"/>
      <c r="BR297" s="8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</row>
    <row r="298">
      <c r="A298" s="6"/>
      <c r="B298" s="6" t="s">
        <v>298</v>
      </c>
      <c r="C298" s="3" t="str">
        <f t="shared" si="3"/>
        <v>wavy violet</v>
      </c>
      <c r="D298" s="3" t="str">
        <f t="shared" si="17"/>
        <v>ZZZ</v>
      </c>
      <c r="E298" s="3" t="b">
        <f t="array" ref="E298">OR(ISNUMBER(SEARCH(D$2:D$30,$B298,5)))</f>
        <v>0</v>
      </c>
      <c r="G298" s="3" t="str">
        <f t="shared" si="4"/>
        <v>ZZZ</v>
      </c>
      <c r="H298" s="3" t="b">
        <f t="array" ref="H298">OR(ISNUMBER(SEARCH(G$2:G$30,$B298,5)))</f>
        <v>0</v>
      </c>
      <c r="J298" s="3" t="str">
        <f t="shared" si="5"/>
        <v>ZZZ</v>
      </c>
      <c r="K298" s="3" t="b">
        <f t="array" ref="K298">OR(ISNUMBER(SEARCH(J$2:J$30,$B298,5)))</f>
        <v>0</v>
      </c>
      <c r="M298" s="3" t="str">
        <f t="shared" si="6"/>
        <v>ZZZ</v>
      </c>
      <c r="N298" s="3" t="b">
        <f t="array" ref="N298">OR(ISNUMBER(SEARCH(M$2:M$30,$B298,5)))</f>
        <v>0</v>
      </c>
      <c r="P298" s="3" t="str">
        <f t="shared" si="7"/>
        <v>ZZZ</v>
      </c>
      <c r="Q298" s="3" t="b">
        <f t="array" ref="Q298">OR(ISNUMBER(SEARCH(P$2:P$50,$B298,5)))</f>
        <v>0</v>
      </c>
      <c r="S298" s="3" t="str">
        <f t="shared" si="8"/>
        <v>ZZZ</v>
      </c>
      <c r="T298" s="3" t="b">
        <f t="array" ref="T298">OR(ISNUMBER(SEARCH(S$2:S$100,$B298,5)))</f>
        <v>0</v>
      </c>
      <c r="V298" s="3" t="str">
        <f t="shared" si="9"/>
        <v>ZZZ</v>
      </c>
      <c r="W298" s="3" t="b">
        <f t="array" ref="W298">OR(ISNUMBER(SEARCH(V$2:V$100,$B298,5)))</f>
        <v>0</v>
      </c>
      <c r="Y298" s="3" t="str">
        <f t="shared" si="10"/>
        <v>ZZZ</v>
      </c>
      <c r="Z298" s="3" t="b">
        <f t="array" ref="Z298">OR(ISNUMBER(SEARCH(Y$2:Y$100,$B298,5)))</f>
        <v>0</v>
      </c>
      <c r="AB298" s="3" t="str">
        <f t="shared" si="11"/>
        <v>ZZZ</v>
      </c>
      <c r="AC298" s="3" t="b">
        <f t="array" ref="AC298">OR(ISNUMBER(SEARCH(AB$2:AB$100,$B298,5)))</f>
        <v>0</v>
      </c>
      <c r="AE298" s="3" t="str">
        <f t="shared" si="12"/>
        <v>ZZZ</v>
      </c>
      <c r="AF298" s="3" t="b">
        <f t="array" ref="AF298">OR(ISNUMBER(SEARCH(AE$2:AE$100,$B298,5)))</f>
        <v>0</v>
      </c>
      <c r="AH298" s="3" t="str">
        <f t="shared" si="13"/>
        <v>ZZZ</v>
      </c>
      <c r="AI298" s="3" t="b">
        <f t="array" ref="AI298">OR(ISNUMBER(SEARCH(AH$2:AH$100,$B298,5)))</f>
        <v>0</v>
      </c>
      <c r="AK298" s="3" t="str">
        <f t="shared" si="14"/>
        <v>ZZZ</v>
      </c>
      <c r="AL298" s="3" t="b">
        <f t="array" ref="AL298">OR(ISNUMBER(SEARCH(AK$2:AK$100,$B298,5)))</f>
        <v>0</v>
      </c>
      <c r="AU298" s="8"/>
      <c r="AV298" s="6"/>
      <c r="AW298" s="8"/>
      <c r="AX298" s="8"/>
      <c r="AY298" s="6"/>
      <c r="AZ298" s="8"/>
      <c r="BA298" s="8"/>
      <c r="BB298" s="6"/>
      <c r="BC298" s="8"/>
      <c r="BD298" s="8"/>
      <c r="BE298" s="6"/>
      <c r="BF298" s="8"/>
      <c r="BG298" s="8"/>
      <c r="BH298" s="6"/>
      <c r="BI298" s="8"/>
      <c r="BJ298" s="8"/>
      <c r="BK298" s="6"/>
      <c r="BL298" s="8"/>
      <c r="BM298" s="8"/>
      <c r="BN298" s="6"/>
      <c r="BO298" s="8"/>
      <c r="BP298" s="8"/>
      <c r="BQ298" s="6"/>
      <c r="BR298" s="8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</row>
    <row r="299">
      <c r="A299" s="6"/>
      <c r="B299" s="6" t="s">
        <v>299</v>
      </c>
      <c r="C299" s="3" t="str">
        <f t="shared" si="3"/>
        <v>dark maroon</v>
      </c>
      <c r="D299" s="3" t="str">
        <f t="shared" si="17"/>
        <v>ZZZ</v>
      </c>
      <c r="E299" s="3" t="b">
        <f t="array" ref="E299">OR(ISNUMBER(SEARCH(D$2:D$30,$B299,5)))</f>
        <v>0</v>
      </c>
      <c r="G299" s="3" t="str">
        <f t="shared" si="4"/>
        <v>ZZZ</v>
      </c>
      <c r="H299" s="3" t="b">
        <f t="array" ref="H299">OR(ISNUMBER(SEARCH(G$2:G$30,$B299,5)))</f>
        <v>0</v>
      </c>
      <c r="J299" s="3" t="str">
        <f t="shared" si="5"/>
        <v>ZZZ</v>
      </c>
      <c r="K299" s="3" t="b">
        <f t="array" ref="K299">OR(ISNUMBER(SEARCH(J$2:J$30,$B299,5)))</f>
        <v>0</v>
      </c>
      <c r="M299" s="3" t="str">
        <f t="shared" si="6"/>
        <v>ZZZ</v>
      </c>
      <c r="N299" s="3" t="b">
        <f t="array" ref="N299">OR(ISNUMBER(SEARCH(M$2:M$30,$B299,5)))</f>
        <v>0</v>
      </c>
      <c r="P299" s="3" t="str">
        <f t="shared" si="7"/>
        <v>ZZZ</v>
      </c>
      <c r="Q299" s="3" t="b">
        <f t="array" ref="Q299">OR(ISNUMBER(SEARCH(P$2:P$50,$B299,5)))</f>
        <v>1</v>
      </c>
      <c r="S299" s="3" t="str">
        <f t="shared" si="8"/>
        <v>ZZZ</v>
      </c>
      <c r="T299" s="3" t="b">
        <f t="array" ref="T299">OR(ISNUMBER(SEARCH(S$2:S$100,$B299,5)))</f>
        <v>0</v>
      </c>
      <c r="V299" s="3" t="str">
        <f t="shared" si="9"/>
        <v>ZZZ</v>
      </c>
      <c r="W299" s="3" t="b">
        <f t="array" ref="W299">OR(ISNUMBER(SEARCH(V$2:V$100,$B299,5)))</f>
        <v>0</v>
      </c>
      <c r="Y299" s="3" t="str">
        <f t="shared" si="10"/>
        <v>ZZZ</v>
      </c>
      <c r="Z299" s="3" t="b">
        <f t="array" ref="Z299">OR(ISNUMBER(SEARCH(Y$2:Y$100,$B299,5)))</f>
        <v>0</v>
      </c>
      <c r="AB299" s="3" t="str">
        <f t="shared" si="11"/>
        <v>ZZZ</v>
      </c>
      <c r="AC299" s="3" t="b">
        <f t="array" ref="AC299">OR(ISNUMBER(SEARCH(AB$2:AB$100,$B299,5)))</f>
        <v>0</v>
      </c>
      <c r="AE299" s="3" t="str">
        <f t="shared" si="12"/>
        <v>ZZZ</v>
      </c>
      <c r="AF299" s="3" t="b">
        <f t="array" ref="AF299">OR(ISNUMBER(SEARCH(AE$2:AE$100,$B299,5)))</f>
        <v>0</v>
      </c>
      <c r="AH299" s="3" t="str">
        <f t="shared" si="13"/>
        <v>ZZZ</v>
      </c>
      <c r="AI299" s="3" t="b">
        <f t="array" ref="AI299">OR(ISNUMBER(SEARCH(AH$2:AH$100,$B299,5)))</f>
        <v>0</v>
      </c>
      <c r="AK299" s="3" t="str">
        <f t="shared" si="14"/>
        <v>ZZZ</v>
      </c>
      <c r="AL299" s="3" t="b">
        <f t="array" ref="AL299">OR(ISNUMBER(SEARCH(AK$2:AK$100,$B299,5)))</f>
        <v>0</v>
      </c>
      <c r="AU299" s="8"/>
      <c r="AV299" s="6"/>
      <c r="AW299" s="8"/>
      <c r="AX299" s="8"/>
      <c r="AY299" s="6"/>
      <c r="AZ299" s="8"/>
      <c r="BA299" s="8"/>
      <c r="BB299" s="6"/>
      <c r="BC299" s="8"/>
      <c r="BD299" s="8"/>
      <c r="BE299" s="6"/>
      <c r="BF299" s="8"/>
      <c r="BG299" s="8"/>
      <c r="BH299" s="6"/>
      <c r="BI299" s="8"/>
      <c r="BJ299" s="8"/>
      <c r="BK299" s="6"/>
      <c r="BL299" s="8"/>
      <c r="BM299" s="8"/>
      <c r="BN299" s="6"/>
      <c r="BO299" s="8"/>
      <c r="BP299" s="8"/>
      <c r="BQ299" s="6"/>
      <c r="BR299" s="8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</row>
    <row r="300">
      <c r="A300" s="6"/>
      <c r="B300" s="6" t="s">
        <v>300</v>
      </c>
      <c r="C300" s="3" t="str">
        <f t="shared" si="3"/>
        <v>pale coral</v>
      </c>
      <c r="D300" s="3" t="str">
        <f t="shared" si="17"/>
        <v>ZZZ</v>
      </c>
      <c r="E300" s="3" t="b">
        <f t="array" ref="E300">OR(ISNUMBER(SEARCH(D$2:D$30,$B300,5)))</f>
        <v>0</v>
      </c>
      <c r="G300" s="3" t="str">
        <f t="shared" si="4"/>
        <v>ZZZ</v>
      </c>
      <c r="H300" s="3" t="b">
        <f t="array" ref="H300">OR(ISNUMBER(SEARCH(G$2:G$30,$B300,5)))</f>
        <v>0</v>
      </c>
      <c r="J300" s="3" t="str">
        <f t="shared" si="5"/>
        <v>ZZZ</v>
      </c>
      <c r="K300" s="3" t="b">
        <f t="array" ref="K300">OR(ISNUMBER(SEARCH(J$2:J$30,$B300,5)))</f>
        <v>0</v>
      </c>
      <c r="M300" s="3" t="str">
        <f t="shared" si="6"/>
        <v>ZZZ</v>
      </c>
      <c r="N300" s="3" t="b">
        <f t="array" ref="N300">OR(ISNUMBER(SEARCH(M$2:M$30,$B300,5)))</f>
        <v>0</v>
      </c>
      <c r="P300" s="3" t="str">
        <f t="shared" si="7"/>
        <v>ZZZ</v>
      </c>
      <c r="Q300" s="3" t="b">
        <f t="array" ref="Q300">OR(ISNUMBER(SEARCH(P$2:P$50,$B300,5)))</f>
        <v>0</v>
      </c>
      <c r="S300" s="3" t="str">
        <f t="shared" si="8"/>
        <v>ZZZ</v>
      </c>
      <c r="T300" s="3" t="b">
        <f t="array" ref="T300">OR(ISNUMBER(SEARCH(S$2:S$100,$B300,5)))</f>
        <v>0</v>
      </c>
      <c r="V300" s="3" t="str">
        <f t="shared" si="9"/>
        <v>ZZZ</v>
      </c>
      <c r="W300" s="3" t="b">
        <f t="array" ref="W300">OR(ISNUMBER(SEARCH(V$2:V$100,$B300,5)))</f>
        <v>0</v>
      </c>
      <c r="Y300" s="3" t="str">
        <f t="shared" si="10"/>
        <v>ZZZ</v>
      </c>
      <c r="Z300" s="3" t="b">
        <f t="array" ref="Z300">OR(ISNUMBER(SEARCH(Y$2:Y$100,$B300,5)))</f>
        <v>0</v>
      </c>
      <c r="AB300" s="3" t="str">
        <f t="shared" si="11"/>
        <v>ZZZ</v>
      </c>
      <c r="AC300" s="3" t="b">
        <f t="array" ref="AC300">OR(ISNUMBER(SEARCH(AB$2:AB$100,$B300,5)))</f>
        <v>0</v>
      </c>
      <c r="AE300" s="3" t="str">
        <f t="shared" si="12"/>
        <v>ZZZ</v>
      </c>
      <c r="AF300" s="3" t="b">
        <f t="array" ref="AF300">OR(ISNUMBER(SEARCH(AE$2:AE$100,$B300,5)))</f>
        <v>0</v>
      </c>
      <c r="AH300" s="3" t="str">
        <f t="shared" si="13"/>
        <v>ZZZ</v>
      </c>
      <c r="AI300" s="3" t="b">
        <f t="array" ref="AI300">OR(ISNUMBER(SEARCH(AH$2:AH$100,$B300,5)))</f>
        <v>0</v>
      </c>
      <c r="AK300" s="3" t="str">
        <f t="shared" si="14"/>
        <v>ZZZ</v>
      </c>
      <c r="AL300" s="3" t="b">
        <f t="array" ref="AL300">OR(ISNUMBER(SEARCH(AK$2:AK$100,$B300,5)))</f>
        <v>0</v>
      </c>
      <c r="AU300" s="8"/>
      <c r="AV300" s="6"/>
      <c r="AW300" s="8"/>
      <c r="AX300" s="8"/>
      <c r="AY300" s="6"/>
      <c r="AZ300" s="8"/>
      <c r="BA300" s="8"/>
      <c r="BB300" s="6"/>
      <c r="BC300" s="8"/>
      <c r="BD300" s="8"/>
      <c r="BE300" s="6"/>
      <c r="BF300" s="8"/>
      <c r="BG300" s="8"/>
      <c r="BH300" s="6"/>
      <c r="BI300" s="8"/>
      <c r="BJ300" s="8"/>
      <c r="BK300" s="6"/>
      <c r="BL300" s="8"/>
      <c r="BM300" s="8"/>
      <c r="BN300" s="6"/>
      <c r="BO300" s="8"/>
      <c r="BP300" s="8"/>
      <c r="BQ300" s="6"/>
      <c r="BR300" s="8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</row>
    <row r="301">
      <c r="A301" s="6"/>
      <c r="B301" s="6" t="s">
        <v>301</v>
      </c>
      <c r="C301" s="3" t="str">
        <f t="shared" si="3"/>
        <v>dark black</v>
      </c>
      <c r="D301" s="3" t="str">
        <f t="shared" si="17"/>
        <v>ZZZ</v>
      </c>
      <c r="E301" s="3" t="b">
        <f t="array" ref="E301">OR(ISNUMBER(SEARCH(D$2:D$30,$B301,5)))</f>
        <v>0</v>
      </c>
      <c r="G301" s="3" t="str">
        <f t="shared" si="4"/>
        <v>ZZZ</v>
      </c>
      <c r="H301" s="3" t="b">
        <f t="array" ref="H301">OR(ISNUMBER(SEARCH(G$2:G$30,$B301,5)))</f>
        <v>0</v>
      </c>
      <c r="J301" s="3" t="str">
        <f t="shared" si="5"/>
        <v>ZZZ</v>
      </c>
      <c r="K301" s="3" t="b">
        <f t="array" ref="K301">OR(ISNUMBER(SEARCH(J$2:J$30,$B301,5)))</f>
        <v>0</v>
      </c>
      <c r="M301" s="3" t="str">
        <f t="shared" si="6"/>
        <v>ZZZ</v>
      </c>
      <c r="N301" s="3" t="b">
        <f t="array" ref="N301">OR(ISNUMBER(SEARCH(M$2:M$30,$B301,5)))</f>
        <v>0</v>
      </c>
      <c r="P301" s="3" t="str">
        <f t="shared" si="7"/>
        <v>ZZZ</v>
      </c>
      <c r="Q301" s="3" t="b">
        <f t="array" ref="Q301">OR(ISNUMBER(SEARCH(P$2:P$50,$B301,5)))</f>
        <v>0</v>
      </c>
      <c r="S301" s="3" t="str">
        <f t="shared" si="8"/>
        <v>ZZZ</v>
      </c>
      <c r="T301" s="3" t="b">
        <f t="array" ref="T301">OR(ISNUMBER(SEARCH(S$2:S$100,$B301,5)))</f>
        <v>0</v>
      </c>
      <c r="V301" s="3" t="str">
        <f t="shared" si="9"/>
        <v>ZZZ</v>
      </c>
      <c r="W301" s="3" t="b">
        <f t="array" ref="W301">OR(ISNUMBER(SEARCH(V$2:V$100,$B301,5)))</f>
        <v>0</v>
      </c>
      <c r="Y301" s="3" t="str">
        <f t="shared" si="10"/>
        <v>ZZZ</v>
      </c>
      <c r="Z301" s="3" t="b">
        <f t="array" ref="Z301">OR(ISNUMBER(SEARCH(Y$2:Y$100,$B301,5)))</f>
        <v>0</v>
      </c>
      <c r="AB301" s="3" t="str">
        <f t="shared" si="11"/>
        <v>ZZZ</v>
      </c>
      <c r="AC301" s="3" t="b">
        <f t="array" ref="AC301">OR(ISNUMBER(SEARCH(AB$2:AB$100,$B301,5)))</f>
        <v>0</v>
      </c>
      <c r="AE301" s="3" t="str">
        <f t="shared" si="12"/>
        <v>ZZZ</v>
      </c>
      <c r="AF301" s="3" t="b">
        <f t="array" ref="AF301">OR(ISNUMBER(SEARCH(AE$2:AE$100,$B301,5)))</f>
        <v>0</v>
      </c>
      <c r="AH301" s="3" t="str">
        <f t="shared" si="13"/>
        <v>ZZZ</v>
      </c>
      <c r="AI301" s="3" t="b">
        <f t="array" ref="AI301">OR(ISNUMBER(SEARCH(AH$2:AH$100,$B301,5)))</f>
        <v>0</v>
      </c>
      <c r="AK301" s="3" t="str">
        <f t="shared" si="14"/>
        <v>ZZZ</v>
      </c>
      <c r="AL301" s="3" t="b">
        <f t="array" ref="AL301">OR(ISNUMBER(SEARCH(AK$2:AK$100,$B301,5)))</f>
        <v>0</v>
      </c>
      <c r="AU301" s="8"/>
      <c r="AV301" s="6"/>
      <c r="AW301" s="8"/>
      <c r="AX301" s="8"/>
      <c r="AY301" s="6"/>
      <c r="AZ301" s="8"/>
      <c r="BA301" s="8"/>
      <c r="BB301" s="6"/>
      <c r="BC301" s="8"/>
      <c r="BD301" s="8"/>
      <c r="BE301" s="6"/>
      <c r="BF301" s="8"/>
      <c r="BG301" s="8"/>
      <c r="BH301" s="6"/>
      <c r="BI301" s="8"/>
      <c r="BJ301" s="8"/>
      <c r="BK301" s="6"/>
      <c r="BL301" s="8"/>
      <c r="BM301" s="8"/>
      <c r="BN301" s="6"/>
      <c r="BO301" s="8"/>
      <c r="BP301" s="8"/>
      <c r="BQ301" s="6"/>
      <c r="BR301" s="8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</row>
    <row r="302">
      <c r="A302" s="6"/>
      <c r="B302" s="6" t="s">
        <v>302</v>
      </c>
      <c r="C302" s="3" t="str">
        <f t="shared" si="3"/>
        <v>plaid bronze</v>
      </c>
      <c r="D302" s="3" t="str">
        <f t="shared" si="17"/>
        <v>ZZZ</v>
      </c>
      <c r="E302" s="3" t="b">
        <f t="array" ref="E302">OR(ISNUMBER(SEARCH(D$2:D$30,$B302,5)))</f>
        <v>0</v>
      </c>
      <c r="G302" s="3" t="str">
        <f t="shared" si="4"/>
        <v>ZZZ</v>
      </c>
      <c r="H302" s="3" t="b">
        <f t="array" ref="H302">OR(ISNUMBER(SEARCH(G$2:G$30,$B302,5)))</f>
        <v>0</v>
      </c>
      <c r="J302" s="3" t="str">
        <f t="shared" si="5"/>
        <v>ZZZ</v>
      </c>
      <c r="K302" s="3" t="b">
        <f t="array" ref="K302">OR(ISNUMBER(SEARCH(J$2:J$30,$B302,5)))</f>
        <v>0</v>
      </c>
      <c r="M302" s="3" t="str">
        <f t="shared" si="6"/>
        <v>ZZZ</v>
      </c>
      <c r="N302" s="3" t="b">
        <f t="array" ref="N302">OR(ISNUMBER(SEARCH(M$2:M$30,$B302,5)))</f>
        <v>0</v>
      </c>
      <c r="P302" s="3" t="str">
        <f t="shared" si="7"/>
        <v>ZZZ</v>
      </c>
      <c r="Q302" s="3" t="b">
        <f t="array" ref="Q302">OR(ISNUMBER(SEARCH(P$2:P$50,$B302,5)))</f>
        <v>0</v>
      </c>
      <c r="S302" s="3" t="str">
        <f t="shared" si="8"/>
        <v>ZZZ</v>
      </c>
      <c r="T302" s="3" t="b">
        <f t="array" ref="T302">OR(ISNUMBER(SEARCH(S$2:S$100,$B302,5)))</f>
        <v>0</v>
      </c>
      <c r="V302" s="3" t="str">
        <f t="shared" si="9"/>
        <v>ZZZ</v>
      </c>
      <c r="W302" s="3" t="b">
        <f t="array" ref="W302">OR(ISNUMBER(SEARCH(V$2:V$100,$B302,5)))</f>
        <v>0</v>
      </c>
      <c r="Y302" s="3" t="str">
        <f t="shared" si="10"/>
        <v>ZZZ</v>
      </c>
      <c r="Z302" s="3" t="b">
        <f t="array" ref="Z302">OR(ISNUMBER(SEARCH(Y$2:Y$100,$B302,5)))</f>
        <v>0</v>
      </c>
      <c r="AB302" s="3" t="str">
        <f t="shared" si="11"/>
        <v>ZZZ</v>
      </c>
      <c r="AC302" s="3" t="b">
        <f t="array" ref="AC302">OR(ISNUMBER(SEARCH(AB$2:AB$100,$B302,5)))</f>
        <v>0</v>
      </c>
      <c r="AE302" s="3" t="str">
        <f t="shared" si="12"/>
        <v>ZZZ</v>
      </c>
      <c r="AF302" s="3" t="b">
        <f t="array" ref="AF302">OR(ISNUMBER(SEARCH(AE$2:AE$100,$B302,5)))</f>
        <v>0</v>
      </c>
      <c r="AH302" s="3" t="str">
        <f t="shared" si="13"/>
        <v>ZZZ</v>
      </c>
      <c r="AI302" s="3" t="b">
        <f t="array" ref="AI302">OR(ISNUMBER(SEARCH(AH$2:AH$100,$B302,5)))</f>
        <v>0</v>
      </c>
      <c r="AK302" s="3" t="str">
        <f t="shared" si="14"/>
        <v>ZZZ</v>
      </c>
      <c r="AL302" s="3" t="b">
        <f t="array" ref="AL302">OR(ISNUMBER(SEARCH(AK$2:AK$100,$B302,5)))</f>
        <v>0</v>
      </c>
      <c r="AU302" s="8"/>
      <c r="AV302" s="6"/>
      <c r="AW302" s="8"/>
      <c r="AX302" s="8"/>
      <c r="AY302" s="6"/>
      <c r="AZ302" s="8"/>
      <c r="BA302" s="8"/>
      <c r="BB302" s="6"/>
      <c r="BC302" s="8"/>
      <c r="BD302" s="8"/>
      <c r="BE302" s="6"/>
      <c r="BF302" s="8"/>
      <c r="BG302" s="8"/>
      <c r="BH302" s="6"/>
      <c r="BI302" s="8"/>
      <c r="BJ302" s="8"/>
      <c r="BK302" s="6"/>
      <c r="BL302" s="8"/>
      <c r="BM302" s="8"/>
      <c r="BN302" s="6"/>
      <c r="BO302" s="8"/>
      <c r="BP302" s="8"/>
      <c r="BQ302" s="6"/>
      <c r="BR302" s="8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</row>
    <row r="303">
      <c r="A303" s="6"/>
      <c r="B303" s="6" t="s">
        <v>303</v>
      </c>
      <c r="C303" s="3" t="str">
        <f t="shared" si="3"/>
        <v>faded orange</v>
      </c>
      <c r="D303" s="3" t="str">
        <f t="shared" si="17"/>
        <v>ZZZ</v>
      </c>
      <c r="E303" s="3" t="b">
        <f t="array" ref="E303">OR(ISNUMBER(SEARCH(D$2:D$30,$B303,5)))</f>
        <v>0</v>
      </c>
      <c r="G303" s="3" t="str">
        <f t="shared" si="4"/>
        <v>ZZZ</v>
      </c>
      <c r="H303" s="3" t="b">
        <f t="array" ref="H303">OR(ISNUMBER(SEARCH(G$2:G$30,$B303,5)))</f>
        <v>0</v>
      </c>
      <c r="J303" s="3" t="str">
        <f t="shared" si="5"/>
        <v>ZZZ</v>
      </c>
      <c r="K303" s="3" t="b">
        <f t="array" ref="K303">OR(ISNUMBER(SEARCH(J$2:J$30,$B303,5)))</f>
        <v>0</v>
      </c>
      <c r="M303" s="3" t="str">
        <f t="shared" si="6"/>
        <v>ZZZ</v>
      </c>
      <c r="N303" s="3" t="b">
        <f t="array" ref="N303">OR(ISNUMBER(SEARCH(M$2:M$30,$B303,5)))</f>
        <v>0</v>
      </c>
      <c r="P303" s="3" t="str">
        <f t="shared" si="7"/>
        <v>ZZZ</v>
      </c>
      <c r="Q303" s="3" t="b">
        <f t="array" ref="Q303">OR(ISNUMBER(SEARCH(P$2:P$50,$B303,5)))</f>
        <v>0</v>
      </c>
      <c r="S303" s="3" t="str">
        <f t="shared" si="8"/>
        <v>ZZZ</v>
      </c>
      <c r="T303" s="3" t="b">
        <f t="array" ref="T303">OR(ISNUMBER(SEARCH(S$2:S$100,$B303,5)))</f>
        <v>0</v>
      </c>
      <c r="V303" s="3" t="str">
        <f t="shared" si="9"/>
        <v>ZZZ</v>
      </c>
      <c r="W303" s="3" t="b">
        <f t="array" ref="W303">OR(ISNUMBER(SEARCH(V$2:V$100,$B303,5)))</f>
        <v>0</v>
      </c>
      <c r="Y303" s="3" t="str">
        <f t="shared" si="10"/>
        <v>ZZZ</v>
      </c>
      <c r="Z303" s="3" t="b">
        <f t="array" ref="Z303">OR(ISNUMBER(SEARCH(Y$2:Y$100,$B303,5)))</f>
        <v>0</v>
      </c>
      <c r="AB303" s="3" t="str">
        <f t="shared" si="11"/>
        <v>ZZZ</v>
      </c>
      <c r="AC303" s="3" t="b">
        <f t="array" ref="AC303">OR(ISNUMBER(SEARCH(AB$2:AB$100,$B303,5)))</f>
        <v>0</v>
      </c>
      <c r="AE303" s="3" t="str">
        <f t="shared" si="12"/>
        <v>ZZZ</v>
      </c>
      <c r="AF303" s="3" t="b">
        <f t="array" ref="AF303">OR(ISNUMBER(SEARCH(AE$2:AE$100,$B303,5)))</f>
        <v>0</v>
      </c>
      <c r="AH303" s="3" t="str">
        <f t="shared" si="13"/>
        <v>ZZZ</v>
      </c>
      <c r="AI303" s="3" t="b">
        <f t="array" ref="AI303">OR(ISNUMBER(SEARCH(AH$2:AH$100,$B303,5)))</f>
        <v>0</v>
      </c>
      <c r="AK303" s="3" t="str">
        <f t="shared" si="14"/>
        <v>ZZZ</v>
      </c>
      <c r="AL303" s="3" t="b">
        <f t="array" ref="AL303">OR(ISNUMBER(SEARCH(AK$2:AK$100,$B303,5)))</f>
        <v>0</v>
      </c>
      <c r="AU303" s="8"/>
      <c r="AV303" s="6"/>
      <c r="AW303" s="8"/>
      <c r="AX303" s="8"/>
      <c r="AY303" s="6"/>
      <c r="AZ303" s="8"/>
      <c r="BA303" s="8"/>
      <c r="BB303" s="6"/>
      <c r="BC303" s="8"/>
      <c r="BD303" s="8"/>
      <c r="BE303" s="6"/>
      <c r="BF303" s="8"/>
      <c r="BG303" s="8"/>
      <c r="BH303" s="6"/>
      <c r="BI303" s="8"/>
      <c r="BJ303" s="8"/>
      <c r="BK303" s="6"/>
      <c r="BL303" s="8"/>
      <c r="BM303" s="8"/>
      <c r="BN303" s="6"/>
      <c r="BO303" s="8"/>
      <c r="BP303" s="8"/>
      <c r="BQ303" s="6"/>
      <c r="BR303" s="8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</row>
    <row r="304">
      <c r="A304" s="6"/>
      <c r="B304" s="6" t="s">
        <v>304</v>
      </c>
      <c r="C304" s="3" t="str">
        <f t="shared" si="3"/>
        <v>light lavender</v>
      </c>
      <c r="D304" s="3" t="str">
        <f t="shared" si="17"/>
        <v>ZZZ</v>
      </c>
      <c r="E304" s="3" t="b">
        <f t="array" ref="E304">OR(ISNUMBER(SEARCH(D$2:D$30,$B304,5)))</f>
        <v>0</v>
      </c>
      <c r="G304" s="3" t="str">
        <f t="shared" si="4"/>
        <v>ZZZ</v>
      </c>
      <c r="H304" s="3" t="b">
        <f t="array" ref="H304">OR(ISNUMBER(SEARCH(G$2:G$30,$B304,5)))</f>
        <v>0</v>
      </c>
      <c r="J304" s="3" t="str">
        <f t="shared" si="5"/>
        <v>ZZZ</v>
      </c>
      <c r="K304" s="3" t="b">
        <f t="array" ref="K304">OR(ISNUMBER(SEARCH(J$2:J$30,$B304,5)))</f>
        <v>0</v>
      </c>
      <c r="M304" s="3" t="str">
        <f t="shared" si="6"/>
        <v>ZZZ</v>
      </c>
      <c r="N304" s="3" t="b">
        <f t="array" ref="N304">OR(ISNUMBER(SEARCH(M$2:M$30,$B304,5)))</f>
        <v>0</v>
      </c>
      <c r="P304" s="3" t="str">
        <f t="shared" si="7"/>
        <v>ZZZ</v>
      </c>
      <c r="Q304" s="3" t="b">
        <f t="array" ref="Q304">OR(ISNUMBER(SEARCH(P$2:P$50,$B304,5)))</f>
        <v>0</v>
      </c>
      <c r="S304" s="3" t="str">
        <f t="shared" si="8"/>
        <v>ZZZ</v>
      </c>
      <c r="T304" s="3" t="b">
        <f t="array" ref="T304">OR(ISNUMBER(SEARCH(S$2:S$100,$B304,5)))</f>
        <v>0</v>
      </c>
      <c r="V304" s="3" t="str">
        <f t="shared" si="9"/>
        <v>ZZZ</v>
      </c>
      <c r="W304" s="3" t="b">
        <f t="array" ref="W304">OR(ISNUMBER(SEARCH(V$2:V$100,$B304,5)))</f>
        <v>0</v>
      </c>
      <c r="Y304" s="3" t="str">
        <f t="shared" si="10"/>
        <v>ZZZ</v>
      </c>
      <c r="Z304" s="3" t="b">
        <f t="array" ref="Z304">OR(ISNUMBER(SEARCH(Y$2:Y$100,$B304,5)))</f>
        <v>0</v>
      </c>
      <c r="AB304" s="3" t="str">
        <f t="shared" si="11"/>
        <v>ZZZ</v>
      </c>
      <c r="AC304" s="3" t="b">
        <f t="array" ref="AC304">OR(ISNUMBER(SEARCH(AB$2:AB$100,$B304,5)))</f>
        <v>0</v>
      </c>
      <c r="AE304" s="3" t="str">
        <f t="shared" si="12"/>
        <v>ZZZ</v>
      </c>
      <c r="AF304" s="3" t="b">
        <f t="array" ref="AF304">OR(ISNUMBER(SEARCH(AE$2:AE$100,$B304,5)))</f>
        <v>0</v>
      </c>
      <c r="AH304" s="3" t="str">
        <f t="shared" si="13"/>
        <v>ZZZ</v>
      </c>
      <c r="AI304" s="3" t="b">
        <f t="array" ref="AI304">OR(ISNUMBER(SEARCH(AH$2:AH$100,$B304,5)))</f>
        <v>0</v>
      </c>
      <c r="AK304" s="3" t="str">
        <f t="shared" si="14"/>
        <v>ZZZ</v>
      </c>
      <c r="AL304" s="3" t="b">
        <f t="array" ref="AL304">OR(ISNUMBER(SEARCH(AK$2:AK$100,$B304,5)))</f>
        <v>0</v>
      </c>
      <c r="AU304" s="8"/>
      <c r="AV304" s="6"/>
      <c r="AW304" s="8"/>
      <c r="AX304" s="8"/>
      <c r="AY304" s="6"/>
      <c r="AZ304" s="8"/>
      <c r="BA304" s="8"/>
      <c r="BB304" s="6"/>
      <c r="BC304" s="8"/>
      <c r="BD304" s="8"/>
      <c r="BE304" s="6"/>
      <c r="BF304" s="8"/>
      <c r="BG304" s="8"/>
      <c r="BH304" s="6"/>
      <c r="BI304" s="8"/>
      <c r="BJ304" s="8"/>
      <c r="BK304" s="6"/>
      <c r="BL304" s="8"/>
      <c r="BM304" s="8"/>
      <c r="BN304" s="6"/>
      <c r="BO304" s="8"/>
      <c r="BP304" s="8"/>
      <c r="BQ304" s="6"/>
      <c r="BR304" s="8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7"/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</row>
    <row r="305">
      <c r="A305" s="6"/>
      <c r="B305" s="6" t="s">
        <v>305</v>
      </c>
      <c r="C305" s="3" t="str">
        <f t="shared" si="3"/>
        <v>dull chartreuse</v>
      </c>
      <c r="D305" s="3" t="str">
        <f t="shared" si="17"/>
        <v>ZZZ</v>
      </c>
      <c r="E305" s="3" t="b">
        <f t="array" ref="E305">OR(ISNUMBER(SEARCH(D$2:D$30,$B305,5)))</f>
        <v>0</v>
      </c>
      <c r="G305" s="3" t="str">
        <f t="shared" si="4"/>
        <v>ZZZ</v>
      </c>
      <c r="H305" s="3" t="b">
        <f t="array" ref="H305">OR(ISNUMBER(SEARCH(G$2:G$30,$B305,5)))</f>
        <v>0</v>
      </c>
      <c r="J305" s="3" t="str">
        <f t="shared" si="5"/>
        <v>ZZZ</v>
      </c>
      <c r="K305" s="3" t="b">
        <f t="array" ref="K305">OR(ISNUMBER(SEARCH(J$2:J$30,$B305,5)))</f>
        <v>0</v>
      </c>
      <c r="M305" s="3" t="str">
        <f t="shared" si="6"/>
        <v>ZZZ</v>
      </c>
      <c r="N305" s="3" t="b">
        <f t="array" ref="N305">OR(ISNUMBER(SEARCH(M$2:M$30,$B305,5)))</f>
        <v>0</v>
      </c>
      <c r="P305" s="3" t="str">
        <f t="shared" si="7"/>
        <v>ZZZ</v>
      </c>
      <c r="Q305" s="3" t="b">
        <f t="array" ref="Q305">OR(ISNUMBER(SEARCH(P$2:P$50,$B305,5)))</f>
        <v>0</v>
      </c>
      <c r="S305" s="3" t="str">
        <f t="shared" si="8"/>
        <v>ZZZ</v>
      </c>
      <c r="T305" s="3" t="b">
        <f t="array" ref="T305">OR(ISNUMBER(SEARCH(S$2:S$100,$B305,5)))</f>
        <v>0</v>
      </c>
      <c r="V305" s="3" t="str">
        <f t="shared" si="9"/>
        <v>ZZZ</v>
      </c>
      <c r="W305" s="3" t="b">
        <f t="array" ref="W305">OR(ISNUMBER(SEARCH(V$2:V$100,$B305,5)))</f>
        <v>0</v>
      </c>
      <c r="Y305" s="3" t="str">
        <f t="shared" si="10"/>
        <v>ZZZ</v>
      </c>
      <c r="Z305" s="3" t="b">
        <f t="array" ref="Z305">OR(ISNUMBER(SEARCH(Y$2:Y$100,$B305,5)))</f>
        <v>0</v>
      </c>
      <c r="AB305" s="3" t="str">
        <f t="shared" si="11"/>
        <v>ZZZ</v>
      </c>
      <c r="AC305" s="3" t="b">
        <f t="array" ref="AC305">OR(ISNUMBER(SEARCH(AB$2:AB$100,$B305,5)))</f>
        <v>0</v>
      </c>
      <c r="AE305" s="3" t="str">
        <f t="shared" si="12"/>
        <v>ZZZ</v>
      </c>
      <c r="AF305" s="3" t="b">
        <f t="array" ref="AF305">OR(ISNUMBER(SEARCH(AE$2:AE$100,$B305,5)))</f>
        <v>0</v>
      </c>
      <c r="AH305" s="3" t="str">
        <f t="shared" si="13"/>
        <v>ZZZ</v>
      </c>
      <c r="AI305" s="3" t="b">
        <f t="array" ref="AI305">OR(ISNUMBER(SEARCH(AH$2:AH$100,$B305,5)))</f>
        <v>0</v>
      </c>
      <c r="AK305" s="3" t="str">
        <f t="shared" si="14"/>
        <v>ZZZ</v>
      </c>
      <c r="AL305" s="3" t="b">
        <f t="array" ref="AL305">OR(ISNUMBER(SEARCH(AK$2:AK$100,$B305,5)))</f>
        <v>0</v>
      </c>
      <c r="AU305" s="8"/>
      <c r="AV305" s="6"/>
      <c r="AW305" s="8"/>
      <c r="AX305" s="8"/>
      <c r="AY305" s="6"/>
      <c r="AZ305" s="8"/>
      <c r="BA305" s="8"/>
      <c r="BB305" s="6"/>
      <c r="BC305" s="8"/>
      <c r="BD305" s="8"/>
      <c r="BE305" s="6"/>
      <c r="BF305" s="8"/>
      <c r="BG305" s="8"/>
      <c r="BH305" s="6"/>
      <c r="BI305" s="8"/>
      <c r="BJ305" s="8"/>
      <c r="BK305" s="6"/>
      <c r="BL305" s="8"/>
      <c r="BM305" s="8"/>
      <c r="BN305" s="6"/>
      <c r="BO305" s="8"/>
      <c r="BP305" s="8"/>
      <c r="BQ305" s="6"/>
      <c r="BR305" s="8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/>
      <c r="KB305" s="7"/>
      <c r="KC305" s="7"/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</row>
    <row r="306">
      <c r="A306" s="6"/>
      <c r="B306" s="6" t="s">
        <v>306</v>
      </c>
      <c r="C306" s="3" t="str">
        <f t="shared" si="3"/>
        <v>dark gold</v>
      </c>
      <c r="D306" s="3" t="str">
        <f t="shared" si="17"/>
        <v>ZZZ</v>
      </c>
      <c r="E306" s="3" t="b">
        <f t="array" ref="E306">OR(ISNUMBER(SEARCH(D$2:D$30,$B306,5)))</f>
        <v>0</v>
      </c>
      <c r="G306" s="3" t="str">
        <f t="shared" si="4"/>
        <v>ZZZ</v>
      </c>
      <c r="H306" s="3" t="b">
        <f t="array" ref="H306">OR(ISNUMBER(SEARCH(G$2:G$30,$B306,5)))</f>
        <v>0</v>
      </c>
      <c r="J306" s="3" t="str">
        <f t="shared" si="5"/>
        <v>ZZZ</v>
      </c>
      <c r="K306" s="3" t="b">
        <f t="array" ref="K306">OR(ISNUMBER(SEARCH(J$2:J$30,$B306,5)))</f>
        <v>0</v>
      </c>
      <c r="M306" s="3" t="str">
        <f t="shared" si="6"/>
        <v>ZZZ</v>
      </c>
      <c r="N306" s="3" t="b">
        <f t="array" ref="N306">OR(ISNUMBER(SEARCH(M$2:M$30,$B306,5)))</f>
        <v>0</v>
      </c>
      <c r="P306" s="3" t="str">
        <f t="shared" si="7"/>
        <v>ZZZ</v>
      </c>
      <c r="Q306" s="3" t="b">
        <f t="array" ref="Q306">OR(ISNUMBER(SEARCH(P$2:P$50,$B306,5)))</f>
        <v>0</v>
      </c>
      <c r="S306" s="3" t="str">
        <f t="shared" si="8"/>
        <v>ZZZ</v>
      </c>
      <c r="T306" s="3" t="b">
        <f t="array" ref="T306">OR(ISNUMBER(SEARCH(S$2:S$100,$B306,5)))</f>
        <v>1</v>
      </c>
      <c r="V306" s="3" t="str">
        <f t="shared" si="9"/>
        <v>ZZZ</v>
      </c>
      <c r="W306" s="3" t="b">
        <f t="array" ref="W306">OR(ISNUMBER(SEARCH(V$2:V$100,$B306,5)))</f>
        <v>0</v>
      </c>
      <c r="Y306" s="3" t="str">
        <f t="shared" si="10"/>
        <v>ZZZ</v>
      </c>
      <c r="Z306" s="3" t="b">
        <f t="array" ref="Z306">OR(ISNUMBER(SEARCH(Y$2:Y$100,$B306,5)))</f>
        <v>0</v>
      </c>
      <c r="AB306" s="3" t="str">
        <f t="shared" si="11"/>
        <v>ZZZ</v>
      </c>
      <c r="AC306" s="3" t="b">
        <f t="array" ref="AC306">OR(ISNUMBER(SEARCH(AB$2:AB$100,$B306,5)))</f>
        <v>0</v>
      </c>
      <c r="AE306" s="3" t="str">
        <f t="shared" si="12"/>
        <v>ZZZ</v>
      </c>
      <c r="AF306" s="3" t="b">
        <f t="array" ref="AF306">OR(ISNUMBER(SEARCH(AE$2:AE$100,$B306,5)))</f>
        <v>0</v>
      </c>
      <c r="AH306" s="3" t="str">
        <f t="shared" si="13"/>
        <v>ZZZ</v>
      </c>
      <c r="AI306" s="3" t="b">
        <f t="array" ref="AI306">OR(ISNUMBER(SEARCH(AH$2:AH$100,$B306,5)))</f>
        <v>0</v>
      </c>
      <c r="AK306" s="3" t="str">
        <f t="shared" si="14"/>
        <v>ZZZ</v>
      </c>
      <c r="AL306" s="3" t="b">
        <f t="array" ref="AL306">OR(ISNUMBER(SEARCH(AK$2:AK$100,$B306,5)))</f>
        <v>0</v>
      </c>
      <c r="AU306" s="8"/>
      <c r="AV306" s="6"/>
      <c r="AW306" s="8"/>
      <c r="AX306" s="8"/>
      <c r="AY306" s="6"/>
      <c r="AZ306" s="8"/>
      <c r="BA306" s="8"/>
      <c r="BB306" s="6"/>
      <c r="BC306" s="8"/>
      <c r="BD306" s="8"/>
      <c r="BE306" s="6"/>
      <c r="BF306" s="8"/>
      <c r="BG306" s="8"/>
      <c r="BH306" s="6"/>
      <c r="BI306" s="8"/>
      <c r="BJ306" s="8"/>
      <c r="BK306" s="6"/>
      <c r="BL306" s="8"/>
      <c r="BM306" s="8"/>
      <c r="BN306" s="6"/>
      <c r="BO306" s="8"/>
      <c r="BP306" s="8"/>
      <c r="BQ306" s="6"/>
      <c r="BR306" s="8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</row>
    <row r="307">
      <c r="A307" s="6"/>
      <c r="B307" s="6" t="s">
        <v>307</v>
      </c>
      <c r="C307" s="3" t="str">
        <f t="shared" si="3"/>
        <v>dim black</v>
      </c>
      <c r="D307" s="3" t="str">
        <f t="shared" si="17"/>
        <v>ZZZ</v>
      </c>
      <c r="E307" s="3" t="b">
        <f t="array" ref="E307">OR(ISNUMBER(SEARCH(D$2:D$30,$B307,5)))</f>
        <v>0</v>
      </c>
      <c r="G307" s="3" t="str">
        <f t="shared" si="4"/>
        <v>ZZZ</v>
      </c>
      <c r="H307" s="3" t="b">
        <f t="array" ref="H307">OR(ISNUMBER(SEARCH(G$2:G$30,$B307,5)))</f>
        <v>0</v>
      </c>
      <c r="J307" s="3" t="str">
        <f t="shared" si="5"/>
        <v>ZZZ</v>
      </c>
      <c r="K307" s="3" t="b">
        <f t="array" ref="K307">OR(ISNUMBER(SEARCH(J$2:J$30,$B307,5)))</f>
        <v>0</v>
      </c>
      <c r="M307" s="3" t="str">
        <f t="shared" si="6"/>
        <v>ZZZ</v>
      </c>
      <c r="N307" s="3" t="b">
        <f t="array" ref="N307">OR(ISNUMBER(SEARCH(M$2:M$30,$B307,5)))</f>
        <v>0</v>
      </c>
      <c r="P307" s="3" t="str">
        <f t="shared" si="7"/>
        <v>ZZZ</v>
      </c>
      <c r="Q307" s="3" t="b">
        <f t="array" ref="Q307">OR(ISNUMBER(SEARCH(P$2:P$50,$B307,5)))</f>
        <v>0</v>
      </c>
      <c r="S307" s="3" t="str">
        <f t="shared" si="8"/>
        <v>ZZZ</v>
      </c>
      <c r="T307" s="3" t="b">
        <f t="array" ref="T307">OR(ISNUMBER(SEARCH(S$2:S$100,$B307,5)))</f>
        <v>0</v>
      </c>
      <c r="V307" s="3" t="str">
        <f t="shared" si="9"/>
        <v>ZZZ</v>
      </c>
      <c r="W307" s="3" t="b">
        <f t="array" ref="W307">OR(ISNUMBER(SEARCH(V$2:V$100,$B307,5)))</f>
        <v>0</v>
      </c>
      <c r="Y307" s="3" t="str">
        <f t="shared" si="10"/>
        <v>ZZZ</v>
      </c>
      <c r="Z307" s="3" t="b">
        <f t="array" ref="Z307">OR(ISNUMBER(SEARCH(Y$2:Y$100,$B307,5)))</f>
        <v>0</v>
      </c>
      <c r="AB307" s="3" t="str">
        <f t="shared" si="11"/>
        <v>ZZZ</v>
      </c>
      <c r="AC307" s="3" t="b">
        <f t="array" ref="AC307">OR(ISNUMBER(SEARCH(AB$2:AB$100,$B307,5)))</f>
        <v>0</v>
      </c>
      <c r="AE307" s="3" t="str">
        <f t="shared" si="12"/>
        <v>ZZZ</v>
      </c>
      <c r="AF307" s="3" t="b">
        <f t="array" ref="AF307">OR(ISNUMBER(SEARCH(AE$2:AE$100,$B307,5)))</f>
        <v>0</v>
      </c>
      <c r="AH307" s="3" t="str">
        <f t="shared" si="13"/>
        <v>ZZZ</v>
      </c>
      <c r="AI307" s="3" t="b">
        <f t="array" ref="AI307">OR(ISNUMBER(SEARCH(AH$2:AH$100,$B307,5)))</f>
        <v>0</v>
      </c>
      <c r="AK307" s="3" t="str">
        <f t="shared" si="14"/>
        <v>ZZZ</v>
      </c>
      <c r="AL307" s="3" t="b">
        <f t="array" ref="AL307">OR(ISNUMBER(SEARCH(AK$2:AK$100,$B307,5)))</f>
        <v>0</v>
      </c>
      <c r="AU307" s="8"/>
      <c r="AV307" s="6"/>
      <c r="AW307" s="8"/>
      <c r="AX307" s="8"/>
      <c r="AY307" s="6"/>
      <c r="AZ307" s="8"/>
      <c r="BA307" s="8"/>
      <c r="BB307" s="6"/>
      <c r="BC307" s="8"/>
      <c r="BD307" s="8"/>
      <c r="BE307" s="6"/>
      <c r="BF307" s="8"/>
      <c r="BG307" s="8"/>
      <c r="BH307" s="6"/>
      <c r="BI307" s="8"/>
      <c r="BJ307" s="8"/>
      <c r="BK307" s="6"/>
      <c r="BL307" s="8"/>
      <c r="BM307" s="8"/>
      <c r="BN307" s="6"/>
      <c r="BO307" s="8"/>
      <c r="BP307" s="8"/>
      <c r="BQ307" s="6"/>
      <c r="BR307" s="8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</row>
    <row r="308">
      <c r="A308" s="6"/>
      <c r="B308" s="6" t="s">
        <v>308</v>
      </c>
      <c r="C308" s="3" t="str">
        <f t="shared" si="3"/>
        <v>plaid salmon</v>
      </c>
      <c r="D308" s="3" t="str">
        <f t="shared" si="17"/>
        <v>ZZZ</v>
      </c>
      <c r="E308" s="3" t="b">
        <f t="array" ref="E308">OR(ISNUMBER(SEARCH(D$2:D$30,$B308,5)))</f>
        <v>0</v>
      </c>
      <c r="G308" s="3" t="str">
        <f t="shared" si="4"/>
        <v>ZZZ</v>
      </c>
      <c r="H308" s="3" t="b">
        <f t="array" ref="H308">OR(ISNUMBER(SEARCH(G$2:G$30,$B308,5)))</f>
        <v>0</v>
      </c>
      <c r="J308" s="3" t="str">
        <f t="shared" si="5"/>
        <v>ZZZ</v>
      </c>
      <c r="K308" s="3" t="b">
        <f t="array" ref="K308">OR(ISNUMBER(SEARCH(J$2:J$30,$B308,5)))</f>
        <v>0</v>
      </c>
      <c r="M308" s="3" t="str">
        <f t="shared" si="6"/>
        <v>ZZZ</v>
      </c>
      <c r="N308" s="3" t="b">
        <f t="array" ref="N308">OR(ISNUMBER(SEARCH(M$2:M$30,$B308,5)))</f>
        <v>0</v>
      </c>
      <c r="P308" s="3" t="str">
        <f t="shared" si="7"/>
        <v>ZZZ</v>
      </c>
      <c r="Q308" s="3" t="b">
        <f t="array" ref="Q308">OR(ISNUMBER(SEARCH(P$2:P$50,$B308,5)))</f>
        <v>0</v>
      </c>
      <c r="S308" s="3" t="str">
        <f t="shared" si="8"/>
        <v>ZZZ</v>
      </c>
      <c r="T308" s="3" t="b">
        <f t="array" ref="T308">OR(ISNUMBER(SEARCH(S$2:S$100,$B308,5)))</f>
        <v>1</v>
      </c>
      <c r="V308" s="3" t="str">
        <f t="shared" si="9"/>
        <v>ZZZ</v>
      </c>
      <c r="W308" s="3" t="b">
        <f t="array" ref="W308">OR(ISNUMBER(SEARCH(V$2:V$100,$B308,5)))</f>
        <v>0</v>
      </c>
      <c r="Y308" s="3" t="str">
        <f t="shared" si="10"/>
        <v>ZZZ</v>
      </c>
      <c r="Z308" s="3" t="b">
        <f t="array" ref="Z308">OR(ISNUMBER(SEARCH(Y$2:Y$100,$B308,5)))</f>
        <v>0</v>
      </c>
      <c r="AB308" s="3" t="str">
        <f t="shared" si="11"/>
        <v>ZZZ</v>
      </c>
      <c r="AC308" s="3" t="b">
        <f t="array" ref="AC308">OR(ISNUMBER(SEARCH(AB$2:AB$100,$B308,5)))</f>
        <v>0</v>
      </c>
      <c r="AE308" s="3" t="str">
        <f t="shared" si="12"/>
        <v>ZZZ</v>
      </c>
      <c r="AF308" s="3" t="b">
        <f t="array" ref="AF308">OR(ISNUMBER(SEARCH(AE$2:AE$100,$B308,5)))</f>
        <v>0</v>
      </c>
      <c r="AH308" s="3" t="str">
        <f t="shared" si="13"/>
        <v>ZZZ</v>
      </c>
      <c r="AI308" s="3" t="b">
        <f t="array" ref="AI308">OR(ISNUMBER(SEARCH(AH$2:AH$100,$B308,5)))</f>
        <v>0</v>
      </c>
      <c r="AK308" s="3" t="str">
        <f t="shared" si="14"/>
        <v>ZZZ</v>
      </c>
      <c r="AL308" s="3" t="b">
        <f t="array" ref="AL308">OR(ISNUMBER(SEARCH(AK$2:AK$100,$B308,5)))</f>
        <v>0</v>
      </c>
      <c r="AU308" s="8"/>
      <c r="AV308" s="6"/>
      <c r="AW308" s="8"/>
      <c r="AX308" s="8"/>
      <c r="AY308" s="6"/>
      <c r="AZ308" s="8"/>
      <c r="BA308" s="8"/>
      <c r="BB308" s="6"/>
      <c r="BC308" s="8"/>
      <c r="BD308" s="8"/>
      <c r="BE308" s="6"/>
      <c r="BF308" s="8"/>
      <c r="BG308" s="8"/>
      <c r="BH308" s="6"/>
      <c r="BI308" s="8"/>
      <c r="BJ308" s="8"/>
      <c r="BK308" s="6"/>
      <c r="BL308" s="8"/>
      <c r="BM308" s="8"/>
      <c r="BN308" s="6"/>
      <c r="BO308" s="8"/>
      <c r="BP308" s="8"/>
      <c r="BQ308" s="6"/>
      <c r="BR308" s="8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</row>
    <row r="309">
      <c r="A309" s="6"/>
      <c r="B309" s="6" t="s">
        <v>309</v>
      </c>
      <c r="C309" s="3" t="str">
        <f t="shared" si="3"/>
        <v>vibrant bronze</v>
      </c>
      <c r="D309" s="3" t="str">
        <f t="shared" si="17"/>
        <v>ZZZ</v>
      </c>
      <c r="E309" s="3" t="b">
        <f t="array" ref="E309">OR(ISNUMBER(SEARCH(D$2:D$30,$B309,5)))</f>
        <v>0</v>
      </c>
      <c r="G309" s="3" t="str">
        <f t="shared" si="4"/>
        <v>ZZZ</v>
      </c>
      <c r="H309" s="3" t="b">
        <f t="array" ref="H309">OR(ISNUMBER(SEARCH(G$2:G$30,$B309,5)))</f>
        <v>0</v>
      </c>
      <c r="J309" s="3" t="str">
        <f t="shared" si="5"/>
        <v>ZZZ</v>
      </c>
      <c r="K309" s="3" t="b">
        <f t="array" ref="K309">OR(ISNUMBER(SEARCH(J$2:J$30,$B309,5)))</f>
        <v>0</v>
      </c>
      <c r="M309" s="3" t="str">
        <f t="shared" si="6"/>
        <v>ZZZ</v>
      </c>
      <c r="N309" s="3" t="b">
        <f t="array" ref="N309">OR(ISNUMBER(SEARCH(M$2:M$30,$B309,5)))</f>
        <v>0</v>
      </c>
      <c r="P309" s="3" t="str">
        <f t="shared" si="7"/>
        <v>ZZZ</v>
      </c>
      <c r="Q309" s="3" t="b">
        <f t="array" ref="Q309">OR(ISNUMBER(SEARCH(P$2:P$50,$B309,5)))</f>
        <v>0</v>
      </c>
      <c r="S309" s="3" t="str">
        <f t="shared" si="8"/>
        <v>ZZZ</v>
      </c>
      <c r="T309" s="3" t="b">
        <f t="array" ref="T309">OR(ISNUMBER(SEARCH(S$2:S$100,$B309,5)))</f>
        <v>0</v>
      </c>
      <c r="V309" s="3" t="str">
        <f t="shared" si="9"/>
        <v>ZZZ</v>
      </c>
      <c r="W309" s="3" t="b">
        <f t="array" ref="W309">OR(ISNUMBER(SEARCH(V$2:V$100,$B309,5)))</f>
        <v>0</v>
      </c>
      <c r="Y309" s="3" t="str">
        <f t="shared" si="10"/>
        <v>ZZZ</v>
      </c>
      <c r="Z309" s="3" t="b">
        <f t="array" ref="Z309">OR(ISNUMBER(SEARCH(Y$2:Y$100,$B309,5)))</f>
        <v>0</v>
      </c>
      <c r="AB309" s="3" t="str">
        <f t="shared" si="11"/>
        <v>ZZZ</v>
      </c>
      <c r="AC309" s="3" t="b">
        <f t="array" ref="AC309">OR(ISNUMBER(SEARCH(AB$2:AB$100,$B309,5)))</f>
        <v>0</v>
      </c>
      <c r="AE309" s="3" t="str">
        <f t="shared" si="12"/>
        <v>ZZZ</v>
      </c>
      <c r="AF309" s="3" t="b">
        <f t="array" ref="AF309">OR(ISNUMBER(SEARCH(AE$2:AE$100,$B309,5)))</f>
        <v>0</v>
      </c>
      <c r="AH309" s="3" t="str">
        <f t="shared" si="13"/>
        <v>ZZZ</v>
      </c>
      <c r="AI309" s="3" t="b">
        <f t="array" ref="AI309">OR(ISNUMBER(SEARCH(AH$2:AH$100,$B309,5)))</f>
        <v>0</v>
      </c>
      <c r="AK309" s="3" t="str">
        <f t="shared" si="14"/>
        <v>ZZZ</v>
      </c>
      <c r="AL309" s="3" t="b">
        <f t="array" ref="AL309">OR(ISNUMBER(SEARCH(AK$2:AK$100,$B309,5)))</f>
        <v>0</v>
      </c>
      <c r="AU309" s="8"/>
      <c r="AV309" s="6"/>
      <c r="AW309" s="8"/>
      <c r="AX309" s="8"/>
      <c r="AY309" s="6"/>
      <c r="AZ309" s="8"/>
      <c r="BA309" s="8"/>
      <c r="BB309" s="6"/>
      <c r="BC309" s="8"/>
      <c r="BD309" s="8"/>
      <c r="BE309" s="6"/>
      <c r="BF309" s="8"/>
      <c r="BG309" s="8"/>
      <c r="BH309" s="6"/>
      <c r="BI309" s="8"/>
      <c r="BJ309" s="8"/>
      <c r="BK309" s="6"/>
      <c r="BL309" s="8"/>
      <c r="BM309" s="8"/>
      <c r="BN309" s="6"/>
      <c r="BO309" s="8"/>
      <c r="BP309" s="8"/>
      <c r="BQ309" s="6"/>
      <c r="BR309" s="8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</row>
    <row r="310">
      <c r="A310" s="6"/>
      <c r="B310" s="6" t="s">
        <v>310</v>
      </c>
      <c r="C310" s="3" t="str">
        <f t="shared" si="3"/>
        <v>wavy brown</v>
      </c>
      <c r="D310" s="3" t="str">
        <f t="shared" si="17"/>
        <v>ZZZ</v>
      </c>
      <c r="E310" s="3" t="b">
        <f t="array" ref="E310">OR(ISNUMBER(SEARCH(D$2:D$30,$B310,5)))</f>
        <v>0</v>
      </c>
      <c r="G310" s="3" t="str">
        <f t="shared" si="4"/>
        <v>ZZZ</v>
      </c>
      <c r="H310" s="3" t="b">
        <f t="array" ref="H310">OR(ISNUMBER(SEARCH(G$2:G$30,$B310,5)))</f>
        <v>0</v>
      </c>
      <c r="J310" s="3" t="str">
        <f t="shared" si="5"/>
        <v>ZZZ</v>
      </c>
      <c r="K310" s="3" t="b">
        <f t="array" ref="K310">OR(ISNUMBER(SEARCH(J$2:J$30,$B310,5)))</f>
        <v>0</v>
      </c>
      <c r="M310" s="3" t="str">
        <f t="shared" si="6"/>
        <v>ZZZ</v>
      </c>
      <c r="N310" s="3" t="b">
        <f t="array" ref="N310">OR(ISNUMBER(SEARCH(M$2:M$30,$B310,5)))</f>
        <v>0</v>
      </c>
      <c r="P310" s="3" t="str">
        <f t="shared" si="7"/>
        <v>ZZZ</v>
      </c>
      <c r="Q310" s="3" t="b">
        <f t="array" ref="Q310">OR(ISNUMBER(SEARCH(P$2:P$50,$B310,5)))</f>
        <v>0</v>
      </c>
      <c r="S310" s="3" t="str">
        <f t="shared" si="8"/>
        <v>ZZZ</v>
      </c>
      <c r="T310" s="3" t="b">
        <f t="array" ref="T310">OR(ISNUMBER(SEARCH(S$2:S$100,$B310,5)))</f>
        <v>0</v>
      </c>
      <c r="V310" s="3" t="str">
        <f t="shared" si="9"/>
        <v>ZZZ</v>
      </c>
      <c r="W310" s="3" t="b">
        <f t="array" ref="W310">OR(ISNUMBER(SEARCH(V$2:V$100,$B310,5)))</f>
        <v>0</v>
      </c>
      <c r="Y310" s="3" t="str">
        <f t="shared" si="10"/>
        <v>ZZZ</v>
      </c>
      <c r="Z310" s="3" t="b">
        <f t="array" ref="Z310">OR(ISNUMBER(SEARCH(Y$2:Y$100,$B310,5)))</f>
        <v>1</v>
      </c>
      <c r="AB310" s="3" t="str">
        <f t="shared" si="11"/>
        <v>ZZZ</v>
      </c>
      <c r="AC310" s="3" t="b">
        <f t="array" ref="AC310">OR(ISNUMBER(SEARCH(AB$2:AB$100,$B310,5)))</f>
        <v>0</v>
      </c>
      <c r="AE310" s="3" t="str">
        <f t="shared" si="12"/>
        <v>ZZZ</v>
      </c>
      <c r="AF310" s="3" t="b">
        <f t="array" ref="AF310">OR(ISNUMBER(SEARCH(AE$2:AE$100,$B310,5)))</f>
        <v>0</v>
      </c>
      <c r="AH310" s="3" t="str">
        <f t="shared" si="13"/>
        <v>ZZZ</v>
      </c>
      <c r="AI310" s="3" t="b">
        <f t="array" ref="AI310">OR(ISNUMBER(SEARCH(AH$2:AH$100,$B310,5)))</f>
        <v>0</v>
      </c>
      <c r="AK310" s="3" t="str">
        <f t="shared" si="14"/>
        <v>ZZZ</v>
      </c>
      <c r="AL310" s="3" t="b">
        <f t="array" ref="AL310">OR(ISNUMBER(SEARCH(AK$2:AK$100,$B310,5)))</f>
        <v>0</v>
      </c>
      <c r="AU310" s="8"/>
      <c r="AV310" s="6"/>
      <c r="AW310" s="8"/>
      <c r="AX310" s="8"/>
      <c r="AY310" s="6"/>
      <c r="AZ310" s="8"/>
      <c r="BA310" s="8"/>
      <c r="BB310" s="6"/>
      <c r="BC310" s="8"/>
      <c r="BD310" s="8"/>
      <c r="BE310" s="6"/>
      <c r="BF310" s="8"/>
      <c r="BG310" s="8"/>
      <c r="BH310" s="6"/>
      <c r="BI310" s="8"/>
      <c r="BJ310" s="8"/>
      <c r="BK310" s="6"/>
      <c r="BL310" s="8"/>
      <c r="BM310" s="8"/>
      <c r="BN310" s="6"/>
      <c r="BO310" s="8"/>
      <c r="BP310" s="8"/>
      <c r="BQ310" s="6"/>
      <c r="BR310" s="8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7"/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</row>
    <row r="311">
      <c r="A311" s="6"/>
      <c r="B311" s="6" t="s">
        <v>311</v>
      </c>
      <c r="C311" s="3" t="str">
        <f t="shared" si="3"/>
        <v>dotted lavender</v>
      </c>
      <c r="D311" s="3" t="str">
        <f t="shared" si="17"/>
        <v>ZZZ</v>
      </c>
      <c r="E311" s="3" t="b">
        <f t="array" ref="E311">OR(ISNUMBER(SEARCH(D$2:D$30,$B311,5)))</f>
        <v>0</v>
      </c>
      <c r="G311" s="3" t="str">
        <f t="shared" si="4"/>
        <v>ZZZ</v>
      </c>
      <c r="H311" s="3" t="b">
        <f t="array" ref="H311">OR(ISNUMBER(SEARCH(G$2:G$30,$B311,5)))</f>
        <v>0</v>
      </c>
      <c r="J311" s="3" t="str">
        <f t="shared" si="5"/>
        <v>ZZZ</v>
      </c>
      <c r="K311" s="3" t="b">
        <f t="array" ref="K311">OR(ISNUMBER(SEARCH(J$2:J$30,$B311,5)))</f>
        <v>0</v>
      </c>
      <c r="M311" s="3" t="str">
        <f t="shared" si="6"/>
        <v>ZZZ</v>
      </c>
      <c r="N311" s="3" t="b">
        <f t="array" ref="N311">OR(ISNUMBER(SEARCH(M$2:M$30,$B311,5)))</f>
        <v>0</v>
      </c>
      <c r="P311" s="3" t="str">
        <f t="shared" si="7"/>
        <v>ZZZ</v>
      </c>
      <c r="Q311" s="3" t="b">
        <f t="array" ref="Q311">OR(ISNUMBER(SEARCH(P$2:P$50,$B311,5)))</f>
        <v>0</v>
      </c>
      <c r="S311" s="3" t="str">
        <f t="shared" si="8"/>
        <v>ZZZ</v>
      </c>
      <c r="T311" s="3" t="b">
        <f t="array" ref="T311">OR(ISNUMBER(SEARCH(S$2:S$100,$B311,5)))</f>
        <v>1</v>
      </c>
      <c r="V311" s="3" t="str">
        <f t="shared" si="9"/>
        <v>ZZZ</v>
      </c>
      <c r="W311" s="3" t="b">
        <f t="array" ref="W311">OR(ISNUMBER(SEARCH(V$2:V$100,$B311,5)))</f>
        <v>0</v>
      </c>
      <c r="Y311" s="3" t="str">
        <f t="shared" si="10"/>
        <v>ZZZ</v>
      </c>
      <c r="Z311" s="3" t="b">
        <f t="array" ref="Z311">OR(ISNUMBER(SEARCH(Y$2:Y$100,$B311,5)))</f>
        <v>0</v>
      </c>
      <c r="AB311" s="3" t="str">
        <f t="shared" si="11"/>
        <v>ZZZ</v>
      </c>
      <c r="AC311" s="3" t="b">
        <f t="array" ref="AC311">OR(ISNUMBER(SEARCH(AB$2:AB$100,$B311,5)))</f>
        <v>0</v>
      </c>
      <c r="AE311" s="3" t="str">
        <f t="shared" si="12"/>
        <v>ZZZ</v>
      </c>
      <c r="AF311" s="3" t="b">
        <f t="array" ref="AF311">OR(ISNUMBER(SEARCH(AE$2:AE$100,$B311,5)))</f>
        <v>0</v>
      </c>
      <c r="AH311" s="3" t="str">
        <f t="shared" si="13"/>
        <v>ZZZ</v>
      </c>
      <c r="AI311" s="3" t="b">
        <f t="array" ref="AI311">OR(ISNUMBER(SEARCH(AH$2:AH$100,$B311,5)))</f>
        <v>0</v>
      </c>
      <c r="AK311" s="3" t="str">
        <f t="shared" si="14"/>
        <v>ZZZ</v>
      </c>
      <c r="AL311" s="3" t="b">
        <f t="array" ref="AL311">OR(ISNUMBER(SEARCH(AK$2:AK$100,$B311,5)))</f>
        <v>0</v>
      </c>
      <c r="AU311" s="8"/>
      <c r="AV311" s="6"/>
      <c r="AW311" s="8"/>
      <c r="AX311" s="8"/>
      <c r="AY311" s="6"/>
      <c r="AZ311" s="8"/>
      <c r="BA311" s="8"/>
      <c r="BB311" s="6"/>
      <c r="BC311" s="8"/>
      <c r="BD311" s="8"/>
      <c r="BE311" s="6"/>
      <c r="BF311" s="8"/>
      <c r="BG311" s="8"/>
      <c r="BH311" s="6"/>
      <c r="BI311" s="8"/>
      <c r="BJ311" s="8"/>
      <c r="BK311" s="6"/>
      <c r="BL311" s="8"/>
      <c r="BM311" s="8"/>
      <c r="BN311" s="6"/>
      <c r="BO311" s="8"/>
      <c r="BP311" s="8"/>
      <c r="BQ311" s="6"/>
      <c r="BR311" s="8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</row>
    <row r="312">
      <c r="A312" s="6"/>
      <c r="B312" s="6" t="s">
        <v>312</v>
      </c>
      <c r="C312" s="3" t="str">
        <f t="shared" si="3"/>
        <v>dotted gold</v>
      </c>
      <c r="D312" s="3" t="str">
        <f t="shared" si="17"/>
        <v>ZZZ</v>
      </c>
      <c r="E312" s="3" t="b">
        <f t="array" ref="E312">OR(ISNUMBER(SEARCH(D$2:D$30,$B312,5)))</f>
        <v>0</v>
      </c>
      <c r="G312" s="3" t="str">
        <f t="shared" si="4"/>
        <v>ZZZ</v>
      </c>
      <c r="H312" s="3" t="b">
        <f t="array" ref="H312">OR(ISNUMBER(SEARCH(G$2:G$30,$B312,5)))</f>
        <v>0</v>
      </c>
      <c r="J312" s="3" t="str">
        <f t="shared" si="5"/>
        <v>ZZZ</v>
      </c>
      <c r="K312" s="3" t="b">
        <f t="array" ref="K312">OR(ISNUMBER(SEARCH(J$2:J$30,$B312,5)))</f>
        <v>0</v>
      </c>
      <c r="M312" s="3" t="str">
        <f t="shared" si="6"/>
        <v>ZZZ</v>
      </c>
      <c r="N312" s="3" t="b">
        <f t="array" ref="N312">OR(ISNUMBER(SEARCH(M$2:M$30,$B312,5)))</f>
        <v>0</v>
      </c>
      <c r="P312" s="3" t="str">
        <f t="shared" si="7"/>
        <v>ZZZ</v>
      </c>
      <c r="Q312" s="3" t="b">
        <f t="array" ref="Q312">OR(ISNUMBER(SEARCH(P$2:P$50,$B312,5)))</f>
        <v>0</v>
      </c>
      <c r="S312" s="3" t="str">
        <f t="shared" si="8"/>
        <v>ZZZ</v>
      </c>
      <c r="T312" s="3" t="b">
        <f t="array" ref="T312">OR(ISNUMBER(SEARCH(S$2:S$100,$B312,5)))</f>
        <v>0</v>
      </c>
      <c r="V312" s="3" t="str">
        <f t="shared" si="9"/>
        <v>ZZZ</v>
      </c>
      <c r="W312" s="3" t="b">
        <f t="array" ref="W312">OR(ISNUMBER(SEARCH(V$2:V$100,$B312,5)))</f>
        <v>0</v>
      </c>
      <c r="Y312" s="3" t="str">
        <f t="shared" si="10"/>
        <v>ZZZ</v>
      </c>
      <c r="Z312" s="3" t="b">
        <f t="array" ref="Z312">OR(ISNUMBER(SEARCH(Y$2:Y$100,$B312,5)))</f>
        <v>0</v>
      </c>
      <c r="AB312" s="3" t="str">
        <f t="shared" si="11"/>
        <v>ZZZ</v>
      </c>
      <c r="AC312" s="3" t="b">
        <f t="array" ref="AC312">OR(ISNUMBER(SEARCH(AB$2:AB$100,$B312,5)))</f>
        <v>0</v>
      </c>
      <c r="AE312" s="3" t="str">
        <f t="shared" si="12"/>
        <v>ZZZ</v>
      </c>
      <c r="AF312" s="3" t="b">
        <f t="array" ref="AF312">OR(ISNUMBER(SEARCH(AE$2:AE$100,$B312,5)))</f>
        <v>0</v>
      </c>
      <c r="AH312" s="3" t="str">
        <f t="shared" si="13"/>
        <v>ZZZ</v>
      </c>
      <c r="AI312" s="3" t="b">
        <f t="array" ref="AI312">OR(ISNUMBER(SEARCH(AH$2:AH$100,$B312,5)))</f>
        <v>0</v>
      </c>
      <c r="AK312" s="3" t="str">
        <f t="shared" si="14"/>
        <v>ZZZ</v>
      </c>
      <c r="AL312" s="3" t="b">
        <f t="array" ref="AL312">OR(ISNUMBER(SEARCH(AK$2:AK$100,$B312,5)))</f>
        <v>0</v>
      </c>
      <c r="AU312" s="8"/>
      <c r="AV312" s="6"/>
      <c r="AW312" s="8"/>
      <c r="AX312" s="8"/>
      <c r="AY312" s="6"/>
      <c r="AZ312" s="8"/>
      <c r="BA312" s="8"/>
      <c r="BB312" s="6"/>
      <c r="BC312" s="8"/>
      <c r="BD312" s="8"/>
      <c r="BE312" s="6"/>
      <c r="BF312" s="8"/>
      <c r="BG312" s="8"/>
      <c r="BH312" s="6"/>
      <c r="BI312" s="8"/>
      <c r="BJ312" s="8"/>
      <c r="BK312" s="6"/>
      <c r="BL312" s="8"/>
      <c r="BM312" s="8"/>
      <c r="BN312" s="6"/>
      <c r="BO312" s="8"/>
      <c r="BP312" s="8"/>
      <c r="BQ312" s="6"/>
      <c r="BR312" s="8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/>
      <c r="JI312" s="7"/>
      <c r="JJ312" s="7"/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</row>
    <row r="313">
      <c r="A313" s="6"/>
      <c r="B313" s="6" t="s">
        <v>313</v>
      </c>
      <c r="C313" s="3" t="str">
        <f t="shared" si="3"/>
        <v>faded brown</v>
      </c>
      <c r="D313" s="3" t="str">
        <f t="shared" si="17"/>
        <v>ZZZ</v>
      </c>
      <c r="E313" s="3" t="b">
        <f t="array" ref="E313">OR(ISNUMBER(SEARCH(D$2:D$30,$B313,5)))</f>
        <v>0</v>
      </c>
      <c r="G313" s="3" t="str">
        <f t="shared" si="4"/>
        <v>ZZZ</v>
      </c>
      <c r="H313" s="3" t="b">
        <f t="array" ref="H313">OR(ISNUMBER(SEARCH(G$2:G$30,$B313,5)))</f>
        <v>0</v>
      </c>
      <c r="J313" s="3" t="str">
        <f t="shared" si="5"/>
        <v>ZZZ</v>
      </c>
      <c r="K313" s="3" t="b">
        <f t="array" ref="K313">OR(ISNUMBER(SEARCH(J$2:J$30,$B313,5)))</f>
        <v>0</v>
      </c>
      <c r="M313" s="3" t="str">
        <f t="shared" si="6"/>
        <v>ZZZ</v>
      </c>
      <c r="N313" s="3" t="b">
        <f t="array" ref="N313">OR(ISNUMBER(SEARCH(M$2:M$30,$B313,5)))</f>
        <v>0</v>
      </c>
      <c r="P313" s="3" t="str">
        <f t="shared" si="7"/>
        <v>ZZZ</v>
      </c>
      <c r="Q313" s="3" t="b">
        <f t="array" ref="Q313">OR(ISNUMBER(SEARCH(P$2:P$50,$B313,5)))</f>
        <v>0</v>
      </c>
      <c r="S313" s="3" t="str">
        <f t="shared" si="8"/>
        <v>ZZZ</v>
      </c>
      <c r="T313" s="3" t="b">
        <f t="array" ref="T313">OR(ISNUMBER(SEARCH(S$2:S$100,$B313,5)))</f>
        <v>0</v>
      </c>
      <c r="V313" s="3" t="str">
        <f t="shared" si="9"/>
        <v>ZZZ</v>
      </c>
      <c r="W313" s="3" t="b">
        <f t="array" ref="W313">OR(ISNUMBER(SEARCH(V$2:V$100,$B313,5)))</f>
        <v>0</v>
      </c>
      <c r="Y313" s="3" t="str">
        <f t="shared" si="10"/>
        <v>ZZZ</v>
      </c>
      <c r="Z313" s="3" t="b">
        <f t="array" ref="Z313">OR(ISNUMBER(SEARCH(Y$2:Y$100,$B313,5)))</f>
        <v>0</v>
      </c>
      <c r="AB313" s="3" t="str">
        <f t="shared" si="11"/>
        <v>ZZZ</v>
      </c>
      <c r="AC313" s="3" t="b">
        <f t="array" ref="AC313">OR(ISNUMBER(SEARCH(AB$2:AB$100,$B313,5)))</f>
        <v>0</v>
      </c>
      <c r="AE313" s="3" t="str">
        <f t="shared" si="12"/>
        <v>ZZZ</v>
      </c>
      <c r="AF313" s="3" t="b">
        <f t="array" ref="AF313">OR(ISNUMBER(SEARCH(AE$2:AE$100,$B313,5)))</f>
        <v>0</v>
      </c>
      <c r="AH313" s="3" t="str">
        <f t="shared" si="13"/>
        <v>ZZZ</v>
      </c>
      <c r="AI313" s="3" t="b">
        <f t="array" ref="AI313">OR(ISNUMBER(SEARCH(AH$2:AH$100,$B313,5)))</f>
        <v>0</v>
      </c>
      <c r="AK313" s="3" t="str">
        <f t="shared" si="14"/>
        <v>ZZZ</v>
      </c>
      <c r="AL313" s="3" t="b">
        <f t="array" ref="AL313">OR(ISNUMBER(SEARCH(AK$2:AK$100,$B313,5)))</f>
        <v>0</v>
      </c>
      <c r="AU313" s="8"/>
      <c r="AV313" s="6"/>
      <c r="AW313" s="8"/>
      <c r="AX313" s="8"/>
      <c r="AY313" s="6"/>
      <c r="AZ313" s="8"/>
      <c r="BA313" s="8"/>
      <c r="BB313" s="6"/>
      <c r="BC313" s="8"/>
      <c r="BD313" s="8"/>
      <c r="BE313" s="6"/>
      <c r="BF313" s="8"/>
      <c r="BG313" s="8"/>
      <c r="BH313" s="6"/>
      <c r="BI313" s="8"/>
      <c r="BJ313" s="8"/>
      <c r="BK313" s="6"/>
      <c r="BL313" s="8"/>
      <c r="BM313" s="8"/>
      <c r="BN313" s="6"/>
      <c r="BO313" s="8"/>
      <c r="BP313" s="8"/>
      <c r="BQ313" s="6"/>
      <c r="BR313" s="8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</row>
    <row r="314">
      <c r="A314" s="6"/>
      <c r="B314" s="6" t="s">
        <v>314</v>
      </c>
      <c r="C314" s="3" t="str">
        <f t="shared" si="3"/>
        <v>light yellow</v>
      </c>
      <c r="D314" s="3" t="str">
        <f t="shared" si="17"/>
        <v>ZZZ</v>
      </c>
      <c r="E314" s="3" t="b">
        <f t="array" ref="E314">OR(ISNUMBER(SEARCH(D$2:D$30,$B314,5)))</f>
        <v>0</v>
      </c>
      <c r="G314" s="3" t="str">
        <f t="shared" si="4"/>
        <v>ZZZ</v>
      </c>
      <c r="H314" s="3" t="b">
        <f t="array" ref="H314">OR(ISNUMBER(SEARCH(G$2:G$30,$B314,5)))</f>
        <v>0</v>
      </c>
      <c r="J314" s="3" t="str">
        <f t="shared" si="5"/>
        <v>ZZZ</v>
      </c>
      <c r="K314" s="3" t="b">
        <f t="array" ref="K314">OR(ISNUMBER(SEARCH(J$2:J$30,$B314,5)))</f>
        <v>0</v>
      </c>
      <c r="M314" s="3" t="str">
        <f t="shared" si="6"/>
        <v>ZZZ</v>
      </c>
      <c r="N314" s="3" t="b">
        <f t="array" ref="N314">OR(ISNUMBER(SEARCH(M$2:M$30,$B314,5)))</f>
        <v>0</v>
      </c>
      <c r="P314" s="3" t="str">
        <f t="shared" si="7"/>
        <v>ZZZ</v>
      </c>
      <c r="Q314" s="3" t="b">
        <f t="array" ref="Q314">OR(ISNUMBER(SEARCH(P$2:P$50,$B314,5)))</f>
        <v>0</v>
      </c>
      <c r="S314" s="3" t="str">
        <f t="shared" si="8"/>
        <v>ZZZ</v>
      </c>
      <c r="T314" s="3" t="b">
        <f t="array" ref="T314">OR(ISNUMBER(SEARCH(S$2:S$100,$B314,5)))</f>
        <v>0</v>
      </c>
      <c r="V314" s="3" t="str">
        <f t="shared" si="9"/>
        <v>ZZZ</v>
      </c>
      <c r="W314" s="3" t="b">
        <f t="array" ref="W314">OR(ISNUMBER(SEARCH(V$2:V$100,$B314,5)))</f>
        <v>0</v>
      </c>
      <c r="Y314" s="3" t="str">
        <f t="shared" si="10"/>
        <v>ZZZ</v>
      </c>
      <c r="Z314" s="3" t="b">
        <f t="array" ref="Z314">OR(ISNUMBER(SEARCH(Y$2:Y$100,$B314,5)))</f>
        <v>0</v>
      </c>
      <c r="AB314" s="3" t="str">
        <f t="shared" si="11"/>
        <v>ZZZ</v>
      </c>
      <c r="AC314" s="3" t="b">
        <f t="array" ref="AC314">OR(ISNUMBER(SEARCH(AB$2:AB$100,$B314,5)))</f>
        <v>0</v>
      </c>
      <c r="AE314" s="3" t="str">
        <f t="shared" si="12"/>
        <v>ZZZ</v>
      </c>
      <c r="AF314" s="3" t="b">
        <f t="array" ref="AF314">OR(ISNUMBER(SEARCH(AE$2:AE$100,$B314,5)))</f>
        <v>0</v>
      </c>
      <c r="AH314" s="3" t="str">
        <f t="shared" si="13"/>
        <v>ZZZ</v>
      </c>
      <c r="AI314" s="3" t="b">
        <f t="array" ref="AI314">OR(ISNUMBER(SEARCH(AH$2:AH$100,$B314,5)))</f>
        <v>0</v>
      </c>
      <c r="AK314" s="3" t="str">
        <f t="shared" si="14"/>
        <v>ZZZ</v>
      </c>
      <c r="AL314" s="3" t="b">
        <f t="array" ref="AL314">OR(ISNUMBER(SEARCH(AK$2:AK$100,$B314,5)))</f>
        <v>0</v>
      </c>
      <c r="AU314" s="8"/>
      <c r="AV314" s="6"/>
      <c r="AW314" s="8"/>
      <c r="AX314" s="8"/>
      <c r="AY314" s="6"/>
      <c r="AZ314" s="8"/>
      <c r="BA314" s="8"/>
      <c r="BB314" s="6"/>
      <c r="BC314" s="8"/>
      <c r="BD314" s="8"/>
      <c r="BE314" s="6"/>
      <c r="BF314" s="8"/>
      <c r="BG314" s="8"/>
      <c r="BH314" s="6"/>
      <c r="BI314" s="8"/>
      <c r="BJ314" s="8"/>
      <c r="BK314" s="6"/>
      <c r="BL314" s="8"/>
      <c r="BM314" s="8"/>
      <c r="BN314" s="6"/>
      <c r="BO314" s="8"/>
      <c r="BP314" s="8"/>
      <c r="BQ314" s="6"/>
      <c r="BR314" s="8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</row>
    <row r="315">
      <c r="A315" s="6"/>
      <c r="B315" s="6" t="s">
        <v>315</v>
      </c>
      <c r="C315" s="3" t="str">
        <f t="shared" si="3"/>
        <v>striped salmon</v>
      </c>
      <c r="D315" s="3" t="str">
        <f t="shared" si="17"/>
        <v>ZZZ</v>
      </c>
      <c r="E315" s="3" t="b">
        <f t="array" ref="E315">OR(ISNUMBER(SEARCH(D$2:D$30,$B315,5)))</f>
        <v>0</v>
      </c>
      <c r="G315" s="3" t="str">
        <f t="shared" si="4"/>
        <v>ZZZ</v>
      </c>
      <c r="H315" s="3" t="b">
        <f t="array" ref="H315">OR(ISNUMBER(SEARCH(G$2:G$30,$B315,5)))</f>
        <v>0</v>
      </c>
      <c r="J315" s="3" t="str">
        <f t="shared" si="5"/>
        <v>ZZZ</v>
      </c>
      <c r="K315" s="3" t="b">
        <f t="array" ref="K315">OR(ISNUMBER(SEARCH(J$2:J$30,$B315,5)))</f>
        <v>0</v>
      </c>
      <c r="M315" s="3" t="str">
        <f t="shared" si="6"/>
        <v>ZZZ</v>
      </c>
      <c r="N315" s="3" t="b">
        <f t="array" ref="N315">OR(ISNUMBER(SEARCH(M$2:M$30,$B315,5)))</f>
        <v>0</v>
      </c>
      <c r="P315" s="3" t="str">
        <f t="shared" si="7"/>
        <v>ZZZ</v>
      </c>
      <c r="Q315" s="3" t="b">
        <f t="array" ref="Q315">OR(ISNUMBER(SEARCH(P$2:P$50,$B315,5)))</f>
        <v>0</v>
      </c>
      <c r="S315" s="3" t="str">
        <f t="shared" si="8"/>
        <v>ZZZ</v>
      </c>
      <c r="T315" s="3" t="b">
        <f t="array" ref="T315">OR(ISNUMBER(SEARCH(S$2:S$100,$B315,5)))</f>
        <v>0</v>
      </c>
      <c r="V315" s="3" t="str">
        <f t="shared" si="9"/>
        <v>ZZZ</v>
      </c>
      <c r="W315" s="3" t="b">
        <f t="array" ref="W315">OR(ISNUMBER(SEARCH(V$2:V$100,$B315,5)))</f>
        <v>0</v>
      </c>
      <c r="Y315" s="3" t="str">
        <f t="shared" si="10"/>
        <v>ZZZ</v>
      </c>
      <c r="Z315" s="3" t="b">
        <f t="array" ref="Z315">OR(ISNUMBER(SEARCH(Y$2:Y$100,$B315,5)))</f>
        <v>0</v>
      </c>
      <c r="AB315" s="3" t="str">
        <f t="shared" si="11"/>
        <v>ZZZ</v>
      </c>
      <c r="AC315" s="3" t="b">
        <f t="array" ref="AC315">OR(ISNUMBER(SEARCH(AB$2:AB$100,$B315,5)))</f>
        <v>0</v>
      </c>
      <c r="AE315" s="3" t="str">
        <f t="shared" si="12"/>
        <v>ZZZ</v>
      </c>
      <c r="AF315" s="3" t="b">
        <f t="array" ref="AF315">OR(ISNUMBER(SEARCH(AE$2:AE$100,$B315,5)))</f>
        <v>0</v>
      </c>
      <c r="AH315" s="3" t="str">
        <f t="shared" si="13"/>
        <v>ZZZ</v>
      </c>
      <c r="AI315" s="3" t="b">
        <f t="array" ref="AI315">OR(ISNUMBER(SEARCH(AH$2:AH$100,$B315,5)))</f>
        <v>0</v>
      </c>
      <c r="AK315" s="3" t="str">
        <f t="shared" si="14"/>
        <v>ZZZ</v>
      </c>
      <c r="AL315" s="3" t="b">
        <f t="array" ref="AL315">OR(ISNUMBER(SEARCH(AK$2:AK$100,$B315,5)))</f>
        <v>0</v>
      </c>
      <c r="AU315" s="8"/>
      <c r="AV315" s="6"/>
      <c r="AW315" s="8"/>
      <c r="AX315" s="8"/>
      <c r="AY315" s="6"/>
      <c r="AZ315" s="8"/>
      <c r="BA315" s="8"/>
      <c r="BB315" s="6"/>
      <c r="BC315" s="8"/>
      <c r="BD315" s="8"/>
      <c r="BE315" s="6"/>
      <c r="BF315" s="8"/>
      <c r="BG315" s="8"/>
      <c r="BH315" s="6"/>
      <c r="BI315" s="8"/>
      <c r="BJ315" s="8"/>
      <c r="BK315" s="6"/>
      <c r="BL315" s="8"/>
      <c r="BM315" s="8"/>
      <c r="BN315" s="6"/>
      <c r="BO315" s="8"/>
      <c r="BP315" s="8"/>
      <c r="BQ315" s="6"/>
      <c r="BR315" s="8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/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</row>
    <row r="316">
      <c r="A316" s="6"/>
      <c r="B316" s="6" t="s">
        <v>316</v>
      </c>
      <c r="C316" s="3" t="str">
        <f t="shared" si="3"/>
        <v>light blue</v>
      </c>
      <c r="D316" s="3" t="str">
        <f t="shared" si="17"/>
        <v>ZZZ</v>
      </c>
      <c r="E316" s="3" t="b">
        <f t="array" ref="E316">OR(ISNUMBER(SEARCH(D$2:D$30,$B316,5)))</f>
        <v>0</v>
      </c>
      <c r="G316" s="3" t="str">
        <f t="shared" si="4"/>
        <v>ZZZ</v>
      </c>
      <c r="H316" s="3" t="b">
        <f t="array" ref="H316">OR(ISNUMBER(SEARCH(G$2:G$30,$B316,5)))</f>
        <v>0</v>
      </c>
      <c r="J316" s="3" t="str">
        <f t="shared" si="5"/>
        <v>ZZZ</v>
      </c>
      <c r="K316" s="3" t="b">
        <f t="array" ref="K316">OR(ISNUMBER(SEARCH(J$2:J$30,$B316,5)))</f>
        <v>0</v>
      </c>
      <c r="M316" s="3" t="str">
        <f t="shared" si="6"/>
        <v>ZZZ</v>
      </c>
      <c r="N316" s="3" t="b">
        <f t="array" ref="N316">OR(ISNUMBER(SEARCH(M$2:M$30,$B316,5)))</f>
        <v>0</v>
      </c>
      <c r="P316" s="3" t="str">
        <f t="shared" si="7"/>
        <v>ZZZ</v>
      </c>
      <c r="Q316" s="3" t="b">
        <f t="array" ref="Q316">OR(ISNUMBER(SEARCH(P$2:P$50,$B316,5)))</f>
        <v>0</v>
      </c>
      <c r="S316" s="3" t="str">
        <f t="shared" si="8"/>
        <v>ZZZ</v>
      </c>
      <c r="T316" s="3" t="b">
        <f t="array" ref="T316">OR(ISNUMBER(SEARCH(S$2:S$100,$B316,5)))</f>
        <v>0</v>
      </c>
      <c r="V316" s="3" t="str">
        <f t="shared" si="9"/>
        <v>ZZZ</v>
      </c>
      <c r="W316" s="3" t="b">
        <f t="array" ref="W316">OR(ISNUMBER(SEARCH(V$2:V$100,$B316,5)))</f>
        <v>1</v>
      </c>
      <c r="Y316" s="3" t="str">
        <f t="shared" si="10"/>
        <v>ZZZ</v>
      </c>
      <c r="Z316" s="3" t="b">
        <f t="array" ref="Z316">OR(ISNUMBER(SEARCH(Y$2:Y$100,$B316,5)))</f>
        <v>0</v>
      </c>
      <c r="AB316" s="3" t="str">
        <f t="shared" si="11"/>
        <v>ZZZ</v>
      </c>
      <c r="AC316" s="3" t="b">
        <f t="array" ref="AC316">OR(ISNUMBER(SEARCH(AB$2:AB$100,$B316,5)))</f>
        <v>0</v>
      </c>
      <c r="AE316" s="3" t="str">
        <f t="shared" si="12"/>
        <v>ZZZ</v>
      </c>
      <c r="AF316" s="3" t="b">
        <f t="array" ref="AF316">OR(ISNUMBER(SEARCH(AE$2:AE$100,$B316,5)))</f>
        <v>0</v>
      </c>
      <c r="AH316" s="3" t="str">
        <f t="shared" si="13"/>
        <v>ZZZ</v>
      </c>
      <c r="AI316" s="3" t="b">
        <f t="array" ref="AI316">OR(ISNUMBER(SEARCH(AH$2:AH$100,$B316,5)))</f>
        <v>0</v>
      </c>
      <c r="AK316" s="3" t="str">
        <f t="shared" si="14"/>
        <v>ZZZ</v>
      </c>
      <c r="AL316" s="3" t="b">
        <f t="array" ref="AL316">OR(ISNUMBER(SEARCH(AK$2:AK$100,$B316,5)))</f>
        <v>0</v>
      </c>
      <c r="AU316" s="8"/>
      <c r="AV316" s="6"/>
      <c r="AW316" s="8"/>
      <c r="AX316" s="8"/>
      <c r="AY316" s="6"/>
      <c r="AZ316" s="8"/>
      <c r="BA316" s="8"/>
      <c r="BB316" s="6"/>
      <c r="BC316" s="8"/>
      <c r="BD316" s="8"/>
      <c r="BE316" s="6"/>
      <c r="BF316" s="8"/>
      <c r="BG316" s="8"/>
      <c r="BH316" s="6"/>
      <c r="BI316" s="8"/>
      <c r="BJ316" s="8"/>
      <c r="BK316" s="6"/>
      <c r="BL316" s="8"/>
      <c r="BM316" s="8"/>
      <c r="BN316" s="6"/>
      <c r="BO316" s="8"/>
      <c r="BP316" s="8"/>
      <c r="BQ316" s="6"/>
      <c r="BR316" s="8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7"/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</row>
    <row r="317">
      <c r="A317" s="6"/>
      <c r="B317" s="6" t="s">
        <v>317</v>
      </c>
      <c r="C317" s="3" t="str">
        <f t="shared" si="3"/>
        <v>faded gold</v>
      </c>
      <c r="D317" s="3" t="str">
        <f t="shared" si="17"/>
        <v>ZZZ</v>
      </c>
      <c r="E317" s="3" t="b">
        <f t="array" ref="E317">OR(ISNUMBER(SEARCH(D$2:D$30,$B317,5)))</f>
        <v>0</v>
      </c>
      <c r="G317" s="3" t="str">
        <f t="shared" si="4"/>
        <v>ZZZ</v>
      </c>
      <c r="H317" s="3" t="b">
        <f t="array" ref="H317">OR(ISNUMBER(SEARCH(G$2:G$30,$B317,5)))</f>
        <v>0</v>
      </c>
      <c r="J317" s="3" t="str">
        <f t="shared" si="5"/>
        <v>ZZZ</v>
      </c>
      <c r="K317" s="3" t="b">
        <f t="array" ref="K317">OR(ISNUMBER(SEARCH(J$2:J$30,$B317,5)))</f>
        <v>0</v>
      </c>
      <c r="M317" s="3" t="str">
        <f t="shared" si="6"/>
        <v>ZZZ</v>
      </c>
      <c r="N317" s="3" t="b">
        <f t="array" ref="N317">OR(ISNUMBER(SEARCH(M$2:M$30,$B317,5)))</f>
        <v>0</v>
      </c>
      <c r="P317" s="3" t="str">
        <f t="shared" si="7"/>
        <v>ZZZ</v>
      </c>
      <c r="Q317" s="3" t="b">
        <f t="array" ref="Q317">OR(ISNUMBER(SEARCH(P$2:P$50,$B317,5)))</f>
        <v>0</v>
      </c>
      <c r="S317" s="3" t="str">
        <f t="shared" si="8"/>
        <v>ZZZ</v>
      </c>
      <c r="T317" s="3" t="b">
        <f t="array" ref="T317">OR(ISNUMBER(SEARCH(S$2:S$100,$B317,5)))</f>
        <v>0</v>
      </c>
      <c r="V317" s="3" t="str">
        <f t="shared" si="9"/>
        <v>ZZZ</v>
      </c>
      <c r="W317" s="3" t="b">
        <f t="array" ref="W317">OR(ISNUMBER(SEARCH(V$2:V$100,$B317,5)))</f>
        <v>0</v>
      </c>
      <c r="Y317" s="3" t="str">
        <f t="shared" si="10"/>
        <v>ZZZ</v>
      </c>
      <c r="Z317" s="3" t="b">
        <f t="array" ref="Z317">OR(ISNUMBER(SEARCH(Y$2:Y$100,$B317,5)))</f>
        <v>0</v>
      </c>
      <c r="AB317" s="3" t="str">
        <f t="shared" si="11"/>
        <v>ZZZ</v>
      </c>
      <c r="AC317" s="3" t="b">
        <f t="array" ref="AC317">OR(ISNUMBER(SEARCH(AB$2:AB$100,$B317,5)))</f>
        <v>0</v>
      </c>
      <c r="AE317" s="3" t="str">
        <f t="shared" si="12"/>
        <v>ZZZ</v>
      </c>
      <c r="AF317" s="3" t="b">
        <f t="array" ref="AF317">OR(ISNUMBER(SEARCH(AE$2:AE$100,$B317,5)))</f>
        <v>0</v>
      </c>
      <c r="AH317" s="3" t="str">
        <f t="shared" si="13"/>
        <v>ZZZ</v>
      </c>
      <c r="AI317" s="3" t="b">
        <f t="array" ref="AI317">OR(ISNUMBER(SEARCH(AH$2:AH$100,$B317,5)))</f>
        <v>0</v>
      </c>
      <c r="AK317" s="3" t="str">
        <f t="shared" si="14"/>
        <v>ZZZ</v>
      </c>
      <c r="AL317" s="3" t="b">
        <f t="array" ref="AL317">OR(ISNUMBER(SEARCH(AK$2:AK$100,$B317,5)))</f>
        <v>0</v>
      </c>
      <c r="AU317" s="8"/>
      <c r="AV317" s="6"/>
      <c r="AW317" s="8"/>
      <c r="AX317" s="8"/>
      <c r="AY317" s="6"/>
      <c r="AZ317" s="8"/>
      <c r="BA317" s="8"/>
      <c r="BB317" s="6"/>
      <c r="BC317" s="8"/>
      <c r="BD317" s="8"/>
      <c r="BE317" s="6"/>
      <c r="BF317" s="8"/>
      <c r="BG317" s="8"/>
      <c r="BH317" s="6"/>
      <c r="BI317" s="8"/>
      <c r="BJ317" s="8"/>
      <c r="BK317" s="6"/>
      <c r="BL317" s="8"/>
      <c r="BM317" s="8"/>
      <c r="BN317" s="6"/>
      <c r="BO317" s="8"/>
      <c r="BP317" s="8"/>
      <c r="BQ317" s="6"/>
      <c r="BR317" s="8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  <c r="IW317" s="7"/>
      <c r="IX317" s="7"/>
      <c r="IY317" s="7"/>
      <c r="IZ317" s="7"/>
      <c r="JA317" s="7"/>
      <c r="JB317" s="7"/>
      <c r="JC317" s="7"/>
      <c r="JD317" s="7"/>
      <c r="JE317" s="7"/>
      <c r="JF317" s="7"/>
      <c r="JG317" s="7"/>
      <c r="JH317" s="7"/>
      <c r="JI317" s="7"/>
      <c r="JJ317" s="7"/>
      <c r="JK317" s="7"/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/>
      <c r="JZ317" s="7"/>
      <c r="KA317" s="7"/>
      <c r="KB317" s="7"/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/>
    </row>
    <row r="318">
      <c r="A318" s="6"/>
      <c r="B318" s="6" t="s">
        <v>318</v>
      </c>
      <c r="C318" s="3" t="str">
        <f t="shared" si="3"/>
        <v>shiny aqua</v>
      </c>
      <c r="D318" s="3" t="str">
        <f t="shared" si="17"/>
        <v>ZZZ</v>
      </c>
      <c r="E318" s="3" t="b">
        <f t="array" ref="E318">OR(ISNUMBER(SEARCH(D$2:D$30,$B318,5)))</f>
        <v>0</v>
      </c>
      <c r="G318" s="3" t="str">
        <f t="shared" si="4"/>
        <v>ZZZ</v>
      </c>
      <c r="H318" s="3" t="b">
        <f t="array" ref="H318">OR(ISNUMBER(SEARCH(G$2:G$30,$B318,5)))</f>
        <v>0</v>
      </c>
      <c r="J318" s="3" t="str">
        <f t="shared" si="5"/>
        <v>ZZZ</v>
      </c>
      <c r="K318" s="3" t="b">
        <f t="array" ref="K318">OR(ISNUMBER(SEARCH(J$2:J$30,$B318,5)))</f>
        <v>0</v>
      </c>
      <c r="M318" s="3" t="str">
        <f t="shared" si="6"/>
        <v>ZZZ</v>
      </c>
      <c r="N318" s="3" t="b">
        <f t="array" ref="N318">OR(ISNUMBER(SEARCH(M$2:M$30,$B318,5)))</f>
        <v>0</v>
      </c>
      <c r="P318" s="3" t="str">
        <f t="shared" si="7"/>
        <v>ZZZ</v>
      </c>
      <c r="Q318" s="3" t="b">
        <f t="array" ref="Q318">OR(ISNUMBER(SEARCH(P$2:P$50,$B318,5)))</f>
        <v>0</v>
      </c>
      <c r="S318" s="3" t="str">
        <f t="shared" si="8"/>
        <v>ZZZ</v>
      </c>
      <c r="T318" s="3" t="b">
        <f t="array" ref="T318">OR(ISNUMBER(SEARCH(S$2:S$100,$B318,5)))</f>
        <v>0</v>
      </c>
      <c r="V318" s="3" t="str">
        <f t="shared" si="9"/>
        <v>ZZZ</v>
      </c>
      <c r="W318" s="3" t="b">
        <f t="array" ref="W318">OR(ISNUMBER(SEARCH(V$2:V$100,$B318,5)))</f>
        <v>0</v>
      </c>
      <c r="Y318" s="3" t="str">
        <f t="shared" si="10"/>
        <v>ZZZ</v>
      </c>
      <c r="Z318" s="3" t="b">
        <f t="array" ref="Z318">OR(ISNUMBER(SEARCH(Y$2:Y$100,$B318,5)))</f>
        <v>0</v>
      </c>
      <c r="AB318" s="3" t="str">
        <f t="shared" si="11"/>
        <v>ZZZ</v>
      </c>
      <c r="AC318" s="3" t="b">
        <f t="array" ref="AC318">OR(ISNUMBER(SEARCH(AB$2:AB$100,$B318,5)))</f>
        <v>0</v>
      </c>
      <c r="AE318" s="3" t="str">
        <f t="shared" si="12"/>
        <v>ZZZ</v>
      </c>
      <c r="AF318" s="3" t="b">
        <f t="array" ref="AF318">OR(ISNUMBER(SEARCH(AE$2:AE$100,$B318,5)))</f>
        <v>0</v>
      </c>
      <c r="AH318" s="3" t="str">
        <f t="shared" si="13"/>
        <v>ZZZ</v>
      </c>
      <c r="AI318" s="3" t="b">
        <f t="array" ref="AI318">OR(ISNUMBER(SEARCH(AH$2:AH$100,$B318,5)))</f>
        <v>0</v>
      </c>
      <c r="AK318" s="3" t="str">
        <f t="shared" si="14"/>
        <v>ZZZ</v>
      </c>
      <c r="AL318" s="3" t="b">
        <f t="array" ref="AL318">OR(ISNUMBER(SEARCH(AK$2:AK$100,$B318,5)))</f>
        <v>0</v>
      </c>
      <c r="AU318" s="8"/>
      <c r="AV318" s="6"/>
      <c r="AW318" s="8"/>
      <c r="AX318" s="8"/>
      <c r="AY318" s="6"/>
      <c r="AZ318" s="8"/>
      <c r="BA318" s="8"/>
      <c r="BB318" s="6"/>
      <c r="BC318" s="8"/>
      <c r="BD318" s="8"/>
      <c r="BE318" s="6"/>
      <c r="BF318" s="8"/>
      <c r="BG318" s="8"/>
      <c r="BH318" s="6"/>
      <c r="BI318" s="8"/>
      <c r="BJ318" s="8"/>
      <c r="BK318" s="6"/>
      <c r="BL318" s="8"/>
      <c r="BM318" s="8"/>
      <c r="BN318" s="6"/>
      <c r="BO318" s="8"/>
      <c r="BP318" s="8"/>
      <c r="BQ318" s="6"/>
      <c r="BR318" s="8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</row>
    <row r="319">
      <c r="A319" s="6"/>
      <c r="B319" s="6" t="s">
        <v>319</v>
      </c>
      <c r="C319" s="3" t="str">
        <f t="shared" si="3"/>
        <v>shiny lime</v>
      </c>
      <c r="D319" s="3" t="str">
        <f t="shared" si="17"/>
        <v>ZZZ</v>
      </c>
      <c r="E319" s="3" t="b">
        <f t="array" ref="E319">OR(ISNUMBER(SEARCH(D$2:D$30,$B319,5)))</f>
        <v>0</v>
      </c>
      <c r="G319" s="3" t="str">
        <f t="shared" si="4"/>
        <v>ZZZ</v>
      </c>
      <c r="H319" s="3" t="b">
        <f t="array" ref="H319">OR(ISNUMBER(SEARCH(G$2:G$30,$B319,5)))</f>
        <v>0</v>
      </c>
      <c r="J319" s="3" t="str">
        <f t="shared" si="5"/>
        <v>ZZZ</v>
      </c>
      <c r="K319" s="3" t="b">
        <f t="array" ref="K319">OR(ISNUMBER(SEARCH(J$2:J$30,$B319,5)))</f>
        <v>0</v>
      </c>
      <c r="M319" s="3" t="str">
        <f t="shared" si="6"/>
        <v>ZZZ</v>
      </c>
      <c r="N319" s="3" t="b">
        <f t="array" ref="N319">OR(ISNUMBER(SEARCH(M$2:M$30,$B319,5)))</f>
        <v>1</v>
      </c>
      <c r="P319" s="3" t="str">
        <f t="shared" si="7"/>
        <v>ZZZ</v>
      </c>
      <c r="Q319" s="3" t="b">
        <f t="array" ref="Q319">OR(ISNUMBER(SEARCH(P$2:P$50,$B319,5)))</f>
        <v>0</v>
      </c>
      <c r="S319" s="3" t="str">
        <f t="shared" si="8"/>
        <v>ZZZ</v>
      </c>
      <c r="T319" s="3" t="b">
        <f t="array" ref="T319">OR(ISNUMBER(SEARCH(S$2:S$100,$B319,5)))</f>
        <v>0</v>
      </c>
      <c r="V319" s="3" t="str">
        <f t="shared" si="9"/>
        <v>ZZZ</v>
      </c>
      <c r="W319" s="3" t="b">
        <f t="array" ref="W319">OR(ISNUMBER(SEARCH(V$2:V$100,$B319,5)))</f>
        <v>0</v>
      </c>
      <c r="Y319" s="3" t="str">
        <f t="shared" si="10"/>
        <v>ZZZ</v>
      </c>
      <c r="Z319" s="3" t="b">
        <f t="array" ref="Z319">OR(ISNUMBER(SEARCH(Y$2:Y$100,$B319,5)))</f>
        <v>0</v>
      </c>
      <c r="AB319" s="3" t="str">
        <f t="shared" si="11"/>
        <v>ZZZ</v>
      </c>
      <c r="AC319" s="3" t="b">
        <f t="array" ref="AC319">OR(ISNUMBER(SEARCH(AB$2:AB$100,$B319,5)))</f>
        <v>0</v>
      </c>
      <c r="AE319" s="3" t="str">
        <f t="shared" si="12"/>
        <v>ZZZ</v>
      </c>
      <c r="AF319" s="3" t="b">
        <f t="array" ref="AF319">OR(ISNUMBER(SEARCH(AE$2:AE$100,$B319,5)))</f>
        <v>0</v>
      </c>
      <c r="AH319" s="3" t="str">
        <f t="shared" si="13"/>
        <v>ZZZ</v>
      </c>
      <c r="AI319" s="3" t="b">
        <f t="array" ref="AI319">OR(ISNUMBER(SEARCH(AH$2:AH$100,$B319,5)))</f>
        <v>0</v>
      </c>
      <c r="AK319" s="3" t="str">
        <f t="shared" si="14"/>
        <v>ZZZ</v>
      </c>
      <c r="AL319" s="3" t="b">
        <f t="array" ref="AL319">OR(ISNUMBER(SEARCH(AK$2:AK$100,$B319,5)))</f>
        <v>0</v>
      </c>
      <c r="AU319" s="8"/>
      <c r="AV319" s="6"/>
      <c r="AW319" s="8"/>
      <c r="AX319" s="8"/>
      <c r="AY319" s="6"/>
      <c r="AZ319" s="8"/>
      <c r="BA319" s="8"/>
      <c r="BB319" s="6"/>
      <c r="BC319" s="8"/>
      <c r="BD319" s="8"/>
      <c r="BE319" s="6"/>
      <c r="BF319" s="8"/>
      <c r="BG319" s="8"/>
      <c r="BH319" s="6"/>
      <c r="BI319" s="8"/>
      <c r="BJ319" s="8"/>
      <c r="BK319" s="6"/>
      <c r="BL319" s="8"/>
      <c r="BM319" s="8"/>
      <c r="BN319" s="6"/>
      <c r="BO319" s="8"/>
      <c r="BP319" s="8"/>
      <c r="BQ319" s="6"/>
      <c r="BR319" s="8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</row>
    <row r="320">
      <c r="A320" s="6"/>
      <c r="B320" s="6" t="s">
        <v>320</v>
      </c>
      <c r="C320" s="3" t="str">
        <f t="shared" si="3"/>
        <v>vibrant tan</v>
      </c>
      <c r="D320" s="3" t="str">
        <f t="shared" si="17"/>
        <v>ZZZ</v>
      </c>
      <c r="E320" s="3" t="b">
        <f t="array" ref="E320">OR(ISNUMBER(SEARCH(D$2:D$30,$B320,5)))</f>
        <v>0</v>
      </c>
      <c r="G320" s="3" t="str">
        <f t="shared" si="4"/>
        <v>ZZZ</v>
      </c>
      <c r="H320" s="3" t="b">
        <f t="array" ref="H320">OR(ISNUMBER(SEARCH(G$2:G$30,$B320,5)))</f>
        <v>0</v>
      </c>
      <c r="J320" s="3" t="str">
        <f t="shared" si="5"/>
        <v>ZZZ</v>
      </c>
      <c r="K320" s="3" t="b">
        <f t="array" ref="K320">OR(ISNUMBER(SEARCH(J$2:J$30,$B320,5)))</f>
        <v>0</v>
      </c>
      <c r="M320" s="3" t="str">
        <f t="shared" si="6"/>
        <v>ZZZ</v>
      </c>
      <c r="N320" s="3" t="b">
        <f t="array" ref="N320">OR(ISNUMBER(SEARCH(M$2:M$30,$B320,5)))</f>
        <v>0</v>
      </c>
      <c r="P320" s="3" t="str">
        <f t="shared" si="7"/>
        <v>ZZZ</v>
      </c>
      <c r="Q320" s="3" t="b">
        <f t="array" ref="Q320">OR(ISNUMBER(SEARCH(P$2:P$50,$B320,5)))</f>
        <v>0</v>
      </c>
      <c r="S320" s="3" t="str">
        <f t="shared" si="8"/>
        <v>ZZZ</v>
      </c>
      <c r="T320" s="3" t="b">
        <f t="array" ref="T320">OR(ISNUMBER(SEARCH(S$2:S$100,$B320,5)))</f>
        <v>0</v>
      </c>
      <c r="V320" s="3" t="str">
        <f t="shared" si="9"/>
        <v>ZZZ</v>
      </c>
      <c r="W320" s="3" t="b">
        <f t="array" ref="W320">OR(ISNUMBER(SEARCH(V$2:V$100,$B320,5)))</f>
        <v>0</v>
      </c>
      <c r="Y320" s="3" t="str">
        <f t="shared" si="10"/>
        <v>ZZZ</v>
      </c>
      <c r="Z320" s="3" t="b">
        <f t="array" ref="Z320">OR(ISNUMBER(SEARCH(Y$2:Y$100,$B320,5)))</f>
        <v>0</v>
      </c>
      <c r="AB320" s="3" t="str">
        <f t="shared" si="11"/>
        <v>ZZZ</v>
      </c>
      <c r="AC320" s="3" t="b">
        <f t="array" ref="AC320">OR(ISNUMBER(SEARCH(AB$2:AB$100,$B320,5)))</f>
        <v>0</v>
      </c>
      <c r="AE320" s="3" t="str">
        <f t="shared" si="12"/>
        <v>ZZZ</v>
      </c>
      <c r="AF320" s="3" t="b">
        <f t="array" ref="AF320">OR(ISNUMBER(SEARCH(AE$2:AE$100,$B320,5)))</f>
        <v>0</v>
      </c>
      <c r="AH320" s="3" t="str">
        <f t="shared" si="13"/>
        <v>ZZZ</v>
      </c>
      <c r="AI320" s="3" t="b">
        <f t="array" ref="AI320">OR(ISNUMBER(SEARCH(AH$2:AH$100,$B320,5)))</f>
        <v>0</v>
      </c>
      <c r="AK320" s="3" t="str">
        <f t="shared" si="14"/>
        <v>ZZZ</v>
      </c>
      <c r="AL320" s="3" t="b">
        <f t="array" ref="AL320">OR(ISNUMBER(SEARCH(AK$2:AK$100,$B320,5)))</f>
        <v>0</v>
      </c>
      <c r="AU320" s="8"/>
      <c r="AV320" s="6"/>
      <c r="AW320" s="8"/>
      <c r="AX320" s="8"/>
      <c r="AY320" s="6"/>
      <c r="AZ320" s="8"/>
      <c r="BA320" s="8"/>
      <c r="BB320" s="6"/>
      <c r="BC320" s="8"/>
      <c r="BD320" s="8"/>
      <c r="BE320" s="6"/>
      <c r="BF320" s="8"/>
      <c r="BG320" s="8"/>
      <c r="BH320" s="6"/>
      <c r="BI320" s="8"/>
      <c r="BJ320" s="8"/>
      <c r="BK320" s="6"/>
      <c r="BL320" s="8"/>
      <c r="BM320" s="8"/>
      <c r="BN320" s="6"/>
      <c r="BO320" s="8"/>
      <c r="BP320" s="8"/>
      <c r="BQ320" s="6"/>
      <c r="BR320" s="8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7"/>
      <c r="IR320" s="7"/>
      <c r="IS320" s="7"/>
      <c r="IT320" s="7"/>
      <c r="IU320" s="7"/>
      <c r="IV320" s="7"/>
      <c r="IW320" s="7"/>
      <c r="IX320" s="7"/>
      <c r="IY320" s="7"/>
      <c r="IZ320" s="7"/>
      <c r="JA320" s="7"/>
      <c r="JB320" s="7"/>
      <c r="JC320" s="7"/>
      <c r="JD320" s="7"/>
      <c r="JE320" s="7"/>
      <c r="JF320" s="7"/>
      <c r="JG320" s="7"/>
      <c r="JH320" s="7"/>
      <c r="JI320" s="7"/>
      <c r="JJ320" s="7"/>
      <c r="JK320" s="7"/>
      <c r="JL320" s="7"/>
      <c r="JM320" s="7"/>
      <c r="JN320" s="7"/>
      <c r="JO320" s="7"/>
      <c r="JP320" s="7"/>
      <c r="JQ320" s="7"/>
      <c r="JR320" s="7"/>
      <c r="JS320" s="7"/>
      <c r="JT320" s="7"/>
      <c r="JU320" s="7"/>
      <c r="JV320" s="7"/>
      <c r="JW320" s="7"/>
      <c r="JX320" s="7"/>
      <c r="JY320" s="7"/>
      <c r="JZ320" s="7"/>
      <c r="KA320" s="7"/>
      <c r="KB320" s="7"/>
      <c r="KC320" s="7"/>
      <c r="KD320" s="7"/>
      <c r="KE320" s="7"/>
      <c r="KF320" s="7"/>
      <c r="KG320" s="7"/>
      <c r="KH320" s="7"/>
      <c r="KI320" s="7"/>
      <c r="KJ320" s="7"/>
      <c r="KK320" s="7"/>
      <c r="KL320" s="7"/>
      <c r="KM320" s="7"/>
      <c r="KN320" s="7"/>
    </row>
    <row r="321">
      <c r="A321" s="6"/>
      <c r="B321" s="6" t="s">
        <v>321</v>
      </c>
      <c r="C321" s="3" t="str">
        <f t="shared" si="3"/>
        <v>vibrant aqua</v>
      </c>
      <c r="D321" s="3" t="str">
        <f t="shared" si="17"/>
        <v>ZZZ</v>
      </c>
      <c r="E321" s="3" t="b">
        <f t="array" ref="E321">OR(ISNUMBER(SEARCH(D$2:D$30,$B321,5)))</f>
        <v>0</v>
      </c>
      <c r="G321" s="3" t="str">
        <f t="shared" si="4"/>
        <v>ZZZ</v>
      </c>
      <c r="H321" s="3" t="b">
        <f t="array" ref="H321">OR(ISNUMBER(SEARCH(G$2:G$30,$B321,5)))</f>
        <v>0</v>
      </c>
      <c r="J321" s="3" t="str">
        <f t="shared" si="5"/>
        <v>ZZZ</v>
      </c>
      <c r="K321" s="3" t="b">
        <f t="array" ref="K321">OR(ISNUMBER(SEARCH(J$2:J$30,$B321,5)))</f>
        <v>0</v>
      </c>
      <c r="M321" s="3" t="str">
        <f t="shared" si="6"/>
        <v>ZZZ</v>
      </c>
      <c r="N321" s="3" t="b">
        <f t="array" ref="N321">OR(ISNUMBER(SEARCH(M$2:M$30,$B321,5)))</f>
        <v>0</v>
      </c>
      <c r="P321" s="3" t="str">
        <f t="shared" si="7"/>
        <v>ZZZ</v>
      </c>
      <c r="Q321" s="3" t="b">
        <f t="array" ref="Q321">OR(ISNUMBER(SEARCH(P$2:P$50,$B321,5)))</f>
        <v>0</v>
      </c>
      <c r="S321" s="3" t="str">
        <f t="shared" si="8"/>
        <v>ZZZ</v>
      </c>
      <c r="T321" s="3" t="b">
        <f t="array" ref="T321">OR(ISNUMBER(SEARCH(S$2:S$100,$B321,5)))</f>
        <v>0</v>
      </c>
      <c r="V321" s="3" t="str">
        <f t="shared" si="9"/>
        <v>ZZZ</v>
      </c>
      <c r="W321" s="3" t="b">
        <f t="array" ref="W321">OR(ISNUMBER(SEARCH(V$2:V$100,$B321,5)))</f>
        <v>0</v>
      </c>
      <c r="Y321" s="3" t="str">
        <f t="shared" si="10"/>
        <v>ZZZ</v>
      </c>
      <c r="Z321" s="3" t="b">
        <f t="array" ref="Z321">OR(ISNUMBER(SEARCH(Y$2:Y$100,$B321,5)))</f>
        <v>0</v>
      </c>
      <c r="AB321" s="3" t="str">
        <f t="shared" si="11"/>
        <v>ZZZ</v>
      </c>
      <c r="AC321" s="3" t="b">
        <f t="array" ref="AC321">OR(ISNUMBER(SEARCH(AB$2:AB$100,$B321,5)))</f>
        <v>0</v>
      </c>
      <c r="AE321" s="3" t="str">
        <f t="shared" si="12"/>
        <v>ZZZ</v>
      </c>
      <c r="AF321" s="3" t="b">
        <f t="array" ref="AF321">OR(ISNUMBER(SEARCH(AE$2:AE$100,$B321,5)))</f>
        <v>0</v>
      </c>
      <c r="AH321" s="3" t="str">
        <f t="shared" si="13"/>
        <v>ZZZ</v>
      </c>
      <c r="AI321" s="3" t="b">
        <f t="array" ref="AI321">OR(ISNUMBER(SEARCH(AH$2:AH$100,$B321,5)))</f>
        <v>0</v>
      </c>
      <c r="AK321" s="3" t="str">
        <f t="shared" si="14"/>
        <v>ZZZ</v>
      </c>
      <c r="AL321" s="3" t="b">
        <f t="array" ref="AL321">OR(ISNUMBER(SEARCH(AK$2:AK$100,$B321,5)))</f>
        <v>0</v>
      </c>
      <c r="AU321" s="8"/>
      <c r="AV321" s="6"/>
      <c r="AW321" s="8"/>
      <c r="AX321" s="8"/>
      <c r="AY321" s="6"/>
      <c r="AZ321" s="8"/>
      <c r="BA321" s="8"/>
      <c r="BB321" s="6"/>
      <c r="BC321" s="8"/>
      <c r="BD321" s="8"/>
      <c r="BE321" s="6"/>
      <c r="BF321" s="8"/>
      <c r="BG321" s="8"/>
      <c r="BH321" s="6"/>
      <c r="BI321" s="8"/>
      <c r="BJ321" s="8"/>
      <c r="BK321" s="6"/>
      <c r="BL321" s="8"/>
      <c r="BM321" s="8"/>
      <c r="BN321" s="6"/>
      <c r="BO321" s="8"/>
      <c r="BP321" s="8"/>
      <c r="BQ321" s="6"/>
      <c r="BR321" s="8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/>
      <c r="JI321" s="7"/>
      <c r="JJ321" s="7"/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</row>
    <row r="322">
      <c r="A322" s="6"/>
      <c r="B322" s="6" t="s">
        <v>322</v>
      </c>
      <c r="C322" s="3" t="str">
        <f t="shared" si="3"/>
        <v>vibrant teal</v>
      </c>
      <c r="D322" s="3" t="str">
        <f t="shared" si="17"/>
        <v>ZZZ</v>
      </c>
      <c r="E322" s="3" t="b">
        <f t="array" ref="E322">OR(ISNUMBER(SEARCH(D$2:D$30,$B322,5)))</f>
        <v>0</v>
      </c>
      <c r="G322" s="3" t="str">
        <f t="shared" si="4"/>
        <v>ZZZ</v>
      </c>
      <c r="H322" s="3" t="b">
        <f t="array" ref="H322">OR(ISNUMBER(SEARCH(G$2:G$30,$B322,5)))</f>
        <v>0</v>
      </c>
      <c r="J322" s="3" t="str">
        <f t="shared" si="5"/>
        <v>ZZZ</v>
      </c>
      <c r="K322" s="3" t="b">
        <f t="array" ref="K322">OR(ISNUMBER(SEARCH(J$2:J$30,$B322,5)))</f>
        <v>0</v>
      </c>
      <c r="M322" s="3" t="str">
        <f t="shared" si="6"/>
        <v>ZZZ</v>
      </c>
      <c r="N322" s="3" t="b">
        <f t="array" ref="N322">OR(ISNUMBER(SEARCH(M$2:M$30,$B322,5)))</f>
        <v>0</v>
      </c>
      <c r="P322" s="3" t="str">
        <f t="shared" si="7"/>
        <v>ZZZ</v>
      </c>
      <c r="Q322" s="3" t="b">
        <f t="array" ref="Q322">OR(ISNUMBER(SEARCH(P$2:P$50,$B322,5)))</f>
        <v>0</v>
      </c>
      <c r="S322" s="3" t="str">
        <f t="shared" si="8"/>
        <v>ZZZ</v>
      </c>
      <c r="T322" s="3" t="b">
        <f t="array" ref="T322">OR(ISNUMBER(SEARCH(S$2:S$100,$B322,5)))</f>
        <v>0</v>
      </c>
      <c r="V322" s="3" t="str">
        <f t="shared" si="9"/>
        <v>ZZZ</v>
      </c>
      <c r="W322" s="3" t="b">
        <f t="array" ref="W322">OR(ISNUMBER(SEARCH(V$2:V$100,$B322,5)))</f>
        <v>0</v>
      </c>
      <c r="Y322" s="3" t="str">
        <f t="shared" si="10"/>
        <v>ZZZ</v>
      </c>
      <c r="Z322" s="3" t="b">
        <f t="array" ref="Z322">OR(ISNUMBER(SEARCH(Y$2:Y$100,$B322,5)))</f>
        <v>0</v>
      </c>
      <c r="AB322" s="3" t="str">
        <f t="shared" si="11"/>
        <v>ZZZ</v>
      </c>
      <c r="AC322" s="3" t="b">
        <f t="array" ref="AC322">OR(ISNUMBER(SEARCH(AB$2:AB$100,$B322,5)))</f>
        <v>0</v>
      </c>
      <c r="AE322" s="3" t="str">
        <f t="shared" si="12"/>
        <v>ZZZ</v>
      </c>
      <c r="AF322" s="3" t="b">
        <f t="array" ref="AF322">OR(ISNUMBER(SEARCH(AE$2:AE$100,$B322,5)))</f>
        <v>0</v>
      </c>
      <c r="AH322" s="3" t="str">
        <f t="shared" si="13"/>
        <v>ZZZ</v>
      </c>
      <c r="AI322" s="3" t="b">
        <f t="array" ref="AI322">OR(ISNUMBER(SEARCH(AH$2:AH$100,$B322,5)))</f>
        <v>0</v>
      </c>
      <c r="AK322" s="3" t="str">
        <f t="shared" si="14"/>
        <v>ZZZ</v>
      </c>
      <c r="AL322" s="3" t="b">
        <f t="array" ref="AL322">OR(ISNUMBER(SEARCH(AK$2:AK$100,$B322,5)))</f>
        <v>0</v>
      </c>
      <c r="AU322" s="8"/>
      <c r="AV322" s="6"/>
      <c r="AW322" s="8"/>
      <c r="AX322" s="8"/>
      <c r="AY322" s="6"/>
      <c r="AZ322" s="8"/>
      <c r="BA322" s="8"/>
      <c r="BB322" s="6"/>
      <c r="BC322" s="8"/>
      <c r="BD322" s="8"/>
      <c r="BE322" s="6"/>
      <c r="BF322" s="8"/>
      <c r="BG322" s="8"/>
      <c r="BH322" s="6"/>
      <c r="BI322" s="8"/>
      <c r="BJ322" s="8"/>
      <c r="BK322" s="6"/>
      <c r="BL322" s="8"/>
      <c r="BM322" s="8"/>
      <c r="BN322" s="6"/>
      <c r="BO322" s="8"/>
      <c r="BP322" s="8"/>
      <c r="BQ322" s="6"/>
      <c r="BR322" s="8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  <c r="IT322" s="7"/>
      <c r="IU322" s="7"/>
      <c r="IV322" s="7"/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/>
      <c r="JI322" s="7"/>
      <c r="JJ322" s="7"/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</row>
    <row r="323">
      <c r="A323" s="6"/>
      <c r="B323" s="6" t="s">
        <v>323</v>
      </c>
      <c r="C323" s="3" t="str">
        <f t="shared" si="3"/>
        <v>light maroon</v>
      </c>
      <c r="D323" s="3" t="str">
        <f t="shared" si="17"/>
        <v>ZZZ</v>
      </c>
      <c r="E323" s="3" t="b">
        <f t="array" ref="E323">OR(ISNUMBER(SEARCH(D$2:D$30,$B323,5)))</f>
        <v>0</v>
      </c>
      <c r="G323" s="3" t="str">
        <f t="shared" si="4"/>
        <v>ZZZ</v>
      </c>
      <c r="H323" s="3" t="b">
        <f t="array" ref="H323">OR(ISNUMBER(SEARCH(G$2:G$30,$B323,5)))</f>
        <v>0</v>
      </c>
      <c r="J323" s="3" t="str">
        <f t="shared" si="5"/>
        <v>ZZZ</v>
      </c>
      <c r="K323" s="3" t="b">
        <f t="array" ref="K323">OR(ISNUMBER(SEARCH(J$2:J$30,$B323,5)))</f>
        <v>0</v>
      </c>
      <c r="M323" s="3" t="str">
        <f t="shared" si="6"/>
        <v>ZZZ</v>
      </c>
      <c r="N323" s="3" t="b">
        <f t="array" ref="N323">OR(ISNUMBER(SEARCH(M$2:M$30,$B323,5)))</f>
        <v>0</v>
      </c>
      <c r="P323" s="3" t="str">
        <f t="shared" si="7"/>
        <v>ZZZ</v>
      </c>
      <c r="Q323" s="3" t="b">
        <f t="array" ref="Q323">OR(ISNUMBER(SEARCH(P$2:P$50,$B323,5)))</f>
        <v>0</v>
      </c>
      <c r="S323" s="3" t="str">
        <f t="shared" si="8"/>
        <v>ZZZ</v>
      </c>
      <c r="T323" s="3" t="b">
        <f t="array" ref="T323">OR(ISNUMBER(SEARCH(S$2:S$100,$B323,5)))</f>
        <v>1</v>
      </c>
      <c r="V323" s="3" t="str">
        <f t="shared" si="9"/>
        <v>ZZZ</v>
      </c>
      <c r="W323" s="3" t="b">
        <f t="array" ref="W323">OR(ISNUMBER(SEARCH(V$2:V$100,$B323,5)))</f>
        <v>0</v>
      </c>
      <c r="Y323" s="3" t="str">
        <f t="shared" si="10"/>
        <v>ZZZ</v>
      </c>
      <c r="Z323" s="3" t="b">
        <f t="array" ref="Z323">OR(ISNUMBER(SEARCH(Y$2:Y$100,$B323,5)))</f>
        <v>0</v>
      </c>
      <c r="AB323" s="3" t="str">
        <f t="shared" si="11"/>
        <v>ZZZ</v>
      </c>
      <c r="AC323" s="3" t="b">
        <f t="array" ref="AC323">OR(ISNUMBER(SEARCH(AB$2:AB$100,$B323,5)))</f>
        <v>0</v>
      </c>
      <c r="AE323" s="3" t="str">
        <f t="shared" si="12"/>
        <v>ZZZ</v>
      </c>
      <c r="AF323" s="3" t="b">
        <f t="array" ref="AF323">OR(ISNUMBER(SEARCH(AE$2:AE$100,$B323,5)))</f>
        <v>0</v>
      </c>
      <c r="AH323" s="3" t="str">
        <f t="shared" si="13"/>
        <v>ZZZ</v>
      </c>
      <c r="AI323" s="3" t="b">
        <f t="array" ref="AI323">OR(ISNUMBER(SEARCH(AH$2:AH$100,$B323,5)))</f>
        <v>0</v>
      </c>
      <c r="AK323" s="3" t="str">
        <f t="shared" si="14"/>
        <v>ZZZ</v>
      </c>
      <c r="AL323" s="3" t="b">
        <f t="array" ref="AL323">OR(ISNUMBER(SEARCH(AK$2:AK$100,$B323,5)))</f>
        <v>0</v>
      </c>
      <c r="AU323" s="8"/>
      <c r="AV323" s="6"/>
      <c r="AW323" s="8"/>
      <c r="AX323" s="8"/>
      <c r="AY323" s="6"/>
      <c r="AZ323" s="8"/>
      <c r="BA323" s="8"/>
      <c r="BB323" s="6"/>
      <c r="BC323" s="8"/>
      <c r="BD323" s="8"/>
      <c r="BE323" s="6"/>
      <c r="BF323" s="8"/>
      <c r="BG323" s="8"/>
      <c r="BH323" s="6"/>
      <c r="BI323" s="8"/>
      <c r="BJ323" s="8"/>
      <c r="BK323" s="6"/>
      <c r="BL323" s="8"/>
      <c r="BM323" s="8"/>
      <c r="BN323" s="6"/>
      <c r="BO323" s="8"/>
      <c r="BP323" s="8"/>
      <c r="BQ323" s="6"/>
      <c r="BR323" s="8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/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</row>
    <row r="324">
      <c r="A324" s="6"/>
      <c r="B324" s="6" t="s">
        <v>324</v>
      </c>
      <c r="C324" s="3" t="str">
        <f t="shared" si="3"/>
        <v>faded crimson</v>
      </c>
      <c r="D324" s="3" t="str">
        <f t="shared" si="17"/>
        <v>ZZZ</v>
      </c>
      <c r="E324" s="3" t="b">
        <f t="array" ref="E324">OR(ISNUMBER(SEARCH(D$2:D$30,$B324,5)))</f>
        <v>0</v>
      </c>
      <c r="G324" s="3" t="str">
        <f t="shared" si="4"/>
        <v>ZZZ</v>
      </c>
      <c r="H324" s="3" t="b">
        <f t="array" ref="H324">OR(ISNUMBER(SEARCH(G$2:G$30,$B324,5)))</f>
        <v>0</v>
      </c>
      <c r="J324" s="3" t="str">
        <f t="shared" si="5"/>
        <v>ZZZ</v>
      </c>
      <c r="K324" s="3" t="b">
        <f t="array" ref="K324">OR(ISNUMBER(SEARCH(J$2:J$30,$B324,5)))</f>
        <v>0</v>
      </c>
      <c r="M324" s="3" t="str">
        <f t="shared" si="6"/>
        <v>ZZZ</v>
      </c>
      <c r="N324" s="3" t="b">
        <f t="array" ref="N324">OR(ISNUMBER(SEARCH(M$2:M$30,$B324,5)))</f>
        <v>0</v>
      </c>
      <c r="P324" s="3" t="str">
        <f t="shared" si="7"/>
        <v>ZZZ</v>
      </c>
      <c r="Q324" s="3" t="b">
        <f t="array" ref="Q324">OR(ISNUMBER(SEARCH(P$2:P$50,$B324,5)))</f>
        <v>0</v>
      </c>
      <c r="S324" s="3" t="str">
        <f t="shared" si="8"/>
        <v>ZZZ</v>
      </c>
      <c r="T324" s="3" t="b">
        <f t="array" ref="T324">OR(ISNUMBER(SEARCH(S$2:S$100,$B324,5)))</f>
        <v>0</v>
      </c>
      <c r="V324" s="3" t="str">
        <f t="shared" si="9"/>
        <v>ZZZ</v>
      </c>
      <c r="W324" s="3" t="b">
        <f t="array" ref="W324">OR(ISNUMBER(SEARCH(V$2:V$100,$B324,5)))</f>
        <v>0</v>
      </c>
      <c r="Y324" s="3" t="str">
        <f t="shared" si="10"/>
        <v>ZZZ</v>
      </c>
      <c r="Z324" s="3" t="b">
        <f t="array" ref="Z324">OR(ISNUMBER(SEARCH(Y$2:Y$100,$B324,5)))</f>
        <v>0</v>
      </c>
      <c r="AB324" s="3" t="str">
        <f t="shared" si="11"/>
        <v>ZZZ</v>
      </c>
      <c r="AC324" s="3" t="b">
        <f t="array" ref="AC324">OR(ISNUMBER(SEARCH(AB$2:AB$100,$B324,5)))</f>
        <v>0</v>
      </c>
      <c r="AE324" s="3" t="str">
        <f t="shared" si="12"/>
        <v>ZZZ</v>
      </c>
      <c r="AF324" s="3" t="b">
        <f t="array" ref="AF324">OR(ISNUMBER(SEARCH(AE$2:AE$100,$B324,5)))</f>
        <v>0</v>
      </c>
      <c r="AH324" s="3" t="str">
        <f t="shared" si="13"/>
        <v>ZZZ</v>
      </c>
      <c r="AI324" s="3" t="b">
        <f t="array" ref="AI324">OR(ISNUMBER(SEARCH(AH$2:AH$100,$B324,5)))</f>
        <v>0</v>
      </c>
      <c r="AK324" s="3" t="str">
        <f t="shared" si="14"/>
        <v>ZZZ</v>
      </c>
      <c r="AL324" s="3" t="b">
        <f t="array" ref="AL324">OR(ISNUMBER(SEARCH(AK$2:AK$100,$B324,5)))</f>
        <v>0</v>
      </c>
      <c r="AU324" s="8"/>
      <c r="AV324" s="6"/>
      <c r="AW324" s="8"/>
      <c r="AX324" s="8"/>
      <c r="AY324" s="6"/>
      <c r="AZ324" s="8"/>
      <c r="BA324" s="8"/>
      <c r="BB324" s="6"/>
      <c r="BC324" s="8"/>
      <c r="BD324" s="8"/>
      <c r="BE324" s="6"/>
      <c r="BF324" s="8"/>
      <c r="BG324" s="8"/>
      <c r="BH324" s="6"/>
      <c r="BI324" s="8"/>
      <c r="BJ324" s="8"/>
      <c r="BK324" s="6"/>
      <c r="BL324" s="8"/>
      <c r="BM324" s="8"/>
      <c r="BN324" s="6"/>
      <c r="BO324" s="8"/>
      <c r="BP324" s="8"/>
      <c r="BQ324" s="6"/>
      <c r="BR324" s="8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  <c r="IT324" s="7"/>
      <c r="IU324" s="7"/>
      <c r="IV324" s="7"/>
      <c r="IW324" s="7"/>
      <c r="IX324" s="7"/>
      <c r="IY324" s="7"/>
      <c r="IZ324" s="7"/>
      <c r="JA324" s="7"/>
      <c r="JB324" s="7"/>
      <c r="JC324" s="7"/>
      <c r="JD324" s="7"/>
      <c r="JE324" s="7"/>
      <c r="JF324" s="7"/>
      <c r="JG324" s="7"/>
      <c r="JH324" s="7"/>
      <c r="JI324" s="7"/>
      <c r="JJ324" s="7"/>
      <c r="JK324" s="7"/>
      <c r="JL324" s="7"/>
      <c r="JM324" s="7"/>
      <c r="JN324" s="7"/>
      <c r="JO324" s="7"/>
      <c r="JP324" s="7"/>
      <c r="JQ324" s="7"/>
      <c r="JR324" s="7"/>
      <c r="JS324" s="7"/>
      <c r="JT324" s="7"/>
      <c r="JU324" s="7"/>
      <c r="JV324" s="7"/>
      <c r="JW324" s="7"/>
      <c r="JX324" s="7"/>
      <c r="JY324" s="7"/>
      <c r="JZ324" s="7"/>
      <c r="KA324" s="7"/>
      <c r="KB324" s="7"/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/>
      <c r="KN324" s="7"/>
    </row>
    <row r="325">
      <c r="A325" s="6"/>
      <c r="B325" s="6" t="s">
        <v>325</v>
      </c>
      <c r="C325" s="3" t="str">
        <f t="shared" si="3"/>
        <v>light teal</v>
      </c>
      <c r="D325" s="3" t="str">
        <f t="shared" si="17"/>
        <v>ZZZ</v>
      </c>
      <c r="E325" s="3" t="b">
        <f t="array" ref="E325">OR(ISNUMBER(SEARCH(D$2:D$30,$B325,5)))</f>
        <v>0</v>
      </c>
      <c r="G325" s="3" t="str">
        <f t="shared" si="4"/>
        <v>ZZZ</v>
      </c>
      <c r="H325" s="3" t="b">
        <f t="array" ref="H325">OR(ISNUMBER(SEARCH(G$2:G$30,$B325,5)))</f>
        <v>0</v>
      </c>
      <c r="J325" s="3" t="str">
        <f t="shared" si="5"/>
        <v>ZZZ</v>
      </c>
      <c r="K325" s="3" t="b">
        <f t="array" ref="K325">OR(ISNUMBER(SEARCH(J$2:J$30,$B325,5)))</f>
        <v>0</v>
      </c>
      <c r="M325" s="3" t="str">
        <f t="shared" si="6"/>
        <v>ZZZ</v>
      </c>
      <c r="N325" s="3" t="b">
        <f t="array" ref="N325">OR(ISNUMBER(SEARCH(M$2:M$30,$B325,5)))</f>
        <v>0</v>
      </c>
      <c r="P325" s="3" t="str">
        <f t="shared" si="7"/>
        <v>ZZZ</v>
      </c>
      <c r="Q325" s="3" t="b">
        <f t="array" ref="Q325">OR(ISNUMBER(SEARCH(P$2:P$50,$B325,5)))</f>
        <v>0</v>
      </c>
      <c r="S325" s="3" t="str">
        <f t="shared" si="8"/>
        <v>ZZZ</v>
      </c>
      <c r="T325" s="3" t="b">
        <f t="array" ref="T325">OR(ISNUMBER(SEARCH(S$2:S$100,$B325,5)))</f>
        <v>0</v>
      </c>
      <c r="V325" s="3" t="str">
        <f t="shared" si="9"/>
        <v>ZZZ</v>
      </c>
      <c r="W325" s="3" t="b">
        <f t="array" ref="W325">OR(ISNUMBER(SEARCH(V$2:V$100,$B325,5)))</f>
        <v>0</v>
      </c>
      <c r="Y325" s="3" t="str">
        <f t="shared" si="10"/>
        <v>ZZZ</v>
      </c>
      <c r="Z325" s="3" t="b">
        <f t="array" ref="Z325">OR(ISNUMBER(SEARCH(Y$2:Y$100,$B325,5)))</f>
        <v>0</v>
      </c>
      <c r="AB325" s="3" t="str">
        <f t="shared" si="11"/>
        <v>ZZZ</v>
      </c>
      <c r="AC325" s="3" t="b">
        <f t="array" ref="AC325">OR(ISNUMBER(SEARCH(AB$2:AB$100,$B325,5)))</f>
        <v>0</v>
      </c>
      <c r="AE325" s="3" t="str">
        <f t="shared" si="12"/>
        <v>ZZZ</v>
      </c>
      <c r="AF325" s="3" t="b">
        <f t="array" ref="AF325">OR(ISNUMBER(SEARCH(AE$2:AE$100,$B325,5)))</f>
        <v>0</v>
      </c>
      <c r="AH325" s="3" t="str">
        <f t="shared" si="13"/>
        <v>ZZZ</v>
      </c>
      <c r="AI325" s="3" t="b">
        <f t="array" ref="AI325">OR(ISNUMBER(SEARCH(AH$2:AH$100,$B325,5)))</f>
        <v>0</v>
      </c>
      <c r="AK325" s="3" t="str">
        <f t="shared" si="14"/>
        <v>ZZZ</v>
      </c>
      <c r="AL325" s="3" t="b">
        <f t="array" ref="AL325">OR(ISNUMBER(SEARCH(AK$2:AK$100,$B325,5)))</f>
        <v>0</v>
      </c>
      <c r="AU325" s="8"/>
      <c r="AV325" s="6"/>
      <c r="AW325" s="8"/>
      <c r="AX325" s="8"/>
      <c r="AY325" s="6"/>
      <c r="AZ325" s="8"/>
      <c r="BA325" s="8"/>
      <c r="BB325" s="6"/>
      <c r="BC325" s="8"/>
      <c r="BD325" s="8"/>
      <c r="BE325" s="6"/>
      <c r="BF325" s="8"/>
      <c r="BG325" s="8"/>
      <c r="BH325" s="6"/>
      <c r="BI325" s="8"/>
      <c r="BJ325" s="8"/>
      <c r="BK325" s="6"/>
      <c r="BL325" s="8"/>
      <c r="BM325" s="8"/>
      <c r="BN325" s="6"/>
      <c r="BO325" s="8"/>
      <c r="BP325" s="8"/>
      <c r="BQ325" s="6"/>
      <c r="BR325" s="8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  <c r="HT325" s="7"/>
      <c r="HU325" s="7"/>
      <c r="HV325" s="7"/>
      <c r="HW325" s="7"/>
      <c r="HX325" s="7"/>
      <c r="HY325" s="7"/>
      <c r="HZ325" s="7"/>
      <c r="IA325" s="7"/>
      <c r="IB325" s="7"/>
      <c r="IC325" s="7"/>
      <c r="ID325" s="7"/>
      <c r="IE325" s="7"/>
      <c r="IF325" s="7"/>
      <c r="IG325" s="7"/>
      <c r="IH325" s="7"/>
      <c r="II325" s="7"/>
      <c r="IJ325" s="7"/>
      <c r="IK325" s="7"/>
      <c r="IL325" s="7"/>
      <c r="IM325" s="7"/>
      <c r="IN325" s="7"/>
      <c r="IO325" s="7"/>
      <c r="IP325" s="7"/>
      <c r="IQ325" s="7"/>
      <c r="IR325" s="7"/>
      <c r="IS325" s="7"/>
      <c r="IT325" s="7"/>
      <c r="IU325" s="7"/>
      <c r="IV325" s="7"/>
      <c r="IW325" s="7"/>
      <c r="IX325" s="7"/>
      <c r="IY325" s="7"/>
      <c r="IZ325" s="7"/>
      <c r="JA325" s="7"/>
      <c r="JB325" s="7"/>
      <c r="JC325" s="7"/>
      <c r="JD325" s="7"/>
      <c r="JE325" s="7"/>
      <c r="JF325" s="7"/>
      <c r="JG325" s="7"/>
      <c r="JH325" s="7"/>
      <c r="JI325" s="7"/>
      <c r="JJ325" s="7"/>
      <c r="JK325" s="7"/>
      <c r="JL325" s="7"/>
      <c r="JM325" s="7"/>
      <c r="JN325" s="7"/>
      <c r="JO325" s="7"/>
      <c r="JP325" s="7"/>
      <c r="JQ325" s="7"/>
      <c r="JR325" s="7"/>
      <c r="JS325" s="7"/>
      <c r="JT325" s="7"/>
      <c r="JU325" s="7"/>
      <c r="JV325" s="7"/>
      <c r="JW325" s="7"/>
      <c r="JX325" s="7"/>
      <c r="JY325" s="7"/>
      <c r="JZ325" s="7"/>
      <c r="KA325" s="7"/>
      <c r="KB325" s="7"/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/>
      <c r="KN325" s="7"/>
    </row>
    <row r="326">
      <c r="A326" s="6"/>
      <c r="B326" s="6" t="s">
        <v>326</v>
      </c>
      <c r="C326" s="3" t="str">
        <f t="shared" si="3"/>
        <v>mirrored coral</v>
      </c>
      <c r="D326" s="3" t="str">
        <f t="shared" si="17"/>
        <v>ZZZ</v>
      </c>
      <c r="E326" s="3" t="b">
        <f t="array" ref="E326">OR(ISNUMBER(SEARCH(D$2:D$30,$B326,5)))</f>
        <v>0</v>
      </c>
      <c r="G326" s="3" t="str">
        <f t="shared" si="4"/>
        <v>ZZZ</v>
      </c>
      <c r="H326" s="3" t="b">
        <f t="array" ref="H326">OR(ISNUMBER(SEARCH(G$2:G$30,$B326,5)))</f>
        <v>0</v>
      </c>
      <c r="J326" s="3" t="str">
        <f t="shared" si="5"/>
        <v>ZZZ</v>
      </c>
      <c r="K326" s="3" t="b">
        <f t="array" ref="K326">OR(ISNUMBER(SEARCH(J$2:J$30,$B326,5)))</f>
        <v>0</v>
      </c>
      <c r="M326" s="3" t="str">
        <f t="shared" si="6"/>
        <v>ZZZ</v>
      </c>
      <c r="N326" s="3" t="b">
        <f t="array" ref="N326">OR(ISNUMBER(SEARCH(M$2:M$30,$B326,5)))</f>
        <v>0</v>
      </c>
      <c r="P326" s="3" t="str">
        <f t="shared" si="7"/>
        <v>ZZZ</v>
      </c>
      <c r="Q326" s="3" t="b">
        <f t="array" ref="Q326">OR(ISNUMBER(SEARCH(P$2:P$50,$B326,5)))</f>
        <v>0</v>
      </c>
      <c r="S326" s="3" t="str">
        <f t="shared" si="8"/>
        <v>ZZZ</v>
      </c>
      <c r="T326" s="3" t="b">
        <f t="array" ref="T326">OR(ISNUMBER(SEARCH(S$2:S$100,$B326,5)))</f>
        <v>0</v>
      </c>
      <c r="V326" s="3" t="str">
        <f t="shared" si="9"/>
        <v>ZZZ</v>
      </c>
      <c r="W326" s="3" t="b">
        <f t="array" ref="W326">OR(ISNUMBER(SEARCH(V$2:V$100,$B326,5)))</f>
        <v>0</v>
      </c>
      <c r="Y326" s="3" t="str">
        <f t="shared" si="10"/>
        <v>ZZZ</v>
      </c>
      <c r="Z326" s="3" t="b">
        <f t="array" ref="Z326">OR(ISNUMBER(SEARCH(Y$2:Y$100,$B326,5)))</f>
        <v>0</v>
      </c>
      <c r="AB326" s="3" t="str">
        <f t="shared" si="11"/>
        <v>ZZZ</v>
      </c>
      <c r="AC326" s="3" t="b">
        <f t="array" ref="AC326">OR(ISNUMBER(SEARCH(AB$2:AB$100,$B326,5)))</f>
        <v>0</v>
      </c>
      <c r="AE326" s="3" t="str">
        <f t="shared" si="12"/>
        <v>ZZZ</v>
      </c>
      <c r="AF326" s="3" t="b">
        <f t="array" ref="AF326">OR(ISNUMBER(SEARCH(AE$2:AE$100,$B326,5)))</f>
        <v>0</v>
      </c>
      <c r="AH326" s="3" t="str">
        <f t="shared" si="13"/>
        <v>ZZZ</v>
      </c>
      <c r="AI326" s="3" t="b">
        <f t="array" ref="AI326">OR(ISNUMBER(SEARCH(AH$2:AH$100,$B326,5)))</f>
        <v>0</v>
      </c>
      <c r="AK326" s="3" t="str">
        <f t="shared" si="14"/>
        <v>ZZZ</v>
      </c>
      <c r="AL326" s="3" t="b">
        <f t="array" ref="AL326">OR(ISNUMBER(SEARCH(AK$2:AK$100,$B326,5)))</f>
        <v>0</v>
      </c>
      <c r="AU326" s="8"/>
      <c r="AV326" s="6"/>
      <c r="AW326" s="8"/>
      <c r="AX326" s="8"/>
      <c r="AY326" s="6"/>
      <c r="AZ326" s="8"/>
      <c r="BA326" s="8"/>
      <c r="BB326" s="6"/>
      <c r="BC326" s="8"/>
      <c r="BD326" s="8"/>
      <c r="BE326" s="6"/>
      <c r="BF326" s="8"/>
      <c r="BG326" s="8"/>
      <c r="BH326" s="6"/>
      <c r="BI326" s="8"/>
      <c r="BJ326" s="8"/>
      <c r="BK326" s="6"/>
      <c r="BL326" s="8"/>
      <c r="BM326" s="8"/>
      <c r="BN326" s="6"/>
      <c r="BO326" s="8"/>
      <c r="BP326" s="8"/>
      <c r="BQ326" s="6"/>
      <c r="BR326" s="8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  <c r="HT326" s="7"/>
      <c r="HU326" s="7"/>
      <c r="HV326" s="7"/>
      <c r="HW326" s="7"/>
      <c r="HX326" s="7"/>
      <c r="HY326" s="7"/>
      <c r="HZ326" s="7"/>
      <c r="IA326" s="7"/>
      <c r="IB326" s="7"/>
      <c r="IC326" s="7"/>
      <c r="ID326" s="7"/>
      <c r="IE326" s="7"/>
      <c r="IF326" s="7"/>
      <c r="IG326" s="7"/>
      <c r="IH326" s="7"/>
      <c r="II326" s="7"/>
      <c r="IJ326" s="7"/>
      <c r="IK326" s="7"/>
      <c r="IL326" s="7"/>
      <c r="IM326" s="7"/>
      <c r="IN326" s="7"/>
      <c r="IO326" s="7"/>
      <c r="IP326" s="7"/>
      <c r="IQ326" s="7"/>
      <c r="IR326" s="7"/>
      <c r="IS326" s="7"/>
      <c r="IT326" s="7"/>
      <c r="IU326" s="7"/>
      <c r="IV326" s="7"/>
      <c r="IW326" s="7"/>
      <c r="IX326" s="7"/>
      <c r="IY326" s="7"/>
      <c r="IZ326" s="7"/>
      <c r="JA326" s="7"/>
      <c r="JB326" s="7"/>
      <c r="JC326" s="7"/>
      <c r="JD326" s="7"/>
      <c r="JE326" s="7"/>
      <c r="JF326" s="7"/>
      <c r="JG326" s="7"/>
      <c r="JH326" s="7"/>
      <c r="JI326" s="7"/>
      <c r="JJ326" s="7"/>
      <c r="JK326" s="7"/>
      <c r="JL326" s="7"/>
      <c r="JM326" s="7"/>
      <c r="JN326" s="7"/>
      <c r="JO326" s="7"/>
      <c r="JP326" s="7"/>
      <c r="JQ326" s="7"/>
      <c r="JR326" s="7"/>
      <c r="JS326" s="7"/>
      <c r="JT326" s="7"/>
      <c r="JU326" s="7"/>
      <c r="JV326" s="7"/>
      <c r="JW326" s="7"/>
      <c r="JX326" s="7"/>
      <c r="JY326" s="7"/>
      <c r="JZ326" s="7"/>
      <c r="KA326" s="7"/>
      <c r="KB326" s="7"/>
      <c r="KC326" s="7"/>
      <c r="KD326" s="7"/>
      <c r="KE326" s="7"/>
      <c r="KF326" s="7"/>
      <c r="KG326" s="7"/>
      <c r="KH326" s="7"/>
      <c r="KI326" s="7"/>
      <c r="KJ326" s="7"/>
      <c r="KK326" s="7"/>
      <c r="KL326" s="7"/>
      <c r="KM326" s="7"/>
      <c r="KN326" s="7"/>
    </row>
    <row r="327">
      <c r="A327" s="6"/>
      <c r="B327" s="6" t="s">
        <v>327</v>
      </c>
      <c r="C327" s="3" t="str">
        <f t="shared" si="3"/>
        <v>muted black</v>
      </c>
      <c r="D327" s="3" t="str">
        <f t="shared" si="17"/>
        <v>ZZZ</v>
      </c>
      <c r="E327" s="3" t="b">
        <f t="array" ref="E327">OR(ISNUMBER(SEARCH(D$2:D$30,$B327,5)))</f>
        <v>0</v>
      </c>
      <c r="G327" s="3" t="str">
        <f t="shared" si="4"/>
        <v>ZZZ</v>
      </c>
      <c r="H327" s="3" t="b">
        <f t="array" ref="H327">OR(ISNUMBER(SEARCH(G$2:G$30,$B327,5)))</f>
        <v>0</v>
      </c>
      <c r="J327" s="3" t="str">
        <f t="shared" si="5"/>
        <v>ZZZ</v>
      </c>
      <c r="K327" s="3" t="b">
        <f t="array" ref="K327">OR(ISNUMBER(SEARCH(J$2:J$30,$B327,5)))</f>
        <v>0</v>
      </c>
      <c r="M327" s="3" t="str">
        <f t="shared" si="6"/>
        <v>ZZZ</v>
      </c>
      <c r="N327" s="3" t="b">
        <f t="array" ref="N327">OR(ISNUMBER(SEARCH(M$2:M$30,$B327,5)))</f>
        <v>0</v>
      </c>
      <c r="P327" s="3" t="str">
        <f t="shared" si="7"/>
        <v>ZZZ</v>
      </c>
      <c r="Q327" s="3" t="b">
        <f t="array" ref="Q327">OR(ISNUMBER(SEARCH(P$2:P$50,$B327,5)))</f>
        <v>1</v>
      </c>
      <c r="S327" s="3" t="str">
        <f t="shared" si="8"/>
        <v>ZZZ</v>
      </c>
      <c r="T327" s="3" t="b">
        <f t="array" ref="T327">OR(ISNUMBER(SEARCH(S$2:S$100,$B327,5)))</f>
        <v>0</v>
      </c>
      <c r="V327" s="3" t="str">
        <f t="shared" si="9"/>
        <v>ZZZ</v>
      </c>
      <c r="W327" s="3" t="b">
        <f t="array" ref="W327">OR(ISNUMBER(SEARCH(V$2:V$100,$B327,5)))</f>
        <v>0</v>
      </c>
      <c r="Y327" s="3" t="str">
        <f t="shared" si="10"/>
        <v>ZZZ</v>
      </c>
      <c r="Z327" s="3" t="b">
        <f t="array" ref="Z327">OR(ISNUMBER(SEARCH(Y$2:Y$100,$B327,5)))</f>
        <v>0</v>
      </c>
      <c r="AB327" s="3" t="str">
        <f t="shared" si="11"/>
        <v>ZZZ</v>
      </c>
      <c r="AC327" s="3" t="b">
        <f t="array" ref="AC327">OR(ISNUMBER(SEARCH(AB$2:AB$100,$B327,5)))</f>
        <v>0</v>
      </c>
      <c r="AE327" s="3" t="str">
        <f t="shared" si="12"/>
        <v>ZZZ</v>
      </c>
      <c r="AF327" s="3" t="b">
        <f t="array" ref="AF327">OR(ISNUMBER(SEARCH(AE$2:AE$100,$B327,5)))</f>
        <v>0</v>
      </c>
      <c r="AH327" s="3" t="str">
        <f t="shared" si="13"/>
        <v>ZZZ</v>
      </c>
      <c r="AI327" s="3" t="b">
        <f t="array" ref="AI327">OR(ISNUMBER(SEARCH(AH$2:AH$100,$B327,5)))</f>
        <v>0</v>
      </c>
      <c r="AK327" s="3" t="str">
        <f t="shared" si="14"/>
        <v>ZZZ</v>
      </c>
      <c r="AL327" s="3" t="b">
        <f t="array" ref="AL327">OR(ISNUMBER(SEARCH(AK$2:AK$100,$B327,5)))</f>
        <v>0</v>
      </c>
      <c r="AU327" s="8"/>
      <c r="AV327" s="6"/>
      <c r="AW327" s="8"/>
      <c r="AX327" s="8"/>
      <c r="AY327" s="6"/>
      <c r="AZ327" s="8"/>
      <c r="BA327" s="8"/>
      <c r="BB327" s="6"/>
      <c r="BC327" s="8"/>
      <c r="BD327" s="8"/>
      <c r="BE327" s="6"/>
      <c r="BF327" s="8"/>
      <c r="BG327" s="8"/>
      <c r="BH327" s="6"/>
      <c r="BI327" s="8"/>
      <c r="BJ327" s="8"/>
      <c r="BK327" s="6"/>
      <c r="BL327" s="8"/>
      <c r="BM327" s="8"/>
      <c r="BN327" s="6"/>
      <c r="BO327" s="8"/>
      <c r="BP327" s="8"/>
      <c r="BQ327" s="6"/>
      <c r="BR327" s="8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  <c r="HU327" s="7"/>
      <c r="HV327" s="7"/>
      <c r="HW327" s="7"/>
      <c r="HX327" s="7"/>
      <c r="HY327" s="7"/>
      <c r="HZ327" s="7"/>
      <c r="IA327" s="7"/>
      <c r="IB327" s="7"/>
      <c r="IC327" s="7"/>
      <c r="ID327" s="7"/>
      <c r="IE327" s="7"/>
      <c r="IF327" s="7"/>
      <c r="IG327" s="7"/>
      <c r="IH327" s="7"/>
      <c r="II327" s="7"/>
      <c r="IJ327" s="7"/>
      <c r="IK327" s="7"/>
      <c r="IL327" s="7"/>
      <c r="IM327" s="7"/>
      <c r="IN327" s="7"/>
      <c r="IO327" s="7"/>
      <c r="IP327" s="7"/>
      <c r="IQ327" s="7"/>
      <c r="IR327" s="7"/>
      <c r="IS327" s="7"/>
      <c r="IT327" s="7"/>
      <c r="IU327" s="7"/>
      <c r="IV327" s="7"/>
      <c r="IW327" s="7"/>
      <c r="IX327" s="7"/>
      <c r="IY327" s="7"/>
      <c r="IZ327" s="7"/>
      <c r="JA327" s="7"/>
      <c r="JB327" s="7"/>
      <c r="JC327" s="7"/>
      <c r="JD327" s="7"/>
      <c r="JE327" s="7"/>
      <c r="JF327" s="7"/>
      <c r="JG327" s="7"/>
      <c r="JH327" s="7"/>
      <c r="JI327" s="7"/>
      <c r="JJ327" s="7"/>
      <c r="JK327" s="7"/>
      <c r="JL327" s="7"/>
      <c r="JM327" s="7"/>
      <c r="JN327" s="7"/>
      <c r="JO327" s="7"/>
      <c r="JP327" s="7"/>
      <c r="JQ327" s="7"/>
      <c r="JR327" s="7"/>
      <c r="JS327" s="7"/>
      <c r="JT327" s="7"/>
      <c r="JU327" s="7"/>
      <c r="JV327" s="7"/>
      <c r="JW327" s="7"/>
      <c r="JX327" s="7"/>
      <c r="JY327" s="7"/>
      <c r="JZ327" s="7"/>
      <c r="KA327" s="7"/>
      <c r="KB327" s="7"/>
      <c r="KC327" s="7"/>
      <c r="KD327" s="7"/>
      <c r="KE327" s="7"/>
      <c r="KF327" s="7"/>
      <c r="KG327" s="7"/>
      <c r="KH327" s="7"/>
      <c r="KI327" s="7"/>
      <c r="KJ327" s="7"/>
      <c r="KK327" s="7"/>
      <c r="KL327" s="7"/>
      <c r="KM327" s="7"/>
      <c r="KN327" s="7"/>
    </row>
    <row r="328">
      <c r="A328" s="6"/>
      <c r="B328" s="6" t="s">
        <v>328</v>
      </c>
      <c r="C328" s="3" t="str">
        <f t="shared" si="3"/>
        <v>striped gold</v>
      </c>
      <c r="D328" s="3" t="str">
        <f t="shared" si="17"/>
        <v>ZZZ</v>
      </c>
      <c r="E328" s="3" t="b">
        <f t="array" ref="E328">OR(ISNUMBER(SEARCH(D$2:D$30,$B328,5)))</f>
        <v>0</v>
      </c>
      <c r="G328" s="3" t="str">
        <f t="shared" si="4"/>
        <v>ZZZ</v>
      </c>
      <c r="H328" s="3" t="b">
        <f t="array" ref="H328">OR(ISNUMBER(SEARCH(G$2:G$30,$B328,5)))</f>
        <v>0</v>
      </c>
      <c r="J328" s="3" t="str">
        <f t="shared" si="5"/>
        <v>ZZZ</v>
      </c>
      <c r="K328" s="3" t="b">
        <f t="array" ref="K328">OR(ISNUMBER(SEARCH(J$2:J$30,$B328,5)))</f>
        <v>0</v>
      </c>
      <c r="M328" s="3" t="str">
        <f t="shared" si="6"/>
        <v>ZZZ</v>
      </c>
      <c r="N328" s="3" t="b">
        <f t="array" ref="N328">OR(ISNUMBER(SEARCH(M$2:M$30,$B328,5)))</f>
        <v>0</v>
      </c>
      <c r="P328" s="3" t="str">
        <f t="shared" si="7"/>
        <v>ZZZ</v>
      </c>
      <c r="Q328" s="3" t="b">
        <f t="array" ref="Q328">OR(ISNUMBER(SEARCH(P$2:P$50,$B328,5)))</f>
        <v>0</v>
      </c>
      <c r="S328" s="3" t="str">
        <f t="shared" si="8"/>
        <v>ZZZ</v>
      </c>
      <c r="T328" s="3" t="b">
        <f t="array" ref="T328">OR(ISNUMBER(SEARCH(S$2:S$100,$B328,5)))</f>
        <v>0</v>
      </c>
      <c r="V328" s="3" t="str">
        <f t="shared" si="9"/>
        <v>ZZZ</v>
      </c>
      <c r="W328" s="3" t="b">
        <f t="array" ref="W328">OR(ISNUMBER(SEARCH(V$2:V$100,$B328,5)))</f>
        <v>0</v>
      </c>
      <c r="Y328" s="3" t="str">
        <f t="shared" si="10"/>
        <v>ZZZ</v>
      </c>
      <c r="Z328" s="3" t="b">
        <f t="array" ref="Z328">OR(ISNUMBER(SEARCH(Y$2:Y$100,$B328,5)))</f>
        <v>0</v>
      </c>
      <c r="AB328" s="3" t="str">
        <f t="shared" si="11"/>
        <v>ZZZ</v>
      </c>
      <c r="AC328" s="3" t="b">
        <f t="array" ref="AC328">OR(ISNUMBER(SEARCH(AB$2:AB$100,$B328,5)))</f>
        <v>0</v>
      </c>
      <c r="AE328" s="3" t="str">
        <f t="shared" si="12"/>
        <v>ZZZ</v>
      </c>
      <c r="AF328" s="3" t="b">
        <f t="array" ref="AF328">OR(ISNUMBER(SEARCH(AE$2:AE$100,$B328,5)))</f>
        <v>0</v>
      </c>
      <c r="AH328" s="3" t="str">
        <f t="shared" si="13"/>
        <v>ZZZ</v>
      </c>
      <c r="AI328" s="3" t="b">
        <f t="array" ref="AI328">OR(ISNUMBER(SEARCH(AH$2:AH$100,$B328,5)))</f>
        <v>0</v>
      </c>
      <c r="AK328" s="3" t="str">
        <f t="shared" si="14"/>
        <v>ZZZ</v>
      </c>
      <c r="AL328" s="3" t="b">
        <f t="array" ref="AL328">OR(ISNUMBER(SEARCH(AK$2:AK$100,$B328,5)))</f>
        <v>0</v>
      </c>
      <c r="AU328" s="8"/>
      <c r="AV328" s="6"/>
      <c r="AW328" s="8"/>
      <c r="AX328" s="8"/>
      <c r="AY328" s="6"/>
      <c r="AZ328" s="8"/>
      <c r="BA328" s="8"/>
      <c r="BB328" s="6"/>
      <c r="BC328" s="8"/>
      <c r="BD328" s="8"/>
      <c r="BE328" s="6"/>
      <c r="BF328" s="8"/>
      <c r="BG328" s="8"/>
      <c r="BH328" s="6"/>
      <c r="BI328" s="8"/>
      <c r="BJ328" s="8"/>
      <c r="BK328" s="6"/>
      <c r="BL328" s="8"/>
      <c r="BM328" s="8"/>
      <c r="BN328" s="6"/>
      <c r="BO328" s="8"/>
      <c r="BP328" s="8"/>
      <c r="BQ328" s="6"/>
      <c r="BR328" s="8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  <c r="HT328" s="7"/>
      <c r="HU328" s="7"/>
      <c r="HV328" s="7"/>
      <c r="HW328" s="7"/>
      <c r="HX328" s="7"/>
      <c r="HY328" s="7"/>
      <c r="HZ328" s="7"/>
      <c r="IA328" s="7"/>
      <c r="IB328" s="7"/>
      <c r="IC328" s="7"/>
      <c r="ID328" s="7"/>
      <c r="IE328" s="7"/>
      <c r="IF328" s="7"/>
      <c r="IG328" s="7"/>
      <c r="IH328" s="7"/>
      <c r="II328" s="7"/>
      <c r="IJ328" s="7"/>
      <c r="IK328" s="7"/>
      <c r="IL328" s="7"/>
      <c r="IM328" s="7"/>
      <c r="IN328" s="7"/>
      <c r="IO328" s="7"/>
      <c r="IP328" s="7"/>
      <c r="IQ328" s="7"/>
      <c r="IR328" s="7"/>
      <c r="IS328" s="7"/>
      <c r="IT328" s="7"/>
      <c r="IU328" s="7"/>
      <c r="IV328" s="7"/>
      <c r="IW328" s="7"/>
      <c r="IX328" s="7"/>
      <c r="IY328" s="7"/>
      <c r="IZ328" s="7"/>
      <c r="JA328" s="7"/>
      <c r="JB328" s="7"/>
      <c r="JC328" s="7"/>
      <c r="JD328" s="7"/>
      <c r="JE328" s="7"/>
      <c r="JF328" s="7"/>
      <c r="JG328" s="7"/>
      <c r="JH328" s="7"/>
      <c r="JI328" s="7"/>
      <c r="JJ328" s="7"/>
      <c r="JK328" s="7"/>
      <c r="JL328" s="7"/>
      <c r="JM328" s="7"/>
      <c r="JN328" s="7"/>
      <c r="JO328" s="7"/>
      <c r="JP328" s="7"/>
      <c r="JQ328" s="7"/>
      <c r="JR328" s="7"/>
      <c r="JS328" s="7"/>
      <c r="JT328" s="7"/>
      <c r="JU328" s="7"/>
      <c r="JV328" s="7"/>
      <c r="JW328" s="7"/>
      <c r="JX328" s="7"/>
      <c r="JY328" s="7"/>
      <c r="JZ328" s="7"/>
      <c r="KA328" s="7"/>
      <c r="KB328" s="7"/>
      <c r="KC328" s="7"/>
      <c r="KD328" s="7"/>
      <c r="KE328" s="7"/>
      <c r="KF328" s="7"/>
      <c r="KG328" s="7"/>
      <c r="KH328" s="7"/>
      <c r="KI328" s="7"/>
      <c r="KJ328" s="7"/>
      <c r="KK328" s="7"/>
      <c r="KL328" s="7"/>
      <c r="KM328" s="7"/>
      <c r="KN328" s="7"/>
    </row>
    <row r="329">
      <c r="A329" s="6"/>
      <c r="B329" s="6" t="s">
        <v>329</v>
      </c>
      <c r="C329" s="3" t="str">
        <f t="shared" si="3"/>
        <v>light purple</v>
      </c>
      <c r="D329" s="3" t="str">
        <f t="shared" si="17"/>
        <v>ZZZ</v>
      </c>
      <c r="E329" s="3" t="b">
        <f t="array" ref="E329">OR(ISNUMBER(SEARCH(D$2:D$30,$B329,5)))</f>
        <v>0</v>
      </c>
      <c r="G329" s="3" t="str">
        <f t="shared" si="4"/>
        <v>ZZZ</v>
      </c>
      <c r="H329" s="3" t="b">
        <f t="array" ref="H329">OR(ISNUMBER(SEARCH(G$2:G$30,$B329,5)))</f>
        <v>0</v>
      </c>
      <c r="J329" s="3" t="str">
        <f t="shared" si="5"/>
        <v>ZZZ</v>
      </c>
      <c r="K329" s="3" t="b">
        <f t="array" ref="K329">OR(ISNUMBER(SEARCH(J$2:J$30,$B329,5)))</f>
        <v>0</v>
      </c>
      <c r="M329" s="3" t="str">
        <f t="shared" si="6"/>
        <v>ZZZ</v>
      </c>
      <c r="N329" s="3" t="b">
        <f t="array" ref="N329">OR(ISNUMBER(SEARCH(M$2:M$30,$B329,5)))</f>
        <v>0</v>
      </c>
      <c r="P329" s="3" t="str">
        <f t="shared" si="7"/>
        <v>ZZZ</v>
      </c>
      <c r="Q329" s="3" t="b">
        <f t="array" ref="Q329">OR(ISNUMBER(SEARCH(P$2:P$50,$B329,5)))</f>
        <v>0</v>
      </c>
      <c r="S329" s="3" t="str">
        <f t="shared" si="8"/>
        <v>ZZZ</v>
      </c>
      <c r="T329" s="3" t="b">
        <f t="array" ref="T329">OR(ISNUMBER(SEARCH(S$2:S$100,$B329,5)))</f>
        <v>0</v>
      </c>
      <c r="V329" s="3" t="str">
        <f t="shared" si="9"/>
        <v>ZZZ</v>
      </c>
      <c r="W329" s="3" t="b">
        <f t="array" ref="W329">OR(ISNUMBER(SEARCH(V$2:V$100,$B329,5)))</f>
        <v>0</v>
      </c>
      <c r="Y329" s="3" t="str">
        <f t="shared" si="10"/>
        <v>ZZZ</v>
      </c>
      <c r="Z329" s="3" t="b">
        <f t="array" ref="Z329">OR(ISNUMBER(SEARCH(Y$2:Y$100,$B329,5)))</f>
        <v>0</v>
      </c>
      <c r="AB329" s="3" t="str">
        <f t="shared" si="11"/>
        <v>ZZZ</v>
      </c>
      <c r="AC329" s="3" t="b">
        <f t="array" ref="AC329">OR(ISNUMBER(SEARCH(AB$2:AB$100,$B329,5)))</f>
        <v>0</v>
      </c>
      <c r="AE329" s="3" t="str">
        <f t="shared" si="12"/>
        <v>ZZZ</v>
      </c>
      <c r="AF329" s="3" t="b">
        <f t="array" ref="AF329">OR(ISNUMBER(SEARCH(AE$2:AE$100,$B329,5)))</f>
        <v>0</v>
      </c>
      <c r="AH329" s="3" t="str">
        <f t="shared" si="13"/>
        <v>ZZZ</v>
      </c>
      <c r="AI329" s="3" t="b">
        <f t="array" ref="AI329">OR(ISNUMBER(SEARCH(AH$2:AH$100,$B329,5)))</f>
        <v>0</v>
      </c>
      <c r="AK329" s="3" t="str">
        <f t="shared" si="14"/>
        <v>ZZZ</v>
      </c>
      <c r="AL329" s="3" t="b">
        <f t="array" ref="AL329">OR(ISNUMBER(SEARCH(AK$2:AK$100,$B329,5)))</f>
        <v>0</v>
      </c>
      <c r="AU329" s="8"/>
      <c r="AV329" s="6"/>
      <c r="AW329" s="8"/>
      <c r="AX329" s="8"/>
      <c r="AY329" s="6"/>
      <c r="AZ329" s="8"/>
      <c r="BA329" s="8"/>
      <c r="BB329" s="6"/>
      <c r="BC329" s="8"/>
      <c r="BD329" s="8"/>
      <c r="BE329" s="6"/>
      <c r="BF329" s="8"/>
      <c r="BG329" s="8"/>
      <c r="BH329" s="6"/>
      <c r="BI329" s="8"/>
      <c r="BJ329" s="8"/>
      <c r="BK329" s="6"/>
      <c r="BL329" s="8"/>
      <c r="BM329" s="8"/>
      <c r="BN329" s="6"/>
      <c r="BO329" s="8"/>
      <c r="BP329" s="8"/>
      <c r="BQ329" s="6"/>
      <c r="BR329" s="8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  <c r="HT329" s="7"/>
      <c r="HU329" s="7"/>
      <c r="HV329" s="7"/>
      <c r="HW329" s="7"/>
      <c r="HX329" s="7"/>
      <c r="HY329" s="7"/>
      <c r="HZ329" s="7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  <c r="IT329" s="7"/>
      <c r="IU329" s="7"/>
      <c r="IV329" s="7"/>
      <c r="IW329" s="7"/>
      <c r="IX329" s="7"/>
      <c r="IY329" s="7"/>
      <c r="IZ329" s="7"/>
      <c r="JA329" s="7"/>
      <c r="JB329" s="7"/>
      <c r="JC329" s="7"/>
      <c r="JD329" s="7"/>
      <c r="JE329" s="7"/>
      <c r="JF329" s="7"/>
      <c r="JG329" s="7"/>
      <c r="JH329" s="7"/>
      <c r="JI329" s="7"/>
      <c r="JJ329" s="7"/>
      <c r="JK329" s="7"/>
      <c r="JL329" s="7"/>
      <c r="JM329" s="7"/>
      <c r="JN329" s="7"/>
      <c r="JO329" s="7"/>
      <c r="JP329" s="7"/>
      <c r="JQ329" s="7"/>
      <c r="JR329" s="7"/>
      <c r="JS329" s="7"/>
      <c r="JT329" s="7"/>
      <c r="JU329" s="7"/>
      <c r="JV329" s="7"/>
      <c r="JW329" s="7"/>
      <c r="JX329" s="7"/>
      <c r="JY329" s="7"/>
      <c r="JZ329" s="7"/>
      <c r="KA329" s="7"/>
      <c r="KB329" s="7"/>
      <c r="KC329" s="7"/>
      <c r="KD329" s="7"/>
      <c r="KE329" s="7"/>
      <c r="KF329" s="7"/>
      <c r="KG329" s="7"/>
      <c r="KH329" s="7"/>
      <c r="KI329" s="7"/>
      <c r="KJ329" s="7"/>
      <c r="KK329" s="7"/>
      <c r="KL329" s="7"/>
      <c r="KM329" s="7"/>
      <c r="KN329" s="7"/>
    </row>
    <row r="330">
      <c r="A330" s="6"/>
      <c r="B330" s="6" t="s">
        <v>330</v>
      </c>
      <c r="C330" s="3" t="str">
        <f t="shared" si="3"/>
        <v>dull silver</v>
      </c>
      <c r="D330" s="3" t="str">
        <f t="shared" si="17"/>
        <v>ZZZ</v>
      </c>
      <c r="E330" s="3" t="b">
        <f t="array" ref="E330">OR(ISNUMBER(SEARCH(D$2:D$30,$B330,5)))</f>
        <v>0</v>
      </c>
      <c r="G330" s="3" t="str">
        <f t="shared" si="4"/>
        <v>ZZZ</v>
      </c>
      <c r="H330" s="3" t="b">
        <f t="array" ref="H330">OR(ISNUMBER(SEARCH(G$2:G$30,$B330,5)))</f>
        <v>0</v>
      </c>
      <c r="J330" s="3" t="str">
        <f t="shared" si="5"/>
        <v>ZZZ</v>
      </c>
      <c r="K330" s="3" t="b">
        <f t="array" ref="K330">OR(ISNUMBER(SEARCH(J$2:J$30,$B330,5)))</f>
        <v>0</v>
      </c>
      <c r="M330" s="3" t="str">
        <f t="shared" si="6"/>
        <v>ZZZ</v>
      </c>
      <c r="N330" s="3" t="b">
        <f t="array" ref="N330">OR(ISNUMBER(SEARCH(M$2:M$30,$B330,5)))</f>
        <v>0</v>
      </c>
      <c r="P330" s="3" t="str">
        <f t="shared" si="7"/>
        <v>ZZZ</v>
      </c>
      <c r="Q330" s="3" t="b">
        <f t="array" ref="Q330">OR(ISNUMBER(SEARCH(P$2:P$50,$B330,5)))</f>
        <v>0</v>
      </c>
      <c r="S330" s="3" t="str">
        <f t="shared" si="8"/>
        <v>ZZZ</v>
      </c>
      <c r="T330" s="3" t="b">
        <f t="array" ref="T330">OR(ISNUMBER(SEARCH(S$2:S$100,$B330,5)))</f>
        <v>0</v>
      </c>
      <c r="V330" s="3" t="str">
        <f t="shared" si="9"/>
        <v>ZZZ</v>
      </c>
      <c r="W330" s="3" t="b">
        <f t="array" ref="W330">OR(ISNUMBER(SEARCH(V$2:V$100,$B330,5)))</f>
        <v>0</v>
      </c>
      <c r="Y330" s="3" t="str">
        <f t="shared" si="10"/>
        <v>ZZZ</v>
      </c>
      <c r="Z330" s="3" t="b">
        <f t="array" ref="Z330">OR(ISNUMBER(SEARCH(Y$2:Y$100,$B330,5)))</f>
        <v>0</v>
      </c>
      <c r="AB330" s="3" t="str">
        <f t="shared" si="11"/>
        <v>ZZZ</v>
      </c>
      <c r="AC330" s="3" t="b">
        <f t="array" ref="AC330">OR(ISNUMBER(SEARCH(AB$2:AB$100,$B330,5)))</f>
        <v>0</v>
      </c>
      <c r="AE330" s="3" t="str">
        <f t="shared" si="12"/>
        <v>ZZZ</v>
      </c>
      <c r="AF330" s="3" t="b">
        <f t="array" ref="AF330">OR(ISNUMBER(SEARCH(AE$2:AE$100,$B330,5)))</f>
        <v>0</v>
      </c>
      <c r="AH330" s="3" t="str">
        <f t="shared" si="13"/>
        <v>ZZZ</v>
      </c>
      <c r="AI330" s="3" t="b">
        <f t="array" ref="AI330">OR(ISNUMBER(SEARCH(AH$2:AH$100,$B330,5)))</f>
        <v>0</v>
      </c>
      <c r="AK330" s="3" t="str">
        <f t="shared" si="14"/>
        <v>ZZZ</v>
      </c>
      <c r="AL330" s="3" t="b">
        <f t="array" ref="AL330">OR(ISNUMBER(SEARCH(AK$2:AK$100,$B330,5)))</f>
        <v>0</v>
      </c>
      <c r="AU330" s="8"/>
      <c r="AV330" s="6"/>
      <c r="AW330" s="8"/>
      <c r="AX330" s="8"/>
      <c r="AY330" s="6"/>
      <c r="AZ330" s="8"/>
      <c r="BA330" s="8"/>
      <c r="BB330" s="6"/>
      <c r="BC330" s="8"/>
      <c r="BD330" s="8"/>
      <c r="BE330" s="6"/>
      <c r="BF330" s="8"/>
      <c r="BG330" s="8"/>
      <c r="BH330" s="6"/>
      <c r="BI330" s="8"/>
      <c r="BJ330" s="8"/>
      <c r="BK330" s="6"/>
      <c r="BL330" s="8"/>
      <c r="BM330" s="8"/>
      <c r="BN330" s="6"/>
      <c r="BO330" s="8"/>
      <c r="BP330" s="8"/>
      <c r="BQ330" s="6"/>
      <c r="BR330" s="8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  <c r="HT330" s="7"/>
      <c r="HU330" s="7"/>
      <c r="HV330" s="7"/>
      <c r="HW330" s="7"/>
      <c r="HX330" s="7"/>
      <c r="HY330" s="7"/>
      <c r="HZ330" s="7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7"/>
      <c r="IQ330" s="7"/>
      <c r="IR330" s="7"/>
      <c r="IS330" s="7"/>
      <c r="IT330" s="7"/>
      <c r="IU330" s="7"/>
      <c r="IV330" s="7"/>
      <c r="IW330" s="7"/>
      <c r="IX330" s="7"/>
      <c r="IY330" s="7"/>
      <c r="IZ330" s="7"/>
      <c r="JA330" s="7"/>
      <c r="JB330" s="7"/>
      <c r="JC330" s="7"/>
      <c r="JD330" s="7"/>
      <c r="JE330" s="7"/>
      <c r="JF330" s="7"/>
      <c r="JG330" s="7"/>
      <c r="JH330" s="7"/>
      <c r="JI330" s="7"/>
      <c r="JJ330" s="7"/>
      <c r="JK330" s="7"/>
      <c r="JL330" s="7"/>
      <c r="JM330" s="7"/>
      <c r="JN330" s="7"/>
      <c r="JO330" s="7"/>
      <c r="JP330" s="7"/>
      <c r="JQ330" s="7"/>
      <c r="JR330" s="7"/>
      <c r="JS330" s="7"/>
      <c r="JT330" s="7"/>
      <c r="JU330" s="7"/>
      <c r="JV330" s="7"/>
      <c r="JW330" s="7"/>
      <c r="JX330" s="7"/>
      <c r="JY330" s="7"/>
      <c r="JZ330" s="7"/>
      <c r="KA330" s="7"/>
      <c r="KB330" s="7"/>
      <c r="KC330" s="7"/>
      <c r="KD330" s="7"/>
      <c r="KE330" s="7"/>
      <c r="KF330" s="7"/>
      <c r="KG330" s="7"/>
      <c r="KH330" s="7"/>
      <c r="KI330" s="7"/>
      <c r="KJ330" s="7"/>
      <c r="KK330" s="7"/>
      <c r="KL330" s="7"/>
      <c r="KM330" s="7"/>
      <c r="KN330" s="7"/>
    </row>
    <row r="331">
      <c r="A331" s="6"/>
      <c r="B331" s="6" t="s">
        <v>331</v>
      </c>
      <c r="C331" s="3" t="str">
        <f t="shared" si="3"/>
        <v>clear bronze</v>
      </c>
      <c r="D331" s="3" t="str">
        <f t="shared" si="17"/>
        <v>ZZZ</v>
      </c>
      <c r="E331" s="3" t="b">
        <f t="array" ref="E331">OR(ISNUMBER(SEARCH(D$2:D$30,$B331,5)))</f>
        <v>0</v>
      </c>
      <c r="G331" s="3" t="str">
        <f t="shared" si="4"/>
        <v>ZZZ</v>
      </c>
      <c r="H331" s="3" t="b">
        <f t="array" ref="H331">OR(ISNUMBER(SEARCH(G$2:G$30,$B331,5)))</f>
        <v>0</v>
      </c>
      <c r="J331" s="3" t="str">
        <f t="shared" si="5"/>
        <v>ZZZ</v>
      </c>
      <c r="K331" s="3" t="b">
        <f t="array" ref="K331">OR(ISNUMBER(SEARCH(J$2:J$30,$B331,5)))</f>
        <v>0</v>
      </c>
      <c r="M331" s="3" t="str">
        <f t="shared" si="6"/>
        <v>ZZZ</v>
      </c>
      <c r="N331" s="3" t="b">
        <f t="array" ref="N331">OR(ISNUMBER(SEARCH(M$2:M$30,$B331,5)))</f>
        <v>0</v>
      </c>
      <c r="P331" s="3" t="str">
        <f t="shared" si="7"/>
        <v>ZZZ</v>
      </c>
      <c r="Q331" s="3" t="b">
        <f t="array" ref="Q331">OR(ISNUMBER(SEARCH(P$2:P$50,$B331,5)))</f>
        <v>0</v>
      </c>
      <c r="S331" s="3" t="str">
        <f t="shared" si="8"/>
        <v>ZZZ</v>
      </c>
      <c r="T331" s="3" t="b">
        <f t="array" ref="T331">OR(ISNUMBER(SEARCH(S$2:S$100,$B331,5)))</f>
        <v>1</v>
      </c>
      <c r="V331" s="3" t="str">
        <f t="shared" si="9"/>
        <v>ZZZ</v>
      </c>
      <c r="W331" s="3" t="b">
        <f t="array" ref="W331">OR(ISNUMBER(SEARCH(V$2:V$100,$B331,5)))</f>
        <v>0</v>
      </c>
      <c r="Y331" s="3" t="str">
        <f t="shared" si="10"/>
        <v>ZZZ</v>
      </c>
      <c r="Z331" s="3" t="b">
        <f t="array" ref="Z331">OR(ISNUMBER(SEARCH(Y$2:Y$100,$B331,5)))</f>
        <v>1</v>
      </c>
      <c r="AB331" s="3" t="str">
        <f t="shared" si="11"/>
        <v>ZZZ</v>
      </c>
      <c r="AC331" s="3" t="b">
        <f t="array" ref="AC331">OR(ISNUMBER(SEARCH(AB$2:AB$100,$B331,5)))</f>
        <v>0</v>
      </c>
      <c r="AE331" s="3" t="str">
        <f t="shared" si="12"/>
        <v>ZZZ</v>
      </c>
      <c r="AF331" s="3" t="b">
        <f t="array" ref="AF331">OR(ISNUMBER(SEARCH(AE$2:AE$100,$B331,5)))</f>
        <v>0</v>
      </c>
      <c r="AH331" s="3" t="str">
        <f t="shared" si="13"/>
        <v>ZZZ</v>
      </c>
      <c r="AI331" s="3" t="b">
        <f t="array" ref="AI331">OR(ISNUMBER(SEARCH(AH$2:AH$100,$B331,5)))</f>
        <v>0</v>
      </c>
      <c r="AK331" s="3" t="str">
        <f t="shared" si="14"/>
        <v>ZZZ</v>
      </c>
      <c r="AL331" s="3" t="b">
        <f t="array" ref="AL331">OR(ISNUMBER(SEARCH(AK$2:AK$100,$B331,5)))</f>
        <v>0</v>
      </c>
      <c r="AU331" s="8"/>
      <c r="AV331" s="6"/>
      <c r="AW331" s="8"/>
      <c r="AX331" s="8"/>
      <c r="AY331" s="6"/>
      <c r="AZ331" s="8"/>
      <c r="BA331" s="8"/>
      <c r="BB331" s="6"/>
      <c r="BC331" s="8"/>
      <c r="BD331" s="8"/>
      <c r="BE331" s="6"/>
      <c r="BF331" s="8"/>
      <c r="BG331" s="8"/>
      <c r="BH331" s="6"/>
      <c r="BI331" s="8"/>
      <c r="BJ331" s="8"/>
      <c r="BK331" s="6"/>
      <c r="BL331" s="8"/>
      <c r="BM331" s="8"/>
      <c r="BN331" s="6"/>
      <c r="BO331" s="8"/>
      <c r="BP331" s="8"/>
      <c r="BQ331" s="6"/>
      <c r="BR331" s="8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  <c r="HT331" s="7"/>
      <c r="HU331" s="7"/>
      <c r="HV331" s="7"/>
      <c r="HW331" s="7"/>
      <c r="HX331" s="7"/>
      <c r="HY331" s="7"/>
      <c r="HZ331" s="7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7"/>
      <c r="IQ331" s="7"/>
      <c r="IR331" s="7"/>
      <c r="IS331" s="7"/>
      <c r="IT331" s="7"/>
      <c r="IU331" s="7"/>
      <c r="IV331" s="7"/>
      <c r="IW331" s="7"/>
      <c r="IX331" s="7"/>
      <c r="IY331" s="7"/>
      <c r="IZ331" s="7"/>
      <c r="JA331" s="7"/>
      <c r="JB331" s="7"/>
      <c r="JC331" s="7"/>
      <c r="JD331" s="7"/>
      <c r="JE331" s="7"/>
      <c r="JF331" s="7"/>
      <c r="JG331" s="7"/>
      <c r="JH331" s="7"/>
      <c r="JI331" s="7"/>
      <c r="JJ331" s="7"/>
      <c r="JK331" s="7"/>
      <c r="JL331" s="7"/>
      <c r="JM331" s="7"/>
      <c r="JN331" s="7"/>
      <c r="JO331" s="7"/>
      <c r="JP331" s="7"/>
      <c r="JQ331" s="7"/>
      <c r="JR331" s="7"/>
      <c r="JS331" s="7"/>
      <c r="JT331" s="7"/>
      <c r="JU331" s="7"/>
      <c r="JV331" s="7"/>
      <c r="JW331" s="7"/>
      <c r="JX331" s="7"/>
      <c r="JY331" s="7"/>
      <c r="JZ331" s="7"/>
      <c r="KA331" s="7"/>
      <c r="KB331" s="7"/>
      <c r="KC331" s="7"/>
      <c r="KD331" s="7"/>
      <c r="KE331" s="7"/>
      <c r="KF331" s="7"/>
      <c r="KG331" s="7"/>
      <c r="KH331" s="7"/>
      <c r="KI331" s="7"/>
      <c r="KJ331" s="7"/>
      <c r="KK331" s="7"/>
      <c r="KL331" s="7"/>
      <c r="KM331" s="7"/>
      <c r="KN331" s="7"/>
    </row>
    <row r="332">
      <c r="A332" s="6"/>
      <c r="B332" s="6" t="s">
        <v>332</v>
      </c>
      <c r="C332" s="3" t="str">
        <f t="shared" si="3"/>
        <v>wavy yellow</v>
      </c>
      <c r="D332" s="3" t="str">
        <f t="shared" si="17"/>
        <v>ZZZ</v>
      </c>
      <c r="E332" s="3" t="b">
        <f t="array" ref="E332">OR(ISNUMBER(SEARCH(D$2:D$30,$B332,5)))</f>
        <v>0</v>
      </c>
      <c r="G332" s="3" t="str">
        <f t="shared" si="4"/>
        <v>ZZZ</v>
      </c>
      <c r="H332" s="3" t="b">
        <f t="array" ref="H332">OR(ISNUMBER(SEARCH(G$2:G$30,$B332,5)))</f>
        <v>0</v>
      </c>
      <c r="J332" s="3" t="str">
        <f t="shared" si="5"/>
        <v>ZZZ</v>
      </c>
      <c r="K332" s="3" t="b">
        <f t="array" ref="K332">OR(ISNUMBER(SEARCH(J$2:J$30,$B332,5)))</f>
        <v>0</v>
      </c>
      <c r="M332" s="3" t="str">
        <f t="shared" si="6"/>
        <v>ZZZ</v>
      </c>
      <c r="N332" s="3" t="b">
        <f t="array" ref="N332">OR(ISNUMBER(SEARCH(M$2:M$30,$B332,5)))</f>
        <v>0</v>
      </c>
      <c r="P332" s="3" t="str">
        <f t="shared" si="7"/>
        <v>ZZZ</v>
      </c>
      <c r="Q332" s="3" t="b">
        <f t="array" ref="Q332">OR(ISNUMBER(SEARCH(P$2:P$50,$B332,5)))</f>
        <v>0</v>
      </c>
      <c r="S332" s="3" t="str">
        <f t="shared" si="8"/>
        <v>ZZZ</v>
      </c>
      <c r="T332" s="3" t="b">
        <f t="array" ref="T332">OR(ISNUMBER(SEARCH(S$2:S$100,$B332,5)))</f>
        <v>0</v>
      </c>
      <c r="V332" s="3" t="str">
        <f t="shared" si="9"/>
        <v>ZZZ</v>
      </c>
      <c r="W332" s="3" t="b">
        <f t="array" ref="W332">OR(ISNUMBER(SEARCH(V$2:V$100,$B332,5)))</f>
        <v>0</v>
      </c>
      <c r="Y332" s="3" t="str">
        <f t="shared" si="10"/>
        <v>ZZZ</v>
      </c>
      <c r="Z332" s="3" t="b">
        <f t="array" ref="Z332">OR(ISNUMBER(SEARCH(Y$2:Y$100,$B332,5)))</f>
        <v>0</v>
      </c>
      <c r="AB332" s="3" t="str">
        <f t="shared" si="11"/>
        <v>ZZZ</v>
      </c>
      <c r="AC332" s="3" t="b">
        <f t="array" ref="AC332">OR(ISNUMBER(SEARCH(AB$2:AB$100,$B332,5)))</f>
        <v>0</v>
      </c>
      <c r="AE332" s="3" t="str">
        <f t="shared" si="12"/>
        <v>ZZZ</v>
      </c>
      <c r="AF332" s="3" t="b">
        <f t="array" ref="AF332">OR(ISNUMBER(SEARCH(AE$2:AE$100,$B332,5)))</f>
        <v>0</v>
      </c>
      <c r="AH332" s="3" t="str">
        <f t="shared" si="13"/>
        <v>ZZZ</v>
      </c>
      <c r="AI332" s="3" t="b">
        <f t="array" ref="AI332">OR(ISNUMBER(SEARCH(AH$2:AH$100,$B332,5)))</f>
        <v>0</v>
      </c>
      <c r="AK332" s="3" t="str">
        <f t="shared" si="14"/>
        <v>ZZZ</v>
      </c>
      <c r="AL332" s="3" t="b">
        <f t="array" ref="AL332">OR(ISNUMBER(SEARCH(AK$2:AK$100,$B332,5)))</f>
        <v>0</v>
      </c>
      <c r="AU332" s="8"/>
      <c r="AV332" s="6"/>
      <c r="AW332" s="8"/>
      <c r="AX332" s="8"/>
      <c r="AY332" s="6"/>
      <c r="AZ332" s="8"/>
      <c r="BA332" s="8"/>
      <c r="BB332" s="6"/>
      <c r="BC332" s="8"/>
      <c r="BD332" s="8"/>
      <c r="BE332" s="6"/>
      <c r="BF332" s="8"/>
      <c r="BG332" s="8"/>
      <c r="BH332" s="6"/>
      <c r="BI332" s="8"/>
      <c r="BJ332" s="8"/>
      <c r="BK332" s="6"/>
      <c r="BL332" s="8"/>
      <c r="BM332" s="8"/>
      <c r="BN332" s="6"/>
      <c r="BO332" s="8"/>
      <c r="BP332" s="8"/>
      <c r="BQ332" s="6"/>
      <c r="BR332" s="8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7"/>
      <c r="HW332" s="7"/>
      <c r="HX332" s="7"/>
      <c r="HY332" s="7"/>
      <c r="HZ332" s="7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/>
      <c r="IS332" s="7"/>
      <c r="IT332" s="7"/>
      <c r="IU332" s="7"/>
      <c r="IV332" s="7"/>
      <c r="IW332" s="7"/>
      <c r="IX332" s="7"/>
      <c r="IY332" s="7"/>
      <c r="IZ332" s="7"/>
      <c r="JA332" s="7"/>
      <c r="JB332" s="7"/>
      <c r="JC332" s="7"/>
      <c r="JD332" s="7"/>
      <c r="JE332" s="7"/>
      <c r="JF332" s="7"/>
      <c r="JG332" s="7"/>
      <c r="JH332" s="7"/>
      <c r="JI332" s="7"/>
      <c r="JJ332" s="7"/>
      <c r="JK332" s="7"/>
      <c r="JL332" s="7"/>
      <c r="JM332" s="7"/>
      <c r="JN332" s="7"/>
      <c r="JO332" s="7"/>
      <c r="JP332" s="7"/>
      <c r="JQ332" s="7"/>
      <c r="JR332" s="7"/>
      <c r="JS332" s="7"/>
      <c r="JT332" s="7"/>
      <c r="JU332" s="7"/>
      <c r="JV332" s="7"/>
      <c r="JW332" s="7"/>
      <c r="JX332" s="7"/>
      <c r="JY332" s="7"/>
      <c r="JZ332" s="7"/>
      <c r="KA332" s="7"/>
      <c r="KB332" s="7"/>
      <c r="KC332" s="7"/>
      <c r="KD332" s="7"/>
      <c r="KE332" s="7"/>
      <c r="KF332" s="7"/>
      <c r="KG332" s="7"/>
      <c r="KH332" s="7"/>
      <c r="KI332" s="7"/>
      <c r="KJ332" s="7"/>
      <c r="KK332" s="7"/>
      <c r="KL332" s="7"/>
      <c r="KM332" s="7"/>
      <c r="KN332" s="7"/>
    </row>
    <row r="333">
      <c r="A333" s="6"/>
      <c r="B333" s="6" t="s">
        <v>333</v>
      </c>
      <c r="C333" s="3" t="str">
        <f t="shared" si="3"/>
        <v>muted purple</v>
      </c>
      <c r="D333" s="3" t="str">
        <f t="shared" si="17"/>
        <v>ZZZ</v>
      </c>
      <c r="E333" s="3" t="b">
        <f t="array" ref="E333">OR(ISNUMBER(SEARCH(D$2:D$30,$B333,5)))</f>
        <v>0</v>
      </c>
      <c r="G333" s="3" t="str">
        <f t="shared" si="4"/>
        <v>ZZZ</v>
      </c>
      <c r="H333" s="3" t="b">
        <f t="array" ref="H333">OR(ISNUMBER(SEARCH(G$2:G$30,$B333,5)))</f>
        <v>0</v>
      </c>
      <c r="J333" s="3" t="str">
        <f t="shared" si="5"/>
        <v>ZZZ</v>
      </c>
      <c r="K333" s="3" t="b">
        <f t="array" ref="K333">OR(ISNUMBER(SEARCH(J$2:J$30,$B333,5)))</f>
        <v>0</v>
      </c>
      <c r="M333" s="3" t="str">
        <f t="shared" si="6"/>
        <v>ZZZ</v>
      </c>
      <c r="N333" s="3" t="b">
        <f t="array" ref="N333">OR(ISNUMBER(SEARCH(M$2:M$30,$B333,5)))</f>
        <v>0</v>
      </c>
      <c r="P333" s="3" t="str">
        <f t="shared" si="7"/>
        <v>ZZZ</v>
      </c>
      <c r="Q333" s="3" t="b">
        <f t="array" ref="Q333">OR(ISNUMBER(SEARCH(P$2:P$50,$B333,5)))</f>
        <v>0</v>
      </c>
      <c r="S333" s="3" t="str">
        <f t="shared" si="8"/>
        <v>ZZZ</v>
      </c>
      <c r="T333" s="3" t="b">
        <f t="array" ref="T333">OR(ISNUMBER(SEARCH(S$2:S$100,$B333,5)))</f>
        <v>0</v>
      </c>
      <c r="V333" s="3" t="str">
        <f t="shared" si="9"/>
        <v>ZZZ</v>
      </c>
      <c r="W333" s="3" t="b">
        <f t="array" ref="W333">OR(ISNUMBER(SEARCH(V$2:V$100,$B333,5)))</f>
        <v>0</v>
      </c>
      <c r="Y333" s="3" t="str">
        <f t="shared" si="10"/>
        <v>ZZZ</v>
      </c>
      <c r="Z333" s="3" t="b">
        <f t="array" ref="Z333">OR(ISNUMBER(SEARCH(Y$2:Y$100,$B333,5)))</f>
        <v>0</v>
      </c>
      <c r="AB333" s="3" t="str">
        <f t="shared" si="11"/>
        <v>ZZZ</v>
      </c>
      <c r="AC333" s="3" t="b">
        <f t="array" ref="AC333">OR(ISNUMBER(SEARCH(AB$2:AB$100,$B333,5)))</f>
        <v>0</v>
      </c>
      <c r="AE333" s="3" t="str">
        <f t="shared" si="12"/>
        <v>ZZZ</v>
      </c>
      <c r="AF333" s="3" t="b">
        <f t="array" ref="AF333">OR(ISNUMBER(SEARCH(AE$2:AE$100,$B333,5)))</f>
        <v>0</v>
      </c>
      <c r="AH333" s="3" t="str">
        <f t="shared" si="13"/>
        <v>ZZZ</v>
      </c>
      <c r="AI333" s="3" t="b">
        <f t="array" ref="AI333">OR(ISNUMBER(SEARCH(AH$2:AH$100,$B333,5)))</f>
        <v>0</v>
      </c>
      <c r="AK333" s="3" t="str">
        <f t="shared" si="14"/>
        <v>ZZZ</v>
      </c>
      <c r="AL333" s="3" t="b">
        <f t="array" ref="AL333">OR(ISNUMBER(SEARCH(AK$2:AK$100,$B333,5)))</f>
        <v>0</v>
      </c>
      <c r="AU333" s="8"/>
      <c r="AV333" s="6"/>
      <c r="AW333" s="8"/>
      <c r="AX333" s="8"/>
      <c r="AY333" s="6"/>
      <c r="AZ333" s="8"/>
      <c r="BA333" s="8"/>
      <c r="BB333" s="6"/>
      <c r="BC333" s="8"/>
      <c r="BD333" s="8"/>
      <c r="BE333" s="6"/>
      <c r="BF333" s="8"/>
      <c r="BG333" s="8"/>
      <c r="BH333" s="6"/>
      <c r="BI333" s="8"/>
      <c r="BJ333" s="8"/>
      <c r="BK333" s="6"/>
      <c r="BL333" s="8"/>
      <c r="BM333" s="8"/>
      <c r="BN333" s="6"/>
      <c r="BO333" s="8"/>
      <c r="BP333" s="8"/>
      <c r="BQ333" s="6"/>
      <c r="BR333" s="8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/>
      <c r="HT333" s="7"/>
      <c r="HU333" s="7"/>
      <c r="HV333" s="7"/>
      <c r="HW333" s="7"/>
      <c r="HX333" s="7"/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7"/>
      <c r="IQ333" s="7"/>
      <c r="IR333" s="7"/>
      <c r="IS333" s="7"/>
      <c r="IT333" s="7"/>
      <c r="IU333" s="7"/>
      <c r="IV333" s="7"/>
      <c r="IW333" s="7"/>
      <c r="IX333" s="7"/>
      <c r="IY333" s="7"/>
      <c r="IZ333" s="7"/>
      <c r="JA333" s="7"/>
      <c r="JB333" s="7"/>
      <c r="JC333" s="7"/>
      <c r="JD333" s="7"/>
      <c r="JE333" s="7"/>
      <c r="JF333" s="7"/>
      <c r="JG333" s="7"/>
      <c r="JH333" s="7"/>
      <c r="JI333" s="7"/>
      <c r="JJ333" s="7"/>
      <c r="JK333" s="7"/>
      <c r="JL333" s="7"/>
      <c r="JM333" s="7"/>
      <c r="JN333" s="7"/>
      <c r="JO333" s="7"/>
      <c r="JP333" s="7"/>
      <c r="JQ333" s="7"/>
      <c r="JR333" s="7"/>
      <c r="JS333" s="7"/>
      <c r="JT333" s="7"/>
      <c r="JU333" s="7"/>
      <c r="JV333" s="7"/>
      <c r="JW333" s="7"/>
      <c r="JX333" s="7"/>
      <c r="JY333" s="7"/>
      <c r="JZ333" s="7"/>
      <c r="KA333" s="7"/>
      <c r="KB333" s="7"/>
      <c r="KC333" s="7"/>
      <c r="KD333" s="7"/>
      <c r="KE333" s="7"/>
      <c r="KF333" s="7"/>
      <c r="KG333" s="7"/>
      <c r="KH333" s="7"/>
      <c r="KI333" s="7"/>
      <c r="KJ333" s="7"/>
      <c r="KK333" s="7"/>
      <c r="KL333" s="7"/>
      <c r="KM333" s="7"/>
      <c r="KN333" s="7"/>
    </row>
    <row r="334">
      <c r="A334" s="6"/>
      <c r="B334" s="6" t="s">
        <v>334</v>
      </c>
      <c r="C334" s="3" t="str">
        <f t="shared" si="3"/>
        <v>plaid aqua</v>
      </c>
      <c r="D334" s="3" t="str">
        <f t="shared" si="17"/>
        <v>ZZZ</v>
      </c>
      <c r="E334" s="3" t="b">
        <f t="array" ref="E334">OR(ISNUMBER(SEARCH(D$2:D$30,$B334,5)))</f>
        <v>0</v>
      </c>
      <c r="G334" s="3" t="str">
        <f t="shared" si="4"/>
        <v>ZZZ</v>
      </c>
      <c r="H334" s="3" t="b">
        <f t="array" ref="H334">OR(ISNUMBER(SEARCH(G$2:G$30,$B334,5)))</f>
        <v>0</v>
      </c>
      <c r="J334" s="3" t="str">
        <f t="shared" si="5"/>
        <v>ZZZ</v>
      </c>
      <c r="K334" s="3" t="b">
        <f t="array" ref="K334">OR(ISNUMBER(SEARCH(J$2:J$30,$B334,5)))</f>
        <v>0</v>
      </c>
      <c r="M334" s="3" t="str">
        <f t="shared" si="6"/>
        <v>ZZZ</v>
      </c>
      <c r="N334" s="3" t="b">
        <f t="array" ref="N334">OR(ISNUMBER(SEARCH(M$2:M$30,$B334,5)))</f>
        <v>0</v>
      </c>
      <c r="P334" s="3" t="str">
        <f t="shared" si="7"/>
        <v>ZZZ</v>
      </c>
      <c r="Q334" s="3" t="b">
        <f t="array" ref="Q334">OR(ISNUMBER(SEARCH(P$2:P$50,$B334,5)))</f>
        <v>0</v>
      </c>
      <c r="S334" s="3" t="str">
        <f t="shared" si="8"/>
        <v>ZZZ</v>
      </c>
      <c r="T334" s="3" t="b">
        <f t="array" ref="T334">OR(ISNUMBER(SEARCH(S$2:S$100,$B334,5)))</f>
        <v>0</v>
      </c>
      <c r="V334" s="3" t="str">
        <f t="shared" si="9"/>
        <v>ZZZ</v>
      </c>
      <c r="W334" s="3" t="b">
        <f t="array" ref="W334">OR(ISNUMBER(SEARCH(V$2:V$100,$B334,5)))</f>
        <v>0</v>
      </c>
      <c r="Y334" s="3" t="str">
        <f t="shared" si="10"/>
        <v>ZZZ</v>
      </c>
      <c r="Z334" s="3" t="b">
        <f t="array" ref="Z334">OR(ISNUMBER(SEARCH(Y$2:Y$100,$B334,5)))</f>
        <v>0</v>
      </c>
      <c r="AB334" s="3" t="str">
        <f t="shared" si="11"/>
        <v>ZZZ</v>
      </c>
      <c r="AC334" s="3" t="b">
        <f t="array" ref="AC334">OR(ISNUMBER(SEARCH(AB$2:AB$100,$B334,5)))</f>
        <v>0</v>
      </c>
      <c r="AE334" s="3" t="str">
        <f t="shared" si="12"/>
        <v>ZZZ</v>
      </c>
      <c r="AF334" s="3" t="b">
        <f t="array" ref="AF334">OR(ISNUMBER(SEARCH(AE$2:AE$100,$B334,5)))</f>
        <v>0</v>
      </c>
      <c r="AH334" s="3" t="str">
        <f t="shared" si="13"/>
        <v>ZZZ</v>
      </c>
      <c r="AI334" s="3" t="b">
        <f t="array" ref="AI334">OR(ISNUMBER(SEARCH(AH$2:AH$100,$B334,5)))</f>
        <v>0</v>
      </c>
      <c r="AK334" s="3" t="str">
        <f t="shared" si="14"/>
        <v>ZZZ</v>
      </c>
      <c r="AL334" s="3" t="b">
        <f t="array" ref="AL334">OR(ISNUMBER(SEARCH(AK$2:AK$100,$B334,5)))</f>
        <v>0</v>
      </c>
      <c r="AU334" s="8"/>
      <c r="AV334" s="6"/>
      <c r="AW334" s="8"/>
      <c r="AX334" s="8"/>
      <c r="AY334" s="6"/>
      <c r="AZ334" s="8"/>
      <c r="BA334" s="8"/>
      <c r="BB334" s="6"/>
      <c r="BC334" s="8"/>
      <c r="BD334" s="8"/>
      <c r="BE334" s="6"/>
      <c r="BF334" s="8"/>
      <c r="BG334" s="8"/>
      <c r="BH334" s="6"/>
      <c r="BI334" s="8"/>
      <c r="BJ334" s="8"/>
      <c r="BK334" s="6"/>
      <c r="BL334" s="8"/>
      <c r="BM334" s="8"/>
      <c r="BN334" s="6"/>
      <c r="BO334" s="8"/>
      <c r="BP334" s="8"/>
      <c r="BQ334" s="6"/>
      <c r="BR334" s="8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7"/>
      <c r="IQ334" s="7"/>
      <c r="IR334" s="7"/>
      <c r="IS334" s="7"/>
      <c r="IT334" s="7"/>
      <c r="IU334" s="7"/>
      <c r="IV334" s="7"/>
      <c r="IW334" s="7"/>
      <c r="IX334" s="7"/>
      <c r="IY334" s="7"/>
      <c r="IZ334" s="7"/>
      <c r="JA334" s="7"/>
      <c r="JB334" s="7"/>
      <c r="JC334" s="7"/>
      <c r="JD334" s="7"/>
      <c r="JE334" s="7"/>
      <c r="JF334" s="7"/>
      <c r="JG334" s="7"/>
      <c r="JH334" s="7"/>
      <c r="JI334" s="7"/>
      <c r="JJ334" s="7"/>
      <c r="JK334" s="7"/>
      <c r="JL334" s="7"/>
      <c r="JM334" s="7"/>
      <c r="JN334" s="7"/>
      <c r="JO334" s="7"/>
      <c r="JP334" s="7"/>
      <c r="JQ334" s="7"/>
      <c r="JR334" s="7"/>
      <c r="JS334" s="7"/>
      <c r="JT334" s="7"/>
      <c r="JU334" s="7"/>
      <c r="JV334" s="7"/>
      <c r="JW334" s="7"/>
      <c r="JX334" s="7"/>
      <c r="JY334" s="7"/>
      <c r="JZ334" s="7"/>
      <c r="KA334" s="7"/>
      <c r="KB334" s="7"/>
      <c r="KC334" s="7"/>
      <c r="KD334" s="7"/>
      <c r="KE334" s="7"/>
      <c r="KF334" s="7"/>
      <c r="KG334" s="7"/>
      <c r="KH334" s="7"/>
      <c r="KI334" s="7"/>
      <c r="KJ334" s="7"/>
      <c r="KK334" s="7"/>
      <c r="KL334" s="7"/>
      <c r="KM334" s="7"/>
      <c r="KN334" s="7"/>
    </row>
    <row r="335">
      <c r="A335" s="6"/>
      <c r="B335" s="6" t="s">
        <v>335</v>
      </c>
      <c r="C335" s="3" t="str">
        <f t="shared" si="3"/>
        <v>drab plum</v>
      </c>
      <c r="D335" s="3" t="str">
        <f t="shared" si="17"/>
        <v>ZZZ</v>
      </c>
      <c r="E335" s="3" t="b">
        <f t="array" ref="E335">OR(ISNUMBER(SEARCH(D$2:D$30,$B335,5)))</f>
        <v>0</v>
      </c>
      <c r="G335" s="3" t="str">
        <f t="shared" si="4"/>
        <v>ZZZ</v>
      </c>
      <c r="H335" s="3" t="b">
        <f t="array" ref="H335">OR(ISNUMBER(SEARCH(G$2:G$30,$B335,5)))</f>
        <v>0</v>
      </c>
      <c r="J335" s="3" t="str">
        <f t="shared" si="5"/>
        <v>ZZZ</v>
      </c>
      <c r="K335" s="3" t="b">
        <f t="array" ref="K335">OR(ISNUMBER(SEARCH(J$2:J$30,$B335,5)))</f>
        <v>0</v>
      </c>
      <c r="M335" s="3" t="str">
        <f t="shared" si="6"/>
        <v>ZZZ</v>
      </c>
      <c r="N335" s="3" t="b">
        <f t="array" ref="N335">OR(ISNUMBER(SEARCH(M$2:M$30,$B335,5)))</f>
        <v>0</v>
      </c>
      <c r="P335" s="3" t="str">
        <f t="shared" si="7"/>
        <v>ZZZ</v>
      </c>
      <c r="Q335" s="3" t="b">
        <f t="array" ref="Q335">OR(ISNUMBER(SEARCH(P$2:P$50,$B335,5)))</f>
        <v>0</v>
      </c>
      <c r="S335" s="3" t="str">
        <f t="shared" si="8"/>
        <v>ZZZ</v>
      </c>
      <c r="T335" s="3" t="b">
        <f t="array" ref="T335">OR(ISNUMBER(SEARCH(S$2:S$100,$B335,5)))</f>
        <v>1</v>
      </c>
      <c r="V335" s="3" t="str">
        <f t="shared" si="9"/>
        <v>ZZZ</v>
      </c>
      <c r="W335" s="3" t="b">
        <f t="array" ref="W335">OR(ISNUMBER(SEARCH(V$2:V$100,$B335,5)))</f>
        <v>0</v>
      </c>
      <c r="Y335" s="3" t="str">
        <f t="shared" si="10"/>
        <v>ZZZ</v>
      </c>
      <c r="Z335" s="3" t="b">
        <f t="array" ref="Z335">OR(ISNUMBER(SEARCH(Y$2:Y$100,$B335,5)))</f>
        <v>0</v>
      </c>
      <c r="AB335" s="3" t="str">
        <f t="shared" si="11"/>
        <v>ZZZ</v>
      </c>
      <c r="AC335" s="3" t="b">
        <f t="array" ref="AC335">OR(ISNUMBER(SEARCH(AB$2:AB$100,$B335,5)))</f>
        <v>0</v>
      </c>
      <c r="AE335" s="3" t="str">
        <f t="shared" si="12"/>
        <v>ZZZ</v>
      </c>
      <c r="AF335" s="3" t="b">
        <f t="array" ref="AF335">OR(ISNUMBER(SEARCH(AE$2:AE$100,$B335,5)))</f>
        <v>0</v>
      </c>
      <c r="AH335" s="3" t="str">
        <f t="shared" si="13"/>
        <v>ZZZ</v>
      </c>
      <c r="AI335" s="3" t="b">
        <f t="array" ref="AI335">OR(ISNUMBER(SEARCH(AH$2:AH$100,$B335,5)))</f>
        <v>0</v>
      </c>
      <c r="AK335" s="3" t="str">
        <f t="shared" si="14"/>
        <v>ZZZ</v>
      </c>
      <c r="AL335" s="3" t="b">
        <f t="array" ref="AL335">OR(ISNUMBER(SEARCH(AK$2:AK$100,$B335,5)))</f>
        <v>0</v>
      </c>
      <c r="AU335" s="8"/>
      <c r="AV335" s="6"/>
      <c r="AW335" s="8"/>
      <c r="AX335" s="8"/>
      <c r="AY335" s="6"/>
      <c r="AZ335" s="8"/>
      <c r="BA335" s="8"/>
      <c r="BB335" s="6"/>
      <c r="BC335" s="8"/>
      <c r="BD335" s="8"/>
      <c r="BE335" s="6"/>
      <c r="BF335" s="8"/>
      <c r="BG335" s="8"/>
      <c r="BH335" s="6"/>
      <c r="BI335" s="8"/>
      <c r="BJ335" s="8"/>
      <c r="BK335" s="6"/>
      <c r="BL335" s="8"/>
      <c r="BM335" s="8"/>
      <c r="BN335" s="6"/>
      <c r="BO335" s="8"/>
      <c r="BP335" s="8"/>
      <c r="BQ335" s="6"/>
      <c r="BR335" s="8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  <c r="HT335" s="7"/>
      <c r="HU335" s="7"/>
      <c r="HV335" s="7"/>
      <c r="HW335" s="7"/>
      <c r="HX335" s="7"/>
      <c r="HY335" s="7"/>
      <c r="HZ335" s="7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7"/>
      <c r="IQ335" s="7"/>
      <c r="IR335" s="7"/>
      <c r="IS335" s="7"/>
      <c r="IT335" s="7"/>
      <c r="IU335" s="7"/>
      <c r="IV335" s="7"/>
      <c r="IW335" s="7"/>
      <c r="IX335" s="7"/>
      <c r="IY335" s="7"/>
      <c r="IZ335" s="7"/>
      <c r="JA335" s="7"/>
      <c r="JB335" s="7"/>
      <c r="JC335" s="7"/>
      <c r="JD335" s="7"/>
      <c r="JE335" s="7"/>
      <c r="JF335" s="7"/>
      <c r="JG335" s="7"/>
      <c r="JH335" s="7"/>
      <c r="JI335" s="7"/>
      <c r="JJ335" s="7"/>
      <c r="JK335" s="7"/>
      <c r="JL335" s="7"/>
      <c r="JM335" s="7"/>
      <c r="JN335" s="7"/>
      <c r="JO335" s="7"/>
      <c r="JP335" s="7"/>
      <c r="JQ335" s="7"/>
      <c r="JR335" s="7"/>
      <c r="JS335" s="7"/>
      <c r="JT335" s="7"/>
      <c r="JU335" s="7"/>
      <c r="JV335" s="7"/>
      <c r="JW335" s="7"/>
      <c r="JX335" s="7"/>
      <c r="JY335" s="7"/>
      <c r="JZ335" s="7"/>
      <c r="KA335" s="7"/>
      <c r="KB335" s="7"/>
      <c r="KC335" s="7"/>
      <c r="KD335" s="7"/>
      <c r="KE335" s="7"/>
      <c r="KF335" s="7"/>
      <c r="KG335" s="7"/>
      <c r="KH335" s="7"/>
      <c r="KI335" s="7"/>
      <c r="KJ335" s="7"/>
      <c r="KK335" s="7"/>
      <c r="KL335" s="7"/>
      <c r="KM335" s="7"/>
      <c r="KN335" s="7"/>
    </row>
    <row r="336">
      <c r="A336" s="6"/>
      <c r="B336" s="6" t="s">
        <v>336</v>
      </c>
      <c r="C336" s="3" t="str">
        <f t="shared" si="3"/>
        <v>muted orange</v>
      </c>
      <c r="D336" s="3" t="str">
        <f t="shared" si="17"/>
        <v>ZZZ</v>
      </c>
      <c r="E336" s="3" t="b">
        <f t="array" ref="E336">OR(ISNUMBER(SEARCH(D$2:D$30,$B336,5)))</f>
        <v>0</v>
      </c>
      <c r="G336" s="3" t="str">
        <f t="shared" si="4"/>
        <v>ZZZ</v>
      </c>
      <c r="H336" s="3" t="b">
        <f t="array" ref="H336">OR(ISNUMBER(SEARCH(G$2:G$30,$B336,5)))</f>
        <v>0</v>
      </c>
      <c r="J336" s="3" t="str">
        <f t="shared" si="5"/>
        <v>ZZZ</v>
      </c>
      <c r="K336" s="3" t="b">
        <f t="array" ref="K336">OR(ISNUMBER(SEARCH(J$2:J$30,$B336,5)))</f>
        <v>0</v>
      </c>
      <c r="M336" s="3" t="str">
        <f t="shared" si="6"/>
        <v>ZZZ</v>
      </c>
      <c r="N336" s="3" t="b">
        <f t="array" ref="N336">OR(ISNUMBER(SEARCH(M$2:M$30,$B336,5)))</f>
        <v>0</v>
      </c>
      <c r="P336" s="3" t="str">
        <f t="shared" si="7"/>
        <v>ZZZ</v>
      </c>
      <c r="Q336" s="3" t="b">
        <f t="array" ref="Q336">OR(ISNUMBER(SEARCH(P$2:P$50,$B336,5)))</f>
        <v>1</v>
      </c>
      <c r="S336" s="3" t="str">
        <f t="shared" si="8"/>
        <v>ZZZ</v>
      </c>
      <c r="T336" s="3" t="b">
        <f t="array" ref="T336">OR(ISNUMBER(SEARCH(S$2:S$100,$B336,5)))</f>
        <v>0</v>
      </c>
      <c r="V336" s="3" t="str">
        <f t="shared" si="9"/>
        <v>ZZZ</v>
      </c>
      <c r="W336" s="3" t="b">
        <f t="array" ref="W336">OR(ISNUMBER(SEARCH(V$2:V$100,$B336,5)))</f>
        <v>0</v>
      </c>
      <c r="Y336" s="3" t="str">
        <f t="shared" si="10"/>
        <v>ZZZ</v>
      </c>
      <c r="Z336" s="3" t="b">
        <f t="array" ref="Z336">OR(ISNUMBER(SEARCH(Y$2:Y$100,$B336,5)))</f>
        <v>0</v>
      </c>
      <c r="AB336" s="3" t="str">
        <f t="shared" si="11"/>
        <v>ZZZ</v>
      </c>
      <c r="AC336" s="3" t="b">
        <f t="array" ref="AC336">OR(ISNUMBER(SEARCH(AB$2:AB$100,$B336,5)))</f>
        <v>0</v>
      </c>
      <c r="AE336" s="3" t="str">
        <f t="shared" si="12"/>
        <v>ZZZ</v>
      </c>
      <c r="AF336" s="3" t="b">
        <f t="array" ref="AF336">OR(ISNUMBER(SEARCH(AE$2:AE$100,$B336,5)))</f>
        <v>0</v>
      </c>
      <c r="AH336" s="3" t="str">
        <f t="shared" si="13"/>
        <v>ZZZ</v>
      </c>
      <c r="AI336" s="3" t="b">
        <f t="array" ref="AI336">OR(ISNUMBER(SEARCH(AH$2:AH$100,$B336,5)))</f>
        <v>0</v>
      </c>
      <c r="AK336" s="3" t="str">
        <f t="shared" si="14"/>
        <v>ZZZ</v>
      </c>
      <c r="AL336" s="3" t="b">
        <f t="array" ref="AL336">OR(ISNUMBER(SEARCH(AK$2:AK$100,$B336,5)))</f>
        <v>0</v>
      </c>
      <c r="AU336" s="8"/>
      <c r="AV336" s="6"/>
      <c r="AW336" s="8"/>
      <c r="AX336" s="8"/>
      <c r="AY336" s="6"/>
      <c r="AZ336" s="8"/>
      <c r="BA336" s="8"/>
      <c r="BB336" s="6"/>
      <c r="BC336" s="8"/>
      <c r="BD336" s="8"/>
      <c r="BE336" s="6"/>
      <c r="BF336" s="8"/>
      <c r="BG336" s="8"/>
      <c r="BH336" s="6"/>
      <c r="BI336" s="8"/>
      <c r="BJ336" s="8"/>
      <c r="BK336" s="6"/>
      <c r="BL336" s="8"/>
      <c r="BM336" s="8"/>
      <c r="BN336" s="6"/>
      <c r="BO336" s="8"/>
      <c r="BP336" s="8"/>
      <c r="BQ336" s="6"/>
      <c r="BR336" s="8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  <c r="HU336" s="7"/>
      <c r="HV336" s="7"/>
      <c r="HW336" s="7"/>
      <c r="HX336" s="7"/>
      <c r="HY336" s="7"/>
      <c r="HZ336" s="7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7"/>
      <c r="IQ336" s="7"/>
      <c r="IR336" s="7"/>
      <c r="IS336" s="7"/>
      <c r="IT336" s="7"/>
      <c r="IU336" s="7"/>
      <c r="IV336" s="7"/>
      <c r="IW336" s="7"/>
      <c r="IX336" s="7"/>
      <c r="IY336" s="7"/>
      <c r="IZ336" s="7"/>
      <c r="JA336" s="7"/>
      <c r="JB336" s="7"/>
      <c r="JC336" s="7"/>
      <c r="JD336" s="7"/>
      <c r="JE336" s="7"/>
      <c r="JF336" s="7"/>
      <c r="JG336" s="7"/>
      <c r="JH336" s="7"/>
      <c r="JI336" s="7"/>
      <c r="JJ336" s="7"/>
      <c r="JK336" s="7"/>
      <c r="JL336" s="7"/>
      <c r="JM336" s="7"/>
      <c r="JN336" s="7"/>
      <c r="JO336" s="7"/>
      <c r="JP336" s="7"/>
      <c r="JQ336" s="7"/>
      <c r="JR336" s="7"/>
      <c r="JS336" s="7"/>
      <c r="JT336" s="7"/>
      <c r="JU336" s="7"/>
      <c r="JV336" s="7"/>
      <c r="JW336" s="7"/>
      <c r="JX336" s="7"/>
      <c r="JY336" s="7"/>
      <c r="JZ336" s="7"/>
      <c r="KA336" s="7"/>
      <c r="KB336" s="7"/>
      <c r="KC336" s="7"/>
      <c r="KD336" s="7"/>
      <c r="KE336" s="7"/>
      <c r="KF336" s="7"/>
      <c r="KG336" s="7"/>
      <c r="KH336" s="7"/>
      <c r="KI336" s="7"/>
      <c r="KJ336" s="7"/>
      <c r="KK336" s="7"/>
      <c r="KL336" s="7"/>
      <c r="KM336" s="7"/>
      <c r="KN336" s="7"/>
    </row>
    <row r="337">
      <c r="A337" s="6"/>
      <c r="B337" s="6" t="s">
        <v>337</v>
      </c>
      <c r="C337" s="3" t="str">
        <f t="shared" si="3"/>
        <v>dim silver</v>
      </c>
      <c r="D337" s="3" t="str">
        <f t="shared" si="17"/>
        <v>ZZZ</v>
      </c>
      <c r="E337" s="3" t="b">
        <f t="array" ref="E337">OR(ISNUMBER(SEARCH(D$2:D$30,$B337,5)))</f>
        <v>0</v>
      </c>
      <c r="G337" s="3" t="str">
        <f t="shared" si="4"/>
        <v>ZZZ</v>
      </c>
      <c r="H337" s="3" t="b">
        <f t="array" ref="H337">OR(ISNUMBER(SEARCH(G$2:G$30,$B337,5)))</f>
        <v>0</v>
      </c>
      <c r="J337" s="3" t="str">
        <f t="shared" si="5"/>
        <v>ZZZ</v>
      </c>
      <c r="K337" s="3" t="b">
        <f t="array" ref="K337">OR(ISNUMBER(SEARCH(J$2:J$30,$B337,5)))</f>
        <v>0</v>
      </c>
      <c r="M337" s="3" t="str">
        <f t="shared" si="6"/>
        <v>ZZZ</v>
      </c>
      <c r="N337" s="3" t="b">
        <f t="array" ref="N337">OR(ISNUMBER(SEARCH(M$2:M$30,$B337,5)))</f>
        <v>1</v>
      </c>
      <c r="P337" s="3" t="str">
        <f t="shared" si="7"/>
        <v>ZZZ</v>
      </c>
      <c r="Q337" s="3" t="b">
        <f t="array" ref="Q337">OR(ISNUMBER(SEARCH(P$2:P$50,$B337,5)))</f>
        <v>0</v>
      </c>
      <c r="S337" s="3" t="str">
        <f t="shared" si="8"/>
        <v>ZZZ</v>
      </c>
      <c r="T337" s="3" t="b">
        <f t="array" ref="T337">OR(ISNUMBER(SEARCH(S$2:S$100,$B337,5)))</f>
        <v>0</v>
      </c>
      <c r="V337" s="3" t="str">
        <f t="shared" si="9"/>
        <v>ZZZ</v>
      </c>
      <c r="W337" s="3" t="b">
        <f t="array" ref="W337">OR(ISNUMBER(SEARCH(V$2:V$100,$B337,5)))</f>
        <v>1</v>
      </c>
      <c r="Y337" s="3" t="str">
        <f t="shared" si="10"/>
        <v>ZZZ</v>
      </c>
      <c r="Z337" s="3" t="b">
        <f t="array" ref="Z337">OR(ISNUMBER(SEARCH(Y$2:Y$100,$B337,5)))</f>
        <v>0</v>
      </c>
      <c r="AB337" s="3" t="str">
        <f t="shared" si="11"/>
        <v>ZZZ</v>
      </c>
      <c r="AC337" s="3" t="b">
        <f t="array" ref="AC337">OR(ISNUMBER(SEARCH(AB$2:AB$100,$B337,5)))</f>
        <v>0</v>
      </c>
      <c r="AE337" s="3" t="str">
        <f t="shared" si="12"/>
        <v>ZZZ</v>
      </c>
      <c r="AF337" s="3" t="b">
        <f t="array" ref="AF337">OR(ISNUMBER(SEARCH(AE$2:AE$100,$B337,5)))</f>
        <v>0</v>
      </c>
      <c r="AH337" s="3" t="str">
        <f t="shared" si="13"/>
        <v>ZZZ</v>
      </c>
      <c r="AI337" s="3" t="b">
        <f t="array" ref="AI337">OR(ISNUMBER(SEARCH(AH$2:AH$100,$B337,5)))</f>
        <v>0</v>
      </c>
      <c r="AK337" s="3" t="str">
        <f t="shared" si="14"/>
        <v>ZZZ</v>
      </c>
      <c r="AL337" s="3" t="b">
        <f t="array" ref="AL337">OR(ISNUMBER(SEARCH(AK$2:AK$100,$B337,5)))</f>
        <v>0</v>
      </c>
      <c r="AU337" s="8"/>
      <c r="AV337" s="6"/>
      <c r="AW337" s="8"/>
      <c r="AX337" s="8"/>
      <c r="AY337" s="6"/>
      <c r="AZ337" s="8"/>
      <c r="BA337" s="8"/>
      <c r="BB337" s="6"/>
      <c r="BC337" s="8"/>
      <c r="BD337" s="8"/>
      <c r="BE337" s="6"/>
      <c r="BF337" s="8"/>
      <c r="BG337" s="8"/>
      <c r="BH337" s="6"/>
      <c r="BI337" s="8"/>
      <c r="BJ337" s="8"/>
      <c r="BK337" s="6"/>
      <c r="BL337" s="8"/>
      <c r="BM337" s="8"/>
      <c r="BN337" s="6"/>
      <c r="BO337" s="8"/>
      <c r="BP337" s="8"/>
      <c r="BQ337" s="6"/>
      <c r="BR337" s="8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7"/>
      <c r="HW337" s="7"/>
      <c r="HX337" s="7"/>
      <c r="HY337" s="7"/>
      <c r="HZ337" s="7"/>
      <c r="IA337" s="7"/>
      <c r="IB337" s="7"/>
      <c r="IC337" s="7"/>
      <c r="ID337" s="7"/>
      <c r="IE337" s="7"/>
      <c r="IF337" s="7"/>
      <c r="IG337" s="7"/>
      <c r="IH337" s="7"/>
      <c r="II337" s="7"/>
      <c r="IJ337" s="7"/>
      <c r="IK337" s="7"/>
      <c r="IL337" s="7"/>
      <c r="IM337" s="7"/>
      <c r="IN337" s="7"/>
      <c r="IO337" s="7"/>
      <c r="IP337" s="7"/>
      <c r="IQ337" s="7"/>
      <c r="IR337" s="7"/>
      <c r="IS337" s="7"/>
      <c r="IT337" s="7"/>
      <c r="IU337" s="7"/>
      <c r="IV337" s="7"/>
      <c r="IW337" s="7"/>
      <c r="IX337" s="7"/>
      <c r="IY337" s="7"/>
      <c r="IZ337" s="7"/>
      <c r="JA337" s="7"/>
      <c r="JB337" s="7"/>
      <c r="JC337" s="7"/>
      <c r="JD337" s="7"/>
      <c r="JE337" s="7"/>
      <c r="JF337" s="7"/>
      <c r="JG337" s="7"/>
      <c r="JH337" s="7"/>
      <c r="JI337" s="7"/>
      <c r="JJ337" s="7"/>
      <c r="JK337" s="7"/>
      <c r="JL337" s="7"/>
      <c r="JM337" s="7"/>
      <c r="JN337" s="7"/>
      <c r="JO337" s="7"/>
      <c r="JP337" s="7"/>
      <c r="JQ337" s="7"/>
      <c r="JR337" s="7"/>
      <c r="JS337" s="7"/>
      <c r="JT337" s="7"/>
      <c r="JU337" s="7"/>
      <c r="JV337" s="7"/>
      <c r="JW337" s="7"/>
      <c r="JX337" s="7"/>
      <c r="JY337" s="7"/>
      <c r="JZ337" s="7"/>
      <c r="KA337" s="7"/>
      <c r="KB337" s="7"/>
      <c r="KC337" s="7"/>
      <c r="KD337" s="7"/>
      <c r="KE337" s="7"/>
      <c r="KF337" s="7"/>
      <c r="KG337" s="7"/>
      <c r="KH337" s="7"/>
      <c r="KI337" s="7"/>
      <c r="KJ337" s="7"/>
      <c r="KK337" s="7"/>
      <c r="KL337" s="7"/>
      <c r="KM337" s="7"/>
      <c r="KN337" s="7"/>
    </row>
    <row r="338">
      <c r="A338" s="6"/>
      <c r="B338" s="6" t="s">
        <v>338</v>
      </c>
      <c r="C338" s="3" t="str">
        <f t="shared" si="3"/>
        <v>pale tan</v>
      </c>
      <c r="D338" s="3" t="str">
        <f t="shared" si="17"/>
        <v>ZZZ</v>
      </c>
      <c r="E338" s="3" t="b">
        <f t="array" ref="E338">OR(ISNUMBER(SEARCH(D$2:D$30,$B338,5)))</f>
        <v>0</v>
      </c>
      <c r="G338" s="3" t="str">
        <f t="shared" si="4"/>
        <v>ZZZ</v>
      </c>
      <c r="H338" s="3" t="b">
        <f t="array" ref="H338">OR(ISNUMBER(SEARCH(G$2:G$30,$B338,5)))</f>
        <v>0</v>
      </c>
      <c r="J338" s="3" t="str">
        <f t="shared" si="5"/>
        <v>ZZZ</v>
      </c>
      <c r="K338" s="3" t="b">
        <f t="array" ref="K338">OR(ISNUMBER(SEARCH(J$2:J$30,$B338,5)))</f>
        <v>0</v>
      </c>
      <c r="M338" s="3" t="str">
        <f t="shared" si="6"/>
        <v>ZZZ</v>
      </c>
      <c r="N338" s="3" t="b">
        <f t="array" ref="N338">OR(ISNUMBER(SEARCH(M$2:M$30,$B338,5)))</f>
        <v>0</v>
      </c>
      <c r="P338" s="3" t="str">
        <f t="shared" si="7"/>
        <v>ZZZ</v>
      </c>
      <c r="Q338" s="3" t="b">
        <f t="array" ref="Q338">OR(ISNUMBER(SEARCH(P$2:P$50,$B338,5)))</f>
        <v>0</v>
      </c>
      <c r="S338" s="3" t="str">
        <f t="shared" si="8"/>
        <v>ZZZ</v>
      </c>
      <c r="T338" s="3" t="b">
        <f t="array" ref="T338">OR(ISNUMBER(SEARCH(S$2:S$100,$B338,5)))</f>
        <v>0</v>
      </c>
      <c r="V338" s="3" t="str">
        <f t="shared" si="9"/>
        <v>ZZZ</v>
      </c>
      <c r="W338" s="3" t="b">
        <f t="array" ref="W338">OR(ISNUMBER(SEARCH(V$2:V$100,$B338,5)))</f>
        <v>0</v>
      </c>
      <c r="Y338" s="3" t="str">
        <f t="shared" si="10"/>
        <v>ZZZ</v>
      </c>
      <c r="Z338" s="3" t="b">
        <f t="array" ref="Z338">OR(ISNUMBER(SEARCH(Y$2:Y$100,$B338,5)))</f>
        <v>0</v>
      </c>
      <c r="AB338" s="3" t="str">
        <f t="shared" si="11"/>
        <v>ZZZ</v>
      </c>
      <c r="AC338" s="3" t="b">
        <f t="array" ref="AC338">OR(ISNUMBER(SEARCH(AB$2:AB$100,$B338,5)))</f>
        <v>0</v>
      </c>
      <c r="AE338" s="3" t="str">
        <f t="shared" si="12"/>
        <v>ZZZ</v>
      </c>
      <c r="AF338" s="3" t="b">
        <f t="array" ref="AF338">OR(ISNUMBER(SEARCH(AE$2:AE$100,$B338,5)))</f>
        <v>0</v>
      </c>
      <c r="AH338" s="3" t="str">
        <f t="shared" si="13"/>
        <v>ZZZ</v>
      </c>
      <c r="AI338" s="3" t="b">
        <f t="array" ref="AI338">OR(ISNUMBER(SEARCH(AH$2:AH$100,$B338,5)))</f>
        <v>0</v>
      </c>
      <c r="AK338" s="3" t="str">
        <f t="shared" si="14"/>
        <v>ZZZ</v>
      </c>
      <c r="AL338" s="3" t="b">
        <f t="array" ref="AL338">OR(ISNUMBER(SEARCH(AK$2:AK$100,$B338,5)))</f>
        <v>0</v>
      </c>
      <c r="AU338" s="8"/>
      <c r="AV338" s="6"/>
      <c r="AW338" s="8"/>
      <c r="AX338" s="8"/>
      <c r="AY338" s="6"/>
      <c r="AZ338" s="8"/>
      <c r="BA338" s="8"/>
      <c r="BB338" s="6"/>
      <c r="BC338" s="8"/>
      <c r="BD338" s="8"/>
      <c r="BE338" s="6"/>
      <c r="BF338" s="8"/>
      <c r="BG338" s="8"/>
      <c r="BH338" s="6"/>
      <c r="BI338" s="8"/>
      <c r="BJ338" s="8"/>
      <c r="BK338" s="6"/>
      <c r="BL338" s="8"/>
      <c r="BM338" s="8"/>
      <c r="BN338" s="6"/>
      <c r="BO338" s="8"/>
      <c r="BP338" s="8"/>
      <c r="BQ338" s="6"/>
      <c r="BR338" s="8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  <c r="HT338" s="7"/>
      <c r="HU338" s="7"/>
      <c r="HV338" s="7"/>
      <c r="HW338" s="7"/>
      <c r="HX338" s="7"/>
      <c r="HY338" s="7"/>
      <c r="HZ338" s="7"/>
      <c r="IA338" s="7"/>
      <c r="IB338" s="7"/>
      <c r="IC338" s="7"/>
      <c r="ID338" s="7"/>
      <c r="IE338" s="7"/>
      <c r="IF338" s="7"/>
      <c r="IG338" s="7"/>
      <c r="IH338" s="7"/>
      <c r="II338" s="7"/>
      <c r="IJ338" s="7"/>
      <c r="IK338" s="7"/>
      <c r="IL338" s="7"/>
      <c r="IM338" s="7"/>
      <c r="IN338" s="7"/>
      <c r="IO338" s="7"/>
      <c r="IP338" s="7"/>
      <c r="IQ338" s="7"/>
      <c r="IR338" s="7"/>
      <c r="IS338" s="7"/>
      <c r="IT338" s="7"/>
      <c r="IU338" s="7"/>
      <c r="IV338" s="7"/>
      <c r="IW338" s="7"/>
      <c r="IX338" s="7"/>
      <c r="IY338" s="7"/>
      <c r="IZ338" s="7"/>
      <c r="JA338" s="7"/>
      <c r="JB338" s="7"/>
      <c r="JC338" s="7"/>
      <c r="JD338" s="7"/>
      <c r="JE338" s="7"/>
      <c r="JF338" s="7"/>
      <c r="JG338" s="7"/>
      <c r="JH338" s="7"/>
      <c r="JI338" s="7"/>
      <c r="JJ338" s="7"/>
      <c r="JK338" s="7"/>
      <c r="JL338" s="7"/>
      <c r="JM338" s="7"/>
      <c r="JN338" s="7"/>
      <c r="JO338" s="7"/>
      <c r="JP338" s="7"/>
      <c r="JQ338" s="7"/>
      <c r="JR338" s="7"/>
      <c r="JS338" s="7"/>
      <c r="JT338" s="7"/>
      <c r="JU338" s="7"/>
      <c r="JV338" s="7"/>
      <c r="JW338" s="7"/>
      <c r="JX338" s="7"/>
      <c r="JY338" s="7"/>
      <c r="JZ338" s="7"/>
      <c r="KA338" s="7"/>
      <c r="KB338" s="7"/>
      <c r="KC338" s="7"/>
      <c r="KD338" s="7"/>
      <c r="KE338" s="7"/>
      <c r="KF338" s="7"/>
      <c r="KG338" s="7"/>
      <c r="KH338" s="7"/>
      <c r="KI338" s="7"/>
      <c r="KJ338" s="7"/>
      <c r="KK338" s="7"/>
      <c r="KL338" s="7"/>
      <c r="KM338" s="7"/>
      <c r="KN338" s="7"/>
    </row>
    <row r="339">
      <c r="A339" s="6"/>
      <c r="B339" s="6" t="s">
        <v>339</v>
      </c>
      <c r="C339" s="3" t="str">
        <f t="shared" si="3"/>
        <v>wavy tomato</v>
      </c>
      <c r="D339" s="3" t="str">
        <f t="shared" si="17"/>
        <v>ZZZ</v>
      </c>
      <c r="E339" s="3" t="b">
        <f t="array" ref="E339">OR(ISNUMBER(SEARCH(D$2:D$30,$B339,5)))</f>
        <v>0</v>
      </c>
      <c r="G339" s="3" t="str">
        <f t="shared" si="4"/>
        <v>ZZZ</v>
      </c>
      <c r="H339" s="3" t="b">
        <f t="array" ref="H339">OR(ISNUMBER(SEARCH(G$2:G$30,$B339,5)))</f>
        <v>0</v>
      </c>
      <c r="J339" s="3" t="str">
        <f t="shared" si="5"/>
        <v>ZZZ</v>
      </c>
      <c r="K339" s="3" t="b">
        <f t="array" ref="K339">OR(ISNUMBER(SEARCH(J$2:J$30,$B339,5)))</f>
        <v>0</v>
      </c>
      <c r="M339" s="3" t="str">
        <f t="shared" si="6"/>
        <v>ZZZ</v>
      </c>
      <c r="N339" s="3" t="b">
        <f t="array" ref="N339">OR(ISNUMBER(SEARCH(M$2:M$30,$B339,5)))</f>
        <v>0</v>
      </c>
      <c r="P339" s="3" t="str">
        <f t="shared" si="7"/>
        <v>ZZZ</v>
      </c>
      <c r="Q339" s="3" t="b">
        <f t="array" ref="Q339">OR(ISNUMBER(SEARCH(P$2:P$50,$B339,5)))</f>
        <v>0</v>
      </c>
      <c r="S339" s="3" t="str">
        <f t="shared" si="8"/>
        <v>ZZZ</v>
      </c>
      <c r="T339" s="3" t="b">
        <f t="array" ref="T339">OR(ISNUMBER(SEARCH(S$2:S$100,$B339,5)))</f>
        <v>0</v>
      </c>
      <c r="V339" s="3" t="str">
        <f t="shared" si="9"/>
        <v>ZZZ</v>
      </c>
      <c r="W339" s="3" t="b">
        <f t="array" ref="W339">OR(ISNUMBER(SEARCH(V$2:V$100,$B339,5)))</f>
        <v>0</v>
      </c>
      <c r="Y339" s="3" t="str">
        <f t="shared" si="10"/>
        <v>ZZZ</v>
      </c>
      <c r="Z339" s="3" t="b">
        <f t="array" ref="Z339">OR(ISNUMBER(SEARCH(Y$2:Y$100,$B339,5)))</f>
        <v>0</v>
      </c>
      <c r="AB339" s="3" t="str">
        <f t="shared" si="11"/>
        <v>ZZZ</v>
      </c>
      <c r="AC339" s="3" t="b">
        <f t="array" ref="AC339">OR(ISNUMBER(SEARCH(AB$2:AB$100,$B339,5)))</f>
        <v>0</v>
      </c>
      <c r="AE339" s="3" t="str">
        <f t="shared" si="12"/>
        <v>ZZZ</v>
      </c>
      <c r="AF339" s="3" t="b">
        <f t="array" ref="AF339">OR(ISNUMBER(SEARCH(AE$2:AE$100,$B339,5)))</f>
        <v>0</v>
      </c>
      <c r="AH339" s="3" t="str">
        <f t="shared" si="13"/>
        <v>ZZZ</v>
      </c>
      <c r="AI339" s="3" t="b">
        <f t="array" ref="AI339">OR(ISNUMBER(SEARCH(AH$2:AH$100,$B339,5)))</f>
        <v>0</v>
      </c>
      <c r="AK339" s="3" t="str">
        <f t="shared" si="14"/>
        <v>ZZZ</v>
      </c>
      <c r="AL339" s="3" t="b">
        <f t="array" ref="AL339">OR(ISNUMBER(SEARCH(AK$2:AK$100,$B339,5)))</f>
        <v>0</v>
      </c>
      <c r="AU339" s="8"/>
      <c r="AV339" s="6"/>
      <c r="AW339" s="8"/>
      <c r="AX339" s="8"/>
      <c r="AY339" s="6"/>
      <c r="AZ339" s="8"/>
      <c r="BA339" s="8"/>
      <c r="BB339" s="6"/>
      <c r="BC339" s="8"/>
      <c r="BD339" s="8"/>
      <c r="BE339" s="6"/>
      <c r="BF339" s="8"/>
      <c r="BG339" s="8"/>
      <c r="BH339" s="6"/>
      <c r="BI339" s="8"/>
      <c r="BJ339" s="8"/>
      <c r="BK339" s="6"/>
      <c r="BL339" s="8"/>
      <c r="BM339" s="8"/>
      <c r="BN339" s="6"/>
      <c r="BO339" s="8"/>
      <c r="BP339" s="8"/>
      <c r="BQ339" s="6"/>
      <c r="BR339" s="8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  <c r="HU339" s="7"/>
      <c r="HV339" s="7"/>
      <c r="HW339" s="7"/>
      <c r="HX339" s="7"/>
      <c r="HY339" s="7"/>
      <c r="HZ339" s="7"/>
      <c r="IA339" s="7"/>
      <c r="IB339" s="7"/>
      <c r="IC339" s="7"/>
      <c r="ID339" s="7"/>
      <c r="IE339" s="7"/>
      <c r="IF339" s="7"/>
      <c r="IG339" s="7"/>
      <c r="IH339" s="7"/>
      <c r="II339" s="7"/>
      <c r="IJ339" s="7"/>
      <c r="IK339" s="7"/>
      <c r="IL339" s="7"/>
      <c r="IM339" s="7"/>
      <c r="IN339" s="7"/>
      <c r="IO339" s="7"/>
      <c r="IP339" s="7"/>
      <c r="IQ339" s="7"/>
      <c r="IR339" s="7"/>
      <c r="IS339" s="7"/>
      <c r="IT339" s="7"/>
      <c r="IU339" s="7"/>
      <c r="IV339" s="7"/>
      <c r="IW339" s="7"/>
      <c r="IX339" s="7"/>
      <c r="IY339" s="7"/>
      <c r="IZ339" s="7"/>
      <c r="JA339" s="7"/>
      <c r="JB339" s="7"/>
      <c r="JC339" s="7"/>
      <c r="JD339" s="7"/>
      <c r="JE339" s="7"/>
      <c r="JF339" s="7"/>
      <c r="JG339" s="7"/>
      <c r="JH339" s="7"/>
      <c r="JI339" s="7"/>
      <c r="JJ339" s="7"/>
      <c r="JK339" s="7"/>
      <c r="JL339" s="7"/>
      <c r="JM339" s="7"/>
      <c r="JN339" s="7"/>
      <c r="JO339" s="7"/>
      <c r="JP339" s="7"/>
      <c r="JQ339" s="7"/>
      <c r="JR339" s="7"/>
      <c r="JS339" s="7"/>
      <c r="JT339" s="7"/>
      <c r="JU339" s="7"/>
      <c r="JV339" s="7"/>
      <c r="JW339" s="7"/>
      <c r="JX339" s="7"/>
      <c r="JY339" s="7"/>
      <c r="JZ339" s="7"/>
      <c r="KA339" s="7"/>
      <c r="KB339" s="7"/>
      <c r="KC339" s="7"/>
      <c r="KD339" s="7"/>
      <c r="KE339" s="7"/>
      <c r="KF339" s="7"/>
      <c r="KG339" s="7"/>
      <c r="KH339" s="7"/>
      <c r="KI339" s="7"/>
      <c r="KJ339" s="7"/>
      <c r="KK339" s="7"/>
      <c r="KL339" s="7"/>
      <c r="KM339" s="7"/>
      <c r="KN339" s="7"/>
    </row>
    <row r="340">
      <c r="A340" s="6"/>
      <c r="B340" s="6" t="s">
        <v>340</v>
      </c>
      <c r="C340" s="3" t="str">
        <f t="shared" si="3"/>
        <v>posh bronze</v>
      </c>
      <c r="D340" s="3" t="str">
        <f t="shared" si="17"/>
        <v>ZZZ</v>
      </c>
      <c r="E340" s="3" t="b">
        <f t="array" ref="E340">OR(ISNUMBER(SEARCH(D$2:D$30,$B340,5)))</f>
        <v>0</v>
      </c>
      <c r="G340" s="3" t="str">
        <f t="shared" si="4"/>
        <v>ZZZ</v>
      </c>
      <c r="H340" s="3" t="b">
        <f t="array" ref="H340">OR(ISNUMBER(SEARCH(G$2:G$30,$B340,5)))</f>
        <v>0</v>
      </c>
      <c r="J340" s="3" t="str">
        <f t="shared" si="5"/>
        <v>ZZZ</v>
      </c>
      <c r="K340" s="3" t="b">
        <f t="array" ref="K340">OR(ISNUMBER(SEARCH(J$2:J$30,$B340,5)))</f>
        <v>0</v>
      </c>
      <c r="M340" s="3" t="str">
        <f t="shared" si="6"/>
        <v>ZZZ</v>
      </c>
      <c r="N340" s="3" t="b">
        <f t="array" ref="N340">OR(ISNUMBER(SEARCH(M$2:M$30,$B340,5)))</f>
        <v>0</v>
      </c>
      <c r="P340" s="3" t="str">
        <f t="shared" si="7"/>
        <v>ZZZ</v>
      </c>
      <c r="Q340" s="3" t="b">
        <f t="array" ref="Q340">OR(ISNUMBER(SEARCH(P$2:P$50,$B340,5)))</f>
        <v>0</v>
      </c>
      <c r="S340" s="3" t="str">
        <f t="shared" si="8"/>
        <v>ZZZ</v>
      </c>
      <c r="T340" s="3" t="b">
        <f t="array" ref="T340">OR(ISNUMBER(SEARCH(S$2:S$100,$B340,5)))</f>
        <v>0</v>
      </c>
      <c r="V340" s="3" t="str">
        <f t="shared" si="9"/>
        <v>ZZZ</v>
      </c>
      <c r="W340" s="3" t="b">
        <f t="array" ref="W340">OR(ISNUMBER(SEARCH(V$2:V$100,$B340,5)))</f>
        <v>0</v>
      </c>
      <c r="Y340" s="3" t="str">
        <f t="shared" si="10"/>
        <v>ZZZ</v>
      </c>
      <c r="Z340" s="3" t="b">
        <f t="array" ref="Z340">OR(ISNUMBER(SEARCH(Y$2:Y$100,$B340,5)))</f>
        <v>0</v>
      </c>
      <c r="AB340" s="3" t="str">
        <f t="shared" si="11"/>
        <v>ZZZ</v>
      </c>
      <c r="AC340" s="3" t="b">
        <f t="array" ref="AC340">OR(ISNUMBER(SEARCH(AB$2:AB$100,$B340,5)))</f>
        <v>0</v>
      </c>
      <c r="AE340" s="3" t="str">
        <f t="shared" si="12"/>
        <v>ZZZ</v>
      </c>
      <c r="AF340" s="3" t="b">
        <f t="array" ref="AF340">OR(ISNUMBER(SEARCH(AE$2:AE$100,$B340,5)))</f>
        <v>0</v>
      </c>
      <c r="AH340" s="3" t="str">
        <f t="shared" si="13"/>
        <v>ZZZ</v>
      </c>
      <c r="AI340" s="3" t="b">
        <f t="array" ref="AI340">OR(ISNUMBER(SEARCH(AH$2:AH$100,$B340,5)))</f>
        <v>0</v>
      </c>
      <c r="AK340" s="3" t="str">
        <f t="shared" si="14"/>
        <v>ZZZ</v>
      </c>
      <c r="AL340" s="3" t="b">
        <f t="array" ref="AL340">OR(ISNUMBER(SEARCH(AK$2:AK$100,$B340,5)))</f>
        <v>0</v>
      </c>
      <c r="AU340" s="8"/>
      <c r="AV340" s="6"/>
      <c r="AW340" s="8"/>
      <c r="AX340" s="8"/>
      <c r="AY340" s="6"/>
      <c r="AZ340" s="8"/>
      <c r="BA340" s="8"/>
      <c r="BB340" s="6"/>
      <c r="BC340" s="8"/>
      <c r="BD340" s="8"/>
      <c r="BE340" s="6"/>
      <c r="BF340" s="8"/>
      <c r="BG340" s="8"/>
      <c r="BH340" s="6"/>
      <c r="BI340" s="8"/>
      <c r="BJ340" s="8"/>
      <c r="BK340" s="6"/>
      <c r="BL340" s="8"/>
      <c r="BM340" s="8"/>
      <c r="BN340" s="6"/>
      <c r="BO340" s="8"/>
      <c r="BP340" s="8"/>
      <c r="BQ340" s="6"/>
      <c r="BR340" s="8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  <c r="HU340" s="7"/>
      <c r="HV340" s="7"/>
      <c r="HW340" s="7"/>
      <c r="HX340" s="7"/>
      <c r="HY340" s="7"/>
      <c r="HZ340" s="7"/>
      <c r="IA340" s="7"/>
      <c r="IB340" s="7"/>
      <c r="IC340" s="7"/>
      <c r="ID340" s="7"/>
      <c r="IE340" s="7"/>
      <c r="IF340" s="7"/>
      <c r="IG340" s="7"/>
      <c r="IH340" s="7"/>
      <c r="II340" s="7"/>
      <c r="IJ340" s="7"/>
      <c r="IK340" s="7"/>
      <c r="IL340" s="7"/>
      <c r="IM340" s="7"/>
      <c r="IN340" s="7"/>
      <c r="IO340" s="7"/>
      <c r="IP340" s="7"/>
      <c r="IQ340" s="7"/>
      <c r="IR340" s="7"/>
      <c r="IS340" s="7"/>
      <c r="IT340" s="7"/>
      <c r="IU340" s="7"/>
      <c r="IV340" s="7"/>
      <c r="IW340" s="7"/>
      <c r="IX340" s="7"/>
      <c r="IY340" s="7"/>
      <c r="IZ340" s="7"/>
      <c r="JA340" s="7"/>
      <c r="JB340" s="7"/>
      <c r="JC340" s="7"/>
      <c r="JD340" s="7"/>
      <c r="JE340" s="7"/>
      <c r="JF340" s="7"/>
      <c r="JG340" s="7"/>
      <c r="JH340" s="7"/>
      <c r="JI340" s="7"/>
      <c r="JJ340" s="7"/>
      <c r="JK340" s="7"/>
      <c r="JL340" s="7"/>
      <c r="JM340" s="7"/>
      <c r="JN340" s="7"/>
      <c r="JO340" s="7"/>
      <c r="JP340" s="7"/>
      <c r="JQ340" s="7"/>
      <c r="JR340" s="7"/>
      <c r="JS340" s="7"/>
      <c r="JT340" s="7"/>
      <c r="JU340" s="7"/>
      <c r="JV340" s="7"/>
      <c r="JW340" s="7"/>
      <c r="JX340" s="7"/>
      <c r="JY340" s="7"/>
      <c r="JZ340" s="7"/>
      <c r="KA340" s="7"/>
      <c r="KB340" s="7"/>
      <c r="KC340" s="7"/>
      <c r="KD340" s="7"/>
      <c r="KE340" s="7"/>
      <c r="KF340" s="7"/>
      <c r="KG340" s="7"/>
      <c r="KH340" s="7"/>
      <c r="KI340" s="7"/>
      <c r="KJ340" s="7"/>
      <c r="KK340" s="7"/>
      <c r="KL340" s="7"/>
      <c r="KM340" s="7"/>
      <c r="KN340" s="7"/>
    </row>
    <row r="341">
      <c r="A341" s="6"/>
      <c r="B341" s="6" t="s">
        <v>341</v>
      </c>
      <c r="C341" s="3" t="str">
        <f t="shared" si="3"/>
        <v>clear blue</v>
      </c>
      <c r="D341" s="3" t="str">
        <f t="shared" si="17"/>
        <v>ZZZ</v>
      </c>
      <c r="E341" s="3" t="b">
        <f t="array" ref="E341">OR(ISNUMBER(SEARCH(D$2:D$30,$B341,5)))</f>
        <v>0</v>
      </c>
      <c r="G341" s="3" t="str">
        <f t="shared" si="4"/>
        <v>ZZZ</v>
      </c>
      <c r="H341" s="3" t="b">
        <f t="array" ref="H341">OR(ISNUMBER(SEARCH(G$2:G$30,$B341,5)))</f>
        <v>0</v>
      </c>
      <c r="J341" s="3" t="str">
        <f t="shared" si="5"/>
        <v>ZZZ</v>
      </c>
      <c r="K341" s="3" t="b">
        <f t="array" ref="K341">OR(ISNUMBER(SEARCH(J$2:J$30,$B341,5)))</f>
        <v>0</v>
      </c>
      <c r="M341" s="3" t="str">
        <f t="shared" si="6"/>
        <v>ZZZ</v>
      </c>
      <c r="N341" s="3" t="b">
        <f t="array" ref="N341">OR(ISNUMBER(SEARCH(M$2:M$30,$B341,5)))</f>
        <v>0</v>
      </c>
      <c r="P341" s="3" t="str">
        <f t="shared" si="7"/>
        <v>ZZZ</v>
      </c>
      <c r="Q341" s="3" t="b">
        <f t="array" ref="Q341">OR(ISNUMBER(SEARCH(P$2:P$50,$B341,5)))</f>
        <v>0</v>
      </c>
      <c r="S341" s="3" t="str">
        <f t="shared" si="8"/>
        <v>ZZZ</v>
      </c>
      <c r="T341" s="3" t="b">
        <f t="array" ref="T341">OR(ISNUMBER(SEARCH(S$2:S$100,$B341,5)))</f>
        <v>0</v>
      </c>
      <c r="V341" s="3" t="str">
        <f t="shared" si="9"/>
        <v>ZZZ</v>
      </c>
      <c r="W341" s="3" t="b">
        <f t="array" ref="W341">OR(ISNUMBER(SEARCH(V$2:V$100,$B341,5)))</f>
        <v>0</v>
      </c>
      <c r="Y341" s="3" t="str">
        <f t="shared" si="10"/>
        <v>ZZZ</v>
      </c>
      <c r="Z341" s="3" t="b">
        <f t="array" ref="Z341">OR(ISNUMBER(SEARCH(Y$2:Y$100,$B341,5)))</f>
        <v>0</v>
      </c>
      <c r="AB341" s="3" t="str">
        <f t="shared" si="11"/>
        <v>ZZZ</v>
      </c>
      <c r="AC341" s="3" t="b">
        <f t="array" ref="AC341">OR(ISNUMBER(SEARCH(AB$2:AB$100,$B341,5)))</f>
        <v>0</v>
      </c>
      <c r="AE341" s="3" t="str">
        <f t="shared" si="12"/>
        <v>ZZZ</v>
      </c>
      <c r="AF341" s="3" t="b">
        <f t="array" ref="AF341">OR(ISNUMBER(SEARCH(AE$2:AE$100,$B341,5)))</f>
        <v>0</v>
      </c>
      <c r="AH341" s="3" t="str">
        <f t="shared" si="13"/>
        <v>ZZZ</v>
      </c>
      <c r="AI341" s="3" t="b">
        <f t="array" ref="AI341">OR(ISNUMBER(SEARCH(AH$2:AH$100,$B341,5)))</f>
        <v>0</v>
      </c>
      <c r="AK341" s="3" t="str">
        <f t="shared" si="14"/>
        <v>ZZZ</v>
      </c>
      <c r="AL341" s="3" t="b">
        <f t="array" ref="AL341">OR(ISNUMBER(SEARCH(AK$2:AK$100,$B341,5)))</f>
        <v>0</v>
      </c>
      <c r="AU341" s="8"/>
      <c r="AV341" s="6"/>
      <c r="AW341" s="8"/>
      <c r="AX341" s="8"/>
      <c r="AY341" s="6"/>
      <c r="AZ341" s="8"/>
      <c r="BA341" s="8"/>
      <c r="BB341" s="6"/>
      <c r="BC341" s="8"/>
      <c r="BD341" s="8"/>
      <c r="BE341" s="6"/>
      <c r="BF341" s="8"/>
      <c r="BG341" s="8"/>
      <c r="BH341" s="6"/>
      <c r="BI341" s="8"/>
      <c r="BJ341" s="8"/>
      <c r="BK341" s="6"/>
      <c r="BL341" s="8"/>
      <c r="BM341" s="8"/>
      <c r="BN341" s="6"/>
      <c r="BO341" s="8"/>
      <c r="BP341" s="8"/>
      <c r="BQ341" s="6"/>
      <c r="BR341" s="8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  <c r="HU341" s="7"/>
      <c r="HV341" s="7"/>
      <c r="HW341" s="7"/>
      <c r="HX341" s="7"/>
      <c r="HY341" s="7"/>
      <c r="HZ341" s="7"/>
      <c r="IA341" s="7"/>
      <c r="IB341" s="7"/>
      <c r="IC341" s="7"/>
      <c r="ID341" s="7"/>
      <c r="IE341" s="7"/>
      <c r="IF341" s="7"/>
      <c r="IG341" s="7"/>
      <c r="IH341" s="7"/>
      <c r="II341" s="7"/>
      <c r="IJ341" s="7"/>
      <c r="IK341" s="7"/>
      <c r="IL341" s="7"/>
      <c r="IM341" s="7"/>
      <c r="IN341" s="7"/>
      <c r="IO341" s="7"/>
      <c r="IP341" s="7"/>
      <c r="IQ341" s="7"/>
      <c r="IR341" s="7"/>
      <c r="IS341" s="7"/>
      <c r="IT341" s="7"/>
      <c r="IU341" s="7"/>
      <c r="IV341" s="7"/>
      <c r="IW341" s="7"/>
      <c r="IX341" s="7"/>
      <c r="IY341" s="7"/>
      <c r="IZ341" s="7"/>
      <c r="JA341" s="7"/>
      <c r="JB341" s="7"/>
      <c r="JC341" s="7"/>
      <c r="JD341" s="7"/>
      <c r="JE341" s="7"/>
      <c r="JF341" s="7"/>
      <c r="JG341" s="7"/>
      <c r="JH341" s="7"/>
      <c r="JI341" s="7"/>
      <c r="JJ341" s="7"/>
      <c r="JK341" s="7"/>
      <c r="JL341" s="7"/>
      <c r="JM341" s="7"/>
      <c r="JN341" s="7"/>
      <c r="JO341" s="7"/>
      <c r="JP341" s="7"/>
      <c r="JQ341" s="7"/>
      <c r="JR341" s="7"/>
      <c r="JS341" s="7"/>
      <c r="JT341" s="7"/>
      <c r="JU341" s="7"/>
      <c r="JV341" s="7"/>
      <c r="JW341" s="7"/>
      <c r="JX341" s="7"/>
      <c r="JY341" s="7"/>
      <c r="JZ341" s="7"/>
      <c r="KA341" s="7"/>
      <c r="KB341" s="7"/>
      <c r="KC341" s="7"/>
      <c r="KD341" s="7"/>
      <c r="KE341" s="7"/>
      <c r="KF341" s="7"/>
      <c r="KG341" s="7"/>
      <c r="KH341" s="7"/>
      <c r="KI341" s="7"/>
      <c r="KJ341" s="7"/>
      <c r="KK341" s="7"/>
      <c r="KL341" s="7"/>
      <c r="KM341" s="7"/>
      <c r="KN341" s="7"/>
    </row>
    <row r="342">
      <c r="A342" s="6"/>
      <c r="B342" s="6" t="s">
        <v>342</v>
      </c>
      <c r="C342" s="3" t="str">
        <f t="shared" si="3"/>
        <v>striped plum</v>
      </c>
      <c r="D342" s="3" t="str">
        <f t="shared" si="17"/>
        <v>ZZZ</v>
      </c>
      <c r="E342" s="3" t="b">
        <f t="array" ref="E342">OR(ISNUMBER(SEARCH(D$2:D$30,$B342,5)))</f>
        <v>0</v>
      </c>
      <c r="G342" s="3" t="str">
        <f t="shared" si="4"/>
        <v>ZZZ</v>
      </c>
      <c r="H342" s="3" t="b">
        <f t="array" ref="H342">OR(ISNUMBER(SEARCH(G$2:G$30,$B342,5)))</f>
        <v>0</v>
      </c>
      <c r="J342" s="3" t="str">
        <f t="shared" si="5"/>
        <v>ZZZ</v>
      </c>
      <c r="K342" s="3" t="b">
        <f t="array" ref="K342">OR(ISNUMBER(SEARCH(J$2:J$30,$B342,5)))</f>
        <v>0</v>
      </c>
      <c r="M342" s="3" t="str">
        <f t="shared" si="6"/>
        <v>ZZZ</v>
      </c>
      <c r="N342" s="3" t="b">
        <f t="array" ref="N342">OR(ISNUMBER(SEARCH(M$2:M$30,$B342,5)))</f>
        <v>1</v>
      </c>
      <c r="P342" s="3" t="str">
        <f t="shared" si="7"/>
        <v>ZZZ</v>
      </c>
      <c r="Q342" s="3" t="b">
        <f t="array" ref="Q342">OR(ISNUMBER(SEARCH(P$2:P$50,$B342,5)))</f>
        <v>0</v>
      </c>
      <c r="S342" s="3" t="str">
        <f t="shared" si="8"/>
        <v>ZZZ</v>
      </c>
      <c r="T342" s="3" t="b">
        <f t="array" ref="T342">OR(ISNUMBER(SEARCH(S$2:S$100,$B342,5)))</f>
        <v>0</v>
      </c>
      <c r="V342" s="3" t="str">
        <f t="shared" si="9"/>
        <v>ZZZ</v>
      </c>
      <c r="W342" s="3" t="b">
        <f t="array" ref="W342">OR(ISNUMBER(SEARCH(V$2:V$100,$B342,5)))</f>
        <v>0</v>
      </c>
      <c r="Y342" s="3" t="str">
        <f t="shared" si="10"/>
        <v>ZZZ</v>
      </c>
      <c r="Z342" s="3" t="b">
        <f t="array" ref="Z342">OR(ISNUMBER(SEARCH(Y$2:Y$100,$B342,5)))</f>
        <v>0</v>
      </c>
      <c r="AB342" s="3" t="str">
        <f t="shared" si="11"/>
        <v>ZZZ</v>
      </c>
      <c r="AC342" s="3" t="b">
        <f t="array" ref="AC342">OR(ISNUMBER(SEARCH(AB$2:AB$100,$B342,5)))</f>
        <v>0</v>
      </c>
      <c r="AE342" s="3" t="str">
        <f t="shared" si="12"/>
        <v>ZZZ</v>
      </c>
      <c r="AF342" s="3" t="b">
        <f t="array" ref="AF342">OR(ISNUMBER(SEARCH(AE$2:AE$100,$B342,5)))</f>
        <v>0</v>
      </c>
      <c r="AH342" s="3" t="str">
        <f t="shared" si="13"/>
        <v>ZZZ</v>
      </c>
      <c r="AI342" s="3" t="b">
        <f t="array" ref="AI342">OR(ISNUMBER(SEARCH(AH$2:AH$100,$B342,5)))</f>
        <v>0</v>
      </c>
      <c r="AK342" s="3" t="str">
        <f t="shared" si="14"/>
        <v>ZZZ</v>
      </c>
      <c r="AL342" s="3" t="b">
        <f t="array" ref="AL342">OR(ISNUMBER(SEARCH(AK$2:AK$100,$B342,5)))</f>
        <v>0</v>
      </c>
      <c r="AU342" s="8"/>
      <c r="AV342" s="6"/>
      <c r="AW342" s="8"/>
      <c r="AX342" s="8"/>
      <c r="AY342" s="6"/>
      <c r="AZ342" s="8"/>
      <c r="BA342" s="8"/>
      <c r="BB342" s="6"/>
      <c r="BC342" s="8"/>
      <c r="BD342" s="8"/>
      <c r="BE342" s="6"/>
      <c r="BF342" s="8"/>
      <c r="BG342" s="8"/>
      <c r="BH342" s="6"/>
      <c r="BI342" s="8"/>
      <c r="BJ342" s="8"/>
      <c r="BK342" s="6"/>
      <c r="BL342" s="8"/>
      <c r="BM342" s="8"/>
      <c r="BN342" s="6"/>
      <c r="BO342" s="8"/>
      <c r="BP342" s="8"/>
      <c r="BQ342" s="6"/>
      <c r="BR342" s="8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/>
      <c r="IK342" s="7"/>
      <c r="IL342" s="7"/>
      <c r="IM342" s="7"/>
      <c r="IN342" s="7"/>
      <c r="IO342" s="7"/>
      <c r="IP342" s="7"/>
      <c r="IQ342" s="7"/>
      <c r="IR342" s="7"/>
      <c r="IS342" s="7"/>
      <c r="IT342" s="7"/>
      <c r="IU342" s="7"/>
      <c r="IV342" s="7"/>
      <c r="IW342" s="7"/>
      <c r="IX342" s="7"/>
      <c r="IY342" s="7"/>
      <c r="IZ342" s="7"/>
      <c r="JA342" s="7"/>
      <c r="JB342" s="7"/>
      <c r="JC342" s="7"/>
      <c r="JD342" s="7"/>
      <c r="JE342" s="7"/>
      <c r="JF342" s="7"/>
      <c r="JG342" s="7"/>
      <c r="JH342" s="7"/>
      <c r="JI342" s="7"/>
      <c r="JJ342" s="7"/>
      <c r="JK342" s="7"/>
      <c r="JL342" s="7"/>
      <c r="JM342" s="7"/>
      <c r="JN342" s="7"/>
      <c r="JO342" s="7"/>
      <c r="JP342" s="7"/>
      <c r="JQ342" s="7"/>
      <c r="JR342" s="7"/>
      <c r="JS342" s="7"/>
      <c r="JT342" s="7"/>
      <c r="JU342" s="7"/>
      <c r="JV342" s="7"/>
      <c r="JW342" s="7"/>
      <c r="JX342" s="7"/>
      <c r="JY342" s="7"/>
      <c r="JZ342" s="7"/>
      <c r="KA342" s="7"/>
      <c r="KB342" s="7"/>
      <c r="KC342" s="7"/>
      <c r="KD342" s="7"/>
      <c r="KE342" s="7"/>
      <c r="KF342" s="7"/>
      <c r="KG342" s="7"/>
      <c r="KH342" s="7"/>
      <c r="KI342" s="7"/>
      <c r="KJ342" s="7"/>
      <c r="KK342" s="7"/>
      <c r="KL342" s="7"/>
      <c r="KM342" s="7"/>
      <c r="KN342" s="7"/>
    </row>
    <row r="343">
      <c r="A343" s="6"/>
      <c r="B343" s="6" t="s">
        <v>343</v>
      </c>
      <c r="C343" s="3" t="str">
        <f t="shared" si="3"/>
        <v>muted salmon</v>
      </c>
      <c r="D343" s="3" t="str">
        <f t="shared" si="17"/>
        <v>ZZZ</v>
      </c>
      <c r="E343" s="3" t="b">
        <f t="array" ref="E343">OR(ISNUMBER(SEARCH(D$2:D$30,$B343,5)))</f>
        <v>0</v>
      </c>
      <c r="G343" s="3" t="str">
        <f t="shared" si="4"/>
        <v>ZZZ</v>
      </c>
      <c r="H343" s="3" t="b">
        <f t="array" ref="H343">OR(ISNUMBER(SEARCH(G$2:G$30,$B343,5)))</f>
        <v>0</v>
      </c>
      <c r="J343" s="3" t="str">
        <f t="shared" si="5"/>
        <v>ZZZ</v>
      </c>
      <c r="K343" s="3" t="b">
        <f t="array" ref="K343">OR(ISNUMBER(SEARCH(J$2:J$30,$B343,5)))</f>
        <v>0</v>
      </c>
      <c r="M343" s="3" t="str">
        <f t="shared" si="6"/>
        <v>ZZZ</v>
      </c>
      <c r="N343" s="3" t="b">
        <f t="array" ref="N343">OR(ISNUMBER(SEARCH(M$2:M$30,$B343,5)))</f>
        <v>0</v>
      </c>
      <c r="P343" s="3" t="str">
        <f t="shared" si="7"/>
        <v>ZZZ</v>
      </c>
      <c r="Q343" s="3" t="b">
        <f t="array" ref="Q343">OR(ISNUMBER(SEARCH(P$2:P$50,$B343,5)))</f>
        <v>0</v>
      </c>
      <c r="S343" s="3" t="str">
        <f t="shared" si="8"/>
        <v>ZZZ</v>
      </c>
      <c r="T343" s="3" t="b">
        <f t="array" ref="T343">OR(ISNUMBER(SEARCH(S$2:S$100,$B343,5)))</f>
        <v>0</v>
      </c>
      <c r="V343" s="3" t="str">
        <f t="shared" si="9"/>
        <v>ZZZ</v>
      </c>
      <c r="W343" s="3" t="b">
        <f t="array" ref="W343">OR(ISNUMBER(SEARCH(V$2:V$100,$B343,5)))</f>
        <v>0</v>
      </c>
      <c r="Y343" s="3" t="str">
        <f t="shared" si="10"/>
        <v>ZZZ</v>
      </c>
      <c r="Z343" s="3" t="b">
        <f t="array" ref="Z343">OR(ISNUMBER(SEARCH(Y$2:Y$100,$B343,5)))</f>
        <v>0</v>
      </c>
      <c r="AB343" s="3" t="str">
        <f t="shared" si="11"/>
        <v>ZZZ</v>
      </c>
      <c r="AC343" s="3" t="b">
        <f t="array" ref="AC343">OR(ISNUMBER(SEARCH(AB$2:AB$100,$B343,5)))</f>
        <v>0</v>
      </c>
      <c r="AE343" s="3" t="str">
        <f t="shared" si="12"/>
        <v>ZZZ</v>
      </c>
      <c r="AF343" s="3" t="b">
        <f t="array" ref="AF343">OR(ISNUMBER(SEARCH(AE$2:AE$100,$B343,5)))</f>
        <v>0</v>
      </c>
      <c r="AH343" s="3" t="str">
        <f t="shared" si="13"/>
        <v>ZZZ</v>
      </c>
      <c r="AI343" s="3" t="b">
        <f t="array" ref="AI343">OR(ISNUMBER(SEARCH(AH$2:AH$100,$B343,5)))</f>
        <v>0</v>
      </c>
      <c r="AK343" s="3" t="str">
        <f t="shared" si="14"/>
        <v>ZZZ</v>
      </c>
      <c r="AL343" s="3" t="b">
        <f t="array" ref="AL343">OR(ISNUMBER(SEARCH(AK$2:AK$100,$B343,5)))</f>
        <v>0</v>
      </c>
      <c r="AU343" s="8"/>
      <c r="AV343" s="6"/>
      <c r="AW343" s="8"/>
      <c r="AX343" s="8"/>
      <c r="AY343" s="6"/>
      <c r="AZ343" s="8"/>
      <c r="BA343" s="8"/>
      <c r="BB343" s="6"/>
      <c r="BC343" s="8"/>
      <c r="BD343" s="8"/>
      <c r="BE343" s="6"/>
      <c r="BF343" s="8"/>
      <c r="BG343" s="8"/>
      <c r="BH343" s="6"/>
      <c r="BI343" s="8"/>
      <c r="BJ343" s="8"/>
      <c r="BK343" s="6"/>
      <c r="BL343" s="8"/>
      <c r="BM343" s="8"/>
      <c r="BN343" s="6"/>
      <c r="BO343" s="8"/>
      <c r="BP343" s="8"/>
      <c r="BQ343" s="6"/>
      <c r="BR343" s="8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7"/>
      <c r="HW343" s="7"/>
      <c r="HX343" s="7"/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/>
      <c r="JH343" s="7"/>
      <c r="JI343" s="7"/>
      <c r="JJ343" s="7"/>
      <c r="JK343" s="7"/>
      <c r="JL343" s="7"/>
      <c r="JM343" s="7"/>
      <c r="JN343" s="7"/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/>
      <c r="KM343" s="7"/>
      <c r="KN343" s="7"/>
    </row>
    <row r="344">
      <c r="A344" s="6"/>
      <c r="B344" s="6" t="s">
        <v>344</v>
      </c>
      <c r="C344" s="3" t="str">
        <f t="shared" si="3"/>
        <v>light aqua</v>
      </c>
      <c r="D344" s="3" t="str">
        <f t="shared" si="17"/>
        <v>ZZZ</v>
      </c>
      <c r="E344" s="3" t="b">
        <f t="array" ref="E344">OR(ISNUMBER(SEARCH(D$2:D$30,$B344,5)))</f>
        <v>0</v>
      </c>
      <c r="G344" s="3" t="str">
        <f t="shared" si="4"/>
        <v>ZZZ</v>
      </c>
      <c r="H344" s="3" t="b">
        <f t="array" ref="H344">OR(ISNUMBER(SEARCH(G$2:G$30,$B344,5)))</f>
        <v>0</v>
      </c>
      <c r="J344" s="3" t="str">
        <f t="shared" si="5"/>
        <v>ZZZ</v>
      </c>
      <c r="K344" s="3" t="b">
        <f t="array" ref="K344">OR(ISNUMBER(SEARCH(J$2:J$30,$B344,5)))</f>
        <v>1</v>
      </c>
      <c r="M344" s="3" t="str">
        <f t="shared" si="6"/>
        <v>ZZZ</v>
      </c>
      <c r="N344" s="3" t="b">
        <f t="array" ref="N344">OR(ISNUMBER(SEARCH(M$2:M$30,$B344,5)))</f>
        <v>0</v>
      </c>
      <c r="P344" s="3" t="str">
        <f t="shared" si="7"/>
        <v>ZZZ</v>
      </c>
      <c r="Q344" s="3" t="b">
        <f t="array" ref="Q344">OR(ISNUMBER(SEARCH(P$2:P$50,$B344,5)))</f>
        <v>0</v>
      </c>
      <c r="S344" s="3" t="str">
        <f t="shared" si="8"/>
        <v>ZZZ</v>
      </c>
      <c r="T344" s="3" t="b">
        <f t="array" ref="T344">OR(ISNUMBER(SEARCH(S$2:S$100,$B344,5)))</f>
        <v>0</v>
      </c>
      <c r="V344" s="3" t="str">
        <f t="shared" si="9"/>
        <v>ZZZ</v>
      </c>
      <c r="W344" s="3" t="b">
        <f t="array" ref="W344">OR(ISNUMBER(SEARCH(V$2:V$100,$B344,5)))</f>
        <v>0</v>
      </c>
      <c r="Y344" s="3" t="str">
        <f t="shared" si="10"/>
        <v>ZZZ</v>
      </c>
      <c r="Z344" s="3" t="b">
        <f t="array" ref="Z344">OR(ISNUMBER(SEARCH(Y$2:Y$100,$B344,5)))</f>
        <v>0</v>
      </c>
      <c r="AB344" s="3" t="str">
        <f t="shared" si="11"/>
        <v>ZZZ</v>
      </c>
      <c r="AC344" s="3" t="b">
        <f t="array" ref="AC344">OR(ISNUMBER(SEARCH(AB$2:AB$100,$B344,5)))</f>
        <v>0</v>
      </c>
      <c r="AE344" s="3" t="str">
        <f t="shared" si="12"/>
        <v>ZZZ</v>
      </c>
      <c r="AF344" s="3" t="b">
        <f t="array" ref="AF344">OR(ISNUMBER(SEARCH(AE$2:AE$100,$B344,5)))</f>
        <v>0</v>
      </c>
      <c r="AH344" s="3" t="str">
        <f t="shared" si="13"/>
        <v>ZZZ</v>
      </c>
      <c r="AI344" s="3" t="b">
        <f t="array" ref="AI344">OR(ISNUMBER(SEARCH(AH$2:AH$100,$B344,5)))</f>
        <v>0</v>
      </c>
      <c r="AK344" s="3" t="str">
        <f t="shared" si="14"/>
        <v>ZZZ</v>
      </c>
      <c r="AL344" s="3" t="b">
        <f t="array" ref="AL344">OR(ISNUMBER(SEARCH(AK$2:AK$100,$B344,5)))</f>
        <v>0</v>
      </c>
      <c r="AU344" s="8"/>
      <c r="AV344" s="6"/>
      <c r="AW344" s="8"/>
      <c r="AX344" s="8"/>
      <c r="AY344" s="6"/>
      <c r="AZ344" s="8"/>
      <c r="BA344" s="8"/>
      <c r="BB344" s="6"/>
      <c r="BC344" s="8"/>
      <c r="BD344" s="8"/>
      <c r="BE344" s="6"/>
      <c r="BF344" s="8"/>
      <c r="BG344" s="8"/>
      <c r="BH344" s="6"/>
      <c r="BI344" s="8"/>
      <c r="BJ344" s="8"/>
      <c r="BK344" s="6"/>
      <c r="BL344" s="8"/>
      <c r="BM344" s="8"/>
      <c r="BN344" s="6"/>
      <c r="BO344" s="8"/>
      <c r="BP344" s="8"/>
      <c r="BQ344" s="6"/>
      <c r="BR344" s="8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  <c r="IT344" s="7"/>
      <c r="IU344" s="7"/>
      <c r="IV344" s="7"/>
      <c r="IW344" s="7"/>
      <c r="IX344" s="7"/>
      <c r="IY344" s="7"/>
      <c r="IZ344" s="7"/>
      <c r="JA344" s="7"/>
      <c r="JB344" s="7"/>
      <c r="JC344" s="7"/>
      <c r="JD344" s="7"/>
      <c r="JE344" s="7"/>
      <c r="JF344" s="7"/>
      <c r="JG344" s="7"/>
      <c r="JH344" s="7"/>
      <c r="JI344" s="7"/>
      <c r="JJ344" s="7"/>
      <c r="JK344" s="7"/>
      <c r="JL344" s="7"/>
      <c r="JM344" s="7"/>
      <c r="JN344" s="7"/>
      <c r="JO344" s="7"/>
      <c r="JP344" s="7"/>
      <c r="JQ344" s="7"/>
      <c r="JR344" s="7"/>
      <c r="JS344" s="7"/>
      <c r="JT344" s="7"/>
      <c r="JU344" s="7"/>
      <c r="JV344" s="7"/>
      <c r="JW344" s="7"/>
      <c r="JX344" s="7"/>
      <c r="JY344" s="7"/>
      <c r="JZ344" s="7"/>
      <c r="KA344" s="7"/>
      <c r="KB344" s="7"/>
      <c r="KC344" s="7"/>
      <c r="KD344" s="7"/>
      <c r="KE344" s="7"/>
      <c r="KF344" s="7"/>
      <c r="KG344" s="7"/>
      <c r="KH344" s="7"/>
      <c r="KI344" s="7"/>
      <c r="KJ344" s="7"/>
      <c r="KK344" s="7"/>
      <c r="KL344" s="7"/>
      <c r="KM344" s="7"/>
      <c r="KN344" s="7"/>
    </row>
    <row r="345">
      <c r="A345" s="6"/>
      <c r="B345" s="6" t="s">
        <v>345</v>
      </c>
      <c r="C345" s="3" t="str">
        <f t="shared" si="3"/>
        <v>bright blue</v>
      </c>
      <c r="D345" s="3" t="str">
        <f t="shared" si="17"/>
        <v>ZZZ</v>
      </c>
      <c r="E345" s="3" t="b">
        <f t="array" ref="E345">OR(ISNUMBER(SEARCH(D$2:D$30,$B345,5)))</f>
        <v>0</v>
      </c>
      <c r="G345" s="3" t="str">
        <f t="shared" si="4"/>
        <v>ZZZ</v>
      </c>
      <c r="H345" s="3" t="b">
        <f t="array" ref="H345">OR(ISNUMBER(SEARCH(G$2:G$30,$B345,5)))</f>
        <v>0</v>
      </c>
      <c r="J345" s="3" t="str">
        <f t="shared" si="5"/>
        <v>ZZZ</v>
      </c>
      <c r="K345" s="3" t="b">
        <f t="array" ref="K345">OR(ISNUMBER(SEARCH(J$2:J$30,$B345,5)))</f>
        <v>0</v>
      </c>
      <c r="M345" s="3" t="str">
        <f t="shared" si="6"/>
        <v>ZZZ</v>
      </c>
      <c r="N345" s="3" t="b">
        <f t="array" ref="N345">OR(ISNUMBER(SEARCH(M$2:M$30,$B345,5)))</f>
        <v>0</v>
      </c>
      <c r="P345" s="3" t="str">
        <f t="shared" si="7"/>
        <v>ZZZ</v>
      </c>
      <c r="Q345" s="3" t="b">
        <f t="array" ref="Q345">OR(ISNUMBER(SEARCH(P$2:P$50,$B345,5)))</f>
        <v>0</v>
      </c>
      <c r="S345" s="3" t="str">
        <f t="shared" si="8"/>
        <v>ZZZ</v>
      </c>
      <c r="T345" s="3" t="b">
        <f t="array" ref="T345">OR(ISNUMBER(SEARCH(S$2:S$100,$B345,5)))</f>
        <v>0</v>
      </c>
      <c r="V345" s="3" t="str">
        <f t="shared" si="9"/>
        <v>ZZZ</v>
      </c>
      <c r="W345" s="3" t="b">
        <f t="array" ref="W345">OR(ISNUMBER(SEARCH(V$2:V$100,$B345,5)))</f>
        <v>0</v>
      </c>
      <c r="Y345" s="3" t="str">
        <f t="shared" si="10"/>
        <v>ZZZ</v>
      </c>
      <c r="Z345" s="3" t="b">
        <f t="array" ref="Z345">OR(ISNUMBER(SEARCH(Y$2:Y$100,$B345,5)))</f>
        <v>0</v>
      </c>
      <c r="AB345" s="3" t="str">
        <f t="shared" si="11"/>
        <v>ZZZ</v>
      </c>
      <c r="AC345" s="3" t="b">
        <f t="array" ref="AC345">OR(ISNUMBER(SEARCH(AB$2:AB$100,$B345,5)))</f>
        <v>0</v>
      </c>
      <c r="AE345" s="3" t="str">
        <f t="shared" si="12"/>
        <v>ZZZ</v>
      </c>
      <c r="AF345" s="3" t="b">
        <f t="array" ref="AF345">OR(ISNUMBER(SEARCH(AE$2:AE$100,$B345,5)))</f>
        <v>0</v>
      </c>
      <c r="AH345" s="3" t="str">
        <f t="shared" si="13"/>
        <v>ZZZ</v>
      </c>
      <c r="AI345" s="3" t="b">
        <f t="array" ref="AI345">OR(ISNUMBER(SEARCH(AH$2:AH$100,$B345,5)))</f>
        <v>0</v>
      </c>
      <c r="AK345" s="3" t="str">
        <f t="shared" si="14"/>
        <v>ZZZ</v>
      </c>
      <c r="AL345" s="3" t="b">
        <f t="array" ref="AL345">OR(ISNUMBER(SEARCH(AK$2:AK$100,$B345,5)))</f>
        <v>0</v>
      </c>
      <c r="AU345" s="8"/>
      <c r="AV345" s="6"/>
      <c r="AW345" s="8"/>
      <c r="AX345" s="8"/>
      <c r="AY345" s="6"/>
      <c r="AZ345" s="8"/>
      <c r="BA345" s="8"/>
      <c r="BB345" s="6"/>
      <c r="BC345" s="8"/>
      <c r="BD345" s="8"/>
      <c r="BE345" s="6"/>
      <c r="BF345" s="8"/>
      <c r="BG345" s="8"/>
      <c r="BH345" s="6"/>
      <c r="BI345" s="8"/>
      <c r="BJ345" s="8"/>
      <c r="BK345" s="6"/>
      <c r="BL345" s="8"/>
      <c r="BM345" s="8"/>
      <c r="BN345" s="6"/>
      <c r="BO345" s="8"/>
      <c r="BP345" s="8"/>
      <c r="BQ345" s="6"/>
      <c r="BR345" s="8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/>
      <c r="JI345" s="7"/>
      <c r="JJ345" s="7"/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/>
      <c r="KE345" s="7"/>
      <c r="KF345" s="7"/>
      <c r="KG345" s="7"/>
      <c r="KH345" s="7"/>
      <c r="KI345" s="7"/>
      <c r="KJ345" s="7"/>
      <c r="KK345" s="7"/>
      <c r="KL345" s="7"/>
      <c r="KM345" s="7"/>
      <c r="KN345" s="7"/>
    </row>
    <row r="346">
      <c r="A346" s="6"/>
      <c r="B346" s="6" t="s">
        <v>346</v>
      </c>
      <c r="C346" s="3" t="str">
        <f t="shared" si="3"/>
        <v>light brown</v>
      </c>
      <c r="D346" s="3" t="str">
        <f t="shared" si="17"/>
        <v>ZZZ</v>
      </c>
      <c r="E346" s="3" t="b">
        <f t="array" ref="E346">OR(ISNUMBER(SEARCH(D$2:D$30,$B346,5)))</f>
        <v>0</v>
      </c>
      <c r="G346" s="3" t="str">
        <f t="shared" si="4"/>
        <v>ZZZ</v>
      </c>
      <c r="H346" s="3" t="b">
        <f t="array" ref="H346">OR(ISNUMBER(SEARCH(G$2:G$30,$B346,5)))</f>
        <v>0</v>
      </c>
      <c r="J346" s="3" t="str">
        <f t="shared" si="5"/>
        <v>ZZZ</v>
      </c>
      <c r="K346" s="3" t="b">
        <f t="array" ref="K346">OR(ISNUMBER(SEARCH(J$2:J$30,$B346,5)))</f>
        <v>0</v>
      </c>
      <c r="M346" s="3" t="str">
        <f t="shared" si="6"/>
        <v>ZZZ</v>
      </c>
      <c r="N346" s="3" t="b">
        <f t="array" ref="N346">OR(ISNUMBER(SEARCH(M$2:M$30,$B346,5)))</f>
        <v>0</v>
      </c>
      <c r="P346" s="3" t="str">
        <f t="shared" si="7"/>
        <v>ZZZ</v>
      </c>
      <c r="Q346" s="3" t="b">
        <f t="array" ref="Q346">OR(ISNUMBER(SEARCH(P$2:P$50,$B346,5)))</f>
        <v>0</v>
      </c>
      <c r="S346" s="3" t="str">
        <f t="shared" si="8"/>
        <v>ZZZ</v>
      </c>
      <c r="T346" s="3" t="b">
        <f t="array" ref="T346">OR(ISNUMBER(SEARCH(S$2:S$100,$B346,5)))</f>
        <v>0</v>
      </c>
      <c r="V346" s="3" t="str">
        <f t="shared" si="9"/>
        <v>ZZZ</v>
      </c>
      <c r="W346" s="3" t="b">
        <f t="array" ref="W346">OR(ISNUMBER(SEARCH(V$2:V$100,$B346,5)))</f>
        <v>0</v>
      </c>
      <c r="Y346" s="3" t="str">
        <f t="shared" si="10"/>
        <v>ZZZ</v>
      </c>
      <c r="Z346" s="3" t="b">
        <f t="array" ref="Z346">OR(ISNUMBER(SEARCH(Y$2:Y$100,$B346,5)))</f>
        <v>0</v>
      </c>
      <c r="AB346" s="3" t="str">
        <f t="shared" si="11"/>
        <v>ZZZ</v>
      </c>
      <c r="AC346" s="3" t="b">
        <f t="array" ref="AC346">OR(ISNUMBER(SEARCH(AB$2:AB$100,$B346,5)))</f>
        <v>0</v>
      </c>
      <c r="AE346" s="3" t="str">
        <f t="shared" si="12"/>
        <v>ZZZ</v>
      </c>
      <c r="AF346" s="3" t="b">
        <f t="array" ref="AF346">OR(ISNUMBER(SEARCH(AE$2:AE$100,$B346,5)))</f>
        <v>0</v>
      </c>
      <c r="AH346" s="3" t="str">
        <f t="shared" si="13"/>
        <v>ZZZ</v>
      </c>
      <c r="AI346" s="3" t="b">
        <f t="array" ref="AI346">OR(ISNUMBER(SEARCH(AH$2:AH$100,$B346,5)))</f>
        <v>0</v>
      </c>
      <c r="AK346" s="3" t="str">
        <f t="shared" si="14"/>
        <v>ZZZ</v>
      </c>
      <c r="AL346" s="3" t="b">
        <f t="array" ref="AL346">OR(ISNUMBER(SEARCH(AK$2:AK$100,$B346,5)))</f>
        <v>0</v>
      </c>
      <c r="AU346" s="8"/>
      <c r="AV346" s="6"/>
      <c r="AW346" s="8"/>
      <c r="AX346" s="8"/>
      <c r="AY346" s="6"/>
      <c r="AZ346" s="8"/>
      <c r="BA346" s="8"/>
      <c r="BB346" s="6"/>
      <c r="BC346" s="8"/>
      <c r="BD346" s="8"/>
      <c r="BE346" s="6"/>
      <c r="BF346" s="8"/>
      <c r="BG346" s="8"/>
      <c r="BH346" s="6"/>
      <c r="BI346" s="8"/>
      <c r="BJ346" s="8"/>
      <c r="BK346" s="6"/>
      <c r="BL346" s="8"/>
      <c r="BM346" s="8"/>
      <c r="BN346" s="6"/>
      <c r="BO346" s="8"/>
      <c r="BP346" s="8"/>
      <c r="BQ346" s="6"/>
      <c r="BR346" s="8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7"/>
      <c r="HW346" s="7"/>
      <c r="HX346" s="7"/>
      <c r="HY346" s="7"/>
      <c r="HZ346" s="7"/>
      <c r="IA346" s="7"/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7"/>
      <c r="IR346" s="7"/>
      <c r="IS346" s="7"/>
      <c r="IT346" s="7"/>
      <c r="IU346" s="7"/>
      <c r="IV346" s="7"/>
      <c r="IW346" s="7"/>
      <c r="IX346" s="7"/>
      <c r="IY346" s="7"/>
      <c r="IZ346" s="7"/>
      <c r="JA346" s="7"/>
      <c r="JB346" s="7"/>
      <c r="JC346" s="7"/>
      <c r="JD346" s="7"/>
      <c r="JE346" s="7"/>
      <c r="JF346" s="7"/>
      <c r="JG346" s="7"/>
      <c r="JH346" s="7"/>
      <c r="JI346" s="7"/>
      <c r="JJ346" s="7"/>
      <c r="JK346" s="7"/>
      <c r="JL346" s="7"/>
      <c r="JM346" s="7"/>
      <c r="JN346" s="7"/>
      <c r="JO346" s="7"/>
      <c r="JP346" s="7"/>
      <c r="JQ346" s="7"/>
      <c r="JR346" s="7"/>
      <c r="JS346" s="7"/>
      <c r="JT346" s="7"/>
      <c r="JU346" s="7"/>
      <c r="JV346" s="7"/>
      <c r="JW346" s="7"/>
      <c r="JX346" s="7"/>
      <c r="JY346" s="7"/>
      <c r="JZ346" s="7"/>
      <c r="KA346" s="7"/>
      <c r="KB346" s="7"/>
      <c r="KC346" s="7"/>
      <c r="KD346" s="7"/>
      <c r="KE346" s="7"/>
      <c r="KF346" s="7"/>
      <c r="KG346" s="7"/>
      <c r="KH346" s="7"/>
      <c r="KI346" s="7"/>
      <c r="KJ346" s="7"/>
      <c r="KK346" s="7"/>
      <c r="KL346" s="7"/>
      <c r="KM346" s="7"/>
      <c r="KN346" s="7"/>
    </row>
    <row r="347">
      <c r="A347" s="6"/>
      <c r="B347" s="6" t="s">
        <v>347</v>
      </c>
      <c r="C347" s="3" t="str">
        <f t="shared" si="3"/>
        <v>light salmon</v>
      </c>
      <c r="D347" s="3" t="str">
        <f t="shared" si="17"/>
        <v>ZZZ</v>
      </c>
      <c r="E347" s="3" t="b">
        <f t="array" ref="E347">OR(ISNUMBER(SEARCH(D$2:D$30,$B347,5)))</f>
        <v>0</v>
      </c>
      <c r="G347" s="3" t="str">
        <f t="shared" si="4"/>
        <v>ZZZ</v>
      </c>
      <c r="H347" s="3" t="b">
        <f t="array" ref="H347">OR(ISNUMBER(SEARCH(G$2:G$30,$B347,5)))</f>
        <v>0</v>
      </c>
      <c r="J347" s="3" t="str">
        <f t="shared" si="5"/>
        <v>ZZZ</v>
      </c>
      <c r="K347" s="3" t="b">
        <f t="array" ref="K347">OR(ISNUMBER(SEARCH(J$2:J$30,$B347,5)))</f>
        <v>0</v>
      </c>
      <c r="M347" s="3" t="str">
        <f t="shared" si="6"/>
        <v>ZZZ</v>
      </c>
      <c r="N347" s="3" t="b">
        <f t="array" ref="N347">OR(ISNUMBER(SEARCH(M$2:M$30,$B347,5)))</f>
        <v>0</v>
      </c>
      <c r="P347" s="3" t="str">
        <f t="shared" si="7"/>
        <v>ZZZ</v>
      </c>
      <c r="Q347" s="3" t="b">
        <f t="array" ref="Q347">OR(ISNUMBER(SEARCH(P$2:P$50,$B347,5)))</f>
        <v>1</v>
      </c>
      <c r="S347" s="3" t="str">
        <f t="shared" si="8"/>
        <v>ZZZ</v>
      </c>
      <c r="T347" s="3" t="b">
        <f t="array" ref="T347">OR(ISNUMBER(SEARCH(S$2:S$100,$B347,5)))</f>
        <v>0</v>
      </c>
      <c r="V347" s="3" t="str">
        <f t="shared" si="9"/>
        <v>ZZZ</v>
      </c>
      <c r="W347" s="3" t="b">
        <f t="array" ref="W347">OR(ISNUMBER(SEARCH(V$2:V$100,$B347,5)))</f>
        <v>1</v>
      </c>
      <c r="Y347" s="3" t="str">
        <f t="shared" si="10"/>
        <v>ZZZ</v>
      </c>
      <c r="Z347" s="3" t="b">
        <f t="array" ref="Z347">OR(ISNUMBER(SEARCH(Y$2:Y$100,$B347,5)))</f>
        <v>0</v>
      </c>
      <c r="AB347" s="3" t="str">
        <f t="shared" si="11"/>
        <v>ZZZ</v>
      </c>
      <c r="AC347" s="3" t="b">
        <f t="array" ref="AC347">OR(ISNUMBER(SEARCH(AB$2:AB$100,$B347,5)))</f>
        <v>0</v>
      </c>
      <c r="AE347" s="3" t="str">
        <f t="shared" si="12"/>
        <v>ZZZ</v>
      </c>
      <c r="AF347" s="3" t="b">
        <f t="array" ref="AF347">OR(ISNUMBER(SEARCH(AE$2:AE$100,$B347,5)))</f>
        <v>0</v>
      </c>
      <c r="AH347" s="3" t="str">
        <f t="shared" si="13"/>
        <v>ZZZ</v>
      </c>
      <c r="AI347" s="3" t="b">
        <f t="array" ref="AI347">OR(ISNUMBER(SEARCH(AH$2:AH$100,$B347,5)))</f>
        <v>0</v>
      </c>
      <c r="AK347" s="3" t="str">
        <f t="shared" si="14"/>
        <v>ZZZ</v>
      </c>
      <c r="AL347" s="3" t="b">
        <f t="array" ref="AL347">OR(ISNUMBER(SEARCH(AK$2:AK$100,$B347,5)))</f>
        <v>0</v>
      </c>
      <c r="AU347" s="8"/>
      <c r="AV347" s="6"/>
      <c r="AW347" s="8"/>
      <c r="AX347" s="8"/>
      <c r="AY347" s="6"/>
      <c r="AZ347" s="8"/>
      <c r="BA347" s="8"/>
      <c r="BB347" s="6"/>
      <c r="BC347" s="8"/>
      <c r="BD347" s="8"/>
      <c r="BE347" s="6"/>
      <c r="BF347" s="8"/>
      <c r="BG347" s="8"/>
      <c r="BH347" s="6"/>
      <c r="BI347" s="8"/>
      <c r="BJ347" s="8"/>
      <c r="BK347" s="6"/>
      <c r="BL347" s="8"/>
      <c r="BM347" s="8"/>
      <c r="BN347" s="6"/>
      <c r="BO347" s="8"/>
      <c r="BP347" s="8"/>
      <c r="BQ347" s="6"/>
      <c r="BR347" s="8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/>
      <c r="IV347" s="7"/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/>
      <c r="JH347" s="7"/>
      <c r="JI347" s="7"/>
      <c r="JJ347" s="7"/>
      <c r="JK347" s="7"/>
      <c r="JL347" s="7"/>
      <c r="JM347" s="7"/>
      <c r="JN347" s="7"/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/>
      <c r="KH347" s="7"/>
      <c r="KI347" s="7"/>
      <c r="KJ347" s="7"/>
      <c r="KK347" s="7"/>
      <c r="KL347" s="7"/>
      <c r="KM347" s="7"/>
      <c r="KN347" s="7"/>
    </row>
    <row r="348">
      <c r="A348" s="6"/>
      <c r="B348" s="6" t="s">
        <v>348</v>
      </c>
      <c r="C348" s="3" t="str">
        <f t="shared" si="3"/>
        <v>posh beige</v>
      </c>
      <c r="D348" s="3" t="str">
        <f t="shared" si="17"/>
        <v>ZZZ</v>
      </c>
      <c r="E348" s="3" t="b">
        <f t="array" ref="E348">OR(ISNUMBER(SEARCH(D$2:D$30,$B348,5)))</f>
        <v>0</v>
      </c>
      <c r="G348" s="3" t="str">
        <f t="shared" si="4"/>
        <v>ZZZ</v>
      </c>
      <c r="H348" s="3" t="b">
        <f t="array" ref="H348">OR(ISNUMBER(SEARCH(G$2:G$30,$B348,5)))</f>
        <v>0</v>
      </c>
      <c r="J348" s="3" t="str">
        <f t="shared" si="5"/>
        <v>ZZZ</v>
      </c>
      <c r="K348" s="3" t="b">
        <f t="array" ref="K348">OR(ISNUMBER(SEARCH(J$2:J$30,$B348,5)))</f>
        <v>1</v>
      </c>
      <c r="M348" s="3" t="str">
        <f t="shared" si="6"/>
        <v>ZZZ</v>
      </c>
      <c r="N348" s="3" t="b">
        <f t="array" ref="N348">OR(ISNUMBER(SEARCH(M$2:M$30,$B348,5)))</f>
        <v>0</v>
      </c>
      <c r="P348" s="3" t="str">
        <f t="shared" si="7"/>
        <v>ZZZ</v>
      </c>
      <c r="Q348" s="3" t="b">
        <f t="array" ref="Q348">OR(ISNUMBER(SEARCH(P$2:P$50,$B348,5)))</f>
        <v>0</v>
      </c>
      <c r="S348" s="3" t="str">
        <f t="shared" si="8"/>
        <v>ZZZ</v>
      </c>
      <c r="T348" s="3" t="b">
        <f t="array" ref="T348">OR(ISNUMBER(SEARCH(S$2:S$100,$B348,5)))</f>
        <v>0</v>
      </c>
      <c r="V348" s="3" t="str">
        <f t="shared" si="9"/>
        <v>ZZZ</v>
      </c>
      <c r="W348" s="3" t="b">
        <f t="array" ref="W348">OR(ISNUMBER(SEARCH(V$2:V$100,$B348,5)))</f>
        <v>0</v>
      </c>
      <c r="Y348" s="3" t="str">
        <f t="shared" si="10"/>
        <v>ZZZ</v>
      </c>
      <c r="Z348" s="3" t="b">
        <f t="array" ref="Z348">OR(ISNUMBER(SEARCH(Y$2:Y$100,$B348,5)))</f>
        <v>0</v>
      </c>
      <c r="AB348" s="3" t="str">
        <f t="shared" si="11"/>
        <v>ZZZ</v>
      </c>
      <c r="AC348" s="3" t="b">
        <f t="array" ref="AC348">OR(ISNUMBER(SEARCH(AB$2:AB$100,$B348,5)))</f>
        <v>0</v>
      </c>
      <c r="AE348" s="3" t="str">
        <f t="shared" si="12"/>
        <v>ZZZ</v>
      </c>
      <c r="AF348" s="3" t="b">
        <f t="array" ref="AF348">OR(ISNUMBER(SEARCH(AE$2:AE$100,$B348,5)))</f>
        <v>0</v>
      </c>
      <c r="AH348" s="3" t="str">
        <f t="shared" si="13"/>
        <v>ZZZ</v>
      </c>
      <c r="AI348" s="3" t="b">
        <f t="array" ref="AI348">OR(ISNUMBER(SEARCH(AH$2:AH$100,$B348,5)))</f>
        <v>0</v>
      </c>
      <c r="AK348" s="3" t="str">
        <f t="shared" si="14"/>
        <v>ZZZ</v>
      </c>
      <c r="AL348" s="3" t="b">
        <f t="array" ref="AL348">OR(ISNUMBER(SEARCH(AK$2:AK$100,$B348,5)))</f>
        <v>0</v>
      </c>
      <c r="AU348" s="8"/>
      <c r="AV348" s="6"/>
      <c r="AW348" s="8"/>
      <c r="AX348" s="8"/>
      <c r="AY348" s="6"/>
      <c r="AZ348" s="8"/>
      <c r="BA348" s="8"/>
      <c r="BB348" s="6"/>
      <c r="BC348" s="8"/>
      <c r="BD348" s="8"/>
      <c r="BE348" s="6"/>
      <c r="BF348" s="8"/>
      <c r="BG348" s="8"/>
      <c r="BH348" s="6"/>
      <c r="BI348" s="8"/>
      <c r="BJ348" s="8"/>
      <c r="BK348" s="6"/>
      <c r="BL348" s="8"/>
      <c r="BM348" s="8"/>
      <c r="BN348" s="6"/>
      <c r="BO348" s="8"/>
      <c r="BP348" s="8"/>
      <c r="BQ348" s="6"/>
      <c r="BR348" s="8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  <c r="IT348" s="7"/>
      <c r="IU348" s="7"/>
      <c r="IV348" s="7"/>
      <c r="IW348" s="7"/>
      <c r="IX348" s="7"/>
      <c r="IY348" s="7"/>
      <c r="IZ348" s="7"/>
      <c r="JA348" s="7"/>
      <c r="JB348" s="7"/>
      <c r="JC348" s="7"/>
      <c r="JD348" s="7"/>
      <c r="JE348" s="7"/>
      <c r="JF348" s="7"/>
      <c r="JG348" s="7"/>
      <c r="JH348" s="7"/>
      <c r="JI348" s="7"/>
      <c r="JJ348" s="7"/>
      <c r="JK348" s="7"/>
      <c r="JL348" s="7"/>
      <c r="JM348" s="7"/>
      <c r="JN348" s="7"/>
      <c r="JO348" s="7"/>
      <c r="JP348" s="7"/>
      <c r="JQ348" s="7"/>
      <c r="JR348" s="7"/>
      <c r="JS348" s="7"/>
      <c r="JT348" s="7"/>
      <c r="JU348" s="7"/>
      <c r="JV348" s="7"/>
      <c r="JW348" s="7"/>
      <c r="JX348" s="7"/>
      <c r="JY348" s="7"/>
      <c r="JZ348" s="7"/>
      <c r="KA348" s="7"/>
      <c r="KB348" s="7"/>
      <c r="KC348" s="7"/>
      <c r="KD348" s="7"/>
      <c r="KE348" s="7"/>
      <c r="KF348" s="7"/>
      <c r="KG348" s="7"/>
      <c r="KH348" s="7"/>
      <c r="KI348" s="7"/>
      <c r="KJ348" s="7"/>
      <c r="KK348" s="7"/>
      <c r="KL348" s="7"/>
      <c r="KM348" s="7"/>
      <c r="KN348" s="7"/>
    </row>
    <row r="349">
      <c r="A349" s="6"/>
      <c r="B349" s="6" t="s">
        <v>349</v>
      </c>
      <c r="C349" s="3" t="str">
        <f t="shared" si="3"/>
        <v>dotted orange</v>
      </c>
      <c r="D349" s="3" t="str">
        <f t="shared" si="17"/>
        <v>ZZZ</v>
      </c>
      <c r="E349" s="3" t="b">
        <f t="array" ref="E349">OR(ISNUMBER(SEARCH(D$2:D$30,$B349,5)))</f>
        <v>0</v>
      </c>
      <c r="G349" s="3" t="str">
        <f t="shared" si="4"/>
        <v>ZZZ</v>
      </c>
      <c r="H349" s="3" t="b">
        <f t="array" ref="H349">OR(ISNUMBER(SEARCH(G$2:G$30,$B349,5)))</f>
        <v>0</v>
      </c>
      <c r="J349" s="3" t="str">
        <f t="shared" si="5"/>
        <v>ZZZ</v>
      </c>
      <c r="K349" s="3" t="b">
        <f t="array" ref="K349">OR(ISNUMBER(SEARCH(J$2:J$30,$B349,5)))</f>
        <v>0</v>
      </c>
      <c r="M349" s="3" t="str">
        <f t="shared" si="6"/>
        <v>ZZZ</v>
      </c>
      <c r="N349" s="3" t="b">
        <f t="array" ref="N349">OR(ISNUMBER(SEARCH(M$2:M$30,$B349,5)))</f>
        <v>0</v>
      </c>
      <c r="P349" s="3" t="str">
        <f t="shared" si="7"/>
        <v>ZZZ</v>
      </c>
      <c r="Q349" s="3" t="b">
        <f t="array" ref="Q349">OR(ISNUMBER(SEARCH(P$2:P$50,$B349,5)))</f>
        <v>0</v>
      </c>
      <c r="S349" s="3" t="str">
        <f t="shared" si="8"/>
        <v>ZZZ</v>
      </c>
      <c r="T349" s="3" t="b">
        <f t="array" ref="T349">OR(ISNUMBER(SEARCH(S$2:S$100,$B349,5)))</f>
        <v>0</v>
      </c>
      <c r="V349" s="3" t="str">
        <f t="shared" si="9"/>
        <v>ZZZ</v>
      </c>
      <c r="W349" s="3" t="b">
        <f t="array" ref="W349">OR(ISNUMBER(SEARCH(V$2:V$100,$B349,5)))</f>
        <v>0</v>
      </c>
      <c r="Y349" s="3" t="str">
        <f t="shared" si="10"/>
        <v>ZZZ</v>
      </c>
      <c r="Z349" s="3" t="b">
        <f t="array" ref="Z349">OR(ISNUMBER(SEARCH(Y$2:Y$100,$B349,5)))</f>
        <v>0</v>
      </c>
      <c r="AB349" s="3" t="str">
        <f t="shared" si="11"/>
        <v>ZZZ</v>
      </c>
      <c r="AC349" s="3" t="b">
        <f t="array" ref="AC349">OR(ISNUMBER(SEARCH(AB$2:AB$100,$B349,5)))</f>
        <v>0</v>
      </c>
      <c r="AE349" s="3" t="str">
        <f t="shared" si="12"/>
        <v>ZZZ</v>
      </c>
      <c r="AF349" s="3" t="b">
        <f t="array" ref="AF349">OR(ISNUMBER(SEARCH(AE$2:AE$100,$B349,5)))</f>
        <v>0</v>
      </c>
      <c r="AH349" s="3" t="str">
        <f t="shared" si="13"/>
        <v>ZZZ</v>
      </c>
      <c r="AI349" s="3" t="b">
        <f t="array" ref="AI349">OR(ISNUMBER(SEARCH(AH$2:AH$100,$B349,5)))</f>
        <v>0</v>
      </c>
      <c r="AK349" s="3" t="str">
        <f t="shared" si="14"/>
        <v>ZZZ</v>
      </c>
      <c r="AL349" s="3" t="b">
        <f t="array" ref="AL349">OR(ISNUMBER(SEARCH(AK$2:AK$100,$B349,5)))</f>
        <v>0</v>
      </c>
      <c r="AU349" s="8"/>
      <c r="AV349" s="6"/>
      <c r="AW349" s="8"/>
      <c r="AX349" s="8"/>
      <c r="AY349" s="6"/>
      <c r="AZ349" s="8"/>
      <c r="BA349" s="8"/>
      <c r="BB349" s="6"/>
      <c r="BC349" s="8"/>
      <c r="BD349" s="8"/>
      <c r="BE349" s="6"/>
      <c r="BF349" s="8"/>
      <c r="BG349" s="8"/>
      <c r="BH349" s="6"/>
      <c r="BI349" s="8"/>
      <c r="BJ349" s="8"/>
      <c r="BK349" s="6"/>
      <c r="BL349" s="8"/>
      <c r="BM349" s="8"/>
      <c r="BN349" s="6"/>
      <c r="BO349" s="8"/>
      <c r="BP349" s="8"/>
      <c r="BQ349" s="6"/>
      <c r="BR349" s="8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7"/>
      <c r="HW349" s="7"/>
      <c r="HX349" s="7"/>
      <c r="HY349" s="7"/>
      <c r="HZ349" s="7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7"/>
      <c r="IQ349" s="7"/>
      <c r="IR349" s="7"/>
      <c r="IS349" s="7"/>
      <c r="IT349" s="7"/>
      <c r="IU349" s="7"/>
      <c r="IV349" s="7"/>
      <c r="IW349" s="7"/>
      <c r="IX349" s="7"/>
      <c r="IY349" s="7"/>
      <c r="IZ349" s="7"/>
      <c r="JA349" s="7"/>
      <c r="JB349" s="7"/>
      <c r="JC349" s="7"/>
      <c r="JD349" s="7"/>
      <c r="JE349" s="7"/>
      <c r="JF349" s="7"/>
      <c r="JG349" s="7"/>
      <c r="JH349" s="7"/>
      <c r="JI349" s="7"/>
      <c r="JJ349" s="7"/>
      <c r="JK349" s="7"/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/>
      <c r="JY349" s="7"/>
      <c r="JZ349" s="7"/>
      <c r="KA349" s="7"/>
      <c r="KB349" s="7"/>
      <c r="KC349" s="7"/>
      <c r="KD349" s="7"/>
      <c r="KE349" s="7"/>
      <c r="KF349" s="7"/>
      <c r="KG349" s="7"/>
      <c r="KH349" s="7"/>
      <c r="KI349" s="7"/>
      <c r="KJ349" s="7"/>
      <c r="KK349" s="7"/>
      <c r="KL349" s="7"/>
      <c r="KM349" s="7"/>
      <c r="KN349" s="7"/>
    </row>
    <row r="350">
      <c r="A350" s="6"/>
      <c r="B350" s="6" t="s">
        <v>350</v>
      </c>
      <c r="C350" s="3" t="str">
        <f t="shared" si="3"/>
        <v>wavy purple</v>
      </c>
      <c r="D350" s="3" t="str">
        <f t="shared" si="17"/>
        <v>ZZZ</v>
      </c>
      <c r="E350" s="3" t="b">
        <f t="array" ref="E350">OR(ISNUMBER(SEARCH(D$2:D$30,$B350,5)))</f>
        <v>0</v>
      </c>
      <c r="G350" s="3" t="str">
        <f t="shared" si="4"/>
        <v>ZZZ</v>
      </c>
      <c r="H350" s="3" t="b">
        <f t="array" ref="H350">OR(ISNUMBER(SEARCH(G$2:G$30,$B350,5)))</f>
        <v>0</v>
      </c>
      <c r="J350" s="3" t="str">
        <f t="shared" si="5"/>
        <v>ZZZ</v>
      </c>
      <c r="K350" s="3" t="b">
        <f t="array" ref="K350">OR(ISNUMBER(SEARCH(J$2:J$30,$B350,5)))</f>
        <v>0</v>
      </c>
      <c r="M350" s="3" t="str">
        <f t="shared" si="6"/>
        <v>ZZZ</v>
      </c>
      <c r="N350" s="3" t="b">
        <f t="array" ref="N350">OR(ISNUMBER(SEARCH(M$2:M$30,$B350,5)))</f>
        <v>0</v>
      </c>
      <c r="P350" s="3" t="str">
        <f t="shared" si="7"/>
        <v>ZZZ</v>
      </c>
      <c r="Q350" s="3" t="b">
        <f t="array" ref="Q350">OR(ISNUMBER(SEARCH(P$2:P$50,$B350,5)))</f>
        <v>0</v>
      </c>
      <c r="S350" s="3" t="str">
        <f t="shared" si="8"/>
        <v>ZZZ</v>
      </c>
      <c r="T350" s="3" t="b">
        <f t="array" ref="T350">OR(ISNUMBER(SEARCH(S$2:S$100,$B350,5)))</f>
        <v>0</v>
      </c>
      <c r="V350" s="3" t="str">
        <f t="shared" si="9"/>
        <v>ZZZ</v>
      </c>
      <c r="W350" s="3" t="b">
        <f t="array" ref="W350">OR(ISNUMBER(SEARCH(V$2:V$100,$B350,5)))</f>
        <v>0</v>
      </c>
      <c r="Y350" s="3" t="str">
        <f t="shared" si="10"/>
        <v>ZZZ</v>
      </c>
      <c r="Z350" s="3" t="b">
        <f t="array" ref="Z350">OR(ISNUMBER(SEARCH(Y$2:Y$100,$B350,5)))</f>
        <v>0</v>
      </c>
      <c r="AB350" s="3" t="str">
        <f t="shared" si="11"/>
        <v>ZZZ</v>
      </c>
      <c r="AC350" s="3" t="b">
        <f t="array" ref="AC350">OR(ISNUMBER(SEARCH(AB$2:AB$100,$B350,5)))</f>
        <v>0</v>
      </c>
      <c r="AE350" s="3" t="str">
        <f t="shared" si="12"/>
        <v>ZZZ</v>
      </c>
      <c r="AF350" s="3" t="b">
        <f t="array" ref="AF350">OR(ISNUMBER(SEARCH(AE$2:AE$100,$B350,5)))</f>
        <v>0</v>
      </c>
      <c r="AH350" s="3" t="str">
        <f t="shared" si="13"/>
        <v>ZZZ</v>
      </c>
      <c r="AI350" s="3" t="b">
        <f t="array" ref="AI350">OR(ISNUMBER(SEARCH(AH$2:AH$100,$B350,5)))</f>
        <v>0</v>
      </c>
      <c r="AK350" s="3" t="str">
        <f t="shared" si="14"/>
        <v>ZZZ</v>
      </c>
      <c r="AL350" s="3" t="b">
        <f t="array" ref="AL350">OR(ISNUMBER(SEARCH(AK$2:AK$100,$B350,5)))</f>
        <v>0</v>
      </c>
      <c r="AU350" s="8"/>
      <c r="AV350" s="6"/>
      <c r="AW350" s="8"/>
      <c r="AX350" s="8"/>
      <c r="AY350" s="6"/>
      <c r="AZ350" s="8"/>
      <c r="BA350" s="8"/>
      <c r="BB350" s="6"/>
      <c r="BC350" s="8"/>
      <c r="BD350" s="8"/>
      <c r="BE350" s="6"/>
      <c r="BF350" s="8"/>
      <c r="BG350" s="8"/>
      <c r="BH350" s="6"/>
      <c r="BI350" s="8"/>
      <c r="BJ350" s="8"/>
      <c r="BK350" s="6"/>
      <c r="BL350" s="8"/>
      <c r="BM350" s="8"/>
      <c r="BN350" s="6"/>
      <c r="BO350" s="8"/>
      <c r="BP350" s="8"/>
      <c r="BQ350" s="6"/>
      <c r="BR350" s="8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  <c r="HU350" s="7"/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  <c r="IT350" s="7"/>
      <c r="IU350" s="7"/>
      <c r="IV350" s="7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/>
      <c r="JH350" s="7"/>
      <c r="JI350" s="7"/>
      <c r="JJ350" s="7"/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</row>
    <row r="351">
      <c r="A351" s="6"/>
      <c r="B351" s="6" t="s">
        <v>351</v>
      </c>
      <c r="C351" s="3" t="str">
        <f t="shared" si="3"/>
        <v>dark coral</v>
      </c>
      <c r="D351" s="3" t="str">
        <f t="shared" si="17"/>
        <v>ZZZ</v>
      </c>
      <c r="E351" s="3" t="b">
        <f t="array" ref="E351">OR(ISNUMBER(SEARCH(D$2:D$30,$B351,5)))</f>
        <v>0</v>
      </c>
      <c r="G351" s="3" t="str">
        <f t="shared" si="4"/>
        <v>ZZZ</v>
      </c>
      <c r="H351" s="3" t="b">
        <f t="array" ref="H351">OR(ISNUMBER(SEARCH(G$2:G$30,$B351,5)))</f>
        <v>0</v>
      </c>
      <c r="J351" s="3" t="str">
        <f t="shared" si="5"/>
        <v>ZZZ</v>
      </c>
      <c r="K351" s="3" t="b">
        <f t="array" ref="K351">OR(ISNUMBER(SEARCH(J$2:J$30,$B351,5)))</f>
        <v>0</v>
      </c>
      <c r="M351" s="3" t="str">
        <f t="shared" si="6"/>
        <v>ZZZ</v>
      </c>
      <c r="N351" s="3" t="b">
        <f t="array" ref="N351">OR(ISNUMBER(SEARCH(M$2:M$30,$B351,5)))</f>
        <v>0</v>
      </c>
      <c r="P351" s="3" t="str">
        <f t="shared" si="7"/>
        <v>ZZZ</v>
      </c>
      <c r="Q351" s="3" t="b">
        <f t="array" ref="Q351">OR(ISNUMBER(SEARCH(P$2:P$50,$B351,5)))</f>
        <v>0</v>
      </c>
      <c r="S351" s="3" t="str">
        <f t="shared" si="8"/>
        <v>ZZZ</v>
      </c>
      <c r="T351" s="3" t="b">
        <f t="array" ref="T351">OR(ISNUMBER(SEARCH(S$2:S$100,$B351,5)))</f>
        <v>0</v>
      </c>
      <c r="V351" s="3" t="str">
        <f t="shared" si="9"/>
        <v>ZZZ</v>
      </c>
      <c r="W351" s="3" t="b">
        <f t="array" ref="W351">OR(ISNUMBER(SEARCH(V$2:V$100,$B351,5)))</f>
        <v>0</v>
      </c>
      <c r="Y351" s="3" t="str">
        <f t="shared" si="10"/>
        <v>ZZZ</v>
      </c>
      <c r="Z351" s="3" t="b">
        <f t="array" ref="Z351">OR(ISNUMBER(SEARCH(Y$2:Y$100,$B351,5)))</f>
        <v>0</v>
      </c>
      <c r="AB351" s="3" t="str">
        <f t="shared" si="11"/>
        <v>ZZZ</v>
      </c>
      <c r="AC351" s="3" t="b">
        <f t="array" ref="AC351">OR(ISNUMBER(SEARCH(AB$2:AB$100,$B351,5)))</f>
        <v>0</v>
      </c>
      <c r="AE351" s="3" t="str">
        <f t="shared" si="12"/>
        <v>ZZZ</v>
      </c>
      <c r="AF351" s="3" t="b">
        <f t="array" ref="AF351">OR(ISNUMBER(SEARCH(AE$2:AE$100,$B351,5)))</f>
        <v>0</v>
      </c>
      <c r="AH351" s="3" t="str">
        <f t="shared" si="13"/>
        <v>ZZZ</v>
      </c>
      <c r="AI351" s="3" t="b">
        <f t="array" ref="AI351">OR(ISNUMBER(SEARCH(AH$2:AH$100,$B351,5)))</f>
        <v>0</v>
      </c>
      <c r="AK351" s="3" t="str">
        <f t="shared" si="14"/>
        <v>ZZZ</v>
      </c>
      <c r="AL351" s="3" t="b">
        <f t="array" ref="AL351">OR(ISNUMBER(SEARCH(AK$2:AK$100,$B351,5)))</f>
        <v>0</v>
      </c>
      <c r="AU351" s="8"/>
      <c r="AV351" s="6"/>
      <c r="AW351" s="8"/>
      <c r="AX351" s="8"/>
      <c r="AY351" s="6"/>
      <c r="AZ351" s="8"/>
      <c r="BA351" s="8"/>
      <c r="BB351" s="6"/>
      <c r="BC351" s="8"/>
      <c r="BD351" s="8"/>
      <c r="BE351" s="6"/>
      <c r="BF351" s="8"/>
      <c r="BG351" s="8"/>
      <c r="BH351" s="6"/>
      <c r="BI351" s="8"/>
      <c r="BJ351" s="8"/>
      <c r="BK351" s="6"/>
      <c r="BL351" s="8"/>
      <c r="BM351" s="8"/>
      <c r="BN351" s="6"/>
      <c r="BO351" s="8"/>
      <c r="BP351" s="8"/>
      <c r="BQ351" s="6"/>
      <c r="BR351" s="8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</row>
    <row r="352">
      <c r="A352" s="6"/>
      <c r="B352" s="6" t="s">
        <v>352</v>
      </c>
      <c r="C352" s="3" t="str">
        <f t="shared" si="3"/>
        <v>dim lime</v>
      </c>
      <c r="D352" s="3" t="str">
        <f t="shared" si="17"/>
        <v>ZZZ</v>
      </c>
      <c r="E352" s="3" t="b">
        <f t="array" ref="E352">OR(ISNUMBER(SEARCH(D$2:D$30,$B352,5)))</f>
        <v>0</v>
      </c>
      <c r="G352" s="3" t="str">
        <f t="shared" si="4"/>
        <v>ZZZ</v>
      </c>
      <c r="H352" s="3" t="b">
        <f t="array" ref="H352">OR(ISNUMBER(SEARCH(G$2:G$30,$B352,5)))</f>
        <v>0</v>
      </c>
      <c r="J352" s="3" t="str">
        <f t="shared" si="5"/>
        <v>ZZZ</v>
      </c>
      <c r="K352" s="3" t="b">
        <f t="array" ref="K352">OR(ISNUMBER(SEARCH(J$2:J$30,$B352,5)))</f>
        <v>0</v>
      </c>
      <c r="M352" s="3" t="str">
        <f t="shared" si="6"/>
        <v>ZZZ</v>
      </c>
      <c r="N352" s="3" t="b">
        <f t="array" ref="N352">OR(ISNUMBER(SEARCH(M$2:M$30,$B352,5)))</f>
        <v>0</v>
      </c>
      <c r="P352" s="3" t="str">
        <f t="shared" si="7"/>
        <v>ZZZ</v>
      </c>
      <c r="Q352" s="3" t="b">
        <f t="array" ref="Q352">OR(ISNUMBER(SEARCH(P$2:P$50,$B352,5)))</f>
        <v>0</v>
      </c>
      <c r="S352" s="3" t="str">
        <f t="shared" si="8"/>
        <v>ZZZ</v>
      </c>
      <c r="T352" s="3" t="b">
        <f t="array" ref="T352">OR(ISNUMBER(SEARCH(S$2:S$100,$B352,5)))</f>
        <v>0</v>
      </c>
      <c r="V352" s="3" t="str">
        <f t="shared" si="9"/>
        <v>ZZZ</v>
      </c>
      <c r="W352" s="3" t="b">
        <f t="array" ref="W352">OR(ISNUMBER(SEARCH(V$2:V$100,$B352,5)))</f>
        <v>0</v>
      </c>
      <c r="Y352" s="3" t="str">
        <f t="shared" si="10"/>
        <v>ZZZ</v>
      </c>
      <c r="Z352" s="3" t="b">
        <f t="array" ref="Z352">OR(ISNUMBER(SEARCH(Y$2:Y$100,$B352,5)))</f>
        <v>0</v>
      </c>
      <c r="AB352" s="3" t="str">
        <f t="shared" si="11"/>
        <v>ZZZ</v>
      </c>
      <c r="AC352" s="3" t="b">
        <f t="array" ref="AC352">OR(ISNUMBER(SEARCH(AB$2:AB$100,$B352,5)))</f>
        <v>0</v>
      </c>
      <c r="AE352" s="3" t="str">
        <f t="shared" si="12"/>
        <v>ZZZ</v>
      </c>
      <c r="AF352" s="3" t="b">
        <f t="array" ref="AF352">OR(ISNUMBER(SEARCH(AE$2:AE$100,$B352,5)))</f>
        <v>0</v>
      </c>
      <c r="AH352" s="3" t="str">
        <f t="shared" si="13"/>
        <v>ZZZ</v>
      </c>
      <c r="AI352" s="3" t="b">
        <f t="array" ref="AI352">OR(ISNUMBER(SEARCH(AH$2:AH$100,$B352,5)))</f>
        <v>0</v>
      </c>
      <c r="AK352" s="3" t="str">
        <f t="shared" si="14"/>
        <v>ZZZ</v>
      </c>
      <c r="AL352" s="3" t="b">
        <f t="array" ref="AL352">OR(ISNUMBER(SEARCH(AK$2:AK$100,$B352,5)))</f>
        <v>0</v>
      </c>
      <c r="AU352" s="8"/>
      <c r="AV352" s="6"/>
      <c r="AW352" s="8"/>
      <c r="AX352" s="8"/>
      <c r="AY352" s="6"/>
      <c r="AZ352" s="8"/>
      <c r="BA352" s="8"/>
      <c r="BB352" s="6"/>
      <c r="BC352" s="8"/>
      <c r="BD352" s="8"/>
      <c r="BE352" s="6"/>
      <c r="BF352" s="8"/>
      <c r="BG352" s="8"/>
      <c r="BH352" s="6"/>
      <c r="BI352" s="8"/>
      <c r="BJ352" s="8"/>
      <c r="BK352" s="6"/>
      <c r="BL352" s="8"/>
      <c r="BM352" s="8"/>
      <c r="BN352" s="6"/>
      <c r="BO352" s="8"/>
      <c r="BP352" s="8"/>
      <c r="BQ352" s="6"/>
      <c r="BR352" s="8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  <c r="HT352" s="7"/>
      <c r="HU352" s="7"/>
      <c r="HV352" s="7"/>
      <c r="HW352" s="7"/>
      <c r="HX352" s="7"/>
      <c r="HY352" s="7"/>
      <c r="HZ352" s="7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7"/>
      <c r="IQ352" s="7"/>
      <c r="IR352" s="7"/>
      <c r="IS352" s="7"/>
      <c r="IT352" s="7"/>
      <c r="IU352" s="7"/>
      <c r="IV352" s="7"/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/>
      <c r="JH352" s="7"/>
      <c r="JI352" s="7"/>
      <c r="JJ352" s="7"/>
      <c r="JK352" s="7"/>
      <c r="JL352" s="7"/>
      <c r="JM352" s="7"/>
      <c r="JN352" s="7"/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/>
      <c r="KE352" s="7"/>
      <c r="KF352" s="7"/>
      <c r="KG352" s="7"/>
      <c r="KH352" s="7"/>
      <c r="KI352" s="7"/>
      <c r="KJ352" s="7"/>
      <c r="KK352" s="7"/>
      <c r="KL352" s="7"/>
      <c r="KM352" s="7"/>
      <c r="KN352" s="7"/>
    </row>
    <row r="353">
      <c r="A353" s="6"/>
      <c r="B353" s="6" t="s">
        <v>353</v>
      </c>
      <c r="C353" s="3" t="str">
        <f t="shared" si="3"/>
        <v>pale plum</v>
      </c>
      <c r="D353" s="3" t="str">
        <f t="shared" si="17"/>
        <v>ZZZ</v>
      </c>
      <c r="E353" s="3" t="b">
        <f t="array" ref="E353">OR(ISNUMBER(SEARCH(D$2:D$30,$B353,5)))</f>
        <v>0</v>
      </c>
      <c r="G353" s="3" t="str">
        <f t="shared" si="4"/>
        <v>ZZZ</v>
      </c>
      <c r="H353" s="3" t="b">
        <f t="array" ref="H353">OR(ISNUMBER(SEARCH(G$2:G$30,$B353,5)))</f>
        <v>0</v>
      </c>
      <c r="J353" s="3" t="str">
        <f t="shared" si="5"/>
        <v>ZZZ</v>
      </c>
      <c r="K353" s="3" t="b">
        <f t="array" ref="K353">OR(ISNUMBER(SEARCH(J$2:J$30,$B353,5)))</f>
        <v>0</v>
      </c>
      <c r="M353" s="3" t="str">
        <f t="shared" si="6"/>
        <v>ZZZ</v>
      </c>
      <c r="N353" s="3" t="b">
        <f t="array" ref="N353">OR(ISNUMBER(SEARCH(M$2:M$30,$B353,5)))</f>
        <v>0</v>
      </c>
      <c r="P353" s="3" t="str">
        <f t="shared" si="7"/>
        <v>ZZZ</v>
      </c>
      <c r="Q353" s="3" t="b">
        <f t="array" ref="Q353">OR(ISNUMBER(SEARCH(P$2:P$50,$B353,5)))</f>
        <v>0</v>
      </c>
      <c r="S353" s="3" t="str">
        <f t="shared" si="8"/>
        <v>ZZZ</v>
      </c>
      <c r="T353" s="3" t="b">
        <f t="array" ref="T353">OR(ISNUMBER(SEARCH(S$2:S$100,$B353,5)))</f>
        <v>0</v>
      </c>
      <c r="V353" s="3" t="str">
        <f t="shared" si="9"/>
        <v>ZZZ</v>
      </c>
      <c r="W353" s="3" t="b">
        <f t="array" ref="W353">OR(ISNUMBER(SEARCH(V$2:V$100,$B353,5)))</f>
        <v>1</v>
      </c>
      <c r="Y353" s="3" t="str">
        <f t="shared" si="10"/>
        <v>ZZZ</v>
      </c>
      <c r="Z353" s="3" t="b">
        <f t="array" ref="Z353">OR(ISNUMBER(SEARCH(Y$2:Y$100,$B353,5)))</f>
        <v>0</v>
      </c>
      <c r="AB353" s="3" t="str">
        <f t="shared" si="11"/>
        <v>ZZZ</v>
      </c>
      <c r="AC353" s="3" t="b">
        <f t="array" ref="AC353">OR(ISNUMBER(SEARCH(AB$2:AB$100,$B353,5)))</f>
        <v>0</v>
      </c>
      <c r="AE353" s="3" t="str">
        <f t="shared" si="12"/>
        <v>ZZZ</v>
      </c>
      <c r="AF353" s="3" t="b">
        <f t="array" ref="AF353">OR(ISNUMBER(SEARCH(AE$2:AE$100,$B353,5)))</f>
        <v>0</v>
      </c>
      <c r="AH353" s="3" t="str">
        <f t="shared" si="13"/>
        <v>ZZZ</v>
      </c>
      <c r="AI353" s="3" t="b">
        <f t="array" ref="AI353">OR(ISNUMBER(SEARCH(AH$2:AH$100,$B353,5)))</f>
        <v>0</v>
      </c>
      <c r="AK353" s="3" t="str">
        <f t="shared" si="14"/>
        <v>ZZZ</v>
      </c>
      <c r="AL353" s="3" t="b">
        <f t="array" ref="AL353">OR(ISNUMBER(SEARCH(AK$2:AK$100,$B353,5)))</f>
        <v>0</v>
      </c>
      <c r="AU353" s="8"/>
      <c r="AV353" s="6"/>
      <c r="AW353" s="8"/>
      <c r="AX353" s="8"/>
      <c r="AY353" s="6"/>
      <c r="AZ353" s="8"/>
      <c r="BA353" s="8"/>
      <c r="BB353" s="6"/>
      <c r="BC353" s="8"/>
      <c r="BD353" s="8"/>
      <c r="BE353" s="6"/>
      <c r="BF353" s="8"/>
      <c r="BG353" s="8"/>
      <c r="BH353" s="6"/>
      <c r="BI353" s="8"/>
      <c r="BJ353" s="8"/>
      <c r="BK353" s="6"/>
      <c r="BL353" s="8"/>
      <c r="BM353" s="8"/>
      <c r="BN353" s="6"/>
      <c r="BO353" s="8"/>
      <c r="BP353" s="8"/>
      <c r="BQ353" s="6"/>
      <c r="BR353" s="8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"/>
      <c r="IR353" s="7"/>
      <c r="IS353" s="7"/>
      <c r="IT353" s="7"/>
      <c r="IU353" s="7"/>
      <c r="IV353" s="7"/>
      <c r="IW353" s="7"/>
      <c r="IX353" s="7"/>
      <c r="IY353" s="7"/>
      <c r="IZ353" s="7"/>
      <c r="JA353" s="7"/>
      <c r="JB353" s="7"/>
      <c r="JC353" s="7"/>
      <c r="JD353" s="7"/>
      <c r="JE353" s="7"/>
      <c r="JF353" s="7"/>
      <c r="JG353" s="7"/>
      <c r="JH353" s="7"/>
      <c r="JI353" s="7"/>
      <c r="JJ353" s="7"/>
      <c r="JK353" s="7"/>
      <c r="JL353" s="7"/>
      <c r="JM353" s="7"/>
      <c r="JN353" s="7"/>
      <c r="JO353" s="7"/>
      <c r="JP353" s="7"/>
      <c r="JQ353" s="7"/>
      <c r="JR353" s="7"/>
      <c r="JS353" s="7"/>
      <c r="JT353" s="7"/>
      <c r="JU353" s="7"/>
      <c r="JV353" s="7"/>
      <c r="JW353" s="7"/>
      <c r="JX353" s="7"/>
      <c r="JY353" s="7"/>
      <c r="JZ353" s="7"/>
      <c r="KA353" s="7"/>
      <c r="KB353" s="7"/>
      <c r="KC353" s="7"/>
      <c r="KD353" s="7"/>
      <c r="KE353" s="7"/>
      <c r="KF353" s="7"/>
      <c r="KG353" s="7"/>
      <c r="KH353" s="7"/>
      <c r="KI353" s="7"/>
      <c r="KJ353" s="7"/>
      <c r="KK353" s="7"/>
      <c r="KL353" s="7"/>
      <c r="KM353" s="7"/>
      <c r="KN353" s="7"/>
    </row>
    <row r="354">
      <c r="A354" s="6"/>
      <c r="B354" s="6" t="s">
        <v>354</v>
      </c>
      <c r="C354" s="3" t="str">
        <f t="shared" si="3"/>
        <v>dim beige</v>
      </c>
      <c r="D354" s="3" t="str">
        <f t="shared" si="17"/>
        <v>ZZZ</v>
      </c>
      <c r="E354" s="3" t="b">
        <f t="array" ref="E354">OR(ISNUMBER(SEARCH(D$2:D$30,$B354,5)))</f>
        <v>0</v>
      </c>
      <c r="G354" s="3" t="str">
        <f t="shared" si="4"/>
        <v>ZZZ</v>
      </c>
      <c r="H354" s="3" t="b">
        <f t="array" ref="H354">OR(ISNUMBER(SEARCH(G$2:G$30,$B354,5)))</f>
        <v>0</v>
      </c>
      <c r="J354" s="3" t="str">
        <f t="shared" si="5"/>
        <v>ZZZ</v>
      </c>
      <c r="K354" s="3" t="b">
        <f t="array" ref="K354">OR(ISNUMBER(SEARCH(J$2:J$30,$B354,5)))</f>
        <v>0</v>
      </c>
      <c r="M354" s="3" t="str">
        <f t="shared" si="6"/>
        <v>ZZZ</v>
      </c>
      <c r="N354" s="3" t="b">
        <f t="array" ref="N354">OR(ISNUMBER(SEARCH(M$2:M$30,$B354,5)))</f>
        <v>0</v>
      </c>
      <c r="P354" s="3" t="str">
        <f t="shared" si="7"/>
        <v>ZZZ</v>
      </c>
      <c r="Q354" s="3" t="b">
        <f t="array" ref="Q354">OR(ISNUMBER(SEARCH(P$2:P$50,$B354,5)))</f>
        <v>0</v>
      </c>
      <c r="S354" s="3" t="str">
        <f t="shared" si="8"/>
        <v>ZZZ</v>
      </c>
      <c r="T354" s="3" t="b">
        <f t="array" ref="T354">OR(ISNUMBER(SEARCH(S$2:S$100,$B354,5)))</f>
        <v>0</v>
      </c>
      <c r="V354" s="3" t="str">
        <f t="shared" si="9"/>
        <v>ZZZ</v>
      </c>
      <c r="W354" s="3" t="b">
        <f t="array" ref="W354">OR(ISNUMBER(SEARCH(V$2:V$100,$B354,5)))</f>
        <v>0</v>
      </c>
      <c r="Y354" s="3" t="str">
        <f t="shared" si="10"/>
        <v>ZZZ</v>
      </c>
      <c r="Z354" s="3" t="b">
        <f t="array" ref="Z354">OR(ISNUMBER(SEARCH(Y$2:Y$100,$B354,5)))</f>
        <v>1</v>
      </c>
      <c r="AB354" s="3" t="str">
        <f t="shared" si="11"/>
        <v>ZZZ</v>
      </c>
      <c r="AC354" s="3" t="b">
        <f t="array" ref="AC354">OR(ISNUMBER(SEARCH(AB$2:AB$100,$B354,5)))</f>
        <v>0</v>
      </c>
      <c r="AE354" s="3" t="str">
        <f t="shared" si="12"/>
        <v>ZZZ</v>
      </c>
      <c r="AF354" s="3" t="b">
        <f t="array" ref="AF354">OR(ISNUMBER(SEARCH(AE$2:AE$100,$B354,5)))</f>
        <v>0</v>
      </c>
      <c r="AH354" s="3" t="str">
        <f t="shared" si="13"/>
        <v>ZZZ</v>
      </c>
      <c r="AI354" s="3" t="b">
        <f t="array" ref="AI354">OR(ISNUMBER(SEARCH(AH$2:AH$100,$B354,5)))</f>
        <v>1</v>
      </c>
      <c r="AK354" s="3" t="str">
        <f t="shared" si="14"/>
        <v>ZZZ</v>
      </c>
      <c r="AL354" s="3" t="b">
        <f t="array" ref="AL354">OR(ISNUMBER(SEARCH(AK$2:AK$100,$B354,5)))</f>
        <v>0</v>
      </c>
      <c r="AU354" s="8"/>
      <c r="AV354" s="6"/>
      <c r="AW354" s="8"/>
      <c r="AX354" s="8"/>
      <c r="AY354" s="6"/>
      <c r="AZ354" s="8"/>
      <c r="BA354" s="8"/>
      <c r="BB354" s="6"/>
      <c r="BC354" s="8"/>
      <c r="BD354" s="8"/>
      <c r="BE354" s="6"/>
      <c r="BF354" s="8"/>
      <c r="BG354" s="8"/>
      <c r="BH354" s="6"/>
      <c r="BI354" s="8"/>
      <c r="BJ354" s="8"/>
      <c r="BK354" s="6"/>
      <c r="BL354" s="8"/>
      <c r="BM354" s="8"/>
      <c r="BN354" s="6"/>
      <c r="BO354" s="8"/>
      <c r="BP354" s="8"/>
      <c r="BQ354" s="6"/>
      <c r="BR354" s="8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/>
      <c r="JI354" s="7"/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/>
      <c r="KM354" s="7"/>
      <c r="KN354" s="7"/>
    </row>
    <row r="355">
      <c r="A355" s="6"/>
      <c r="B355" s="6" t="s">
        <v>355</v>
      </c>
      <c r="C355" s="3" t="str">
        <f t="shared" si="3"/>
        <v>drab tan</v>
      </c>
      <c r="D355" s="3" t="str">
        <f t="shared" si="17"/>
        <v>ZZZ</v>
      </c>
      <c r="E355" s="3" t="b">
        <f t="array" ref="E355">OR(ISNUMBER(SEARCH(D$2:D$30,$B355,5)))</f>
        <v>0</v>
      </c>
      <c r="G355" s="3" t="str">
        <f t="shared" si="4"/>
        <v>ZZZ</v>
      </c>
      <c r="H355" s="3" t="b">
        <f t="array" ref="H355">OR(ISNUMBER(SEARCH(G$2:G$30,$B355,5)))</f>
        <v>0</v>
      </c>
      <c r="J355" s="3" t="str">
        <f t="shared" si="5"/>
        <v>ZZZ</v>
      </c>
      <c r="K355" s="3" t="b">
        <f t="array" ref="K355">OR(ISNUMBER(SEARCH(J$2:J$30,$B355,5)))</f>
        <v>0</v>
      </c>
      <c r="M355" s="3" t="str">
        <f t="shared" si="6"/>
        <v>ZZZ</v>
      </c>
      <c r="N355" s="3" t="b">
        <f t="array" ref="N355">OR(ISNUMBER(SEARCH(M$2:M$30,$B355,5)))</f>
        <v>1</v>
      </c>
      <c r="P355" s="3" t="str">
        <f t="shared" si="7"/>
        <v>ZZZ</v>
      </c>
      <c r="Q355" s="3" t="b">
        <f t="array" ref="Q355">OR(ISNUMBER(SEARCH(P$2:P$50,$B355,5)))</f>
        <v>0</v>
      </c>
      <c r="S355" s="3" t="str">
        <f t="shared" si="8"/>
        <v>ZZZ</v>
      </c>
      <c r="T355" s="3" t="b">
        <f t="array" ref="T355">OR(ISNUMBER(SEARCH(S$2:S$100,$B355,5)))</f>
        <v>0</v>
      </c>
      <c r="V355" s="3" t="str">
        <f t="shared" si="9"/>
        <v>ZZZ</v>
      </c>
      <c r="W355" s="3" t="b">
        <f t="array" ref="W355">OR(ISNUMBER(SEARCH(V$2:V$100,$B355,5)))</f>
        <v>0</v>
      </c>
      <c r="Y355" s="3" t="str">
        <f t="shared" si="10"/>
        <v>ZZZ</v>
      </c>
      <c r="Z355" s="3" t="b">
        <f t="array" ref="Z355">OR(ISNUMBER(SEARCH(Y$2:Y$100,$B355,5)))</f>
        <v>0</v>
      </c>
      <c r="AB355" s="3" t="str">
        <f t="shared" si="11"/>
        <v>ZZZ</v>
      </c>
      <c r="AC355" s="3" t="b">
        <f t="array" ref="AC355">OR(ISNUMBER(SEARCH(AB$2:AB$100,$B355,5)))</f>
        <v>0</v>
      </c>
      <c r="AE355" s="3" t="str">
        <f t="shared" si="12"/>
        <v>ZZZ</v>
      </c>
      <c r="AF355" s="3" t="b">
        <f t="array" ref="AF355">OR(ISNUMBER(SEARCH(AE$2:AE$100,$B355,5)))</f>
        <v>0</v>
      </c>
      <c r="AH355" s="3" t="str">
        <f t="shared" si="13"/>
        <v>ZZZ</v>
      </c>
      <c r="AI355" s="3" t="b">
        <f t="array" ref="AI355">OR(ISNUMBER(SEARCH(AH$2:AH$100,$B355,5)))</f>
        <v>0</v>
      </c>
      <c r="AK355" s="3" t="str">
        <f t="shared" si="14"/>
        <v>ZZZ</v>
      </c>
      <c r="AL355" s="3" t="b">
        <f t="array" ref="AL355">OR(ISNUMBER(SEARCH(AK$2:AK$100,$B355,5)))</f>
        <v>0</v>
      </c>
      <c r="AU355" s="8"/>
      <c r="AV355" s="6"/>
      <c r="AW355" s="8"/>
      <c r="AX355" s="8"/>
      <c r="AY355" s="6"/>
      <c r="AZ355" s="8"/>
      <c r="BA355" s="8"/>
      <c r="BB355" s="6"/>
      <c r="BC355" s="8"/>
      <c r="BD355" s="8"/>
      <c r="BE355" s="6"/>
      <c r="BF355" s="8"/>
      <c r="BG355" s="8"/>
      <c r="BH355" s="6"/>
      <c r="BI355" s="8"/>
      <c r="BJ355" s="8"/>
      <c r="BK355" s="6"/>
      <c r="BL355" s="8"/>
      <c r="BM355" s="8"/>
      <c r="BN355" s="6"/>
      <c r="BO355" s="8"/>
      <c r="BP355" s="8"/>
      <c r="BQ355" s="6"/>
      <c r="BR355" s="8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  <c r="IW355" s="7"/>
      <c r="IX355" s="7"/>
      <c r="IY355" s="7"/>
      <c r="IZ355" s="7"/>
      <c r="JA355" s="7"/>
      <c r="JB355" s="7"/>
      <c r="JC355" s="7"/>
      <c r="JD355" s="7"/>
      <c r="JE355" s="7"/>
      <c r="JF355" s="7"/>
      <c r="JG355" s="7"/>
      <c r="JH355" s="7"/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</row>
    <row r="356">
      <c r="A356" s="6"/>
      <c r="B356" s="6" t="s">
        <v>356</v>
      </c>
      <c r="C356" s="3" t="str">
        <f t="shared" si="3"/>
        <v>posh blue</v>
      </c>
      <c r="D356" s="3" t="str">
        <f t="shared" si="17"/>
        <v>ZZZ</v>
      </c>
      <c r="E356" s="3" t="b">
        <f t="array" ref="E356">OR(ISNUMBER(SEARCH(D$2:D$30,$B356,5)))</f>
        <v>0</v>
      </c>
      <c r="G356" s="3" t="str">
        <f t="shared" si="4"/>
        <v>ZZZ</v>
      </c>
      <c r="H356" s="3" t="b">
        <f t="array" ref="H356">OR(ISNUMBER(SEARCH(G$2:G$30,$B356,5)))</f>
        <v>0</v>
      </c>
      <c r="J356" s="3" t="str">
        <f t="shared" si="5"/>
        <v>ZZZ</v>
      </c>
      <c r="K356" s="3" t="b">
        <f t="array" ref="K356">OR(ISNUMBER(SEARCH(J$2:J$30,$B356,5)))</f>
        <v>0</v>
      </c>
      <c r="M356" s="3" t="str">
        <f t="shared" si="6"/>
        <v>ZZZ</v>
      </c>
      <c r="N356" s="3" t="b">
        <f t="array" ref="N356">OR(ISNUMBER(SEARCH(M$2:M$30,$B356,5)))</f>
        <v>0</v>
      </c>
      <c r="P356" s="3" t="str">
        <f t="shared" si="7"/>
        <v>ZZZ</v>
      </c>
      <c r="Q356" s="3" t="b">
        <f t="array" ref="Q356">OR(ISNUMBER(SEARCH(P$2:P$50,$B356,5)))</f>
        <v>1</v>
      </c>
      <c r="S356" s="3" t="str">
        <f t="shared" si="8"/>
        <v>ZZZ</v>
      </c>
      <c r="T356" s="3" t="b">
        <f t="array" ref="T356">OR(ISNUMBER(SEARCH(S$2:S$100,$B356,5)))</f>
        <v>0</v>
      </c>
      <c r="V356" s="3" t="str">
        <f t="shared" si="9"/>
        <v>ZZZ</v>
      </c>
      <c r="W356" s="3" t="b">
        <f t="array" ref="W356">OR(ISNUMBER(SEARCH(V$2:V$100,$B356,5)))</f>
        <v>0</v>
      </c>
      <c r="Y356" s="3" t="str">
        <f t="shared" si="10"/>
        <v>ZZZ</v>
      </c>
      <c r="Z356" s="3" t="b">
        <f t="array" ref="Z356">OR(ISNUMBER(SEARCH(Y$2:Y$100,$B356,5)))</f>
        <v>0</v>
      </c>
      <c r="AB356" s="3" t="str">
        <f t="shared" si="11"/>
        <v>ZZZ</v>
      </c>
      <c r="AC356" s="3" t="b">
        <f t="array" ref="AC356">OR(ISNUMBER(SEARCH(AB$2:AB$100,$B356,5)))</f>
        <v>0</v>
      </c>
      <c r="AE356" s="3" t="str">
        <f t="shared" si="12"/>
        <v>ZZZ</v>
      </c>
      <c r="AF356" s="3" t="b">
        <f t="array" ref="AF356">OR(ISNUMBER(SEARCH(AE$2:AE$100,$B356,5)))</f>
        <v>0</v>
      </c>
      <c r="AH356" s="3" t="str">
        <f t="shared" si="13"/>
        <v>ZZZ</v>
      </c>
      <c r="AI356" s="3" t="b">
        <f t="array" ref="AI356">OR(ISNUMBER(SEARCH(AH$2:AH$100,$B356,5)))</f>
        <v>0</v>
      </c>
      <c r="AK356" s="3" t="str">
        <f t="shared" si="14"/>
        <v>ZZZ</v>
      </c>
      <c r="AL356" s="3" t="b">
        <f t="array" ref="AL356">OR(ISNUMBER(SEARCH(AK$2:AK$100,$B356,5)))</f>
        <v>0</v>
      </c>
      <c r="AU356" s="8"/>
      <c r="AV356" s="6"/>
      <c r="AW356" s="8"/>
      <c r="AX356" s="8"/>
      <c r="AY356" s="6"/>
      <c r="AZ356" s="8"/>
      <c r="BA356" s="8"/>
      <c r="BB356" s="6"/>
      <c r="BC356" s="8"/>
      <c r="BD356" s="8"/>
      <c r="BE356" s="6"/>
      <c r="BF356" s="8"/>
      <c r="BG356" s="8"/>
      <c r="BH356" s="6"/>
      <c r="BI356" s="8"/>
      <c r="BJ356" s="8"/>
      <c r="BK356" s="6"/>
      <c r="BL356" s="8"/>
      <c r="BM356" s="8"/>
      <c r="BN356" s="6"/>
      <c r="BO356" s="8"/>
      <c r="BP356" s="8"/>
      <c r="BQ356" s="6"/>
      <c r="BR356" s="8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  <c r="IT356" s="7"/>
      <c r="IU356" s="7"/>
      <c r="IV356" s="7"/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/>
      <c r="JI356" s="7"/>
      <c r="JJ356" s="7"/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</row>
    <row r="357">
      <c r="A357" s="6"/>
      <c r="B357" s="6" t="s">
        <v>357</v>
      </c>
      <c r="C357" s="3" t="str">
        <f t="shared" si="3"/>
        <v>drab violet</v>
      </c>
      <c r="D357" s="3" t="str">
        <f t="shared" si="17"/>
        <v>ZZZ</v>
      </c>
      <c r="E357" s="3" t="b">
        <f t="array" ref="E357">OR(ISNUMBER(SEARCH(D$2:D$30,$B357,5)))</f>
        <v>0</v>
      </c>
      <c r="G357" s="3" t="str">
        <f t="shared" si="4"/>
        <v>ZZZ</v>
      </c>
      <c r="H357" s="3" t="b">
        <f t="array" ref="H357">OR(ISNUMBER(SEARCH(G$2:G$30,$B357,5)))</f>
        <v>0</v>
      </c>
      <c r="J357" s="3" t="str">
        <f t="shared" si="5"/>
        <v>ZZZ</v>
      </c>
      <c r="K357" s="3" t="b">
        <f t="array" ref="K357">OR(ISNUMBER(SEARCH(J$2:J$30,$B357,5)))</f>
        <v>0</v>
      </c>
      <c r="M357" s="3" t="str">
        <f t="shared" si="6"/>
        <v>ZZZ</v>
      </c>
      <c r="N357" s="3" t="b">
        <f t="array" ref="N357">OR(ISNUMBER(SEARCH(M$2:M$30,$B357,5)))</f>
        <v>0</v>
      </c>
      <c r="P357" s="3" t="str">
        <f t="shared" si="7"/>
        <v>ZZZ</v>
      </c>
      <c r="Q357" s="3" t="b">
        <f t="array" ref="Q357">OR(ISNUMBER(SEARCH(P$2:P$50,$B357,5)))</f>
        <v>0</v>
      </c>
      <c r="S357" s="3" t="str">
        <f t="shared" si="8"/>
        <v>ZZZ</v>
      </c>
      <c r="T357" s="3" t="b">
        <f t="array" ref="T357">OR(ISNUMBER(SEARCH(S$2:S$100,$B357,5)))</f>
        <v>0</v>
      </c>
      <c r="V357" s="3" t="str">
        <f t="shared" si="9"/>
        <v>ZZZ</v>
      </c>
      <c r="W357" s="3" t="b">
        <f t="array" ref="W357">OR(ISNUMBER(SEARCH(V$2:V$100,$B357,5)))</f>
        <v>0</v>
      </c>
      <c r="Y357" s="3" t="str">
        <f t="shared" si="10"/>
        <v>ZZZ</v>
      </c>
      <c r="Z357" s="3" t="b">
        <f t="array" ref="Z357">OR(ISNUMBER(SEARCH(Y$2:Y$100,$B357,5)))</f>
        <v>0</v>
      </c>
      <c r="AB357" s="3" t="str">
        <f t="shared" si="11"/>
        <v>ZZZ</v>
      </c>
      <c r="AC357" s="3" t="b">
        <f t="array" ref="AC357">OR(ISNUMBER(SEARCH(AB$2:AB$100,$B357,5)))</f>
        <v>0</v>
      </c>
      <c r="AE357" s="3" t="str">
        <f t="shared" si="12"/>
        <v>ZZZ</v>
      </c>
      <c r="AF357" s="3" t="b">
        <f t="array" ref="AF357">OR(ISNUMBER(SEARCH(AE$2:AE$100,$B357,5)))</f>
        <v>0</v>
      </c>
      <c r="AH357" s="3" t="str">
        <f t="shared" si="13"/>
        <v>ZZZ</v>
      </c>
      <c r="AI357" s="3" t="b">
        <f t="array" ref="AI357">OR(ISNUMBER(SEARCH(AH$2:AH$100,$B357,5)))</f>
        <v>0</v>
      </c>
      <c r="AK357" s="3" t="str">
        <f t="shared" si="14"/>
        <v>ZZZ</v>
      </c>
      <c r="AL357" s="3" t="b">
        <f t="array" ref="AL357">OR(ISNUMBER(SEARCH(AK$2:AK$100,$B357,5)))</f>
        <v>0</v>
      </c>
      <c r="AU357" s="8"/>
      <c r="AV357" s="6"/>
      <c r="AW357" s="8"/>
      <c r="AX357" s="8"/>
      <c r="AY357" s="6"/>
      <c r="AZ357" s="8"/>
      <c r="BA357" s="8"/>
      <c r="BB357" s="6"/>
      <c r="BC357" s="8"/>
      <c r="BD357" s="8"/>
      <c r="BE357" s="6"/>
      <c r="BF357" s="8"/>
      <c r="BG357" s="8"/>
      <c r="BH357" s="6"/>
      <c r="BI357" s="8"/>
      <c r="BJ357" s="8"/>
      <c r="BK357" s="6"/>
      <c r="BL357" s="8"/>
      <c r="BM357" s="8"/>
      <c r="BN357" s="6"/>
      <c r="BO357" s="8"/>
      <c r="BP357" s="8"/>
      <c r="BQ357" s="6"/>
      <c r="BR357" s="8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  <c r="HU357" s="7"/>
      <c r="HV357" s="7"/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  <c r="IW357" s="7"/>
      <c r="IX357" s="7"/>
      <c r="IY357" s="7"/>
      <c r="IZ357" s="7"/>
      <c r="JA357" s="7"/>
      <c r="JB357" s="7"/>
      <c r="JC357" s="7"/>
      <c r="JD357" s="7"/>
      <c r="JE357" s="7"/>
      <c r="JF357" s="7"/>
      <c r="JG357" s="7"/>
      <c r="JH357" s="7"/>
      <c r="JI357" s="7"/>
      <c r="JJ357" s="7"/>
      <c r="JK357" s="7"/>
      <c r="JL357" s="7"/>
      <c r="JM357" s="7"/>
      <c r="JN357" s="7"/>
      <c r="JO357" s="7"/>
      <c r="JP357" s="7"/>
      <c r="JQ357" s="7"/>
      <c r="JR357" s="7"/>
      <c r="JS357" s="7"/>
      <c r="JT357" s="7"/>
      <c r="JU357" s="7"/>
      <c r="JV357" s="7"/>
      <c r="JW357" s="7"/>
      <c r="JX357" s="7"/>
      <c r="JY357" s="7"/>
      <c r="JZ357" s="7"/>
      <c r="KA357" s="7"/>
      <c r="KB357" s="7"/>
      <c r="KC357" s="7"/>
      <c r="KD357" s="7"/>
      <c r="KE357" s="7"/>
      <c r="KF357" s="7"/>
      <c r="KG357" s="7"/>
      <c r="KH357" s="7"/>
      <c r="KI357" s="7"/>
      <c r="KJ357" s="7"/>
      <c r="KK357" s="7"/>
      <c r="KL357" s="7"/>
      <c r="KM357" s="7"/>
      <c r="KN357" s="7"/>
    </row>
    <row r="358">
      <c r="A358" s="6"/>
      <c r="B358" s="6" t="s">
        <v>358</v>
      </c>
      <c r="C358" s="3" t="str">
        <f t="shared" si="3"/>
        <v>shiny plum</v>
      </c>
      <c r="D358" s="3" t="str">
        <f t="shared" si="17"/>
        <v>ZZZ</v>
      </c>
      <c r="E358" s="3" t="b">
        <f t="array" ref="E358">OR(ISNUMBER(SEARCH(D$2:D$30,$B358,5)))</f>
        <v>0</v>
      </c>
      <c r="G358" s="3" t="str">
        <f t="shared" si="4"/>
        <v>ZZZ</v>
      </c>
      <c r="H358" s="3" t="b">
        <f t="array" ref="H358">OR(ISNUMBER(SEARCH(G$2:G$30,$B358,5)))</f>
        <v>0</v>
      </c>
      <c r="J358" s="3" t="str">
        <f t="shared" si="5"/>
        <v>ZZZ</v>
      </c>
      <c r="K358" s="3" t="b">
        <f t="array" ref="K358">OR(ISNUMBER(SEARCH(J$2:J$30,$B358,5)))</f>
        <v>0</v>
      </c>
      <c r="M358" s="3" t="str">
        <f t="shared" si="6"/>
        <v>ZZZ</v>
      </c>
      <c r="N358" s="3" t="b">
        <f t="array" ref="N358">OR(ISNUMBER(SEARCH(M$2:M$30,$B358,5)))</f>
        <v>0</v>
      </c>
      <c r="P358" s="3" t="str">
        <f t="shared" si="7"/>
        <v>ZZZ</v>
      </c>
      <c r="Q358" s="3" t="b">
        <f t="array" ref="Q358">OR(ISNUMBER(SEARCH(P$2:P$50,$B358,5)))</f>
        <v>0</v>
      </c>
      <c r="S358" s="3" t="str">
        <f t="shared" si="8"/>
        <v>ZZZ</v>
      </c>
      <c r="T358" s="3" t="b">
        <f t="array" ref="T358">OR(ISNUMBER(SEARCH(S$2:S$100,$B358,5)))</f>
        <v>0</v>
      </c>
      <c r="V358" s="3" t="str">
        <f t="shared" si="9"/>
        <v>ZZZ</v>
      </c>
      <c r="W358" s="3" t="b">
        <f t="array" ref="W358">OR(ISNUMBER(SEARCH(V$2:V$100,$B358,5)))</f>
        <v>0</v>
      </c>
      <c r="Y358" s="3" t="str">
        <f t="shared" si="10"/>
        <v>ZZZ</v>
      </c>
      <c r="Z358" s="3" t="b">
        <f t="array" ref="Z358">OR(ISNUMBER(SEARCH(Y$2:Y$100,$B358,5)))</f>
        <v>0</v>
      </c>
      <c r="AB358" s="3" t="str">
        <f t="shared" si="11"/>
        <v>ZZZ</v>
      </c>
      <c r="AC358" s="3" t="b">
        <f t="array" ref="AC358">OR(ISNUMBER(SEARCH(AB$2:AB$100,$B358,5)))</f>
        <v>0</v>
      </c>
      <c r="AE358" s="3" t="str">
        <f t="shared" si="12"/>
        <v>ZZZ</v>
      </c>
      <c r="AF358" s="3" t="b">
        <f t="array" ref="AF358">OR(ISNUMBER(SEARCH(AE$2:AE$100,$B358,5)))</f>
        <v>0</v>
      </c>
      <c r="AH358" s="3" t="str">
        <f t="shared" si="13"/>
        <v>ZZZ</v>
      </c>
      <c r="AI358" s="3" t="b">
        <f t="array" ref="AI358">OR(ISNUMBER(SEARCH(AH$2:AH$100,$B358,5)))</f>
        <v>0</v>
      </c>
      <c r="AK358" s="3" t="str">
        <f t="shared" si="14"/>
        <v>ZZZ</v>
      </c>
      <c r="AL358" s="3" t="b">
        <f t="array" ref="AL358">OR(ISNUMBER(SEARCH(AK$2:AK$100,$B358,5)))</f>
        <v>0</v>
      </c>
      <c r="AU358" s="8"/>
      <c r="AV358" s="6"/>
      <c r="AW358" s="8"/>
      <c r="AX358" s="8"/>
      <c r="AY358" s="6"/>
      <c r="AZ358" s="8"/>
      <c r="BA358" s="8"/>
      <c r="BB358" s="6"/>
      <c r="BC358" s="8"/>
      <c r="BD358" s="8"/>
      <c r="BE358" s="6"/>
      <c r="BF358" s="8"/>
      <c r="BG358" s="8"/>
      <c r="BH358" s="6"/>
      <c r="BI358" s="8"/>
      <c r="BJ358" s="8"/>
      <c r="BK358" s="6"/>
      <c r="BL358" s="8"/>
      <c r="BM358" s="8"/>
      <c r="BN358" s="6"/>
      <c r="BO358" s="8"/>
      <c r="BP358" s="8"/>
      <c r="BQ358" s="6"/>
      <c r="BR358" s="8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7"/>
      <c r="HW358" s="7"/>
      <c r="HX358" s="7"/>
      <c r="HY358" s="7"/>
      <c r="HZ358" s="7"/>
      <c r="IA358" s="7"/>
      <c r="IB358" s="7"/>
      <c r="IC358" s="7"/>
      <c r="ID358" s="7"/>
      <c r="IE358" s="7"/>
      <c r="IF358" s="7"/>
      <c r="IG358" s="7"/>
      <c r="IH358" s="7"/>
      <c r="II358" s="7"/>
      <c r="IJ358" s="7"/>
      <c r="IK358" s="7"/>
      <c r="IL358" s="7"/>
      <c r="IM358" s="7"/>
      <c r="IN358" s="7"/>
      <c r="IO358" s="7"/>
      <c r="IP358" s="7"/>
      <c r="IQ358" s="7"/>
      <c r="IR358" s="7"/>
      <c r="IS358" s="7"/>
      <c r="IT358" s="7"/>
      <c r="IU358" s="7"/>
      <c r="IV358" s="7"/>
      <c r="IW358" s="7"/>
      <c r="IX358" s="7"/>
      <c r="IY358" s="7"/>
      <c r="IZ358" s="7"/>
      <c r="JA358" s="7"/>
      <c r="JB358" s="7"/>
      <c r="JC358" s="7"/>
      <c r="JD358" s="7"/>
      <c r="JE358" s="7"/>
      <c r="JF358" s="7"/>
      <c r="JG358" s="7"/>
      <c r="JH358" s="7"/>
      <c r="JI358" s="7"/>
      <c r="JJ358" s="7"/>
      <c r="JK358" s="7"/>
      <c r="JL358" s="7"/>
      <c r="JM358" s="7"/>
      <c r="JN358" s="7"/>
      <c r="JO358" s="7"/>
      <c r="JP358" s="7"/>
      <c r="JQ358" s="7"/>
      <c r="JR358" s="7"/>
      <c r="JS358" s="7"/>
      <c r="JT358" s="7"/>
      <c r="JU358" s="7"/>
      <c r="JV358" s="7"/>
      <c r="JW358" s="7"/>
      <c r="JX358" s="7"/>
      <c r="JY358" s="7"/>
      <c r="JZ358" s="7"/>
      <c r="KA358" s="7"/>
      <c r="KB358" s="7"/>
      <c r="KC358" s="7"/>
      <c r="KD358" s="7"/>
      <c r="KE358" s="7"/>
      <c r="KF358" s="7"/>
      <c r="KG358" s="7"/>
      <c r="KH358" s="7"/>
      <c r="KI358" s="7"/>
      <c r="KJ358" s="7"/>
      <c r="KK358" s="7"/>
      <c r="KL358" s="7"/>
      <c r="KM358" s="7"/>
      <c r="KN358" s="7"/>
    </row>
    <row r="359">
      <c r="A359" s="6"/>
      <c r="B359" s="6" t="s">
        <v>359</v>
      </c>
      <c r="C359" s="3" t="str">
        <f t="shared" si="3"/>
        <v>pale fuchsia</v>
      </c>
      <c r="D359" s="3" t="str">
        <f t="shared" si="17"/>
        <v>ZZZ</v>
      </c>
      <c r="E359" s="3" t="b">
        <f t="array" ref="E359">OR(ISNUMBER(SEARCH(D$2:D$30,$B359,5)))</f>
        <v>0</v>
      </c>
      <c r="G359" s="3" t="str">
        <f t="shared" si="4"/>
        <v>ZZZ</v>
      </c>
      <c r="H359" s="3" t="b">
        <f t="array" ref="H359">OR(ISNUMBER(SEARCH(G$2:G$30,$B359,5)))</f>
        <v>0</v>
      </c>
      <c r="J359" s="3" t="str">
        <f t="shared" si="5"/>
        <v>ZZZ</v>
      </c>
      <c r="K359" s="3" t="b">
        <f t="array" ref="K359">OR(ISNUMBER(SEARCH(J$2:J$30,$B359,5)))</f>
        <v>0</v>
      </c>
      <c r="M359" s="3" t="str">
        <f t="shared" si="6"/>
        <v>ZZZ</v>
      </c>
      <c r="N359" s="3" t="b">
        <f t="array" ref="N359">OR(ISNUMBER(SEARCH(M$2:M$30,$B359,5)))</f>
        <v>0</v>
      </c>
      <c r="P359" s="3" t="str">
        <f t="shared" si="7"/>
        <v>ZZZ</v>
      </c>
      <c r="Q359" s="3" t="b">
        <f t="array" ref="Q359">OR(ISNUMBER(SEARCH(P$2:P$50,$B359,5)))</f>
        <v>0</v>
      </c>
      <c r="S359" s="3" t="str">
        <f t="shared" si="8"/>
        <v>ZZZ</v>
      </c>
      <c r="T359" s="3" t="b">
        <f t="array" ref="T359">OR(ISNUMBER(SEARCH(S$2:S$100,$B359,5)))</f>
        <v>0</v>
      </c>
      <c r="V359" s="3" t="str">
        <f t="shared" si="9"/>
        <v>ZZZ</v>
      </c>
      <c r="W359" s="3" t="b">
        <f t="array" ref="W359">OR(ISNUMBER(SEARCH(V$2:V$100,$B359,5)))</f>
        <v>0</v>
      </c>
      <c r="Y359" s="3" t="str">
        <f t="shared" si="10"/>
        <v>ZZZ</v>
      </c>
      <c r="Z359" s="3" t="b">
        <f t="array" ref="Z359">OR(ISNUMBER(SEARCH(Y$2:Y$100,$B359,5)))</f>
        <v>0</v>
      </c>
      <c r="AB359" s="3" t="str">
        <f t="shared" si="11"/>
        <v>ZZZ</v>
      </c>
      <c r="AC359" s="3" t="b">
        <f t="array" ref="AC359">OR(ISNUMBER(SEARCH(AB$2:AB$100,$B359,5)))</f>
        <v>0</v>
      </c>
      <c r="AE359" s="3" t="str">
        <f t="shared" si="12"/>
        <v>ZZZ</v>
      </c>
      <c r="AF359" s="3" t="b">
        <f t="array" ref="AF359">OR(ISNUMBER(SEARCH(AE$2:AE$100,$B359,5)))</f>
        <v>0</v>
      </c>
      <c r="AH359" s="3" t="str">
        <f t="shared" si="13"/>
        <v>ZZZ</v>
      </c>
      <c r="AI359" s="3" t="b">
        <f t="array" ref="AI359">OR(ISNUMBER(SEARCH(AH$2:AH$100,$B359,5)))</f>
        <v>0</v>
      </c>
      <c r="AK359" s="3" t="str">
        <f t="shared" si="14"/>
        <v>ZZZ</v>
      </c>
      <c r="AL359" s="3" t="b">
        <f t="array" ref="AL359">OR(ISNUMBER(SEARCH(AK$2:AK$100,$B359,5)))</f>
        <v>0</v>
      </c>
      <c r="AU359" s="8"/>
      <c r="AV359" s="6"/>
      <c r="AW359" s="8"/>
      <c r="AX359" s="8"/>
      <c r="AY359" s="6"/>
      <c r="AZ359" s="8"/>
      <c r="BA359" s="8"/>
      <c r="BB359" s="6"/>
      <c r="BC359" s="8"/>
      <c r="BD359" s="8"/>
      <c r="BE359" s="6"/>
      <c r="BF359" s="8"/>
      <c r="BG359" s="8"/>
      <c r="BH359" s="6"/>
      <c r="BI359" s="8"/>
      <c r="BJ359" s="8"/>
      <c r="BK359" s="6"/>
      <c r="BL359" s="8"/>
      <c r="BM359" s="8"/>
      <c r="BN359" s="6"/>
      <c r="BO359" s="8"/>
      <c r="BP359" s="8"/>
      <c r="BQ359" s="6"/>
      <c r="BR359" s="8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  <c r="IT359" s="7"/>
      <c r="IU359" s="7"/>
      <c r="IV359" s="7"/>
      <c r="IW359" s="7"/>
      <c r="IX359" s="7"/>
      <c r="IY359" s="7"/>
      <c r="IZ359" s="7"/>
      <c r="JA359" s="7"/>
      <c r="JB359" s="7"/>
      <c r="JC359" s="7"/>
      <c r="JD359" s="7"/>
      <c r="JE359" s="7"/>
      <c r="JF359" s="7"/>
      <c r="JG359" s="7"/>
      <c r="JH359" s="7"/>
      <c r="JI359" s="7"/>
      <c r="JJ359" s="7"/>
      <c r="JK359" s="7"/>
      <c r="JL359" s="7"/>
      <c r="JM359" s="7"/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</row>
    <row r="360">
      <c r="A360" s="6"/>
      <c r="B360" s="6" t="s">
        <v>360</v>
      </c>
      <c r="C360" s="3" t="str">
        <f t="shared" si="3"/>
        <v>clear fuchsia</v>
      </c>
      <c r="D360" s="3" t="str">
        <f t="shared" si="17"/>
        <v>ZZZ</v>
      </c>
      <c r="E360" s="3" t="b">
        <f t="array" ref="E360">OR(ISNUMBER(SEARCH(D$2:D$30,$B360,5)))</f>
        <v>0</v>
      </c>
      <c r="G360" s="3" t="str">
        <f t="shared" si="4"/>
        <v>ZZZ</v>
      </c>
      <c r="H360" s="3" t="b">
        <f t="array" ref="H360">OR(ISNUMBER(SEARCH(G$2:G$30,$B360,5)))</f>
        <v>0</v>
      </c>
      <c r="J360" s="3" t="str">
        <f t="shared" si="5"/>
        <v>ZZZ</v>
      </c>
      <c r="K360" s="3" t="b">
        <f t="array" ref="K360">OR(ISNUMBER(SEARCH(J$2:J$30,$B360,5)))</f>
        <v>0</v>
      </c>
      <c r="M360" s="3" t="str">
        <f t="shared" si="6"/>
        <v>ZZZ</v>
      </c>
      <c r="N360" s="3" t="b">
        <f t="array" ref="N360">OR(ISNUMBER(SEARCH(M$2:M$30,$B360,5)))</f>
        <v>0</v>
      </c>
      <c r="P360" s="3" t="str">
        <f t="shared" si="7"/>
        <v>ZZZ</v>
      </c>
      <c r="Q360" s="3" t="b">
        <f t="array" ref="Q360">OR(ISNUMBER(SEARCH(P$2:P$50,$B360,5)))</f>
        <v>0</v>
      </c>
      <c r="S360" s="3" t="str">
        <f t="shared" si="8"/>
        <v>ZZZ</v>
      </c>
      <c r="T360" s="3" t="b">
        <f t="array" ref="T360">OR(ISNUMBER(SEARCH(S$2:S$100,$B360,5)))</f>
        <v>0</v>
      </c>
      <c r="V360" s="3" t="str">
        <f t="shared" si="9"/>
        <v>ZZZ</v>
      </c>
      <c r="W360" s="3" t="b">
        <f t="array" ref="W360">OR(ISNUMBER(SEARCH(V$2:V$100,$B360,5)))</f>
        <v>0</v>
      </c>
      <c r="Y360" s="3" t="str">
        <f t="shared" si="10"/>
        <v>ZZZ</v>
      </c>
      <c r="Z360" s="3" t="b">
        <f t="array" ref="Z360">OR(ISNUMBER(SEARCH(Y$2:Y$100,$B360,5)))</f>
        <v>0</v>
      </c>
      <c r="AB360" s="3" t="str">
        <f t="shared" si="11"/>
        <v>ZZZ</v>
      </c>
      <c r="AC360" s="3" t="b">
        <f t="array" ref="AC360">OR(ISNUMBER(SEARCH(AB$2:AB$100,$B360,5)))</f>
        <v>0</v>
      </c>
      <c r="AE360" s="3" t="str">
        <f t="shared" si="12"/>
        <v>ZZZ</v>
      </c>
      <c r="AF360" s="3" t="b">
        <f t="array" ref="AF360">OR(ISNUMBER(SEARCH(AE$2:AE$100,$B360,5)))</f>
        <v>0</v>
      </c>
      <c r="AH360" s="3" t="str">
        <f t="shared" si="13"/>
        <v>ZZZ</v>
      </c>
      <c r="AI360" s="3" t="b">
        <f t="array" ref="AI360">OR(ISNUMBER(SEARCH(AH$2:AH$100,$B360,5)))</f>
        <v>0</v>
      </c>
      <c r="AK360" s="3" t="str">
        <f t="shared" si="14"/>
        <v>ZZZ</v>
      </c>
      <c r="AL360" s="3" t="b">
        <f t="array" ref="AL360">OR(ISNUMBER(SEARCH(AK$2:AK$100,$B360,5)))</f>
        <v>0</v>
      </c>
      <c r="AU360" s="8"/>
      <c r="AV360" s="6"/>
      <c r="AW360" s="8"/>
      <c r="AX360" s="8"/>
      <c r="AY360" s="6"/>
      <c r="AZ360" s="8"/>
      <c r="BA360" s="8"/>
      <c r="BB360" s="6"/>
      <c r="BC360" s="8"/>
      <c r="BD360" s="8"/>
      <c r="BE360" s="6"/>
      <c r="BF360" s="8"/>
      <c r="BG360" s="8"/>
      <c r="BH360" s="6"/>
      <c r="BI360" s="8"/>
      <c r="BJ360" s="8"/>
      <c r="BK360" s="6"/>
      <c r="BL360" s="8"/>
      <c r="BM360" s="8"/>
      <c r="BN360" s="6"/>
      <c r="BO360" s="8"/>
      <c r="BP360" s="8"/>
      <c r="BQ360" s="6"/>
      <c r="BR360" s="8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  <c r="IT360" s="7"/>
      <c r="IU360" s="7"/>
      <c r="IV360" s="7"/>
      <c r="IW360" s="7"/>
      <c r="IX360" s="7"/>
      <c r="IY360" s="7"/>
      <c r="IZ360" s="7"/>
      <c r="JA360" s="7"/>
      <c r="JB360" s="7"/>
      <c r="JC360" s="7"/>
      <c r="JD360" s="7"/>
      <c r="JE360" s="7"/>
      <c r="JF360" s="7"/>
      <c r="JG360" s="7"/>
      <c r="JH360" s="7"/>
      <c r="JI360" s="7"/>
      <c r="JJ360" s="7"/>
      <c r="JK360" s="7"/>
      <c r="JL360" s="7"/>
      <c r="JM360" s="7"/>
      <c r="JN360" s="7"/>
      <c r="JO360" s="7"/>
      <c r="JP360" s="7"/>
      <c r="JQ360" s="7"/>
      <c r="JR360" s="7"/>
      <c r="JS360" s="7"/>
      <c r="JT360" s="7"/>
      <c r="JU360" s="7"/>
      <c r="JV360" s="7"/>
      <c r="JW360" s="7"/>
      <c r="JX360" s="7"/>
      <c r="JY360" s="7"/>
      <c r="JZ360" s="7"/>
      <c r="KA360" s="7"/>
      <c r="KB360" s="7"/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</row>
    <row r="361">
      <c r="A361" s="6"/>
      <c r="B361" s="6" t="s">
        <v>361</v>
      </c>
      <c r="C361" s="3" t="str">
        <f t="shared" si="3"/>
        <v>mirrored lime</v>
      </c>
      <c r="D361" s="3" t="str">
        <f t="shared" si="17"/>
        <v>ZZZ</v>
      </c>
      <c r="E361" s="3" t="b">
        <f t="array" ref="E361">OR(ISNUMBER(SEARCH(D$2:D$30,$B361,5)))</f>
        <v>0</v>
      </c>
      <c r="G361" s="3" t="str">
        <f t="shared" si="4"/>
        <v>ZZZ</v>
      </c>
      <c r="H361" s="3" t="b">
        <f t="array" ref="H361">OR(ISNUMBER(SEARCH(G$2:G$30,$B361,5)))</f>
        <v>0</v>
      </c>
      <c r="J361" s="3" t="str">
        <f t="shared" si="5"/>
        <v>ZZZ</v>
      </c>
      <c r="K361" s="3" t="b">
        <f t="array" ref="K361">OR(ISNUMBER(SEARCH(J$2:J$30,$B361,5)))</f>
        <v>0</v>
      </c>
      <c r="M361" s="3" t="str">
        <f t="shared" si="6"/>
        <v>ZZZ</v>
      </c>
      <c r="N361" s="3" t="b">
        <f t="array" ref="N361">OR(ISNUMBER(SEARCH(M$2:M$30,$B361,5)))</f>
        <v>0</v>
      </c>
      <c r="P361" s="3" t="str">
        <f t="shared" si="7"/>
        <v>ZZZ</v>
      </c>
      <c r="Q361" s="3" t="b">
        <f t="array" ref="Q361">OR(ISNUMBER(SEARCH(P$2:P$50,$B361,5)))</f>
        <v>0</v>
      </c>
      <c r="S361" s="3" t="str">
        <f t="shared" si="8"/>
        <v>ZZZ</v>
      </c>
      <c r="T361" s="3" t="b">
        <f t="array" ref="T361">OR(ISNUMBER(SEARCH(S$2:S$100,$B361,5)))</f>
        <v>0</v>
      </c>
      <c r="V361" s="3" t="str">
        <f t="shared" si="9"/>
        <v>ZZZ</v>
      </c>
      <c r="W361" s="3" t="b">
        <f t="array" ref="W361">OR(ISNUMBER(SEARCH(V$2:V$100,$B361,5)))</f>
        <v>0</v>
      </c>
      <c r="Y361" s="3" t="str">
        <f t="shared" si="10"/>
        <v>ZZZ</v>
      </c>
      <c r="Z361" s="3" t="b">
        <f t="array" ref="Z361">OR(ISNUMBER(SEARCH(Y$2:Y$100,$B361,5)))</f>
        <v>0</v>
      </c>
      <c r="AB361" s="3" t="str">
        <f t="shared" si="11"/>
        <v>ZZZ</v>
      </c>
      <c r="AC361" s="3" t="b">
        <f t="array" ref="AC361">OR(ISNUMBER(SEARCH(AB$2:AB$100,$B361,5)))</f>
        <v>0</v>
      </c>
      <c r="AE361" s="3" t="str">
        <f t="shared" si="12"/>
        <v>ZZZ</v>
      </c>
      <c r="AF361" s="3" t="b">
        <f t="array" ref="AF361">OR(ISNUMBER(SEARCH(AE$2:AE$100,$B361,5)))</f>
        <v>0</v>
      </c>
      <c r="AH361" s="3" t="str">
        <f t="shared" si="13"/>
        <v>ZZZ</v>
      </c>
      <c r="AI361" s="3" t="b">
        <f t="array" ref="AI361">OR(ISNUMBER(SEARCH(AH$2:AH$100,$B361,5)))</f>
        <v>0</v>
      </c>
      <c r="AK361" s="3" t="str">
        <f t="shared" si="14"/>
        <v>ZZZ</v>
      </c>
      <c r="AL361" s="3" t="b">
        <f t="array" ref="AL361">OR(ISNUMBER(SEARCH(AK$2:AK$100,$B361,5)))</f>
        <v>0</v>
      </c>
      <c r="AU361" s="8"/>
      <c r="AV361" s="6"/>
      <c r="AW361" s="8"/>
      <c r="AX361" s="8"/>
      <c r="AY361" s="6"/>
      <c r="AZ361" s="8"/>
      <c r="BA361" s="8"/>
      <c r="BB361" s="6"/>
      <c r="BC361" s="8"/>
      <c r="BD361" s="8"/>
      <c r="BE361" s="6"/>
      <c r="BF361" s="8"/>
      <c r="BG361" s="8"/>
      <c r="BH361" s="6"/>
      <c r="BI361" s="8"/>
      <c r="BJ361" s="8"/>
      <c r="BK361" s="6"/>
      <c r="BL361" s="8"/>
      <c r="BM361" s="8"/>
      <c r="BN361" s="6"/>
      <c r="BO361" s="8"/>
      <c r="BP361" s="8"/>
      <c r="BQ361" s="6"/>
      <c r="BR361" s="8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/>
      <c r="IV361" s="7"/>
      <c r="IW361" s="7"/>
      <c r="IX361" s="7"/>
      <c r="IY361" s="7"/>
      <c r="IZ361" s="7"/>
      <c r="JA361" s="7"/>
      <c r="JB361" s="7"/>
      <c r="JC361" s="7"/>
      <c r="JD361" s="7"/>
      <c r="JE361" s="7"/>
      <c r="JF361" s="7"/>
      <c r="JG361" s="7"/>
      <c r="JH361" s="7"/>
      <c r="JI361" s="7"/>
      <c r="JJ361" s="7"/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/>
    </row>
    <row r="362">
      <c r="A362" s="6"/>
      <c r="B362" s="6" t="s">
        <v>362</v>
      </c>
      <c r="C362" s="3" t="str">
        <f t="shared" si="3"/>
        <v>plaid white</v>
      </c>
      <c r="D362" s="3" t="str">
        <f t="shared" si="17"/>
        <v>ZZZ</v>
      </c>
      <c r="E362" s="3" t="b">
        <f t="array" ref="E362">OR(ISNUMBER(SEARCH(D$2:D$30,$B362,5)))</f>
        <v>0</v>
      </c>
      <c r="G362" s="3" t="str">
        <f t="shared" si="4"/>
        <v>ZZZ</v>
      </c>
      <c r="H362" s="3" t="b">
        <f t="array" ref="H362">OR(ISNUMBER(SEARCH(G$2:G$30,$B362,5)))</f>
        <v>0</v>
      </c>
      <c r="J362" s="3" t="str">
        <f t="shared" si="5"/>
        <v>ZZZ</v>
      </c>
      <c r="K362" s="3" t="b">
        <f t="array" ref="K362">OR(ISNUMBER(SEARCH(J$2:J$30,$B362,5)))</f>
        <v>0</v>
      </c>
      <c r="M362" s="3" t="str">
        <f t="shared" si="6"/>
        <v>ZZZ</v>
      </c>
      <c r="N362" s="3" t="b">
        <f t="array" ref="N362">OR(ISNUMBER(SEARCH(M$2:M$30,$B362,5)))</f>
        <v>0</v>
      </c>
      <c r="P362" s="3" t="str">
        <f t="shared" si="7"/>
        <v>ZZZ</v>
      </c>
      <c r="Q362" s="3" t="b">
        <f t="array" ref="Q362">OR(ISNUMBER(SEARCH(P$2:P$50,$B362,5)))</f>
        <v>0</v>
      </c>
      <c r="S362" s="3" t="str">
        <f t="shared" si="8"/>
        <v>ZZZ</v>
      </c>
      <c r="T362" s="3" t="b">
        <f t="array" ref="T362">OR(ISNUMBER(SEARCH(S$2:S$100,$B362,5)))</f>
        <v>0</v>
      </c>
      <c r="V362" s="3" t="str">
        <f t="shared" si="9"/>
        <v>ZZZ</v>
      </c>
      <c r="W362" s="3" t="b">
        <f t="array" ref="W362">OR(ISNUMBER(SEARCH(V$2:V$100,$B362,5)))</f>
        <v>0</v>
      </c>
      <c r="Y362" s="3" t="str">
        <f t="shared" si="10"/>
        <v>ZZZ</v>
      </c>
      <c r="Z362" s="3" t="b">
        <f t="array" ref="Z362">OR(ISNUMBER(SEARCH(Y$2:Y$100,$B362,5)))</f>
        <v>0</v>
      </c>
      <c r="AB362" s="3" t="str">
        <f t="shared" si="11"/>
        <v>ZZZ</v>
      </c>
      <c r="AC362" s="3" t="b">
        <f t="array" ref="AC362">OR(ISNUMBER(SEARCH(AB$2:AB$100,$B362,5)))</f>
        <v>0</v>
      </c>
      <c r="AE362" s="3" t="str">
        <f t="shared" si="12"/>
        <v>ZZZ</v>
      </c>
      <c r="AF362" s="3" t="b">
        <f t="array" ref="AF362">OR(ISNUMBER(SEARCH(AE$2:AE$100,$B362,5)))</f>
        <v>0</v>
      </c>
      <c r="AH362" s="3" t="str">
        <f t="shared" si="13"/>
        <v>ZZZ</v>
      </c>
      <c r="AI362" s="3" t="b">
        <f t="array" ref="AI362">OR(ISNUMBER(SEARCH(AH$2:AH$100,$B362,5)))</f>
        <v>0</v>
      </c>
      <c r="AK362" s="3" t="str">
        <f t="shared" si="14"/>
        <v>ZZZ</v>
      </c>
      <c r="AL362" s="3" t="b">
        <f t="array" ref="AL362">OR(ISNUMBER(SEARCH(AK$2:AK$100,$B362,5)))</f>
        <v>0</v>
      </c>
      <c r="AU362" s="8"/>
      <c r="AV362" s="6"/>
      <c r="AW362" s="8"/>
      <c r="AX362" s="8"/>
      <c r="AY362" s="6"/>
      <c r="AZ362" s="8"/>
      <c r="BA362" s="8"/>
      <c r="BB362" s="6"/>
      <c r="BC362" s="8"/>
      <c r="BD362" s="8"/>
      <c r="BE362" s="6"/>
      <c r="BF362" s="8"/>
      <c r="BG362" s="8"/>
      <c r="BH362" s="6"/>
      <c r="BI362" s="8"/>
      <c r="BJ362" s="8"/>
      <c r="BK362" s="6"/>
      <c r="BL362" s="8"/>
      <c r="BM362" s="8"/>
      <c r="BN362" s="6"/>
      <c r="BO362" s="8"/>
      <c r="BP362" s="8"/>
      <c r="BQ362" s="6"/>
      <c r="BR362" s="8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  <c r="IT362" s="7"/>
      <c r="IU362" s="7"/>
      <c r="IV362" s="7"/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/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</row>
    <row r="363">
      <c r="A363" s="6"/>
      <c r="B363" s="6" t="s">
        <v>363</v>
      </c>
      <c r="C363" s="3" t="str">
        <f t="shared" si="3"/>
        <v>striped violet</v>
      </c>
      <c r="D363" s="3" t="str">
        <f t="shared" si="17"/>
        <v>ZZZ</v>
      </c>
      <c r="E363" s="3" t="b">
        <f t="array" ref="E363">OR(ISNUMBER(SEARCH(D$2:D$30,$B363,5)))</f>
        <v>0</v>
      </c>
      <c r="G363" s="3" t="str">
        <f t="shared" si="4"/>
        <v>ZZZ</v>
      </c>
      <c r="H363" s="3" t="b">
        <f t="array" ref="H363">OR(ISNUMBER(SEARCH(G$2:G$30,$B363,5)))</f>
        <v>0</v>
      </c>
      <c r="J363" s="3" t="str">
        <f t="shared" si="5"/>
        <v>ZZZ</v>
      </c>
      <c r="K363" s="3" t="b">
        <f t="array" ref="K363">OR(ISNUMBER(SEARCH(J$2:J$30,$B363,5)))</f>
        <v>0</v>
      </c>
      <c r="M363" s="3" t="str">
        <f t="shared" si="6"/>
        <v>ZZZ</v>
      </c>
      <c r="N363" s="3" t="b">
        <f t="array" ref="N363">OR(ISNUMBER(SEARCH(M$2:M$30,$B363,5)))</f>
        <v>1</v>
      </c>
      <c r="P363" s="3" t="str">
        <f t="shared" si="7"/>
        <v>ZZZ</v>
      </c>
      <c r="Q363" s="3" t="b">
        <f t="array" ref="Q363">OR(ISNUMBER(SEARCH(P$2:P$50,$B363,5)))</f>
        <v>1</v>
      </c>
      <c r="S363" s="3" t="str">
        <f t="shared" si="8"/>
        <v>ZZZ</v>
      </c>
      <c r="T363" s="3" t="b">
        <f t="array" ref="T363">OR(ISNUMBER(SEARCH(S$2:S$100,$B363,5)))</f>
        <v>0</v>
      </c>
      <c r="V363" s="3" t="str">
        <f t="shared" si="9"/>
        <v>ZZZ</v>
      </c>
      <c r="W363" s="3" t="b">
        <f t="array" ref="W363">OR(ISNUMBER(SEARCH(V$2:V$100,$B363,5)))</f>
        <v>0</v>
      </c>
      <c r="Y363" s="3" t="str">
        <f t="shared" si="10"/>
        <v>ZZZ</v>
      </c>
      <c r="Z363" s="3" t="b">
        <f t="array" ref="Z363">OR(ISNUMBER(SEARCH(Y$2:Y$100,$B363,5)))</f>
        <v>0</v>
      </c>
      <c r="AB363" s="3" t="str">
        <f t="shared" si="11"/>
        <v>ZZZ</v>
      </c>
      <c r="AC363" s="3" t="b">
        <f t="array" ref="AC363">OR(ISNUMBER(SEARCH(AB$2:AB$100,$B363,5)))</f>
        <v>0</v>
      </c>
      <c r="AE363" s="3" t="str">
        <f t="shared" si="12"/>
        <v>ZZZ</v>
      </c>
      <c r="AF363" s="3" t="b">
        <f t="array" ref="AF363">OR(ISNUMBER(SEARCH(AE$2:AE$100,$B363,5)))</f>
        <v>0</v>
      </c>
      <c r="AH363" s="3" t="str">
        <f t="shared" si="13"/>
        <v>ZZZ</v>
      </c>
      <c r="AI363" s="3" t="b">
        <f t="array" ref="AI363">OR(ISNUMBER(SEARCH(AH$2:AH$100,$B363,5)))</f>
        <v>0</v>
      </c>
      <c r="AK363" s="3" t="str">
        <f t="shared" si="14"/>
        <v>ZZZ</v>
      </c>
      <c r="AL363" s="3" t="b">
        <f t="array" ref="AL363">OR(ISNUMBER(SEARCH(AK$2:AK$100,$B363,5)))</f>
        <v>0</v>
      </c>
      <c r="AU363" s="8"/>
      <c r="AV363" s="6"/>
      <c r="AW363" s="8"/>
      <c r="AX363" s="8"/>
      <c r="AY363" s="6"/>
      <c r="AZ363" s="8"/>
      <c r="BA363" s="8"/>
      <c r="BB363" s="6"/>
      <c r="BC363" s="8"/>
      <c r="BD363" s="8"/>
      <c r="BE363" s="6"/>
      <c r="BF363" s="8"/>
      <c r="BG363" s="8"/>
      <c r="BH363" s="6"/>
      <c r="BI363" s="8"/>
      <c r="BJ363" s="8"/>
      <c r="BK363" s="6"/>
      <c r="BL363" s="8"/>
      <c r="BM363" s="8"/>
      <c r="BN363" s="6"/>
      <c r="BO363" s="8"/>
      <c r="BP363" s="8"/>
      <c r="BQ363" s="6"/>
      <c r="BR363" s="8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  <c r="HU363" s="7"/>
      <c r="HV363" s="7"/>
      <c r="HW363" s="7"/>
      <c r="HX363" s="7"/>
      <c r="HY363" s="7"/>
      <c r="HZ363" s="7"/>
      <c r="IA363" s="7"/>
      <c r="IB363" s="7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7"/>
      <c r="IR363" s="7"/>
      <c r="IS363" s="7"/>
      <c r="IT363" s="7"/>
      <c r="IU363" s="7"/>
      <c r="IV363" s="7"/>
      <c r="IW363" s="7"/>
      <c r="IX363" s="7"/>
      <c r="IY363" s="7"/>
      <c r="IZ363" s="7"/>
      <c r="JA363" s="7"/>
      <c r="JB363" s="7"/>
      <c r="JC363" s="7"/>
      <c r="JD363" s="7"/>
      <c r="JE363" s="7"/>
      <c r="JF363" s="7"/>
      <c r="JG363" s="7"/>
      <c r="JH363" s="7"/>
      <c r="JI363" s="7"/>
      <c r="JJ363" s="7"/>
      <c r="JK363" s="7"/>
      <c r="JL363" s="7"/>
      <c r="JM363" s="7"/>
      <c r="JN363" s="7"/>
      <c r="JO363" s="7"/>
      <c r="JP363" s="7"/>
      <c r="JQ363" s="7"/>
      <c r="JR363" s="7"/>
      <c r="JS363" s="7"/>
      <c r="JT363" s="7"/>
      <c r="JU363" s="7"/>
      <c r="JV363" s="7"/>
      <c r="JW363" s="7"/>
      <c r="JX363" s="7"/>
      <c r="JY363" s="7"/>
      <c r="JZ363" s="7"/>
      <c r="KA363" s="7"/>
      <c r="KB363" s="7"/>
      <c r="KC363" s="7"/>
      <c r="KD363" s="7"/>
      <c r="KE363" s="7"/>
      <c r="KF363" s="7"/>
      <c r="KG363" s="7"/>
      <c r="KH363" s="7"/>
      <c r="KI363" s="7"/>
      <c r="KJ363" s="7"/>
      <c r="KK363" s="7"/>
      <c r="KL363" s="7"/>
      <c r="KM363" s="7"/>
      <c r="KN363" s="7"/>
    </row>
    <row r="364">
      <c r="A364" s="6"/>
      <c r="B364" s="6" t="s">
        <v>364</v>
      </c>
      <c r="C364" s="3" t="str">
        <f t="shared" si="3"/>
        <v>dark purple</v>
      </c>
      <c r="D364" s="3" t="str">
        <f t="shared" si="17"/>
        <v>ZZZ</v>
      </c>
      <c r="E364" s="3" t="b">
        <f t="array" ref="E364">OR(ISNUMBER(SEARCH(D$2:D$30,$B364,5)))</f>
        <v>1</v>
      </c>
      <c r="G364" s="3" t="str">
        <f t="shared" si="4"/>
        <v>ZZZ</v>
      </c>
      <c r="H364" s="3" t="b">
        <f t="array" ref="H364">OR(ISNUMBER(SEARCH(G$2:G$30,$B364,5)))</f>
        <v>0</v>
      </c>
      <c r="J364" s="3" t="str">
        <f t="shared" si="5"/>
        <v>ZZZ</v>
      </c>
      <c r="K364" s="3" t="b">
        <f t="array" ref="K364">OR(ISNUMBER(SEARCH(J$2:J$30,$B364,5)))</f>
        <v>0</v>
      </c>
      <c r="M364" s="3" t="str">
        <f t="shared" si="6"/>
        <v>ZZZ</v>
      </c>
      <c r="N364" s="3" t="b">
        <f t="array" ref="N364">OR(ISNUMBER(SEARCH(M$2:M$30,$B364,5)))</f>
        <v>0</v>
      </c>
      <c r="P364" s="3" t="str">
        <f t="shared" si="7"/>
        <v>ZZZ</v>
      </c>
      <c r="Q364" s="3" t="b">
        <f t="array" ref="Q364">OR(ISNUMBER(SEARCH(P$2:P$50,$B364,5)))</f>
        <v>1</v>
      </c>
      <c r="S364" s="3" t="str">
        <f t="shared" si="8"/>
        <v>ZZZ</v>
      </c>
      <c r="T364" s="3" t="b">
        <f t="array" ref="T364">OR(ISNUMBER(SEARCH(S$2:S$100,$B364,5)))</f>
        <v>0</v>
      </c>
      <c r="V364" s="3" t="str">
        <f t="shared" si="9"/>
        <v>ZZZ</v>
      </c>
      <c r="W364" s="3" t="b">
        <f t="array" ref="W364">OR(ISNUMBER(SEARCH(V$2:V$100,$B364,5)))</f>
        <v>0</v>
      </c>
      <c r="Y364" s="3" t="str">
        <f t="shared" si="10"/>
        <v>ZZZ</v>
      </c>
      <c r="Z364" s="3" t="b">
        <f t="array" ref="Z364">OR(ISNUMBER(SEARCH(Y$2:Y$100,$B364,5)))</f>
        <v>0</v>
      </c>
      <c r="AB364" s="3" t="str">
        <f t="shared" si="11"/>
        <v>ZZZ</v>
      </c>
      <c r="AC364" s="3" t="b">
        <f t="array" ref="AC364">OR(ISNUMBER(SEARCH(AB$2:AB$100,$B364,5)))</f>
        <v>0</v>
      </c>
      <c r="AE364" s="3" t="str">
        <f t="shared" si="12"/>
        <v>ZZZ</v>
      </c>
      <c r="AF364" s="3" t="b">
        <f t="array" ref="AF364">OR(ISNUMBER(SEARCH(AE$2:AE$100,$B364,5)))</f>
        <v>0</v>
      </c>
      <c r="AH364" s="3" t="str">
        <f t="shared" si="13"/>
        <v>ZZZ</v>
      </c>
      <c r="AI364" s="3" t="b">
        <f t="array" ref="AI364">OR(ISNUMBER(SEARCH(AH$2:AH$100,$B364,5)))</f>
        <v>0</v>
      </c>
      <c r="AK364" s="3" t="str">
        <f t="shared" si="14"/>
        <v>ZZZ</v>
      </c>
      <c r="AL364" s="3" t="b">
        <f t="array" ref="AL364">OR(ISNUMBER(SEARCH(AK$2:AK$100,$B364,5)))</f>
        <v>0</v>
      </c>
      <c r="AU364" s="8"/>
      <c r="AV364" s="6"/>
      <c r="AW364" s="8"/>
      <c r="AX364" s="8"/>
      <c r="AY364" s="6"/>
      <c r="AZ364" s="8"/>
      <c r="BA364" s="8"/>
      <c r="BB364" s="6"/>
      <c r="BC364" s="8"/>
      <c r="BD364" s="8"/>
      <c r="BE364" s="6"/>
      <c r="BF364" s="8"/>
      <c r="BG364" s="8"/>
      <c r="BH364" s="6"/>
      <c r="BI364" s="8"/>
      <c r="BJ364" s="8"/>
      <c r="BK364" s="6"/>
      <c r="BL364" s="8"/>
      <c r="BM364" s="8"/>
      <c r="BN364" s="6"/>
      <c r="BO364" s="8"/>
      <c r="BP364" s="8"/>
      <c r="BQ364" s="6"/>
      <c r="BR364" s="8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7"/>
      <c r="HW364" s="7"/>
      <c r="HX364" s="7"/>
      <c r="HY364" s="7"/>
      <c r="HZ364" s="7"/>
      <c r="IA364" s="7"/>
      <c r="IB364" s="7"/>
      <c r="IC364" s="7"/>
      <c r="ID364" s="7"/>
      <c r="IE364" s="7"/>
      <c r="IF364" s="7"/>
      <c r="IG364" s="7"/>
      <c r="IH364" s="7"/>
      <c r="II364" s="7"/>
      <c r="IJ364" s="7"/>
      <c r="IK364" s="7"/>
      <c r="IL364" s="7"/>
      <c r="IM364" s="7"/>
      <c r="IN364" s="7"/>
      <c r="IO364" s="7"/>
      <c r="IP364" s="7"/>
      <c r="IQ364" s="7"/>
      <c r="IR364" s="7"/>
      <c r="IS364" s="7"/>
      <c r="IT364" s="7"/>
      <c r="IU364" s="7"/>
      <c r="IV364" s="7"/>
      <c r="IW364" s="7"/>
      <c r="IX364" s="7"/>
      <c r="IY364" s="7"/>
      <c r="IZ364" s="7"/>
      <c r="JA364" s="7"/>
      <c r="JB364" s="7"/>
      <c r="JC364" s="7"/>
      <c r="JD364" s="7"/>
      <c r="JE364" s="7"/>
      <c r="JF364" s="7"/>
      <c r="JG364" s="7"/>
      <c r="JH364" s="7"/>
      <c r="JI364" s="7"/>
      <c r="JJ364" s="7"/>
      <c r="JK364" s="7"/>
      <c r="JL364" s="7"/>
      <c r="JM364" s="7"/>
      <c r="JN364" s="7"/>
      <c r="JO364" s="7"/>
      <c r="JP364" s="7"/>
      <c r="JQ364" s="7"/>
      <c r="JR364" s="7"/>
      <c r="JS364" s="7"/>
      <c r="JT364" s="7"/>
      <c r="JU364" s="7"/>
      <c r="JV364" s="7"/>
      <c r="JW364" s="7"/>
      <c r="JX364" s="7"/>
      <c r="JY364" s="7"/>
      <c r="JZ364" s="7"/>
      <c r="KA364" s="7"/>
      <c r="KB364" s="7"/>
      <c r="KC364" s="7"/>
      <c r="KD364" s="7"/>
      <c r="KE364" s="7"/>
      <c r="KF364" s="7"/>
      <c r="KG364" s="7"/>
      <c r="KH364" s="7"/>
      <c r="KI364" s="7"/>
      <c r="KJ364" s="7"/>
      <c r="KK364" s="7"/>
      <c r="KL364" s="7"/>
      <c r="KM364" s="7"/>
      <c r="KN364" s="7"/>
    </row>
    <row r="365">
      <c r="A365" s="6"/>
      <c r="B365" s="6" t="s">
        <v>365</v>
      </c>
      <c r="C365" s="3" t="str">
        <f t="shared" si="3"/>
        <v>mirrored blue</v>
      </c>
      <c r="D365" s="3" t="str">
        <f t="shared" si="17"/>
        <v>ZZZ</v>
      </c>
      <c r="E365" s="3" t="b">
        <f t="array" ref="E365">OR(ISNUMBER(SEARCH(D$2:D$30,$B365,5)))</f>
        <v>0</v>
      </c>
      <c r="G365" s="3" t="str">
        <f t="shared" si="4"/>
        <v>ZZZ</v>
      </c>
      <c r="H365" s="3" t="b">
        <f t="array" ref="H365">OR(ISNUMBER(SEARCH(G$2:G$30,$B365,5)))</f>
        <v>0</v>
      </c>
      <c r="J365" s="3" t="str">
        <f t="shared" si="5"/>
        <v>ZZZ</v>
      </c>
      <c r="K365" s="3" t="b">
        <f t="array" ref="K365">OR(ISNUMBER(SEARCH(J$2:J$30,$B365,5)))</f>
        <v>0</v>
      </c>
      <c r="M365" s="3" t="str">
        <f t="shared" si="6"/>
        <v>ZZZ</v>
      </c>
      <c r="N365" s="3" t="b">
        <f t="array" ref="N365">OR(ISNUMBER(SEARCH(M$2:M$30,$B365,5)))</f>
        <v>0</v>
      </c>
      <c r="P365" s="3" t="str">
        <f t="shared" si="7"/>
        <v>ZZZ</v>
      </c>
      <c r="Q365" s="3" t="b">
        <f t="array" ref="Q365">OR(ISNUMBER(SEARCH(P$2:P$50,$B365,5)))</f>
        <v>0</v>
      </c>
      <c r="S365" s="3" t="str">
        <f t="shared" si="8"/>
        <v>ZZZ</v>
      </c>
      <c r="T365" s="3" t="b">
        <f t="array" ref="T365">OR(ISNUMBER(SEARCH(S$2:S$100,$B365,5)))</f>
        <v>0</v>
      </c>
      <c r="V365" s="3" t="str">
        <f t="shared" si="9"/>
        <v>ZZZ</v>
      </c>
      <c r="W365" s="3" t="b">
        <f t="array" ref="W365">OR(ISNUMBER(SEARCH(V$2:V$100,$B365,5)))</f>
        <v>0</v>
      </c>
      <c r="Y365" s="3" t="str">
        <f t="shared" si="10"/>
        <v>ZZZ</v>
      </c>
      <c r="Z365" s="3" t="b">
        <f t="array" ref="Z365">OR(ISNUMBER(SEARCH(Y$2:Y$100,$B365,5)))</f>
        <v>0</v>
      </c>
      <c r="AB365" s="3" t="str">
        <f t="shared" si="11"/>
        <v>ZZZ</v>
      </c>
      <c r="AC365" s="3" t="b">
        <f t="array" ref="AC365">OR(ISNUMBER(SEARCH(AB$2:AB$100,$B365,5)))</f>
        <v>0</v>
      </c>
      <c r="AE365" s="3" t="str">
        <f t="shared" si="12"/>
        <v>ZZZ</v>
      </c>
      <c r="AF365" s="3" t="b">
        <f t="array" ref="AF365">OR(ISNUMBER(SEARCH(AE$2:AE$100,$B365,5)))</f>
        <v>0</v>
      </c>
      <c r="AH365" s="3" t="str">
        <f t="shared" si="13"/>
        <v>ZZZ</v>
      </c>
      <c r="AI365" s="3" t="b">
        <f t="array" ref="AI365">OR(ISNUMBER(SEARCH(AH$2:AH$100,$B365,5)))</f>
        <v>0</v>
      </c>
      <c r="AK365" s="3" t="str">
        <f t="shared" si="14"/>
        <v>ZZZ</v>
      </c>
      <c r="AL365" s="3" t="b">
        <f t="array" ref="AL365">OR(ISNUMBER(SEARCH(AK$2:AK$100,$B365,5)))</f>
        <v>0</v>
      </c>
      <c r="AU365" s="8"/>
      <c r="AV365" s="6"/>
      <c r="AW365" s="8"/>
      <c r="AX365" s="8"/>
      <c r="AY365" s="6"/>
      <c r="AZ365" s="8"/>
      <c r="BA365" s="8"/>
      <c r="BB365" s="6"/>
      <c r="BC365" s="8"/>
      <c r="BD365" s="8"/>
      <c r="BE365" s="6"/>
      <c r="BF365" s="8"/>
      <c r="BG365" s="8"/>
      <c r="BH365" s="6"/>
      <c r="BI365" s="8"/>
      <c r="BJ365" s="8"/>
      <c r="BK365" s="6"/>
      <c r="BL365" s="8"/>
      <c r="BM365" s="8"/>
      <c r="BN365" s="6"/>
      <c r="BO365" s="8"/>
      <c r="BP365" s="8"/>
      <c r="BQ365" s="6"/>
      <c r="BR365" s="8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/>
      <c r="HT365" s="7"/>
      <c r="HU365" s="7"/>
      <c r="HV365" s="7"/>
      <c r="HW365" s="7"/>
      <c r="HX365" s="7"/>
      <c r="HY365" s="7"/>
      <c r="HZ365" s="7"/>
      <c r="IA365" s="7"/>
      <c r="IB365" s="7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7"/>
      <c r="IQ365" s="7"/>
      <c r="IR365" s="7"/>
      <c r="IS365" s="7"/>
      <c r="IT365" s="7"/>
      <c r="IU365" s="7"/>
      <c r="IV365" s="7"/>
      <c r="IW365" s="7"/>
      <c r="IX365" s="7"/>
      <c r="IY365" s="7"/>
      <c r="IZ365" s="7"/>
      <c r="JA365" s="7"/>
      <c r="JB365" s="7"/>
      <c r="JC365" s="7"/>
      <c r="JD365" s="7"/>
      <c r="JE365" s="7"/>
      <c r="JF365" s="7"/>
      <c r="JG365" s="7"/>
      <c r="JH365" s="7"/>
      <c r="JI365" s="7"/>
      <c r="JJ365" s="7"/>
      <c r="JK365" s="7"/>
      <c r="JL365" s="7"/>
      <c r="JM365" s="7"/>
      <c r="JN365" s="7"/>
      <c r="JO365" s="7"/>
      <c r="JP365" s="7"/>
      <c r="JQ365" s="7"/>
      <c r="JR365" s="7"/>
      <c r="JS365" s="7"/>
      <c r="JT365" s="7"/>
      <c r="JU365" s="7"/>
      <c r="JV365" s="7"/>
      <c r="JW365" s="7"/>
      <c r="JX365" s="7"/>
      <c r="JY365" s="7"/>
      <c r="JZ365" s="7"/>
      <c r="KA365" s="7"/>
      <c r="KB365" s="7"/>
      <c r="KC365" s="7"/>
      <c r="KD365" s="7"/>
      <c r="KE365" s="7"/>
      <c r="KF365" s="7"/>
      <c r="KG365" s="7"/>
      <c r="KH365" s="7"/>
      <c r="KI365" s="7"/>
      <c r="KJ365" s="7"/>
      <c r="KK365" s="7"/>
      <c r="KL365" s="7"/>
      <c r="KM365" s="7"/>
      <c r="KN365" s="7"/>
    </row>
    <row r="366">
      <c r="A366" s="6"/>
      <c r="B366" s="6" t="s">
        <v>366</v>
      </c>
      <c r="C366" s="3" t="str">
        <f t="shared" si="3"/>
        <v>pale black</v>
      </c>
      <c r="D366" s="3" t="str">
        <f t="shared" si="17"/>
        <v>ZZZ</v>
      </c>
      <c r="E366" s="3" t="b">
        <f t="array" ref="E366">OR(ISNUMBER(SEARCH(D$2:D$30,$B366,5)))</f>
        <v>0</v>
      </c>
      <c r="G366" s="3" t="str">
        <f t="shared" si="4"/>
        <v>ZZZ</v>
      </c>
      <c r="H366" s="3" t="b">
        <f t="array" ref="H366">OR(ISNUMBER(SEARCH(G$2:G$30,$B366,5)))</f>
        <v>0</v>
      </c>
      <c r="J366" s="3" t="str">
        <f t="shared" si="5"/>
        <v>ZZZ</v>
      </c>
      <c r="K366" s="3" t="b">
        <f t="array" ref="K366">OR(ISNUMBER(SEARCH(J$2:J$30,$B366,5)))</f>
        <v>0</v>
      </c>
      <c r="M366" s="3" t="str">
        <f t="shared" si="6"/>
        <v>ZZZ</v>
      </c>
      <c r="N366" s="3" t="b">
        <f t="array" ref="N366">OR(ISNUMBER(SEARCH(M$2:M$30,$B366,5)))</f>
        <v>0</v>
      </c>
      <c r="P366" s="3" t="str">
        <f t="shared" si="7"/>
        <v>ZZZ</v>
      </c>
      <c r="Q366" s="3" t="b">
        <f t="array" ref="Q366">OR(ISNUMBER(SEARCH(P$2:P$50,$B366,5)))</f>
        <v>0</v>
      </c>
      <c r="S366" s="3" t="str">
        <f t="shared" si="8"/>
        <v>ZZZ</v>
      </c>
      <c r="T366" s="3" t="b">
        <f t="array" ref="T366">OR(ISNUMBER(SEARCH(S$2:S$100,$B366,5)))</f>
        <v>0</v>
      </c>
      <c r="V366" s="3" t="str">
        <f t="shared" si="9"/>
        <v>ZZZ</v>
      </c>
      <c r="W366" s="3" t="b">
        <f t="array" ref="W366">OR(ISNUMBER(SEARCH(V$2:V$100,$B366,5)))</f>
        <v>0</v>
      </c>
      <c r="Y366" s="3" t="str">
        <f t="shared" si="10"/>
        <v>ZZZ</v>
      </c>
      <c r="Z366" s="3" t="b">
        <f t="array" ref="Z366">OR(ISNUMBER(SEARCH(Y$2:Y$100,$B366,5)))</f>
        <v>0</v>
      </c>
      <c r="AB366" s="3" t="str">
        <f t="shared" si="11"/>
        <v>ZZZ</v>
      </c>
      <c r="AC366" s="3" t="b">
        <f t="array" ref="AC366">OR(ISNUMBER(SEARCH(AB$2:AB$100,$B366,5)))</f>
        <v>0</v>
      </c>
      <c r="AE366" s="3" t="str">
        <f t="shared" si="12"/>
        <v>ZZZ</v>
      </c>
      <c r="AF366" s="3" t="b">
        <f t="array" ref="AF366">OR(ISNUMBER(SEARCH(AE$2:AE$100,$B366,5)))</f>
        <v>0</v>
      </c>
      <c r="AH366" s="3" t="str">
        <f t="shared" si="13"/>
        <v>ZZZ</v>
      </c>
      <c r="AI366" s="3" t="b">
        <f t="array" ref="AI366">OR(ISNUMBER(SEARCH(AH$2:AH$100,$B366,5)))</f>
        <v>0</v>
      </c>
      <c r="AK366" s="3" t="str">
        <f t="shared" si="14"/>
        <v>ZZZ</v>
      </c>
      <c r="AL366" s="3" t="b">
        <f t="array" ref="AL366">OR(ISNUMBER(SEARCH(AK$2:AK$100,$B366,5)))</f>
        <v>0</v>
      </c>
      <c r="AU366" s="8"/>
      <c r="AV366" s="6"/>
      <c r="AW366" s="8"/>
      <c r="AX366" s="8"/>
      <c r="AY366" s="6"/>
      <c r="AZ366" s="8"/>
      <c r="BA366" s="8"/>
      <c r="BB366" s="6"/>
      <c r="BC366" s="8"/>
      <c r="BD366" s="8"/>
      <c r="BE366" s="6"/>
      <c r="BF366" s="8"/>
      <c r="BG366" s="8"/>
      <c r="BH366" s="6"/>
      <c r="BI366" s="8"/>
      <c r="BJ366" s="8"/>
      <c r="BK366" s="6"/>
      <c r="BL366" s="8"/>
      <c r="BM366" s="8"/>
      <c r="BN366" s="6"/>
      <c r="BO366" s="8"/>
      <c r="BP366" s="8"/>
      <c r="BQ366" s="6"/>
      <c r="BR366" s="8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  <c r="HQ366" s="7"/>
      <c r="HR366" s="7"/>
      <c r="HS366" s="7"/>
      <c r="HT366" s="7"/>
      <c r="HU366" s="7"/>
      <c r="HV366" s="7"/>
      <c r="HW366" s="7"/>
      <c r="HX366" s="7"/>
      <c r="HY366" s="7"/>
      <c r="HZ366" s="7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7"/>
      <c r="IQ366" s="7"/>
      <c r="IR366" s="7"/>
      <c r="IS366" s="7"/>
      <c r="IT366" s="7"/>
      <c r="IU366" s="7"/>
      <c r="IV366" s="7"/>
      <c r="IW366" s="7"/>
      <c r="IX366" s="7"/>
      <c r="IY366" s="7"/>
      <c r="IZ366" s="7"/>
      <c r="JA366" s="7"/>
      <c r="JB366" s="7"/>
      <c r="JC366" s="7"/>
      <c r="JD366" s="7"/>
      <c r="JE366" s="7"/>
      <c r="JF366" s="7"/>
      <c r="JG366" s="7"/>
      <c r="JH366" s="7"/>
      <c r="JI366" s="7"/>
      <c r="JJ366" s="7"/>
      <c r="JK366" s="7"/>
      <c r="JL366" s="7"/>
      <c r="JM366" s="7"/>
      <c r="JN366" s="7"/>
      <c r="JO366" s="7"/>
      <c r="JP366" s="7"/>
      <c r="JQ366" s="7"/>
      <c r="JR366" s="7"/>
      <c r="JS366" s="7"/>
      <c r="JT366" s="7"/>
      <c r="JU366" s="7"/>
      <c r="JV366" s="7"/>
      <c r="JW366" s="7"/>
      <c r="JX366" s="7"/>
      <c r="JY366" s="7"/>
      <c r="JZ366" s="7"/>
      <c r="KA366" s="7"/>
      <c r="KB366" s="7"/>
      <c r="KC366" s="7"/>
      <c r="KD366" s="7"/>
      <c r="KE366" s="7"/>
      <c r="KF366" s="7"/>
      <c r="KG366" s="7"/>
      <c r="KH366" s="7"/>
      <c r="KI366" s="7"/>
      <c r="KJ366" s="7"/>
      <c r="KK366" s="7"/>
      <c r="KL366" s="7"/>
      <c r="KM366" s="7"/>
      <c r="KN366" s="7"/>
    </row>
    <row r="367">
      <c r="A367" s="6"/>
      <c r="B367" s="6" t="s">
        <v>367</v>
      </c>
      <c r="C367" s="3" t="str">
        <f t="shared" si="3"/>
        <v>dark brown</v>
      </c>
      <c r="D367" s="3" t="str">
        <f t="shared" si="17"/>
        <v>ZZZ</v>
      </c>
      <c r="E367" s="3" t="b">
        <f t="array" ref="E367">OR(ISNUMBER(SEARCH(D$2:D$30,$B367,5)))</f>
        <v>0</v>
      </c>
      <c r="G367" s="3" t="str">
        <f t="shared" si="4"/>
        <v>ZZZ</v>
      </c>
      <c r="H367" s="3" t="b">
        <f t="array" ref="H367">OR(ISNUMBER(SEARCH(G$2:G$30,$B367,5)))</f>
        <v>0</v>
      </c>
      <c r="J367" s="3" t="str">
        <f t="shared" si="5"/>
        <v>ZZZ</v>
      </c>
      <c r="K367" s="3" t="b">
        <f t="array" ref="K367">OR(ISNUMBER(SEARCH(J$2:J$30,$B367,5)))</f>
        <v>0</v>
      </c>
      <c r="M367" s="3" t="str">
        <f t="shared" si="6"/>
        <v>ZZZ</v>
      </c>
      <c r="N367" s="3" t="b">
        <f t="array" ref="N367">OR(ISNUMBER(SEARCH(M$2:M$30,$B367,5)))</f>
        <v>0</v>
      </c>
      <c r="P367" s="3" t="str">
        <f t="shared" si="7"/>
        <v>ZZZ</v>
      </c>
      <c r="Q367" s="3" t="b">
        <f t="array" ref="Q367">OR(ISNUMBER(SEARCH(P$2:P$50,$B367,5)))</f>
        <v>0</v>
      </c>
      <c r="S367" s="3" t="str">
        <f t="shared" si="8"/>
        <v>ZZZ</v>
      </c>
      <c r="T367" s="3" t="b">
        <f t="array" ref="T367">OR(ISNUMBER(SEARCH(S$2:S$100,$B367,5)))</f>
        <v>0</v>
      </c>
      <c r="V367" s="3" t="str">
        <f t="shared" si="9"/>
        <v>ZZZ</v>
      </c>
      <c r="W367" s="3" t="b">
        <f t="array" ref="W367">OR(ISNUMBER(SEARCH(V$2:V$100,$B367,5)))</f>
        <v>0</v>
      </c>
      <c r="Y367" s="3" t="str">
        <f t="shared" si="10"/>
        <v>ZZZ</v>
      </c>
      <c r="Z367" s="3" t="b">
        <f t="array" ref="Z367">OR(ISNUMBER(SEARCH(Y$2:Y$100,$B367,5)))</f>
        <v>0</v>
      </c>
      <c r="AB367" s="3" t="str">
        <f t="shared" si="11"/>
        <v>ZZZ</v>
      </c>
      <c r="AC367" s="3" t="b">
        <f t="array" ref="AC367">OR(ISNUMBER(SEARCH(AB$2:AB$100,$B367,5)))</f>
        <v>0</v>
      </c>
      <c r="AE367" s="3" t="str">
        <f t="shared" si="12"/>
        <v>ZZZ</v>
      </c>
      <c r="AF367" s="3" t="b">
        <f t="array" ref="AF367">OR(ISNUMBER(SEARCH(AE$2:AE$100,$B367,5)))</f>
        <v>0</v>
      </c>
      <c r="AH367" s="3" t="str">
        <f t="shared" si="13"/>
        <v>ZZZ</v>
      </c>
      <c r="AI367" s="3" t="b">
        <f t="array" ref="AI367">OR(ISNUMBER(SEARCH(AH$2:AH$100,$B367,5)))</f>
        <v>0</v>
      </c>
      <c r="AK367" s="3" t="str">
        <f t="shared" si="14"/>
        <v>ZZZ</v>
      </c>
      <c r="AL367" s="3" t="b">
        <f t="array" ref="AL367">OR(ISNUMBER(SEARCH(AK$2:AK$100,$B367,5)))</f>
        <v>0</v>
      </c>
      <c r="AU367" s="8"/>
      <c r="AV367" s="6"/>
      <c r="AW367" s="8"/>
      <c r="AX367" s="8"/>
      <c r="AY367" s="6"/>
      <c r="AZ367" s="8"/>
      <c r="BA367" s="8"/>
      <c r="BB367" s="6"/>
      <c r="BC367" s="8"/>
      <c r="BD367" s="8"/>
      <c r="BE367" s="6"/>
      <c r="BF367" s="8"/>
      <c r="BG367" s="8"/>
      <c r="BH367" s="6"/>
      <c r="BI367" s="8"/>
      <c r="BJ367" s="8"/>
      <c r="BK367" s="6"/>
      <c r="BL367" s="8"/>
      <c r="BM367" s="8"/>
      <c r="BN367" s="6"/>
      <c r="BO367" s="8"/>
      <c r="BP367" s="8"/>
      <c r="BQ367" s="6"/>
      <c r="BR367" s="8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  <c r="HU367" s="7"/>
      <c r="HV367" s="7"/>
      <c r="HW367" s="7"/>
      <c r="HX367" s="7"/>
      <c r="HY367" s="7"/>
      <c r="HZ367" s="7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7"/>
      <c r="IQ367" s="7"/>
      <c r="IR367" s="7"/>
      <c r="IS367" s="7"/>
      <c r="IT367" s="7"/>
      <c r="IU367" s="7"/>
      <c r="IV367" s="7"/>
      <c r="IW367" s="7"/>
      <c r="IX367" s="7"/>
      <c r="IY367" s="7"/>
      <c r="IZ367" s="7"/>
      <c r="JA367" s="7"/>
      <c r="JB367" s="7"/>
      <c r="JC367" s="7"/>
      <c r="JD367" s="7"/>
      <c r="JE367" s="7"/>
      <c r="JF367" s="7"/>
      <c r="JG367" s="7"/>
      <c r="JH367" s="7"/>
      <c r="JI367" s="7"/>
      <c r="JJ367" s="7"/>
      <c r="JK367" s="7"/>
      <c r="JL367" s="7"/>
      <c r="JM367" s="7"/>
      <c r="JN367" s="7"/>
      <c r="JO367" s="7"/>
      <c r="JP367" s="7"/>
      <c r="JQ367" s="7"/>
      <c r="JR367" s="7"/>
      <c r="JS367" s="7"/>
      <c r="JT367" s="7"/>
      <c r="JU367" s="7"/>
      <c r="JV367" s="7"/>
      <c r="JW367" s="7"/>
      <c r="JX367" s="7"/>
      <c r="JY367" s="7"/>
      <c r="JZ367" s="7"/>
      <c r="KA367" s="7"/>
      <c r="KB367" s="7"/>
      <c r="KC367" s="7"/>
      <c r="KD367" s="7"/>
      <c r="KE367" s="7"/>
      <c r="KF367" s="7"/>
      <c r="KG367" s="7"/>
      <c r="KH367" s="7"/>
      <c r="KI367" s="7"/>
      <c r="KJ367" s="7"/>
      <c r="KK367" s="7"/>
      <c r="KL367" s="7"/>
      <c r="KM367" s="7"/>
      <c r="KN367" s="7"/>
    </row>
    <row r="368">
      <c r="A368" s="6"/>
      <c r="B368" s="6" t="s">
        <v>368</v>
      </c>
      <c r="C368" s="3" t="str">
        <f t="shared" si="3"/>
        <v>muted lavender</v>
      </c>
      <c r="D368" s="3" t="str">
        <f t="shared" si="17"/>
        <v>ZZZ</v>
      </c>
      <c r="E368" s="3" t="b">
        <f t="array" ref="E368">OR(ISNUMBER(SEARCH(D$2:D$30,$B368,5)))</f>
        <v>0</v>
      </c>
      <c r="G368" s="3" t="str">
        <f t="shared" si="4"/>
        <v>ZZZ</v>
      </c>
      <c r="H368" s="3" t="b">
        <f t="array" ref="H368">OR(ISNUMBER(SEARCH(G$2:G$30,$B368,5)))</f>
        <v>0</v>
      </c>
      <c r="J368" s="3" t="str">
        <f t="shared" si="5"/>
        <v>ZZZ</v>
      </c>
      <c r="K368" s="3" t="b">
        <f t="array" ref="K368">OR(ISNUMBER(SEARCH(J$2:J$30,$B368,5)))</f>
        <v>0</v>
      </c>
      <c r="M368" s="3" t="str">
        <f t="shared" si="6"/>
        <v>ZZZ</v>
      </c>
      <c r="N368" s="3" t="b">
        <f t="array" ref="N368">OR(ISNUMBER(SEARCH(M$2:M$30,$B368,5)))</f>
        <v>0</v>
      </c>
      <c r="P368" s="3" t="str">
        <f t="shared" si="7"/>
        <v>ZZZ</v>
      </c>
      <c r="Q368" s="3" t="b">
        <f t="array" ref="Q368">OR(ISNUMBER(SEARCH(P$2:P$50,$B368,5)))</f>
        <v>0</v>
      </c>
      <c r="S368" s="3" t="str">
        <f t="shared" si="8"/>
        <v>ZZZ</v>
      </c>
      <c r="T368" s="3" t="b">
        <f t="array" ref="T368">OR(ISNUMBER(SEARCH(S$2:S$100,$B368,5)))</f>
        <v>0</v>
      </c>
      <c r="V368" s="3" t="str">
        <f t="shared" si="9"/>
        <v>ZZZ</v>
      </c>
      <c r="W368" s="3" t="b">
        <f t="array" ref="W368">OR(ISNUMBER(SEARCH(V$2:V$100,$B368,5)))</f>
        <v>0</v>
      </c>
      <c r="Y368" s="3" t="str">
        <f t="shared" si="10"/>
        <v>ZZZ</v>
      </c>
      <c r="Z368" s="3" t="b">
        <f t="array" ref="Z368">OR(ISNUMBER(SEARCH(Y$2:Y$100,$B368,5)))</f>
        <v>0</v>
      </c>
      <c r="AB368" s="3" t="str">
        <f t="shared" si="11"/>
        <v>ZZZ</v>
      </c>
      <c r="AC368" s="3" t="b">
        <f t="array" ref="AC368">OR(ISNUMBER(SEARCH(AB$2:AB$100,$B368,5)))</f>
        <v>0</v>
      </c>
      <c r="AE368" s="3" t="str">
        <f t="shared" si="12"/>
        <v>ZZZ</v>
      </c>
      <c r="AF368" s="3" t="b">
        <f t="array" ref="AF368">OR(ISNUMBER(SEARCH(AE$2:AE$100,$B368,5)))</f>
        <v>0</v>
      </c>
      <c r="AH368" s="3" t="str">
        <f t="shared" si="13"/>
        <v>ZZZ</v>
      </c>
      <c r="AI368" s="3" t="b">
        <f t="array" ref="AI368">OR(ISNUMBER(SEARCH(AH$2:AH$100,$B368,5)))</f>
        <v>0</v>
      </c>
      <c r="AK368" s="3" t="str">
        <f t="shared" si="14"/>
        <v>ZZZ</v>
      </c>
      <c r="AL368" s="3" t="b">
        <f t="array" ref="AL368">OR(ISNUMBER(SEARCH(AK$2:AK$100,$B368,5)))</f>
        <v>0</v>
      </c>
      <c r="AU368" s="8"/>
      <c r="AV368" s="6"/>
      <c r="AW368" s="8"/>
      <c r="AX368" s="8"/>
      <c r="AY368" s="6"/>
      <c r="AZ368" s="8"/>
      <c r="BA368" s="8"/>
      <c r="BB368" s="6"/>
      <c r="BC368" s="8"/>
      <c r="BD368" s="8"/>
      <c r="BE368" s="6"/>
      <c r="BF368" s="8"/>
      <c r="BG368" s="8"/>
      <c r="BH368" s="6"/>
      <c r="BI368" s="8"/>
      <c r="BJ368" s="8"/>
      <c r="BK368" s="6"/>
      <c r="BL368" s="8"/>
      <c r="BM368" s="8"/>
      <c r="BN368" s="6"/>
      <c r="BO368" s="8"/>
      <c r="BP368" s="8"/>
      <c r="BQ368" s="6"/>
      <c r="BR368" s="8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/>
      <c r="HT368" s="7"/>
      <c r="HU368" s="7"/>
      <c r="HV368" s="7"/>
      <c r="HW368" s="7"/>
      <c r="HX368" s="7"/>
      <c r="HY368" s="7"/>
      <c r="HZ368" s="7"/>
      <c r="IA368" s="7"/>
      <c r="IB368" s="7"/>
      <c r="IC368" s="7"/>
      <c r="ID368" s="7"/>
      <c r="IE368" s="7"/>
      <c r="IF368" s="7"/>
      <c r="IG368" s="7"/>
      <c r="IH368" s="7"/>
      <c r="II368" s="7"/>
      <c r="IJ368" s="7"/>
      <c r="IK368" s="7"/>
      <c r="IL368" s="7"/>
      <c r="IM368" s="7"/>
      <c r="IN368" s="7"/>
      <c r="IO368" s="7"/>
      <c r="IP368" s="7"/>
      <c r="IQ368" s="7"/>
      <c r="IR368" s="7"/>
      <c r="IS368" s="7"/>
      <c r="IT368" s="7"/>
      <c r="IU368" s="7"/>
      <c r="IV368" s="7"/>
      <c r="IW368" s="7"/>
      <c r="IX368" s="7"/>
      <c r="IY368" s="7"/>
      <c r="IZ368" s="7"/>
      <c r="JA368" s="7"/>
      <c r="JB368" s="7"/>
      <c r="JC368" s="7"/>
      <c r="JD368" s="7"/>
      <c r="JE368" s="7"/>
      <c r="JF368" s="7"/>
      <c r="JG368" s="7"/>
      <c r="JH368" s="7"/>
      <c r="JI368" s="7"/>
      <c r="JJ368" s="7"/>
      <c r="JK368" s="7"/>
      <c r="JL368" s="7"/>
      <c r="JM368" s="7"/>
      <c r="JN368" s="7"/>
      <c r="JO368" s="7"/>
      <c r="JP368" s="7"/>
      <c r="JQ368" s="7"/>
      <c r="JR368" s="7"/>
      <c r="JS368" s="7"/>
      <c r="JT368" s="7"/>
      <c r="JU368" s="7"/>
      <c r="JV368" s="7"/>
      <c r="JW368" s="7"/>
      <c r="JX368" s="7"/>
      <c r="JY368" s="7"/>
      <c r="JZ368" s="7"/>
      <c r="KA368" s="7"/>
      <c r="KB368" s="7"/>
      <c r="KC368" s="7"/>
      <c r="KD368" s="7"/>
      <c r="KE368" s="7"/>
      <c r="KF368" s="7"/>
      <c r="KG368" s="7"/>
      <c r="KH368" s="7"/>
      <c r="KI368" s="7"/>
      <c r="KJ368" s="7"/>
      <c r="KK368" s="7"/>
      <c r="KL368" s="7"/>
      <c r="KM368" s="7"/>
      <c r="KN368" s="7"/>
    </row>
    <row r="369">
      <c r="A369" s="6"/>
      <c r="B369" s="6" t="s">
        <v>369</v>
      </c>
      <c r="C369" s="3" t="str">
        <f t="shared" si="3"/>
        <v>muted bronze</v>
      </c>
      <c r="D369" s="3" t="str">
        <f t="shared" si="17"/>
        <v>ZZZ</v>
      </c>
      <c r="E369" s="3" t="b">
        <f t="array" ref="E369">OR(ISNUMBER(SEARCH(D$2:D$30,$B369,5)))</f>
        <v>0</v>
      </c>
      <c r="G369" s="3" t="str">
        <f t="shared" si="4"/>
        <v>ZZZ</v>
      </c>
      <c r="H369" s="3" t="b">
        <f t="array" ref="H369">OR(ISNUMBER(SEARCH(G$2:G$30,$B369,5)))</f>
        <v>0</v>
      </c>
      <c r="J369" s="3" t="str">
        <f t="shared" si="5"/>
        <v>ZZZ</v>
      </c>
      <c r="K369" s="3" t="b">
        <f t="array" ref="K369">OR(ISNUMBER(SEARCH(J$2:J$30,$B369,5)))</f>
        <v>0</v>
      </c>
      <c r="M369" s="3" t="str">
        <f t="shared" si="6"/>
        <v>ZZZ</v>
      </c>
      <c r="N369" s="3" t="b">
        <f t="array" ref="N369">OR(ISNUMBER(SEARCH(M$2:M$30,$B369,5)))</f>
        <v>0</v>
      </c>
      <c r="P369" s="3" t="str">
        <f t="shared" si="7"/>
        <v>ZZZ</v>
      </c>
      <c r="Q369" s="3" t="b">
        <f t="array" ref="Q369">OR(ISNUMBER(SEARCH(P$2:P$50,$B369,5)))</f>
        <v>0</v>
      </c>
      <c r="S369" s="3" t="str">
        <f t="shared" si="8"/>
        <v>ZZZ</v>
      </c>
      <c r="T369" s="3" t="b">
        <f t="array" ref="T369">OR(ISNUMBER(SEARCH(S$2:S$100,$B369,5)))</f>
        <v>0</v>
      </c>
      <c r="V369" s="3" t="str">
        <f t="shared" si="9"/>
        <v>ZZZ</v>
      </c>
      <c r="W369" s="3" t="b">
        <f t="array" ref="W369">OR(ISNUMBER(SEARCH(V$2:V$100,$B369,5)))</f>
        <v>0</v>
      </c>
      <c r="Y369" s="3" t="str">
        <f t="shared" si="10"/>
        <v>ZZZ</v>
      </c>
      <c r="Z369" s="3" t="b">
        <f t="array" ref="Z369">OR(ISNUMBER(SEARCH(Y$2:Y$100,$B369,5)))</f>
        <v>0</v>
      </c>
      <c r="AB369" s="3" t="str">
        <f t="shared" si="11"/>
        <v>ZZZ</v>
      </c>
      <c r="AC369" s="3" t="b">
        <f t="array" ref="AC369">OR(ISNUMBER(SEARCH(AB$2:AB$100,$B369,5)))</f>
        <v>0</v>
      </c>
      <c r="AE369" s="3" t="str">
        <f t="shared" si="12"/>
        <v>ZZZ</v>
      </c>
      <c r="AF369" s="3" t="b">
        <f t="array" ref="AF369">OR(ISNUMBER(SEARCH(AE$2:AE$100,$B369,5)))</f>
        <v>0</v>
      </c>
      <c r="AH369" s="3" t="str">
        <f t="shared" si="13"/>
        <v>ZZZ</v>
      </c>
      <c r="AI369" s="3" t="b">
        <f t="array" ref="AI369">OR(ISNUMBER(SEARCH(AH$2:AH$100,$B369,5)))</f>
        <v>0</v>
      </c>
      <c r="AK369" s="3" t="str">
        <f t="shared" si="14"/>
        <v>ZZZ</v>
      </c>
      <c r="AL369" s="3" t="b">
        <f t="array" ref="AL369">OR(ISNUMBER(SEARCH(AK$2:AK$100,$B369,5)))</f>
        <v>0</v>
      </c>
      <c r="AU369" s="8"/>
      <c r="AV369" s="6"/>
      <c r="AW369" s="8"/>
      <c r="AX369" s="8"/>
      <c r="AY369" s="6"/>
      <c r="AZ369" s="8"/>
      <c r="BA369" s="8"/>
      <c r="BB369" s="6"/>
      <c r="BC369" s="8"/>
      <c r="BD369" s="8"/>
      <c r="BE369" s="6"/>
      <c r="BF369" s="8"/>
      <c r="BG369" s="8"/>
      <c r="BH369" s="6"/>
      <c r="BI369" s="8"/>
      <c r="BJ369" s="8"/>
      <c r="BK369" s="6"/>
      <c r="BL369" s="8"/>
      <c r="BM369" s="8"/>
      <c r="BN369" s="6"/>
      <c r="BO369" s="8"/>
      <c r="BP369" s="8"/>
      <c r="BQ369" s="6"/>
      <c r="BR369" s="8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  <c r="HQ369" s="7"/>
      <c r="HR369" s="7"/>
      <c r="HS369" s="7"/>
      <c r="HT369" s="7"/>
      <c r="HU369" s="7"/>
      <c r="HV369" s="7"/>
      <c r="HW369" s="7"/>
      <c r="HX369" s="7"/>
      <c r="HY369" s="7"/>
      <c r="HZ369" s="7"/>
      <c r="IA369" s="7"/>
      <c r="IB369" s="7"/>
      <c r="IC369" s="7"/>
      <c r="ID369" s="7"/>
      <c r="IE369" s="7"/>
      <c r="IF369" s="7"/>
      <c r="IG369" s="7"/>
      <c r="IH369" s="7"/>
      <c r="II369" s="7"/>
      <c r="IJ369" s="7"/>
      <c r="IK369" s="7"/>
      <c r="IL369" s="7"/>
      <c r="IM369" s="7"/>
      <c r="IN369" s="7"/>
      <c r="IO369" s="7"/>
      <c r="IP369" s="7"/>
      <c r="IQ369" s="7"/>
      <c r="IR369" s="7"/>
      <c r="IS369" s="7"/>
      <c r="IT369" s="7"/>
      <c r="IU369" s="7"/>
      <c r="IV369" s="7"/>
      <c r="IW369" s="7"/>
      <c r="IX369" s="7"/>
      <c r="IY369" s="7"/>
      <c r="IZ369" s="7"/>
      <c r="JA369" s="7"/>
      <c r="JB369" s="7"/>
      <c r="JC369" s="7"/>
      <c r="JD369" s="7"/>
      <c r="JE369" s="7"/>
      <c r="JF369" s="7"/>
      <c r="JG369" s="7"/>
      <c r="JH369" s="7"/>
      <c r="JI369" s="7"/>
      <c r="JJ369" s="7"/>
      <c r="JK369" s="7"/>
      <c r="JL369" s="7"/>
      <c r="JM369" s="7"/>
      <c r="JN369" s="7"/>
      <c r="JO369" s="7"/>
      <c r="JP369" s="7"/>
      <c r="JQ369" s="7"/>
      <c r="JR369" s="7"/>
      <c r="JS369" s="7"/>
      <c r="JT369" s="7"/>
      <c r="JU369" s="7"/>
      <c r="JV369" s="7"/>
      <c r="JW369" s="7"/>
      <c r="JX369" s="7"/>
      <c r="JY369" s="7"/>
      <c r="JZ369" s="7"/>
      <c r="KA369" s="7"/>
      <c r="KB369" s="7"/>
      <c r="KC369" s="7"/>
      <c r="KD369" s="7"/>
      <c r="KE369" s="7"/>
      <c r="KF369" s="7"/>
      <c r="KG369" s="7"/>
      <c r="KH369" s="7"/>
      <c r="KI369" s="7"/>
      <c r="KJ369" s="7"/>
      <c r="KK369" s="7"/>
      <c r="KL369" s="7"/>
      <c r="KM369" s="7"/>
      <c r="KN369" s="7"/>
    </row>
    <row r="370">
      <c r="A370" s="6"/>
      <c r="B370" s="6" t="s">
        <v>370</v>
      </c>
      <c r="C370" s="3" t="str">
        <f t="shared" si="3"/>
        <v>posh violet</v>
      </c>
      <c r="D370" s="3" t="str">
        <f t="shared" si="17"/>
        <v>ZZZ</v>
      </c>
      <c r="E370" s="3" t="b">
        <f t="array" ref="E370">OR(ISNUMBER(SEARCH(D$2:D$30,$B370,5)))</f>
        <v>0</v>
      </c>
      <c r="G370" s="3" t="str">
        <f t="shared" si="4"/>
        <v>ZZZ</v>
      </c>
      <c r="H370" s="3" t="b">
        <f t="array" ref="H370">OR(ISNUMBER(SEARCH(G$2:G$30,$B370,5)))</f>
        <v>0</v>
      </c>
      <c r="J370" s="3" t="str">
        <f t="shared" si="5"/>
        <v>ZZZ</v>
      </c>
      <c r="K370" s="3" t="b">
        <f t="array" ref="K370">OR(ISNUMBER(SEARCH(J$2:J$30,$B370,5)))</f>
        <v>0</v>
      </c>
      <c r="M370" s="3" t="str">
        <f t="shared" si="6"/>
        <v>ZZZ</v>
      </c>
      <c r="N370" s="3" t="b">
        <f t="array" ref="N370">OR(ISNUMBER(SEARCH(M$2:M$30,$B370,5)))</f>
        <v>0</v>
      </c>
      <c r="P370" s="3" t="str">
        <f t="shared" si="7"/>
        <v>ZZZ</v>
      </c>
      <c r="Q370" s="3" t="b">
        <f t="array" ref="Q370">OR(ISNUMBER(SEARCH(P$2:P$50,$B370,5)))</f>
        <v>0</v>
      </c>
      <c r="S370" s="3" t="str">
        <f t="shared" si="8"/>
        <v>ZZZ</v>
      </c>
      <c r="T370" s="3" t="b">
        <f t="array" ref="T370">OR(ISNUMBER(SEARCH(S$2:S$100,$B370,5)))</f>
        <v>0</v>
      </c>
      <c r="V370" s="3" t="str">
        <f t="shared" si="9"/>
        <v>ZZZ</v>
      </c>
      <c r="W370" s="3" t="b">
        <f t="array" ref="W370">OR(ISNUMBER(SEARCH(V$2:V$100,$B370,5)))</f>
        <v>0</v>
      </c>
      <c r="Y370" s="3" t="str">
        <f t="shared" si="10"/>
        <v>ZZZ</v>
      </c>
      <c r="Z370" s="3" t="b">
        <f t="array" ref="Z370">OR(ISNUMBER(SEARCH(Y$2:Y$100,$B370,5)))</f>
        <v>0</v>
      </c>
      <c r="AB370" s="3" t="str">
        <f t="shared" si="11"/>
        <v>ZZZ</v>
      </c>
      <c r="AC370" s="3" t="b">
        <f t="array" ref="AC370">OR(ISNUMBER(SEARCH(AB$2:AB$100,$B370,5)))</f>
        <v>0</v>
      </c>
      <c r="AE370" s="3" t="str">
        <f t="shared" si="12"/>
        <v>ZZZ</v>
      </c>
      <c r="AF370" s="3" t="b">
        <f t="array" ref="AF370">OR(ISNUMBER(SEARCH(AE$2:AE$100,$B370,5)))</f>
        <v>0</v>
      </c>
      <c r="AH370" s="3" t="str">
        <f t="shared" si="13"/>
        <v>ZZZ</v>
      </c>
      <c r="AI370" s="3" t="b">
        <f t="array" ref="AI370">OR(ISNUMBER(SEARCH(AH$2:AH$100,$B370,5)))</f>
        <v>0</v>
      </c>
      <c r="AK370" s="3" t="str">
        <f t="shared" si="14"/>
        <v>ZZZ</v>
      </c>
      <c r="AL370" s="3" t="b">
        <f t="array" ref="AL370">OR(ISNUMBER(SEARCH(AK$2:AK$100,$B370,5)))</f>
        <v>0</v>
      </c>
      <c r="AU370" s="8"/>
      <c r="AV370" s="6"/>
      <c r="AW370" s="8"/>
      <c r="AX370" s="8"/>
      <c r="AY370" s="6"/>
      <c r="AZ370" s="8"/>
      <c r="BA370" s="8"/>
      <c r="BB370" s="6"/>
      <c r="BC370" s="8"/>
      <c r="BD370" s="8"/>
      <c r="BE370" s="6"/>
      <c r="BF370" s="8"/>
      <c r="BG370" s="8"/>
      <c r="BH370" s="6"/>
      <c r="BI370" s="8"/>
      <c r="BJ370" s="8"/>
      <c r="BK370" s="6"/>
      <c r="BL370" s="8"/>
      <c r="BM370" s="8"/>
      <c r="BN370" s="6"/>
      <c r="BO370" s="8"/>
      <c r="BP370" s="8"/>
      <c r="BQ370" s="6"/>
      <c r="BR370" s="8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  <c r="HU370" s="7"/>
      <c r="HV370" s="7"/>
      <c r="HW370" s="7"/>
      <c r="HX370" s="7"/>
      <c r="HY370" s="7"/>
      <c r="HZ370" s="7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7"/>
      <c r="IQ370" s="7"/>
      <c r="IR370" s="7"/>
      <c r="IS370" s="7"/>
      <c r="IT370" s="7"/>
      <c r="IU370" s="7"/>
      <c r="IV370" s="7"/>
      <c r="IW370" s="7"/>
      <c r="IX370" s="7"/>
      <c r="IY370" s="7"/>
      <c r="IZ370" s="7"/>
      <c r="JA370" s="7"/>
      <c r="JB370" s="7"/>
      <c r="JC370" s="7"/>
      <c r="JD370" s="7"/>
      <c r="JE370" s="7"/>
      <c r="JF370" s="7"/>
      <c r="JG370" s="7"/>
      <c r="JH370" s="7"/>
      <c r="JI370" s="7"/>
      <c r="JJ370" s="7"/>
      <c r="JK370" s="7"/>
      <c r="JL370" s="7"/>
      <c r="JM370" s="7"/>
      <c r="JN370" s="7"/>
      <c r="JO370" s="7"/>
      <c r="JP370" s="7"/>
      <c r="JQ370" s="7"/>
      <c r="JR370" s="7"/>
      <c r="JS370" s="7"/>
      <c r="JT370" s="7"/>
      <c r="JU370" s="7"/>
      <c r="JV370" s="7"/>
      <c r="JW370" s="7"/>
      <c r="JX370" s="7"/>
      <c r="JY370" s="7"/>
      <c r="JZ370" s="7"/>
      <c r="KA370" s="7"/>
      <c r="KB370" s="7"/>
      <c r="KC370" s="7"/>
      <c r="KD370" s="7"/>
      <c r="KE370" s="7"/>
      <c r="KF370" s="7"/>
      <c r="KG370" s="7"/>
      <c r="KH370" s="7"/>
      <c r="KI370" s="7"/>
      <c r="KJ370" s="7"/>
      <c r="KK370" s="7"/>
      <c r="KL370" s="7"/>
      <c r="KM370" s="7"/>
      <c r="KN370" s="7"/>
    </row>
    <row r="371">
      <c r="A371" s="6"/>
      <c r="B371" s="6" t="s">
        <v>371</v>
      </c>
      <c r="C371" s="3" t="str">
        <f t="shared" si="3"/>
        <v>clear green</v>
      </c>
      <c r="D371" s="3" t="str">
        <f t="shared" si="17"/>
        <v>ZZZ</v>
      </c>
      <c r="E371" s="3" t="b">
        <f t="array" ref="E371">OR(ISNUMBER(SEARCH(D$2:D$30,$B371,5)))</f>
        <v>0</v>
      </c>
      <c r="G371" s="3" t="str">
        <f t="shared" si="4"/>
        <v>ZZZ</v>
      </c>
      <c r="H371" s="3" t="b">
        <f t="array" ref="H371">OR(ISNUMBER(SEARCH(G$2:G$30,$B371,5)))</f>
        <v>0</v>
      </c>
      <c r="J371" s="3" t="str">
        <f t="shared" si="5"/>
        <v>ZZZ</v>
      </c>
      <c r="K371" s="3" t="b">
        <f t="array" ref="K371">OR(ISNUMBER(SEARCH(J$2:J$30,$B371,5)))</f>
        <v>0</v>
      </c>
      <c r="M371" s="3" t="str">
        <f t="shared" si="6"/>
        <v>ZZZ</v>
      </c>
      <c r="N371" s="3" t="b">
        <f t="array" ref="N371">OR(ISNUMBER(SEARCH(M$2:M$30,$B371,5)))</f>
        <v>0</v>
      </c>
      <c r="P371" s="3" t="str">
        <f t="shared" si="7"/>
        <v>ZZZ</v>
      </c>
      <c r="Q371" s="3" t="b">
        <f t="array" ref="Q371">OR(ISNUMBER(SEARCH(P$2:P$50,$B371,5)))</f>
        <v>0</v>
      </c>
      <c r="S371" s="3" t="str">
        <f t="shared" si="8"/>
        <v>ZZZ</v>
      </c>
      <c r="T371" s="3" t="b">
        <f t="array" ref="T371">OR(ISNUMBER(SEARCH(S$2:S$100,$B371,5)))</f>
        <v>0</v>
      </c>
      <c r="V371" s="3" t="str">
        <f t="shared" si="9"/>
        <v>ZZZ</v>
      </c>
      <c r="W371" s="3" t="b">
        <f t="array" ref="W371">OR(ISNUMBER(SEARCH(V$2:V$100,$B371,5)))</f>
        <v>0</v>
      </c>
      <c r="Y371" s="3" t="str">
        <f t="shared" si="10"/>
        <v>ZZZ</v>
      </c>
      <c r="Z371" s="3" t="b">
        <f t="array" ref="Z371">OR(ISNUMBER(SEARCH(Y$2:Y$100,$B371,5)))</f>
        <v>0</v>
      </c>
      <c r="AB371" s="3" t="str">
        <f t="shared" si="11"/>
        <v>ZZZ</v>
      </c>
      <c r="AC371" s="3" t="b">
        <f t="array" ref="AC371">OR(ISNUMBER(SEARCH(AB$2:AB$100,$B371,5)))</f>
        <v>0</v>
      </c>
      <c r="AE371" s="3" t="str">
        <f t="shared" si="12"/>
        <v>ZZZ</v>
      </c>
      <c r="AF371" s="3" t="b">
        <f t="array" ref="AF371">OR(ISNUMBER(SEARCH(AE$2:AE$100,$B371,5)))</f>
        <v>0</v>
      </c>
      <c r="AH371" s="3" t="str">
        <f t="shared" si="13"/>
        <v>ZZZ</v>
      </c>
      <c r="AI371" s="3" t="b">
        <f t="array" ref="AI371">OR(ISNUMBER(SEARCH(AH$2:AH$100,$B371,5)))</f>
        <v>0</v>
      </c>
      <c r="AK371" s="3" t="str">
        <f t="shared" si="14"/>
        <v>ZZZ</v>
      </c>
      <c r="AL371" s="3" t="b">
        <f t="array" ref="AL371">OR(ISNUMBER(SEARCH(AK$2:AK$100,$B371,5)))</f>
        <v>0</v>
      </c>
      <c r="AU371" s="8"/>
      <c r="AV371" s="6"/>
      <c r="AW371" s="8"/>
      <c r="AX371" s="8"/>
      <c r="AY371" s="6"/>
      <c r="AZ371" s="8"/>
      <c r="BA371" s="8"/>
      <c r="BB371" s="6"/>
      <c r="BC371" s="8"/>
      <c r="BD371" s="8"/>
      <c r="BE371" s="6"/>
      <c r="BF371" s="8"/>
      <c r="BG371" s="8"/>
      <c r="BH371" s="6"/>
      <c r="BI371" s="8"/>
      <c r="BJ371" s="8"/>
      <c r="BK371" s="6"/>
      <c r="BL371" s="8"/>
      <c r="BM371" s="8"/>
      <c r="BN371" s="6"/>
      <c r="BO371" s="8"/>
      <c r="BP371" s="8"/>
      <c r="BQ371" s="6"/>
      <c r="BR371" s="8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/>
      <c r="HT371" s="7"/>
      <c r="HU371" s="7"/>
      <c r="HV371" s="7"/>
      <c r="HW371" s="7"/>
      <c r="HX371" s="7"/>
      <c r="HY371" s="7"/>
      <c r="HZ371" s="7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7"/>
      <c r="IQ371" s="7"/>
      <c r="IR371" s="7"/>
      <c r="IS371" s="7"/>
      <c r="IT371" s="7"/>
      <c r="IU371" s="7"/>
      <c r="IV371" s="7"/>
      <c r="IW371" s="7"/>
      <c r="IX371" s="7"/>
      <c r="IY371" s="7"/>
      <c r="IZ371" s="7"/>
      <c r="JA371" s="7"/>
      <c r="JB371" s="7"/>
      <c r="JC371" s="7"/>
      <c r="JD371" s="7"/>
      <c r="JE371" s="7"/>
      <c r="JF371" s="7"/>
      <c r="JG371" s="7"/>
      <c r="JH371" s="7"/>
      <c r="JI371" s="7"/>
      <c r="JJ371" s="7"/>
      <c r="JK371" s="7"/>
      <c r="JL371" s="7"/>
      <c r="JM371" s="7"/>
      <c r="JN371" s="7"/>
      <c r="JO371" s="7"/>
      <c r="JP371" s="7"/>
      <c r="JQ371" s="7"/>
      <c r="JR371" s="7"/>
      <c r="JS371" s="7"/>
      <c r="JT371" s="7"/>
      <c r="JU371" s="7"/>
      <c r="JV371" s="7"/>
      <c r="JW371" s="7"/>
      <c r="JX371" s="7"/>
      <c r="JY371" s="7"/>
      <c r="JZ371" s="7"/>
      <c r="KA371" s="7"/>
      <c r="KB371" s="7"/>
      <c r="KC371" s="7"/>
      <c r="KD371" s="7"/>
      <c r="KE371" s="7"/>
      <c r="KF371" s="7"/>
      <c r="KG371" s="7"/>
      <c r="KH371" s="7"/>
      <c r="KI371" s="7"/>
      <c r="KJ371" s="7"/>
      <c r="KK371" s="7"/>
      <c r="KL371" s="7"/>
      <c r="KM371" s="7"/>
      <c r="KN371" s="7"/>
    </row>
    <row r="372">
      <c r="A372" s="6"/>
      <c r="B372" s="6" t="s">
        <v>372</v>
      </c>
      <c r="C372" s="3" t="str">
        <f t="shared" si="3"/>
        <v>dotted plum</v>
      </c>
      <c r="D372" s="3" t="str">
        <f t="shared" si="17"/>
        <v>ZZZ</v>
      </c>
      <c r="E372" s="3" t="b">
        <f t="array" ref="E372">OR(ISNUMBER(SEARCH(D$2:D$30,$B372,5)))</f>
        <v>0</v>
      </c>
      <c r="G372" s="3" t="str">
        <f t="shared" si="4"/>
        <v>ZZZ</v>
      </c>
      <c r="H372" s="3" t="b">
        <f t="array" ref="H372">OR(ISNUMBER(SEARCH(G$2:G$30,$B372,5)))</f>
        <v>0</v>
      </c>
      <c r="J372" s="3" t="str">
        <f t="shared" si="5"/>
        <v>ZZZ</v>
      </c>
      <c r="K372" s="3" t="b">
        <f t="array" ref="K372">OR(ISNUMBER(SEARCH(J$2:J$30,$B372,5)))</f>
        <v>0</v>
      </c>
      <c r="M372" s="3" t="str">
        <f t="shared" si="6"/>
        <v>ZZZ</v>
      </c>
      <c r="N372" s="3" t="b">
        <f t="array" ref="N372">OR(ISNUMBER(SEARCH(M$2:M$30,$B372,5)))</f>
        <v>1</v>
      </c>
      <c r="P372" s="3" t="str">
        <f t="shared" si="7"/>
        <v>ZZZ</v>
      </c>
      <c r="Q372" s="3" t="b">
        <f t="array" ref="Q372">OR(ISNUMBER(SEARCH(P$2:P$50,$B372,5)))</f>
        <v>0</v>
      </c>
      <c r="S372" s="3" t="str">
        <f t="shared" si="8"/>
        <v>ZZZ</v>
      </c>
      <c r="T372" s="3" t="b">
        <f t="array" ref="T372">OR(ISNUMBER(SEARCH(S$2:S$100,$B372,5)))</f>
        <v>0</v>
      </c>
      <c r="V372" s="3" t="str">
        <f t="shared" si="9"/>
        <v>ZZZ</v>
      </c>
      <c r="W372" s="3" t="b">
        <f t="array" ref="W372">OR(ISNUMBER(SEARCH(V$2:V$100,$B372,5)))</f>
        <v>0</v>
      </c>
      <c r="Y372" s="3" t="str">
        <f t="shared" si="10"/>
        <v>ZZZ</v>
      </c>
      <c r="Z372" s="3" t="b">
        <f t="array" ref="Z372">OR(ISNUMBER(SEARCH(Y$2:Y$100,$B372,5)))</f>
        <v>0</v>
      </c>
      <c r="AB372" s="3" t="str">
        <f t="shared" si="11"/>
        <v>ZZZ</v>
      </c>
      <c r="AC372" s="3" t="b">
        <f t="array" ref="AC372">OR(ISNUMBER(SEARCH(AB$2:AB$100,$B372,5)))</f>
        <v>0</v>
      </c>
      <c r="AE372" s="3" t="str">
        <f t="shared" si="12"/>
        <v>ZZZ</v>
      </c>
      <c r="AF372" s="3" t="b">
        <f t="array" ref="AF372">OR(ISNUMBER(SEARCH(AE$2:AE$100,$B372,5)))</f>
        <v>0</v>
      </c>
      <c r="AH372" s="3" t="str">
        <f t="shared" si="13"/>
        <v>ZZZ</v>
      </c>
      <c r="AI372" s="3" t="b">
        <f t="array" ref="AI372">OR(ISNUMBER(SEARCH(AH$2:AH$100,$B372,5)))</f>
        <v>0</v>
      </c>
      <c r="AK372" s="3" t="str">
        <f t="shared" si="14"/>
        <v>ZZZ</v>
      </c>
      <c r="AL372" s="3" t="b">
        <f t="array" ref="AL372">OR(ISNUMBER(SEARCH(AK$2:AK$100,$B372,5)))</f>
        <v>0</v>
      </c>
      <c r="AU372" s="8"/>
      <c r="AV372" s="6"/>
      <c r="AW372" s="8"/>
      <c r="AX372" s="8"/>
      <c r="AY372" s="6"/>
      <c r="AZ372" s="8"/>
      <c r="BA372" s="8"/>
      <c r="BB372" s="6"/>
      <c r="BC372" s="8"/>
      <c r="BD372" s="8"/>
      <c r="BE372" s="6"/>
      <c r="BF372" s="8"/>
      <c r="BG372" s="8"/>
      <c r="BH372" s="6"/>
      <c r="BI372" s="8"/>
      <c r="BJ372" s="8"/>
      <c r="BK372" s="6"/>
      <c r="BL372" s="8"/>
      <c r="BM372" s="8"/>
      <c r="BN372" s="6"/>
      <c r="BO372" s="8"/>
      <c r="BP372" s="8"/>
      <c r="BQ372" s="6"/>
      <c r="BR372" s="8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  <c r="HQ372" s="7"/>
      <c r="HR372" s="7"/>
      <c r="HS372" s="7"/>
      <c r="HT372" s="7"/>
      <c r="HU372" s="7"/>
      <c r="HV372" s="7"/>
      <c r="HW372" s="7"/>
      <c r="HX372" s="7"/>
      <c r="HY372" s="7"/>
      <c r="HZ372" s="7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7"/>
      <c r="IQ372" s="7"/>
      <c r="IR372" s="7"/>
      <c r="IS372" s="7"/>
      <c r="IT372" s="7"/>
      <c r="IU372" s="7"/>
      <c r="IV372" s="7"/>
      <c r="IW372" s="7"/>
      <c r="IX372" s="7"/>
      <c r="IY372" s="7"/>
      <c r="IZ372" s="7"/>
      <c r="JA372" s="7"/>
      <c r="JB372" s="7"/>
      <c r="JC372" s="7"/>
      <c r="JD372" s="7"/>
      <c r="JE372" s="7"/>
      <c r="JF372" s="7"/>
      <c r="JG372" s="7"/>
      <c r="JH372" s="7"/>
      <c r="JI372" s="7"/>
      <c r="JJ372" s="7"/>
      <c r="JK372" s="7"/>
      <c r="JL372" s="7"/>
      <c r="JM372" s="7"/>
      <c r="JN372" s="7"/>
      <c r="JO372" s="7"/>
      <c r="JP372" s="7"/>
      <c r="JQ372" s="7"/>
      <c r="JR372" s="7"/>
      <c r="JS372" s="7"/>
      <c r="JT372" s="7"/>
      <c r="JU372" s="7"/>
      <c r="JV372" s="7"/>
      <c r="JW372" s="7"/>
      <c r="JX372" s="7"/>
      <c r="JY372" s="7"/>
      <c r="JZ372" s="7"/>
      <c r="KA372" s="7"/>
      <c r="KB372" s="7"/>
      <c r="KC372" s="7"/>
      <c r="KD372" s="7"/>
      <c r="KE372" s="7"/>
      <c r="KF372" s="7"/>
      <c r="KG372" s="7"/>
      <c r="KH372" s="7"/>
      <c r="KI372" s="7"/>
      <c r="KJ372" s="7"/>
      <c r="KK372" s="7"/>
      <c r="KL372" s="7"/>
      <c r="KM372" s="7"/>
      <c r="KN372" s="7"/>
    </row>
    <row r="373">
      <c r="A373" s="6"/>
      <c r="B373" s="6" t="s">
        <v>373</v>
      </c>
      <c r="C373" s="3" t="str">
        <f t="shared" si="3"/>
        <v>drab olive</v>
      </c>
      <c r="D373" s="3" t="str">
        <f t="shared" si="17"/>
        <v>ZZZ</v>
      </c>
      <c r="E373" s="3" t="b">
        <f t="array" ref="E373">OR(ISNUMBER(SEARCH(D$2:D$30,$B373,5)))</f>
        <v>0</v>
      </c>
      <c r="G373" s="3" t="str">
        <f t="shared" si="4"/>
        <v>ZZZ</v>
      </c>
      <c r="H373" s="3" t="b">
        <f t="array" ref="H373">OR(ISNUMBER(SEARCH(G$2:G$30,$B373,5)))</f>
        <v>0</v>
      </c>
      <c r="J373" s="3" t="str">
        <f t="shared" si="5"/>
        <v>ZZZ</v>
      </c>
      <c r="K373" s="3" t="b">
        <f t="array" ref="K373">OR(ISNUMBER(SEARCH(J$2:J$30,$B373,5)))</f>
        <v>0</v>
      </c>
      <c r="M373" s="3" t="str">
        <f t="shared" si="6"/>
        <v>ZZZ</v>
      </c>
      <c r="N373" s="3" t="b">
        <f t="array" ref="N373">OR(ISNUMBER(SEARCH(M$2:M$30,$B373,5)))</f>
        <v>0</v>
      </c>
      <c r="P373" s="3" t="str">
        <f t="shared" si="7"/>
        <v>ZZZ</v>
      </c>
      <c r="Q373" s="3" t="b">
        <f t="array" ref="Q373">OR(ISNUMBER(SEARCH(P$2:P$50,$B373,5)))</f>
        <v>0</v>
      </c>
      <c r="S373" s="3" t="str">
        <f t="shared" si="8"/>
        <v>ZZZ</v>
      </c>
      <c r="T373" s="3" t="b">
        <f t="array" ref="T373">OR(ISNUMBER(SEARCH(S$2:S$100,$B373,5)))</f>
        <v>0</v>
      </c>
      <c r="V373" s="3" t="str">
        <f t="shared" si="9"/>
        <v>ZZZ</v>
      </c>
      <c r="W373" s="3" t="b">
        <f t="array" ref="W373">OR(ISNUMBER(SEARCH(V$2:V$100,$B373,5)))</f>
        <v>0</v>
      </c>
      <c r="Y373" s="3" t="str">
        <f t="shared" si="10"/>
        <v>ZZZ</v>
      </c>
      <c r="Z373" s="3" t="b">
        <f t="array" ref="Z373">OR(ISNUMBER(SEARCH(Y$2:Y$100,$B373,5)))</f>
        <v>0</v>
      </c>
      <c r="AB373" s="3" t="str">
        <f t="shared" si="11"/>
        <v>ZZZ</v>
      </c>
      <c r="AC373" s="3" t="b">
        <f t="array" ref="AC373">OR(ISNUMBER(SEARCH(AB$2:AB$100,$B373,5)))</f>
        <v>0</v>
      </c>
      <c r="AE373" s="3" t="str">
        <f t="shared" si="12"/>
        <v>ZZZ</v>
      </c>
      <c r="AF373" s="3" t="b">
        <f t="array" ref="AF373">OR(ISNUMBER(SEARCH(AE$2:AE$100,$B373,5)))</f>
        <v>0</v>
      </c>
      <c r="AH373" s="3" t="str">
        <f t="shared" si="13"/>
        <v>ZZZ</v>
      </c>
      <c r="AI373" s="3" t="b">
        <f t="array" ref="AI373">OR(ISNUMBER(SEARCH(AH$2:AH$100,$B373,5)))</f>
        <v>0</v>
      </c>
      <c r="AK373" s="3" t="str">
        <f t="shared" si="14"/>
        <v>ZZZ</v>
      </c>
      <c r="AL373" s="3" t="b">
        <f t="array" ref="AL373">OR(ISNUMBER(SEARCH(AK$2:AK$100,$B373,5)))</f>
        <v>0</v>
      </c>
      <c r="AU373" s="8"/>
      <c r="AV373" s="6"/>
      <c r="AW373" s="8"/>
      <c r="AX373" s="8"/>
      <c r="AY373" s="6"/>
      <c r="AZ373" s="8"/>
      <c r="BA373" s="8"/>
      <c r="BB373" s="6"/>
      <c r="BC373" s="8"/>
      <c r="BD373" s="8"/>
      <c r="BE373" s="6"/>
      <c r="BF373" s="8"/>
      <c r="BG373" s="8"/>
      <c r="BH373" s="6"/>
      <c r="BI373" s="8"/>
      <c r="BJ373" s="8"/>
      <c r="BK373" s="6"/>
      <c r="BL373" s="8"/>
      <c r="BM373" s="8"/>
      <c r="BN373" s="6"/>
      <c r="BO373" s="8"/>
      <c r="BP373" s="8"/>
      <c r="BQ373" s="6"/>
      <c r="BR373" s="8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/>
      <c r="HT373" s="7"/>
      <c r="HU373" s="7"/>
      <c r="HV373" s="7"/>
      <c r="HW373" s="7"/>
      <c r="HX373" s="7"/>
      <c r="HY373" s="7"/>
      <c r="HZ373" s="7"/>
      <c r="IA373" s="7"/>
      <c r="IB373" s="7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  <c r="IT373" s="7"/>
      <c r="IU373" s="7"/>
      <c r="IV373" s="7"/>
      <c r="IW373" s="7"/>
      <c r="IX373" s="7"/>
      <c r="IY373" s="7"/>
      <c r="IZ373" s="7"/>
      <c r="JA373" s="7"/>
      <c r="JB373" s="7"/>
      <c r="JC373" s="7"/>
      <c r="JD373" s="7"/>
      <c r="JE373" s="7"/>
      <c r="JF373" s="7"/>
      <c r="JG373" s="7"/>
      <c r="JH373" s="7"/>
      <c r="JI373" s="7"/>
      <c r="JJ373" s="7"/>
      <c r="JK373" s="7"/>
      <c r="JL373" s="7"/>
      <c r="JM373" s="7"/>
      <c r="JN373" s="7"/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7"/>
      <c r="KA373" s="7"/>
      <c r="KB373" s="7"/>
      <c r="KC373" s="7"/>
      <c r="KD373" s="7"/>
      <c r="KE373" s="7"/>
      <c r="KF373" s="7"/>
      <c r="KG373" s="7"/>
      <c r="KH373" s="7"/>
      <c r="KI373" s="7"/>
      <c r="KJ373" s="7"/>
      <c r="KK373" s="7"/>
      <c r="KL373" s="7"/>
      <c r="KM373" s="7"/>
      <c r="KN373" s="7"/>
    </row>
    <row r="374">
      <c r="A374" s="6"/>
      <c r="B374" s="6" t="s">
        <v>374</v>
      </c>
      <c r="C374" s="3" t="str">
        <f t="shared" si="3"/>
        <v>wavy turquoise</v>
      </c>
      <c r="D374" s="3" t="str">
        <f t="shared" si="17"/>
        <v>ZZZ</v>
      </c>
      <c r="E374" s="3" t="b">
        <f t="array" ref="E374">OR(ISNUMBER(SEARCH(D$2:D$30,$B374,5)))</f>
        <v>0</v>
      </c>
      <c r="G374" s="3" t="str">
        <f t="shared" si="4"/>
        <v>ZZZ</v>
      </c>
      <c r="H374" s="3" t="b">
        <f t="array" ref="H374">OR(ISNUMBER(SEARCH(G$2:G$30,$B374,5)))</f>
        <v>0</v>
      </c>
      <c r="J374" s="3" t="str">
        <f t="shared" si="5"/>
        <v>ZZZ</v>
      </c>
      <c r="K374" s="3" t="b">
        <f t="array" ref="K374">OR(ISNUMBER(SEARCH(J$2:J$30,$B374,5)))</f>
        <v>0</v>
      </c>
      <c r="M374" s="3" t="str">
        <f t="shared" si="6"/>
        <v>ZZZ</v>
      </c>
      <c r="N374" s="3" t="b">
        <f t="array" ref="N374">OR(ISNUMBER(SEARCH(M$2:M$30,$B374,5)))</f>
        <v>0</v>
      </c>
      <c r="P374" s="3" t="str">
        <f t="shared" si="7"/>
        <v>ZZZ</v>
      </c>
      <c r="Q374" s="3" t="b">
        <f t="array" ref="Q374">OR(ISNUMBER(SEARCH(P$2:P$50,$B374,5)))</f>
        <v>0</v>
      </c>
      <c r="S374" s="3" t="str">
        <f t="shared" si="8"/>
        <v>ZZZ</v>
      </c>
      <c r="T374" s="3" t="b">
        <f t="array" ref="T374">OR(ISNUMBER(SEARCH(S$2:S$100,$B374,5)))</f>
        <v>0</v>
      </c>
      <c r="V374" s="3" t="str">
        <f t="shared" si="9"/>
        <v>ZZZ</v>
      </c>
      <c r="W374" s="3" t="b">
        <f t="array" ref="W374">OR(ISNUMBER(SEARCH(V$2:V$100,$B374,5)))</f>
        <v>0</v>
      </c>
      <c r="Y374" s="3" t="str">
        <f t="shared" si="10"/>
        <v>ZZZ</v>
      </c>
      <c r="Z374" s="3" t="b">
        <f t="array" ref="Z374">OR(ISNUMBER(SEARCH(Y$2:Y$100,$B374,5)))</f>
        <v>0</v>
      </c>
      <c r="AB374" s="3" t="str">
        <f t="shared" si="11"/>
        <v>ZZZ</v>
      </c>
      <c r="AC374" s="3" t="b">
        <f t="array" ref="AC374">OR(ISNUMBER(SEARCH(AB$2:AB$100,$B374,5)))</f>
        <v>0</v>
      </c>
      <c r="AE374" s="3" t="str">
        <f t="shared" si="12"/>
        <v>ZZZ</v>
      </c>
      <c r="AF374" s="3" t="b">
        <f t="array" ref="AF374">OR(ISNUMBER(SEARCH(AE$2:AE$100,$B374,5)))</f>
        <v>0</v>
      </c>
      <c r="AH374" s="3" t="str">
        <f t="shared" si="13"/>
        <v>ZZZ</v>
      </c>
      <c r="AI374" s="3" t="b">
        <f t="array" ref="AI374">OR(ISNUMBER(SEARCH(AH$2:AH$100,$B374,5)))</f>
        <v>0</v>
      </c>
      <c r="AK374" s="3" t="str">
        <f t="shared" si="14"/>
        <v>ZZZ</v>
      </c>
      <c r="AL374" s="3" t="b">
        <f t="array" ref="AL374">OR(ISNUMBER(SEARCH(AK$2:AK$100,$B374,5)))</f>
        <v>0</v>
      </c>
      <c r="AU374" s="8"/>
      <c r="AV374" s="6"/>
      <c r="AW374" s="8"/>
      <c r="AX374" s="8"/>
      <c r="AY374" s="6"/>
      <c r="AZ374" s="8"/>
      <c r="BA374" s="8"/>
      <c r="BB374" s="6"/>
      <c r="BC374" s="8"/>
      <c r="BD374" s="8"/>
      <c r="BE374" s="6"/>
      <c r="BF374" s="8"/>
      <c r="BG374" s="8"/>
      <c r="BH374" s="6"/>
      <c r="BI374" s="8"/>
      <c r="BJ374" s="8"/>
      <c r="BK374" s="6"/>
      <c r="BL374" s="8"/>
      <c r="BM374" s="8"/>
      <c r="BN374" s="6"/>
      <c r="BO374" s="8"/>
      <c r="BP374" s="8"/>
      <c r="BQ374" s="6"/>
      <c r="BR374" s="8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  <c r="HU374" s="7"/>
      <c r="HV374" s="7"/>
      <c r="HW374" s="7"/>
      <c r="HX374" s="7"/>
      <c r="HY374" s="7"/>
      <c r="HZ374" s="7"/>
      <c r="IA374" s="7"/>
      <c r="IB374" s="7"/>
      <c r="IC374" s="7"/>
      <c r="ID374" s="7"/>
      <c r="IE374" s="7"/>
      <c r="IF374" s="7"/>
      <c r="IG374" s="7"/>
      <c r="IH374" s="7"/>
      <c r="II374" s="7"/>
      <c r="IJ374" s="7"/>
      <c r="IK374" s="7"/>
      <c r="IL374" s="7"/>
      <c r="IM374" s="7"/>
      <c r="IN374" s="7"/>
      <c r="IO374" s="7"/>
      <c r="IP374" s="7"/>
      <c r="IQ374" s="7"/>
      <c r="IR374" s="7"/>
      <c r="IS374" s="7"/>
      <c r="IT374" s="7"/>
      <c r="IU374" s="7"/>
      <c r="IV374" s="7"/>
      <c r="IW374" s="7"/>
      <c r="IX374" s="7"/>
      <c r="IY374" s="7"/>
      <c r="IZ374" s="7"/>
      <c r="JA374" s="7"/>
      <c r="JB374" s="7"/>
      <c r="JC374" s="7"/>
      <c r="JD374" s="7"/>
      <c r="JE374" s="7"/>
      <c r="JF374" s="7"/>
      <c r="JG374" s="7"/>
      <c r="JH374" s="7"/>
      <c r="JI374" s="7"/>
      <c r="JJ374" s="7"/>
      <c r="JK374" s="7"/>
      <c r="JL374" s="7"/>
      <c r="JM374" s="7"/>
      <c r="JN374" s="7"/>
      <c r="JO374" s="7"/>
      <c r="JP374" s="7"/>
      <c r="JQ374" s="7"/>
      <c r="JR374" s="7"/>
      <c r="JS374" s="7"/>
      <c r="JT374" s="7"/>
      <c r="JU374" s="7"/>
      <c r="JV374" s="7"/>
      <c r="JW374" s="7"/>
      <c r="JX374" s="7"/>
      <c r="JY374" s="7"/>
      <c r="JZ374" s="7"/>
      <c r="KA374" s="7"/>
      <c r="KB374" s="7"/>
      <c r="KC374" s="7"/>
      <c r="KD374" s="7"/>
      <c r="KE374" s="7"/>
      <c r="KF374" s="7"/>
      <c r="KG374" s="7"/>
      <c r="KH374" s="7"/>
      <c r="KI374" s="7"/>
      <c r="KJ374" s="7"/>
      <c r="KK374" s="7"/>
      <c r="KL374" s="7"/>
      <c r="KM374" s="7"/>
      <c r="KN374" s="7"/>
    </row>
    <row r="375">
      <c r="A375" s="6"/>
      <c r="B375" s="6" t="s">
        <v>375</v>
      </c>
      <c r="C375" s="3" t="str">
        <f t="shared" si="3"/>
        <v>dark violet</v>
      </c>
      <c r="D375" s="3" t="str">
        <f t="shared" si="17"/>
        <v>ZZZ</v>
      </c>
      <c r="E375" s="3" t="b">
        <f t="array" ref="E375">OR(ISNUMBER(SEARCH(D$2:D$30,$B375,5)))</f>
        <v>0</v>
      </c>
      <c r="G375" s="3" t="str">
        <f t="shared" si="4"/>
        <v>ZZZ</v>
      </c>
      <c r="H375" s="3" t="b">
        <f t="array" ref="H375">OR(ISNUMBER(SEARCH(G$2:G$30,$B375,5)))</f>
        <v>0</v>
      </c>
      <c r="J375" s="3" t="str">
        <f t="shared" si="5"/>
        <v>ZZZ</v>
      </c>
      <c r="K375" s="3" t="b">
        <f t="array" ref="K375">OR(ISNUMBER(SEARCH(J$2:J$30,$B375,5)))</f>
        <v>1</v>
      </c>
      <c r="M375" s="3" t="str">
        <f t="shared" si="6"/>
        <v>ZZZ</v>
      </c>
      <c r="N375" s="3" t="b">
        <f t="array" ref="N375">OR(ISNUMBER(SEARCH(M$2:M$30,$B375,5)))</f>
        <v>0</v>
      </c>
      <c r="P375" s="3" t="str">
        <f t="shared" si="7"/>
        <v>ZZZ</v>
      </c>
      <c r="Q375" s="3" t="b">
        <f t="array" ref="Q375">OR(ISNUMBER(SEARCH(P$2:P$50,$B375,5)))</f>
        <v>0</v>
      </c>
      <c r="S375" s="3" t="str">
        <f t="shared" si="8"/>
        <v>ZZZ</v>
      </c>
      <c r="T375" s="3" t="b">
        <f t="array" ref="T375">OR(ISNUMBER(SEARCH(S$2:S$100,$B375,5)))</f>
        <v>0</v>
      </c>
      <c r="V375" s="3" t="str">
        <f t="shared" si="9"/>
        <v>ZZZ</v>
      </c>
      <c r="W375" s="3" t="b">
        <f t="array" ref="W375">OR(ISNUMBER(SEARCH(V$2:V$100,$B375,5)))</f>
        <v>0</v>
      </c>
      <c r="Y375" s="3" t="str">
        <f t="shared" si="10"/>
        <v>ZZZ</v>
      </c>
      <c r="Z375" s="3" t="b">
        <f t="array" ref="Z375">OR(ISNUMBER(SEARCH(Y$2:Y$100,$B375,5)))</f>
        <v>0</v>
      </c>
      <c r="AB375" s="3" t="str">
        <f t="shared" si="11"/>
        <v>ZZZ</v>
      </c>
      <c r="AC375" s="3" t="b">
        <f t="array" ref="AC375">OR(ISNUMBER(SEARCH(AB$2:AB$100,$B375,5)))</f>
        <v>0</v>
      </c>
      <c r="AE375" s="3" t="str">
        <f t="shared" si="12"/>
        <v>ZZZ</v>
      </c>
      <c r="AF375" s="3" t="b">
        <f t="array" ref="AF375">OR(ISNUMBER(SEARCH(AE$2:AE$100,$B375,5)))</f>
        <v>0</v>
      </c>
      <c r="AH375" s="3" t="str">
        <f t="shared" si="13"/>
        <v>ZZZ</v>
      </c>
      <c r="AI375" s="3" t="b">
        <f t="array" ref="AI375">OR(ISNUMBER(SEARCH(AH$2:AH$100,$B375,5)))</f>
        <v>0</v>
      </c>
      <c r="AK375" s="3" t="str">
        <f t="shared" si="14"/>
        <v>ZZZ</v>
      </c>
      <c r="AL375" s="3" t="b">
        <f t="array" ref="AL375">OR(ISNUMBER(SEARCH(AK$2:AK$100,$B375,5)))</f>
        <v>0</v>
      </c>
      <c r="AU375" s="8"/>
      <c r="AV375" s="6"/>
      <c r="AW375" s="8"/>
      <c r="AX375" s="8"/>
      <c r="AY375" s="6"/>
      <c r="AZ375" s="8"/>
      <c r="BA375" s="8"/>
      <c r="BB375" s="6"/>
      <c r="BC375" s="8"/>
      <c r="BD375" s="8"/>
      <c r="BE375" s="6"/>
      <c r="BF375" s="8"/>
      <c r="BG375" s="8"/>
      <c r="BH375" s="6"/>
      <c r="BI375" s="8"/>
      <c r="BJ375" s="8"/>
      <c r="BK375" s="6"/>
      <c r="BL375" s="8"/>
      <c r="BM375" s="8"/>
      <c r="BN375" s="6"/>
      <c r="BO375" s="8"/>
      <c r="BP375" s="8"/>
      <c r="BQ375" s="6"/>
      <c r="BR375" s="8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/>
      <c r="HT375" s="7"/>
      <c r="HU375" s="7"/>
      <c r="HV375" s="7"/>
      <c r="HW375" s="7"/>
      <c r="HX375" s="7"/>
      <c r="HY375" s="7"/>
      <c r="HZ375" s="7"/>
      <c r="IA375" s="7"/>
      <c r="IB375" s="7"/>
      <c r="IC375" s="7"/>
      <c r="ID375" s="7"/>
      <c r="IE375" s="7"/>
      <c r="IF375" s="7"/>
      <c r="IG375" s="7"/>
      <c r="IH375" s="7"/>
      <c r="II375" s="7"/>
      <c r="IJ375" s="7"/>
      <c r="IK375" s="7"/>
      <c r="IL375" s="7"/>
      <c r="IM375" s="7"/>
      <c r="IN375" s="7"/>
      <c r="IO375" s="7"/>
      <c r="IP375" s="7"/>
      <c r="IQ375" s="7"/>
      <c r="IR375" s="7"/>
      <c r="IS375" s="7"/>
      <c r="IT375" s="7"/>
      <c r="IU375" s="7"/>
      <c r="IV375" s="7"/>
      <c r="IW375" s="7"/>
      <c r="IX375" s="7"/>
      <c r="IY375" s="7"/>
      <c r="IZ375" s="7"/>
      <c r="JA375" s="7"/>
      <c r="JB375" s="7"/>
      <c r="JC375" s="7"/>
      <c r="JD375" s="7"/>
      <c r="JE375" s="7"/>
      <c r="JF375" s="7"/>
      <c r="JG375" s="7"/>
      <c r="JH375" s="7"/>
      <c r="JI375" s="7"/>
      <c r="JJ375" s="7"/>
      <c r="JK375" s="7"/>
      <c r="JL375" s="7"/>
      <c r="JM375" s="7"/>
      <c r="JN375" s="7"/>
      <c r="JO375" s="7"/>
      <c r="JP375" s="7"/>
      <c r="JQ375" s="7"/>
      <c r="JR375" s="7"/>
      <c r="JS375" s="7"/>
      <c r="JT375" s="7"/>
      <c r="JU375" s="7"/>
      <c r="JV375" s="7"/>
      <c r="JW375" s="7"/>
      <c r="JX375" s="7"/>
      <c r="JY375" s="7"/>
      <c r="JZ375" s="7"/>
      <c r="KA375" s="7"/>
      <c r="KB375" s="7"/>
      <c r="KC375" s="7"/>
      <c r="KD375" s="7"/>
      <c r="KE375" s="7"/>
      <c r="KF375" s="7"/>
      <c r="KG375" s="7"/>
      <c r="KH375" s="7"/>
      <c r="KI375" s="7"/>
      <c r="KJ375" s="7"/>
      <c r="KK375" s="7"/>
      <c r="KL375" s="7"/>
      <c r="KM375" s="7"/>
      <c r="KN375" s="7"/>
    </row>
    <row r="376">
      <c r="A376" s="6"/>
      <c r="B376" s="6" t="s">
        <v>376</v>
      </c>
      <c r="C376" s="3" t="str">
        <f t="shared" si="3"/>
        <v>posh gold</v>
      </c>
      <c r="D376" s="3" t="str">
        <f t="shared" si="17"/>
        <v>ZZZ</v>
      </c>
      <c r="E376" s="3" t="b">
        <f t="array" ref="E376">OR(ISNUMBER(SEARCH(D$2:D$30,$B376,5)))</f>
        <v>0</v>
      </c>
      <c r="G376" s="3" t="str">
        <f t="shared" si="4"/>
        <v>ZZZ</v>
      </c>
      <c r="H376" s="3" t="b">
        <f t="array" ref="H376">OR(ISNUMBER(SEARCH(G$2:G$30,$B376,5)))</f>
        <v>0</v>
      </c>
      <c r="J376" s="3" t="str">
        <f t="shared" si="5"/>
        <v>ZZZ</v>
      </c>
      <c r="K376" s="3" t="b">
        <f t="array" ref="K376">OR(ISNUMBER(SEARCH(J$2:J$30,$B376,5)))</f>
        <v>0</v>
      </c>
      <c r="M376" s="3" t="str">
        <f t="shared" si="6"/>
        <v>ZZZ</v>
      </c>
      <c r="N376" s="3" t="b">
        <f t="array" ref="N376">OR(ISNUMBER(SEARCH(M$2:M$30,$B376,5)))</f>
        <v>0</v>
      </c>
      <c r="P376" s="3" t="str">
        <f t="shared" si="7"/>
        <v>ZZZ</v>
      </c>
      <c r="Q376" s="3" t="b">
        <f t="array" ref="Q376">OR(ISNUMBER(SEARCH(P$2:P$50,$B376,5)))</f>
        <v>0</v>
      </c>
      <c r="S376" s="3" t="str">
        <f t="shared" si="8"/>
        <v>ZZZ</v>
      </c>
      <c r="T376" s="3" t="b">
        <f t="array" ref="T376">OR(ISNUMBER(SEARCH(S$2:S$100,$B376,5)))</f>
        <v>0</v>
      </c>
      <c r="V376" s="3" t="str">
        <f t="shared" si="9"/>
        <v>ZZZ</v>
      </c>
      <c r="W376" s="3" t="b">
        <f t="array" ref="W376">OR(ISNUMBER(SEARCH(V$2:V$100,$B376,5)))</f>
        <v>0</v>
      </c>
      <c r="Y376" s="3" t="str">
        <f t="shared" si="10"/>
        <v>ZZZ</v>
      </c>
      <c r="Z376" s="3" t="b">
        <f t="array" ref="Z376">OR(ISNUMBER(SEARCH(Y$2:Y$100,$B376,5)))</f>
        <v>0</v>
      </c>
      <c r="AB376" s="3" t="str">
        <f t="shared" si="11"/>
        <v>ZZZ</v>
      </c>
      <c r="AC376" s="3" t="b">
        <f t="array" ref="AC376">OR(ISNUMBER(SEARCH(AB$2:AB$100,$B376,5)))</f>
        <v>0</v>
      </c>
      <c r="AE376" s="3" t="str">
        <f t="shared" si="12"/>
        <v>ZZZ</v>
      </c>
      <c r="AF376" s="3" t="b">
        <f t="array" ref="AF376">OR(ISNUMBER(SEARCH(AE$2:AE$100,$B376,5)))</f>
        <v>0</v>
      </c>
      <c r="AH376" s="3" t="str">
        <f t="shared" si="13"/>
        <v>ZZZ</v>
      </c>
      <c r="AI376" s="3" t="b">
        <f t="array" ref="AI376">OR(ISNUMBER(SEARCH(AH$2:AH$100,$B376,5)))</f>
        <v>0</v>
      </c>
      <c r="AK376" s="3" t="str">
        <f t="shared" si="14"/>
        <v>ZZZ</v>
      </c>
      <c r="AL376" s="3" t="b">
        <f t="array" ref="AL376">OR(ISNUMBER(SEARCH(AK$2:AK$100,$B376,5)))</f>
        <v>0</v>
      </c>
      <c r="AU376" s="8"/>
      <c r="AV376" s="6"/>
      <c r="AW376" s="8"/>
      <c r="AX376" s="8"/>
      <c r="AY376" s="6"/>
      <c r="AZ376" s="8"/>
      <c r="BA376" s="8"/>
      <c r="BB376" s="6"/>
      <c r="BC376" s="8"/>
      <c r="BD376" s="8"/>
      <c r="BE376" s="6"/>
      <c r="BF376" s="8"/>
      <c r="BG376" s="8"/>
      <c r="BH376" s="6"/>
      <c r="BI376" s="8"/>
      <c r="BJ376" s="8"/>
      <c r="BK376" s="6"/>
      <c r="BL376" s="8"/>
      <c r="BM376" s="8"/>
      <c r="BN376" s="6"/>
      <c r="BO376" s="8"/>
      <c r="BP376" s="8"/>
      <c r="BQ376" s="6"/>
      <c r="BR376" s="8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/>
      <c r="HT376" s="7"/>
      <c r="HU376" s="7"/>
      <c r="HV376" s="7"/>
      <c r="HW376" s="7"/>
      <c r="HX376" s="7"/>
      <c r="HY376" s="7"/>
      <c r="HZ376" s="7"/>
      <c r="IA376" s="7"/>
      <c r="IB376" s="7"/>
      <c r="IC376" s="7"/>
      <c r="ID376" s="7"/>
      <c r="IE376" s="7"/>
      <c r="IF376" s="7"/>
      <c r="IG376" s="7"/>
      <c r="IH376" s="7"/>
      <c r="II376" s="7"/>
      <c r="IJ376" s="7"/>
      <c r="IK376" s="7"/>
      <c r="IL376" s="7"/>
      <c r="IM376" s="7"/>
      <c r="IN376" s="7"/>
      <c r="IO376" s="7"/>
      <c r="IP376" s="7"/>
      <c r="IQ376" s="7"/>
      <c r="IR376" s="7"/>
      <c r="IS376" s="7"/>
      <c r="IT376" s="7"/>
      <c r="IU376" s="7"/>
      <c r="IV376" s="7"/>
      <c r="IW376" s="7"/>
      <c r="IX376" s="7"/>
      <c r="IY376" s="7"/>
      <c r="IZ376" s="7"/>
      <c r="JA376" s="7"/>
      <c r="JB376" s="7"/>
      <c r="JC376" s="7"/>
      <c r="JD376" s="7"/>
      <c r="JE376" s="7"/>
      <c r="JF376" s="7"/>
      <c r="JG376" s="7"/>
      <c r="JH376" s="7"/>
      <c r="JI376" s="7"/>
      <c r="JJ376" s="7"/>
      <c r="JK376" s="7"/>
      <c r="JL376" s="7"/>
      <c r="JM376" s="7"/>
      <c r="JN376" s="7"/>
      <c r="JO376" s="7"/>
      <c r="JP376" s="7"/>
      <c r="JQ376" s="7"/>
      <c r="JR376" s="7"/>
      <c r="JS376" s="7"/>
      <c r="JT376" s="7"/>
      <c r="JU376" s="7"/>
      <c r="JV376" s="7"/>
      <c r="JW376" s="7"/>
      <c r="JX376" s="7"/>
      <c r="JY376" s="7"/>
      <c r="JZ376" s="7"/>
      <c r="KA376" s="7"/>
      <c r="KB376" s="7"/>
      <c r="KC376" s="7"/>
      <c r="KD376" s="7"/>
      <c r="KE376" s="7"/>
      <c r="KF376" s="7"/>
      <c r="KG376" s="7"/>
      <c r="KH376" s="7"/>
      <c r="KI376" s="7"/>
      <c r="KJ376" s="7"/>
      <c r="KK376" s="7"/>
      <c r="KL376" s="7"/>
      <c r="KM376" s="7"/>
      <c r="KN376" s="7"/>
    </row>
    <row r="377">
      <c r="A377" s="6"/>
      <c r="B377" s="6" t="s">
        <v>377</v>
      </c>
      <c r="C377" s="3" t="str">
        <f t="shared" si="3"/>
        <v>dim cyan</v>
      </c>
      <c r="D377" s="3" t="str">
        <f t="shared" si="17"/>
        <v>ZZZ</v>
      </c>
      <c r="E377" s="3" t="b">
        <f t="array" ref="E377">OR(ISNUMBER(SEARCH(D$2:D$30,$B377,5)))</f>
        <v>0</v>
      </c>
      <c r="G377" s="3" t="str">
        <f t="shared" si="4"/>
        <v>ZZZ</v>
      </c>
      <c r="H377" s="3" t="b">
        <f t="array" ref="H377">OR(ISNUMBER(SEARCH(G$2:G$30,$B377,5)))</f>
        <v>0</v>
      </c>
      <c r="J377" s="3" t="str">
        <f t="shared" si="5"/>
        <v>ZZZ</v>
      </c>
      <c r="K377" s="3" t="b">
        <f t="array" ref="K377">OR(ISNUMBER(SEARCH(J$2:J$30,$B377,5)))</f>
        <v>0</v>
      </c>
      <c r="M377" s="3" t="str">
        <f t="shared" si="6"/>
        <v>ZZZ</v>
      </c>
      <c r="N377" s="3" t="b">
        <f t="array" ref="N377">OR(ISNUMBER(SEARCH(M$2:M$30,$B377,5)))</f>
        <v>0</v>
      </c>
      <c r="P377" s="3" t="str">
        <f t="shared" si="7"/>
        <v>ZZZ</v>
      </c>
      <c r="Q377" s="3" t="b">
        <f t="array" ref="Q377">OR(ISNUMBER(SEARCH(P$2:P$50,$B377,5)))</f>
        <v>1</v>
      </c>
      <c r="S377" s="3" t="str">
        <f t="shared" si="8"/>
        <v>ZZZ</v>
      </c>
      <c r="T377" s="3" t="b">
        <f t="array" ref="T377">OR(ISNUMBER(SEARCH(S$2:S$100,$B377,5)))</f>
        <v>0</v>
      </c>
      <c r="V377" s="3" t="str">
        <f t="shared" si="9"/>
        <v>ZZZ</v>
      </c>
      <c r="W377" s="3" t="b">
        <f t="array" ref="W377">OR(ISNUMBER(SEARCH(V$2:V$100,$B377,5)))</f>
        <v>0</v>
      </c>
      <c r="Y377" s="3" t="str">
        <f t="shared" si="10"/>
        <v>ZZZ</v>
      </c>
      <c r="Z377" s="3" t="b">
        <f t="array" ref="Z377">OR(ISNUMBER(SEARCH(Y$2:Y$100,$B377,5)))</f>
        <v>0</v>
      </c>
      <c r="AB377" s="3" t="str">
        <f t="shared" si="11"/>
        <v>ZZZ</v>
      </c>
      <c r="AC377" s="3" t="b">
        <f t="array" ref="AC377">OR(ISNUMBER(SEARCH(AB$2:AB$100,$B377,5)))</f>
        <v>0</v>
      </c>
      <c r="AE377" s="3" t="str">
        <f t="shared" si="12"/>
        <v>ZZZ</v>
      </c>
      <c r="AF377" s="3" t="b">
        <f t="array" ref="AF377">OR(ISNUMBER(SEARCH(AE$2:AE$100,$B377,5)))</f>
        <v>0</v>
      </c>
      <c r="AH377" s="3" t="str">
        <f t="shared" si="13"/>
        <v>ZZZ</v>
      </c>
      <c r="AI377" s="3" t="b">
        <f t="array" ref="AI377">OR(ISNUMBER(SEARCH(AH$2:AH$100,$B377,5)))</f>
        <v>0</v>
      </c>
      <c r="AK377" s="3" t="str">
        <f t="shared" si="14"/>
        <v>ZZZ</v>
      </c>
      <c r="AL377" s="3" t="b">
        <f t="array" ref="AL377">OR(ISNUMBER(SEARCH(AK$2:AK$100,$B377,5)))</f>
        <v>0</v>
      </c>
      <c r="AU377" s="8"/>
      <c r="AV377" s="6"/>
      <c r="AW377" s="8"/>
      <c r="AX377" s="8"/>
      <c r="AY377" s="6"/>
      <c r="AZ377" s="8"/>
      <c r="BA377" s="8"/>
      <c r="BB377" s="6"/>
      <c r="BC377" s="8"/>
      <c r="BD377" s="8"/>
      <c r="BE377" s="6"/>
      <c r="BF377" s="8"/>
      <c r="BG377" s="8"/>
      <c r="BH377" s="6"/>
      <c r="BI377" s="8"/>
      <c r="BJ377" s="8"/>
      <c r="BK377" s="6"/>
      <c r="BL377" s="8"/>
      <c r="BM377" s="8"/>
      <c r="BN377" s="6"/>
      <c r="BO377" s="8"/>
      <c r="BP377" s="8"/>
      <c r="BQ377" s="6"/>
      <c r="BR377" s="8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  <c r="HU377" s="7"/>
      <c r="HV377" s="7"/>
      <c r="HW377" s="7"/>
      <c r="HX377" s="7"/>
      <c r="HY377" s="7"/>
      <c r="HZ377" s="7"/>
      <c r="IA377" s="7"/>
      <c r="IB377" s="7"/>
      <c r="IC377" s="7"/>
      <c r="ID377" s="7"/>
      <c r="IE377" s="7"/>
      <c r="IF377" s="7"/>
      <c r="IG377" s="7"/>
      <c r="IH377" s="7"/>
      <c r="II377" s="7"/>
      <c r="IJ377" s="7"/>
      <c r="IK377" s="7"/>
      <c r="IL377" s="7"/>
      <c r="IM377" s="7"/>
      <c r="IN377" s="7"/>
      <c r="IO377" s="7"/>
      <c r="IP377" s="7"/>
      <c r="IQ377" s="7"/>
      <c r="IR377" s="7"/>
      <c r="IS377" s="7"/>
      <c r="IT377" s="7"/>
      <c r="IU377" s="7"/>
      <c r="IV377" s="7"/>
      <c r="IW377" s="7"/>
      <c r="IX377" s="7"/>
      <c r="IY377" s="7"/>
      <c r="IZ377" s="7"/>
      <c r="JA377" s="7"/>
      <c r="JB377" s="7"/>
      <c r="JC377" s="7"/>
      <c r="JD377" s="7"/>
      <c r="JE377" s="7"/>
      <c r="JF377" s="7"/>
      <c r="JG377" s="7"/>
      <c r="JH377" s="7"/>
      <c r="JI377" s="7"/>
      <c r="JJ377" s="7"/>
      <c r="JK377" s="7"/>
      <c r="JL377" s="7"/>
      <c r="JM377" s="7"/>
      <c r="JN377" s="7"/>
      <c r="JO377" s="7"/>
      <c r="JP377" s="7"/>
      <c r="JQ377" s="7"/>
      <c r="JR377" s="7"/>
      <c r="JS377" s="7"/>
      <c r="JT377" s="7"/>
      <c r="JU377" s="7"/>
      <c r="JV377" s="7"/>
      <c r="JW377" s="7"/>
      <c r="JX377" s="7"/>
      <c r="JY377" s="7"/>
      <c r="JZ377" s="7"/>
      <c r="KA377" s="7"/>
      <c r="KB377" s="7"/>
      <c r="KC377" s="7"/>
      <c r="KD377" s="7"/>
      <c r="KE377" s="7"/>
      <c r="KF377" s="7"/>
      <c r="KG377" s="7"/>
      <c r="KH377" s="7"/>
      <c r="KI377" s="7"/>
      <c r="KJ377" s="7"/>
      <c r="KK377" s="7"/>
      <c r="KL377" s="7"/>
      <c r="KM377" s="7"/>
      <c r="KN377" s="7"/>
    </row>
    <row r="378">
      <c r="A378" s="6"/>
      <c r="B378" s="6" t="s">
        <v>378</v>
      </c>
      <c r="C378" s="3" t="str">
        <f t="shared" si="3"/>
        <v>posh red</v>
      </c>
      <c r="D378" s="3" t="str">
        <f t="shared" si="17"/>
        <v>ZZZ</v>
      </c>
      <c r="E378" s="3" t="b">
        <f t="array" ref="E378">OR(ISNUMBER(SEARCH(D$2:D$30,$B378,5)))</f>
        <v>0</v>
      </c>
      <c r="G378" s="3" t="str">
        <f t="shared" si="4"/>
        <v>ZZZ</v>
      </c>
      <c r="H378" s="3" t="b">
        <f t="array" ref="H378">OR(ISNUMBER(SEARCH(G$2:G$30,$B378,5)))</f>
        <v>0</v>
      </c>
      <c r="J378" s="3" t="str">
        <f t="shared" si="5"/>
        <v>ZZZ</v>
      </c>
      <c r="K378" s="3" t="b">
        <f t="array" ref="K378">OR(ISNUMBER(SEARCH(J$2:J$30,$B378,5)))</f>
        <v>0</v>
      </c>
      <c r="M378" s="3" t="str">
        <f t="shared" si="6"/>
        <v>ZZZ</v>
      </c>
      <c r="N378" s="3" t="b">
        <f t="array" ref="N378">OR(ISNUMBER(SEARCH(M$2:M$30,$B378,5)))</f>
        <v>0</v>
      </c>
      <c r="P378" s="3" t="str">
        <f t="shared" si="7"/>
        <v>ZZZ</v>
      </c>
      <c r="Q378" s="3" t="b">
        <f t="array" ref="Q378">OR(ISNUMBER(SEARCH(P$2:P$50,$B378,5)))</f>
        <v>0</v>
      </c>
      <c r="S378" s="3" t="str">
        <f t="shared" si="8"/>
        <v>ZZZ</v>
      </c>
      <c r="T378" s="3" t="b">
        <f t="array" ref="T378">OR(ISNUMBER(SEARCH(S$2:S$100,$B378,5)))</f>
        <v>0</v>
      </c>
      <c r="V378" s="3" t="str">
        <f t="shared" si="9"/>
        <v>ZZZ</v>
      </c>
      <c r="W378" s="3" t="b">
        <f t="array" ref="W378">OR(ISNUMBER(SEARCH(V$2:V$100,$B378,5)))</f>
        <v>0</v>
      </c>
      <c r="Y378" s="3" t="str">
        <f t="shared" si="10"/>
        <v>ZZZ</v>
      </c>
      <c r="Z378" s="3" t="b">
        <f t="array" ref="Z378">OR(ISNUMBER(SEARCH(Y$2:Y$100,$B378,5)))</f>
        <v>0</v>
      </c>
      <c r="AB378" s="3" t="str">
        <f t="shared" si="11"/>
        <v>ZZZ</v>
      </c>
      <c r="AC378" s="3" t="b">
        <f t="array" ref="AC378">OR(ISNUMBER(SEARCH(AB$2:AB$100,$B378,5)))</f>
        <v>0</v>
      </c>
      <c r="AE378" s="3" t="str">
        <f t="shared" si="12"/>
        <v>ZZZ</v>
      </c>
      <c r="AF378" s="3" t="b">
        <f t="array" ref="AF378">OR(ISNUMBER(SEARCH(AE$2:AE$100,$B378,5)))</f>
        <v>0</v>
      </c>
      <c r="AH378" s="3" t="str">
        <f t="shared" si="13"/>
        <v>ZZZ</v>
      </c>
      <c r="AI378" s="3" t="b">
        <f t="array" ref="AI378">OR(ISNUMBER(SEARCH(AH$2:AH$100,$B378,5)))</f>
        <v>0</v>
      </c>
      <c r="AK378" s="3" t="str">
        <f t="shared" si="14"/>
        <v>ZZZ</v>
      </c>
      <c r="AL378" s="3" t="b">
        <f t="array" ref="AL378">OR(ISNUMBER(SEARCH(AK$2:AK$100,$B378,5)))</f>
        <v>0</v>
      </c>
      <c r="AU378" s="8"/>
      <c r="AV378" s="6"/>
      <c r="AW378" s="8"/>
      <c r="AX378" s="8"/>
      <c r="AY378" s="6"/>
      <c r="AZ378" s="8"/>
      <c r="BA378" s="8"/>
      <c r="BB378" s="6"/>
      <c r="BC378" s="8"/>
      <c r="BD378" s="8"/>
      <c r="BE378" s="6"/>
      <c r="BF378" s="8"/>
      <c r="BG378" s="8"/>
      <c r="BH378" s="6"/>
      <c r="BI378" s="8"/>
      <c r="BJ378" s="8"/>
      <c r="BK378" s="6"/>
      <c r="BL378" s="8"/>
      <c r="BM378" s="8"/>
      <c r="BN378" s="6"/>
      <c r="BO378" s="8"/>
      <c r="BP378" s="8"/>
      <c r="BQ378" s="6"/>
      <c r="BR378" s="8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  <c r="HU378" s="7"/>
      <c r="HV378" s="7"/>
      <c r="HW378" s="7"/>
      <c r="HX378" s="7"/>
      <c r="HY378" s="7"/>
      <c r="HZ378" s="7"/>
      <c r="IA378" s="7"/>
      <c r="IB378" s="7"/>
      <c r="IC378" s="7"/>
      <c r="ID378" s="7"/>
      <c r="IE378" s="7"/>
      <c r="IF378" s="7"/>
      <c r="IG378" s="7"/>
      <c r="IH378" s="7"/>
      <c r="II378" s="7"/>
      <c r="IJ378" s="7"/>
      <c r="IK378" s="7"/>
      <c r="IL378" s="7"/>
      <c r="IM378" s="7"/>
      <c r="IN378" s="7"/>
      <c r="IO378" s="7"/>
      <c r="IP378" s="7"/>
      <c r="IQ378" s="7"/>
      <c r="IR378" s="7"/>
      <c r="IS378" s="7"/>
      <c r="IT378" s="7"/>
      <c r="IU378" s="7"/>
      <c r="IV378" s="7"/>
      <c r="IW378" s="7"/>
      <c r="IX378" s="7"/>
      <c r="IY378" s="7"/>
      <c r="IZ378" s="7"/>
      <c r="JA378" s="7"/>
      <c r="JB378" s="7"/>
      <c r="JC378" s="7"/>
      <c r="JD378" s="7"/>
      <c r="JE378" s="7"/>
      <c r="JF378" s="7"/>
      <c r="JG378" s="7"/>
      <c r="JH378" s="7"/>
      <c r="JI378" s="7"/>
      <c r="JJ378" s="7"/>
      <c r="JK378" s="7"/>
      <c r="JL378" s="7"/>
      <c r="JM378" s="7"/>
      <c r="JN378" s="7"/>
      <c r="JO378" s="7"/>
      <c r="JP378" s="7"/>
      <c r="JQ378" s="7"/>
      <c r="JR378" s="7"/>
      <c r="JS378" s="7"/>
      <c r="JT378" s="7"/>
      <c r="JU378" s="7"/>
      <c r="JV378" s="7"/>
      <c r="JW378" s="7"/>
      <c r="JX378" s="7"/>
      <c r="JY378" s="7"/>
      <c r="JZ378" s="7"/>
      <c r="KA378" s="7"/>
      <c r="KB378" s="7"/>
      <c r="KC378" s="7"/>
      <c r="KD378" s="7"/>
      <c r="KE378" s="7"/>
      <c r="KF378" s="7"/>
      <c r="KG378" s="7"/>
      <c r="KH378" s="7"/>
      <c r="KI378" s="7"/>
      <c r="KJ378" s="7"/>
      <c r="KK378" s="7"/>
      <c r="KL378" s="7"/>
      <c r="KM378" s="7"/>
      <c r="KN378" s="7"/>
    </row>
    <row r="379">
      <c r="A379" s="6"/>
      <c r="B379" s="6" t="s">
        <v>379</v>
      </c>
      <c r="C379" s="3" t="str">
        <f t="shared" si="3"/>
        <v>dull tan</v>
      </c>
      <c r="D379" s="3" t="str">
        <f t="shared" si="17"/>
        <v>ZZZ</v>
      </c>
      <c r="E379" s="3" t="b">
        <f t="array" ref="E379">OR(ISNUMBER(SEARCH(D$2:D$30,$B379,5)))</f>
        <v>0</v>
      </c>
      <c r="G379" s="3" t="str">
        <f t="shared" si="4"/>
        <v>ZZZ</v>
      </c>
      <c r="H379" s="3" t="b">
        <f t="array" ref="H379">OR(ISNUMBER(SEARCH(G$2:G$30,$B379,5)))</f>
        <v>0</v>
      </c>
      <c r="J379" s="3" t="str">
        <f t="shared" si="5"/>
        <v>ZZZ</v>
      </c>
      <c r="K379" s="3" t="b">
        <f t="array" ref="K379">OR(ISNUMBER(SEARCH(J$2:J$30,$B379,5)))</f>
        <v>0</v>
      </c>
      <c r="M379" s="3" t="str">
        <f t="shared" si="6"/>
        <v>ZZZ</v>
      </c>
      <c r="N379" s="3" t="b">
        <f t="array" ref="N379">OR(ISNUMBER(SEARCH(M$2:M$30,$B379,5)))</f>
        <v>0</v>
      </c>
      <c r="P379" s="3" t="str">
        <f t="shared" si="7"/>
        <v>ZZZ</v>
      </c>
      <c r="Q379" s="3" t="b">
        <f t="array" ref="Q379">OR(ISNUMBER(SEARCH(P$2:P$50,$B379,5)))</f>
        <v>0</v>
      </c>
      <c r="S379" s="3" t="str">
        <f t="shared" si="8"/>
        <v>ZZZ</v>
      </c>
      <c r="T379" s="3" t="b">
        <f t="array" ref="T379">OR(ISNUMBER(SEARCH(S$2:S$100,$B379,5)))</f>
        <v>0</v>
      </c>
      <c r="V379" s="3" t="str">
        <f t="shared" si="9"/>
        <v>ZZZ</v>
      </c>
      <c r="W379" s="3" t="b">
        <f t="array" ref="W379">OR(ISNUMBER(SEARCH(V$2:V$100,$B379,5)))</f>
        <v>0</v>
      </c>
      <c r="Y379" s="3" t="str">
        <f t="shared" si="10"/>
        <v>ZZZ</v>
      </c>
      <c r="Z379" s="3" t="b">
        <f t="array" ref="Z379">OR(ISNUMBER(SEARCH(Y$2:Y$100,$B379,5)))</f>
        <v>0</v>
      </c>
      <c r="AB379" s="3" t="str">
        <f t="shared" si="11"/>
        <v>ZZZ</v>
      </c>
      <c r="AC379" s="3" t="b">
        <f t="array" ref="AC379">OR(ISNUMBER(SEARCH(AB$2:AB$100,$B379,5)))</f>
        <v>0</v>
      </c>
      <c r="AE379" s="3" t="str">
        <f t="shared" si="12"/>
        <v>ZZZ</v>
      </c>
      <c r="AF379" s="3" t="b">
        <f t="array" ref="AF379">OR(ISNUMBER(SEARCH(AE$2:AE$100,$B379,5)))</f>
        <v>0</v>
      </c>
      <c r="AH379" s="3" t="str">
        <f t="shared" si="13"/>
        <v>ZZZ</v>
      </c>
      <c r="AI379" s="3" t="b">
        <f t="array" ref="AI379">OR(ISNUMBER(SEARCH(AH$2:AH$100,$B379,5)))</f>
        <v>0</v>
      </c>
      <c r="AK379" s="3" t="str">
        <f t="shared" si="14"/>
        <v>ZZZ</v>
      </c>
      <c r="AL379" s="3" t="b">
        <f t="array" ref="AL379">OR(ISNUMBER(SEARCH(AK$2:AK$100,$B379,5)))</f>
        <v>0</v>
      </c>
      <c r="AU379" s="8"/>
      <c r="AV379" s="6"/>
      <c r="AW379" s="8"/>
      <c r="AX379" s="8"/>
      <c r="AY379" s="6"/>
      <c r="AZ379" s="8"/>
      <c r="BA379" s="8"/>
      <c r="BB379" s="6"/>
      <c r="BC379" s="8"/>
      <c r="BD379" s="8"/>
      <c r="BE379" s="6"/>
      <c r="BF379" s="8"/>
      <c r="BG379" s="8"/>
      <c r="BH379" s="6"/>
      <c r="BI379" s="8"/>
      <c r="BJ379" s="8"/>
      <c r="BK379" s="6"/>
      <c r="BL379" s="8"/>
      <c r="BM379" s="8"/>
      <c r="BN379" s="6"/>
      <c r="BO379" s="8"/>
      <c r="BP379" s="8"/>
      <c r="BQ379" s="6"/>
      <c r="BR379" s="8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  <c r="HT379" s="7"/>
      <c r="HU379" s="7"/>
      <c r="HV379" s="7"/>
      <c r="HW379" s="7"/>
      <c r="HX379" s="7"/>
      <c r="HY379" s="7"/>
      <c r="HZ379" s="7"/>
      <c r="IA379" s="7"/>
      <c r="IB379" s="7"/>
      <c r="IC379" s="7"/>
      <c r="ID379" s="7"/>
      <c r="IE379" s="7"/>
      <c r="IF379" s="7"/>
      <c r="IG379" s="7"/>
      <c r="IH379" s="7"/>
      <c r="II379" s="7"/>
      <c r="IJ379" s="7"/>
      <c r="IK379" s="7"/>
      <c r="IL379" s="7"/>
      <c r="IM379" s="7"/>
      <c r="IN379" s="7"/>
      <c r="IO379" s="7"/>
      <c r="IP379" s="7"/>
      <c r="IQ379" s="7"/>
      <c r="IR379" s="7"/>
      <c r="IS379" s="7"/>
      <c r="IT379" s="7"/>
      <c r="IU379" s="7"/>
      <c r="IV379" s="7"/>
      <c r="IW379" s="7"/>
      <c r="IX379" s="7"/>
      <c r="IY379" s="7"/>
      <c r="IZ379" s="7"/>
      <c r="JA379" s="7"/>
      <c r="JB379" s="7"/>
      <c r="JC379" s="7"/>
      <c r="JD379" s="7"/>
      <c r="JE379" s="7"/>
      <c r="JF379" s="7"/>
      <c r="JG379" s="7"/>
      <c r="JH379" s="7"/>
      <c r="JI379" s="7"/>
      <c r="JJ379" s="7"/>
      <c r="JK379" s="7"/>
      <c r="JL379" s="7"/>
      <c r="JM379" s="7"/>
      <c r="JN379" s="7"/>
      <c r="JO379" s="7"/>
      <c r="JP379" s="7"/>
      <c r="JQ379" s="7"/>
      <c r="JR379" s="7"/>
      <c r="JS379" s="7"/>
      <c r="JT379" s="7"/>
      <c r="JU379" s="7"/>
      <c r="JV379" s="7"/>
      <c r="JW379" s="7"/>
      <c r="JX379" s="7"/>
      <c r="JY379" s="7"/>
      <c r="JZ379" s="7"/>
      <c r="KA379" s="7"/>
      <c r="KB379" s="7"/>
      <c r="KC379" s="7"/>
      <c r="KD379" s="7"/>
      <c r="KE379" s="7"/>
      <c r="KF379" s="7"/>
      <c r="KG379" s="7"/>
      <c r="KH379" s="7"/>
      <c r="KI379" s="7"/>
      <c r="KJ379" s="7"/>
      <c r="KK379" s="7"/>
      <c r="KL379" s="7"/>
      <c r="KM379" s="7"/>
      <c r="KN379" s="7"/>
    </row>
    <row r="380">
      <c r="A380" s="6"/>
      <c r="B380" s="6" t="s">
        <v>380</v>
      </c>
      <c r="C380" s="3" t="str">
        <f t="shared" si="3"/>
        <v>faded indigo</v>
      </c>
      <c r="D380" s="3" t="str">
        <f t="shared" si="17"/>
        <v>ZZZ</v>
      </c>
      <c r="E380" s="3" t="b">
        <f t="array" ref="E380">OR(ISNUMBER(SEARCH(D$2:D$30,$B380,5)))</f>
        <v>0</v>
      </c>
      <c r="G380" s="3" t="str">
        <f t="shared" si="4"/>
        <v>ZZZ</v>
      </c>
      <c r="H380" s="3" t="b">
        <f t="array" ref="H380">OR(ISNUMBER(SEARCH(G$2:G$30,$B380,5)))</f>
        <v>0</v>
      </c>
      <c r="J380" s="3" t="str">
        <f t="shared" si="5"/>
        <v>ZZZ</v>
      </c>
      <c r="K380" s="3" t="b">
        <f t="array" ref="K380">OR(ISNUMBER(SEARCH(J$2:J$30,$B380,5)))</f>
        <v>0</v>
      </c>
      <c r="M380" s="3" t="str">
        <f t="shared" si="6"/>
        <v>ZZZ</v>
      </c>
      <c r="N380" s="3" t="b">
        <f t="array" ref="N380">OR(ISNUMBER(SEARCH(M$2:M$30,$B380,5)))</f>
        <v>0</v>
      </c>
      <c r="P380" s="3" t="str">
        <f t="shared" si="7"/>
        <v>ZZZ</v>
      </c>
      <c r="Q380" s="3" t="b">
        <f t="array" ref="Q380">OR(ISNUMBER(SEARCH(P$2:P$50,$B380,5)))</f>
        <v>0</v>
      </c>
      <c r="S380" s="3" t="str">
        <f t="shared" si="8"/>
        <v>ZZZ</v>
      </c>
      <c r="T380" s="3" t="b">
        <f t="array" ref="T380">OR(ISNUMBER(SEARCH(S$2:S$100,$B380,5)))</f>
        <v>0</v>
      </c>
      <c r="V380" s="3" t="str">
        <f t="shared" si="9"/>
        <v>ZZZ</v>
      </c>
      <c r="W380" s="3" t="b">
        <f t="array" ref="W380">OR(ISNUMBER(SEARCH(V$2:V$100,$B380,5)))</f>
        <v>0</v>
      </c>
      <c r="Y380" s="3" t="str">
        <f t="shared" si="10"/>
        <v>ZZZ</v>
      </c>
      <c r="Z380" s="3" t="b">
        <f t="array" ref="Z380">OR(ISNUMBER(SEARCH(Y$2:Y$100,$B380,5)))</f>
        <v>1</v>
      </c>
      <c r="AB380" s="3" t="str">
        <f t="shared" si="11"/>
        <v>ZZZ</v>
      </c>
      <c r="AC380" s="3" t="b">
        <f t="array" ref="AC380">OR(ISNUMBER(SEARCH(AB$2:AB$100,$B380,5)))</f>
        <v>0</v>
      </c>
      <c r="AE380" s="3" t="str">
        <f t="shared" si="12"/>
        <v>ZZZ</v>
      </c>
      <c r="AF380" s="3" t="b">
        <f t="array" ref="AF380">OR(ISNUMBER(SEARCH(AE$2:AE$100,$B380,5)))</f>
        <v>0</v>
      </c>
      <c r="AH380" s="3" t="str">
        <f t="shared" si="13"/>
        <v>ZZZ</v>
      </c>
      <c r="AI380" s="3" t="b">
        <f t="array" ref="AI380">OR(ISNUMBER(SEARCH(AH$2:AH$100,$B380,5)))</f>
        <v>0</v>
      </c>
      <c r="AK380" s="3" t="str">
        <f t="shared" si="14"/>
        <v>ZZZ</v>
      </c>
      <c r="AL380" s="3" t="b">
        <f t="array" ref="AL380">OR(ISNUMBER(SEARCH(AK$2:AK$100,$B380,5)))</f>
        <v>0</v>
      </c>
      <c r="AU380" s="8"/>
      <c r="AV380" s="6"/>
      <c r="AW380" s="8"/>
      <c r="AX380" s="8"/>
      <c r="AY380" s="6"/>
      <c r="AZ380" s="8"/>
      <c r="BA380" s="8"/>
      <c r="BB380" s="6"/>
      <c r="BC380" s="8"/>
      <c r="BD380" s="8"/>
      <c r="BE380" s="6"/>
      <c r="BF380" s="8"/>
      <c r="BG380" s="8"/>
      <c r="BH380" s="6"/>
      <c r="BI380" s="8"/>
      <c r="BJ380" s="8"/>
      <c r="BK380" s="6"/>
      <c r="BL380" s="8"/>
      <c r="BM380" s="8"/>
      <c r="BN380" s="6"/>
      <c r="BO380" s="8"/>
      <c r="BP380" s="8"/>
      <c r="BQ380" s="6"/>
      <c r="BR380" s="8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  <c r="HU380" s="7"/>
      <c r="HV380" s="7"/>
      <c r="HW380" s="7"/>
      <c r="HX380" s="7"/>
      <c r="HY380" s="7"/>
      <c r="HZ380" s="7"/>
      <c r="IA380" s="7"/>
      <c r="IB380" s="7"/>
      <c r="IC380" s="7"/>
      <c r="ID380" s="7"/>
      <c r="IE380" s="7"/>
      <c r="IF380" s="7"/>
      <c r="IG380" s="7"/>
      <c r="IH380" s="7"/>
      <c r="II380" s="7"/>
      <c r="IJ380" s="7"/>
      <c r="IK380" s="7"/>
      <c r="IL380" s="7"/>
      <c r="IM380" s="7"/>
      <c r="IN380" s="7"/>
      <c r="IO380" s="7"/>
      <c r="IP380" s="7"/>
      <c r="IQ380" s="7"/>
      <c r="IR380" s="7"/>
      <c r="IS380" s="7"/>
      <c r="IT380" s="7"/>
      <c r="IU380" s="7"/>
      <c r="IV380" s="7"/>
      <c r="IW380" s="7"/>
      <c r="IX380" s="7"/>
      <c r="IY380" s="7"/>
      <c r="IZ380" s="7"/>
      <c r="JA380" s="7"/>
      <c r="JB380" s="7"/>
      <c r="JC380" s="7"/>
      <c r="JD380" s="7"/>
      <c r="JE380" s="7"/>
      <c r="JF380" s="7"/>
      <c r="JG380" s="7"/>
      <c r="JH380" s="7"/>
      <c r="JI380" s="7"/>
      <c r="JJ380" s="7"/>
      <c r="JK380" s="7"/>
      <c r="JL380" s="7"/>
      <c r="JM380" s="7"/>
      <c r="JN380" s="7"/>
      <c r="JO380" s="7"/>
      <c r="JP380" s="7"/>
      <c r="JQ380" s="7"/>
      <c r="JR380" s="7"/>
      <c r="JS380" s="7"/>
      <c r="JT380" s="7"/>
      <c r="JU380" s="7"/>
      <c r="JV380" s="7"/>
      <c r="JW380" s="7"/>
      <c r="JX380" s="7"/>
      <c r="JY380" s="7"/>
      <c r="JZ380" s="7"/>
      <c r="KA380" s="7"/>
      <c r="KB380" s="7"/>
      <c r="KC380" s="7"/>
      <c r="KD380" s="7"/>
      <c r="KE380" s="7"/>
      <c r="KF380" s="7"/>
      <c r="KG380" s="7"/>
      <c r="KH380" s="7"/>
      <c r="KI380" s="7"/>
      <c r="KJ380" s="7"/>
      <c r="KK380" s="7"/>
      <c r="KL380" s="7"/>
      <c r="KM380" s="7"/>
      <c r="KN380" s="7"/>
    </row>
    <row r="381">
      <c r="A381" s="6"/>
      <c r="B381" s="6" t="s">
        <v>381</v>
      </c>
      <c r="C381" s="3" t="str">
        <f t="shared" si="3"/>
        <v>clear violet</v>
      </c>
      <c r="D381" s="3" t="str">
        <f t="shared" si="17"/>
        <v>ZZZ</v>
      </c>
      <c r="E381" s="3" t="b">
        <f t="array" ref="E381">OR(ISNUMBER(SEARCH(D$2:D$30,$B381,5)))</f>
        <v>0</v>
      </c>
      <c r="G381" s="3" t="str">
        <f t="shared" si="4"/>
        <v>ZZZ</v>
      </c>
      <c r="H381" s="3" t="b">
        <f t="array" ref="H381">OR(ISNUMBER(SEARCH(G$2:G$30,$B381,5)))</f>
        <v>0</v>
      </c>
      <c r="J381" s="3" t="str">
        <f t="shared" si="5"/>
        <v>ZZZ</v>
      </c>
      <c r="K381" s="3" t="b">
        <f t="array" ref="K381">OR(ISNUMBER(SEARCH(J$2:J$30,$B381,5)))</f>
        <v>0</v>
      </c>
      <c r="M381" s="3" t="str">
        <f t="shared" si="6"/>
        <v>ZZZ</v>
      </c>
      <c r="N381" s="3" t="b">
        <f t="array" ref="N381">OR(ISNUMBER(SEARCH(M$2:M$30,$B381,5)))</f>
        <v>1</v>
      </c>
      <c r="P381" s="3" t="str">
        <f t="shared" si="7"/>
        <v>ZZZ</v>
      </c>
      <c r="Q381" s="3" t="b">
        <f t="array" ref="Q381">OR(ISNUMBER(SEARCH(P$2:P$50,$B381,5)))</f>
        <v>0</v>
      </c>
      <c r="S381" s="3" t="str">
        <f t="shared" si="8"/>
        <v>ZZZ</v>
      </c>
      <c r="T381" s="3" t="b">
        <f t="array" ref="T381">OR(ISNUMBER(SEARCH(S$2:S$100,$B381,5)))</f>
        <v>0</v>
      </c>
      <c r="V381" s="3" t="str">
        <f t="shared" si="9"/>
        <v>ZZZ</v>
      </c>
      <c r="W381" s="3" t="b">
        <f t="array" ref="W381">OR(ISNUMBER(SEARCH(V$2:V$100,$B381,5)))</f>
        <v>0</v>
      </c>
      <c r="Y381" s="3" t="str">
        <f t="shared" si="10"/>
        <v>ZZZ</v>
      </c>
      <c r="Z381" s="3" t="b">
        <f t="array" ref="Z381">OR(ISNUMBER(SEARCH(Y$2:Y$100,$B381,5)))</f>
        <v>0</v>
      </c>
      <c r="AB381" s="3" t="str">
        <f t="shared" si="11"/>
        <v>ZZZ</v>
      </c>
      <c r="AC381" s="3" t="b">
        <f t="array" ref="AC381">OR(ISNUMBER(SEARCH(AB$2:AB$100,$B381,5)))</f>
        <v>0</v>
      </c>
      <c r="AE381" s="3" t="str">
        <f t="shared" si="12"/>
        <v>ZZZ</v>
      </c>
      <c r="AF381" s="3" t="b">
        <f t="array" ref="AF381">OR(ISNUMBER(SEARCH(AE$2:AE$100,$B381,5)))</f>
        <v>0</v>
      </c>
      <c r="AH381" s="3" t="str">
        <f t="shared" si="13"/>
        <v>ZZZ</v>
      </c>
      <c r="AI381" s="3" t="b">
        <f t="array" ref="AI381">OR(ISNUMBER(SEARCH(AH$2:AH$100,$B381,5)))</f>
        <v>0</v>
      </c>
      <c r="AK381" s="3" t="str">
        <f t="shared" si="14"/>
        <v>ZZZ</v>
      </c>
      <c r="AL381" s="3" t="b">
        <f t="array" ref="AL381">OR(ISNUMBER(SEARCH(AK$2:AK$100,$B381,5)))</f>
        <v>0</v>
      </c>
      <c r="AU381" s="8"/>
      <c r="AV381" s="6"/>
      <c r="AW381" s="8"/>
      <c r="AX381" s="8"/>
      <c r="AY381" s="6"/>
      <c r="AZ381" s="8"/>
      <c r="BA381" s="8"/>
      <c r="BB381" s="6"/>
      <c r="BC381" s="8"/>
      <c r="BD381" s="8"/>
      <c r="BE381" s="6"/>
      <c r="BF381" s="8"/>
      <c r="BG381" s="8"/>
      <c r="BH381" s="6"/>
      <c r="BI381" s="8"/>
      <c r="BJ381" s="8"/>
      <c r="BK381" s="6"/>
      <c r="BL381" s="8"/>
      <c r="BM381" s="8"/>
      <c r="BN381" s="6"/>
      <c r="BO381" s="8"/>
      <c r="BP381" s="8"/>
      <c r="BQ381" s="6"/>
      <c r="BR381" s="8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7"/>
      <c r="HW381" s="7"/>
      <c r="HX381" s="7"/>
      <c r="HY381" s="7"/>
      <c r="HZ381" s="7"/>
      <c r="IA381" s="7"/>
      <c r="IB381" s="7"/>
      <c r="IC381" s="7"/>
      <c r="ID381" s="7"/>
      <c r="IE381" s="7"/>
      <c r="IF381" s="7"/>
      <c r="IG381" s="7"/>
      <c r="IH381" s="7"/>
      <c r="II381" s="7"/>
      <c r="IJ381" s="7"/>
      <c r="IK381" s="7"/>
      <c r="IL381" s="7"/>
      <c r="IM381" s="7"/>
      <c r="IN381" s="7"/>
      <c r="IO381" s="7"/>
      <c r="IP381" s="7"/>
      <c r="IQ381" s="7"/>
      <c r="IR381" s="7"/>
      <c r="IS381" s="7"/>
      <c r="IT381" s="7"/>
      <c r="IU381" s="7"/>
      <c r="IV381" s="7"/>
      <c r="IW381" s="7"/>
      <c r="IX381" s="7"/>
      <c r="IY381" s="7"/>
      <c r="IZ381" s="7"/>
      <c r="JA381" s="7"/>
      <c r="JB381" s="7"/>
      <c r="JC381" s="7"/>
      <c r="JD381" s="7"/>
      <c r="JE381" s="7"/>
      <c r="JF381" s="7"/>
      <c r="JG381" s="7"/>
      <c r="JH381" s="7"/>
      <c r="JI381" s="7"/>
      <c r="JJ381" s="7"/>
      <c r="JK381" s="7"/>
      <c r="JL381" s="7"/>
      <c r="JM381" s="7"/>
      <c r="JN381" s="7"/>
      <c r="JO381" s="7"/>
      <c r="JP381" s="7"/>
      <c r="JQ381" s="7"/>
      <c r="JR381" s="7"/>
      <c r="JS381" s="7"/>
      <c r="JT381" s="7"/>
      <c r="JU381" s="7"/>
      <c r="JV381" s="7"/>
      <c r="JW381" s="7"/>
      <c r="JX381" s="7"/>
      <c r="JY381" s="7"/>
      <c r="JZ381" s="7"/>
      <c r="KA381" s="7"/>
      <c r="KB381" s="7"/>
      <c r="KC381" s="7"/>
      <c r="KD381" s="7"/>
      <c r="KE381" s="7"/>
      <c r="KF381" s="7"/>
      <c r="KG381" s="7"/>
      <c r="KH381" s="7"/>
      <c r="KI381" s="7"/>
      <c r="KJ381" s="7"/>
      <c r="KK381" s="7"/>
      <c r="KL381" s="7"/>
      <c r="KM381" s="7"/>
      <c r="KN381" s="7"/>
    </row>
    <row r="382">
      <c r="A382" s="6"/>
      <c r="B382" s="6" t="s">
        <v>382</v>
      </c>
      <c r="C382" s="3" t="str">
        <f t="shared" si="3"/>
        <v>clear indigo</v>
      </c>
      <c r="D382" s="3" t="str">
        <f t="shared" si="17"/>
        <v>ZZZ</v>
      </c>
      <c r="E382" s="3" t="b">
        <f t="array" ref="E382">OR(ISNUMBER(SEARCH(D$2:D$30,$B382,5)))</f>
        <v>0</v>
      </c>
      <c r="G382" s="3" t="str">
        <f t="shared" si="4"/>
        <v>ZZZ</v>
      </c>
      <c r="H382" s="3" t="b">
        <f t="array" ref="H382">OR(ISNUMBER(SEARCH(G$2:G$30,$B382,5)))</f>
        <v>0</v>
      </c>
      <c r="J382" s="3" t="str">
        <f t="shared" si="5"/>
        <v>ZZZ</v>
      </c>
      <c r="K382" s="3" t="b">
        <f t="array" ref="K382">OR(ISNUMBER(SEARCH(J$2:J$30,$B382,5)))</f>
        <v>0</v>
      </c>
      <c r="M382" s="3" t="str">
        <f t="shared" si="6"/>
        <v>ZZZ</v>
      </c>
      <c r="N382" s="3" t="b">
        <f t="array" ref="N382">OR(ISNUMBER(SEARCH(M$2:M$30,$B382,5)))</f>
        <v>0</v>
      </c>
      <c r="P382" s="3" t="str">
        <f t="shared" si="7"/>
        <v>ZZZ</v>
      </c>
      <c r="Q382" s="3" t="b">
        <f t="array" ref="Q382">OR(ISNUMBER(SEARCH(P$2:P$50,$B382,5)))</f>
        <v>0</v>
      </c>
      <c r="S382" s="3" t="str">
        <f t="shared" si="8"/>
        <v>ZZZ</v>
      </c>
      <c r="T382" s="3" t="b">
        <f t="array" ref="T382">OR(ISNUMBER(SEARCH(S$2:S$100,$B382,5)))</f>
        <v>0</v>
      </c>
      <c r="V382" s="3" t="str">
        <f t="shared" si="9"/>
        <v>ZZZ</v>
      </c>
      <c r="W382" s="3" t="b">
        <f t="array" ref="W382">OR(ISNUMBER(SEARCH(V$2:V$100,$B382,5)))</f>
        <v>0</v>
      </c>
      <c r="Y382" s="3" t="str">
        <f t="shared" si="10"/>
        <v>ZZZ</v>
      </c>
      <c r="Z382" s="3" t="b">
        <f t="array" ref="Z382">OR(ISNUMBER(SEARCH(Y$2:Y$100,$B382,5)))</f>
        <v>0</v>
      </c>
      <c r="AB382" s="3" t="str">
        <f t="shared" si="11"/>
        <v>ZZZ</v>
      </c>
      <c r="AC382" s="3" t="b">
        <f t="array" ref="AC382">OR(ISNUMBER(SEARCH(AB$2:AB$100,$B382,5)))</f>
        <v>1</v>
      </c>
      <c r="AE382" s="3" t="str">
        <f t="shared" si="12"/>
        <v>ZZZ</v>
      </c>
      <c r="AF382" s="3" t="b">
        <f t="array" ref="AF382">OR(ISNUMBER(SEARCH(AE$2:AE$100,$B382,5)))</f>
        <v>0</v>
      </c>
      <c r="AH382" s="3" t="str">
        <f t="shared" si="13"/>
        <v>ZZZ</v>
      </c>
      <c r="AI382" s="3" t="b">
        <f t="array" ref="AI382">OR(ISNUMBER(SEARCH(AH$2:AH$100,$B382,5)))</f>
        <v>0</v>
      </c>
      <c r="AK382" s="3" t="str">
        <f t="shared" si="14"/>
        <v>ZZZ</v>
      </c>
      <c r="AL382" s="3" t="b">
        <f t="array" ref="AL382">OR(ISNUMBER(SEARCH(AK$2:AK$100,$B382,5)))</f>
        <v>0</v>
      </c>
      <c r="AU382" s="8"/>
      <c r="AV382" s="6"/>
      <c r="AW382" s="8"/>
      <c r="AX382" s="8"/>
      <c r="AY382" s="6"/>
      <c r="AZ382" s="8"/>
      <c r="BA382" s="8"/>
      <c r="BB382" s="6"/>
      <c r="BC382" s="8"/>
      <c r="BD382" s="8"/>
      <c r="BE382" s="6"/>
      <c r="BF382" s="8"/>
      <c r="BG382" s="8"/>
      <c r="BH382" s="6"/>
      <c r="BI382" s="8"/>
      <c r="BJ382" s="8"/>
      <c r="BK382" s="6"/>
      <c r="BL382" s="8"/>
      <c r="BM382" s="8"/>
      <c r="BN382" s="6"/>
      <c r="BO382" s="8"/>
      <c r="BP382" s="8"/>
      <c r="BQ382" s="6"/>
      <c r="BR382" s="8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  <c r="HU382" s="7"/>
      <c r="HV382" s="7"/>
      <c r="HW382" s="7"/>
      <c r="HX382" s="7"/>
      <c r="HY382" s="7"/>
      <c r="HZ382" s="7"/>
      <c r="IA382" s="7"/>
      <c r="IB382" s="7"/>
      <c r="IC382" s="7"/>
      <c r="ID382" s="7"/>
      <c r="IE382" s="7"/>
      <c r="IF382" s="7"/>
      <c r="IG382" s="7"/>
      <c r="IH382" s="7"/>
      <c r="II382" s="7"/>
      <c r="IJ382" s="7"/>
      <c r="IK382" s="7"/>
      <c r="IL382" s="7"/>
      <c r="IM382" s="7"/>
      <c r="IN382" s="7"/>
      <c r="IO382" s="7"/>
      <c r="IP382" s="7"/>
      <c r="IQ382" s="7"/>
      <c r="IR382" s="7"/>
      <c r="IS382" s="7"/>
      <c r="IT382" s="7"/>
      <c r="IU382" s="7"/>
      <c r="IV382" s="7"/>
      <c r="IW382" s="7"/>
      <c r="IX382" s="7"/>
      <c r="IY382" s="7"/>
      <c r="IZ382" s="7"/>
      <c r="JA382" s="7"/>
      <c r="JB382" s="7"/>
      <c r="JC382" s="7"/>
      <c r="JD382" s="7"/>
      <c r="JE382" s="7"/>
      <c r="JF382" s="7"/>
      <c r="JG382" s="7"/>
      <c r="JH382" s="7"/>
      <c r="JI382" s="7"/>
      <c r="JJ382" s="7"/>
      <c r="JK382" s="7"/>
      <c r="JL382" s="7"/>
      <c r="JM382" s="7"/>
      <c r="JN382" s="7"/>
      <c r="JO382" s="7"/>
      <c r="JP382" s="7"/>
      <c r="JQ382" s="7"/>
      <c r="JR382" s="7"/>
      <c r="JS382" s="7"/>
      <c r="JT382" s="7"/>
      <c r="JU382" s="7"/>
      <c r="JV382" s="7"/>
      <c r="JW382" s="7"/>
      <c r="JX382" s="7"/>
      <c r="JY382" s="7"/>
      <c r="JZ382" s="7"/>
      <c r="KA382" s="7"/>
      <c r="KB382" s="7"/>
      <c r="KC382" s="7"/>
      <c r="KD382" s="7"/>
      <c r="KE382" s="7"/>
      <c r="KF382" s="7"/>
      <c r="KG382" s="7"/>
      <c r="KH382" s="7"/>
      <c r="KI382" s="7"/>
      <c r="KJ382" s="7"/>
      <c r="KK382" s="7"/>
      <c r="KL382" s="7"/>
      <c r="KM382" s="7"/>
      <c r="KN382" s="7"/>
    </row>
    <row r="383">
      <c r="A383" s="6"/>
      <c r="B383" s="6" t="s">
        <v>383</v>
      </c>
      <c r="C383" s="3" t="str">
        <f t="shared" si="3"/>
        <v>bright turquoise</v>
      </c>
      <c r="D383" s="3" t="str">
        <f t="shared" si="17"/>
        <v>ZZZ</v>
      </c>
      <c r="E383" s="3" t="b">
        <f t="array" ref="E383">OR(ISNUMBER(SEARCH(D$2:D$30,$B383,5)))</f>
        <v>0</v>
      </c>
      <c r="G383" s="3" t="str">
        <f t="shared" si="4"/>
        <v>ZZZ</v>
      </c>
      <c r="H383" s="3" t="b">
        <f t="array" ref="H383">OR(ISNUMBER(SEARCH(G$2:G$30,$B383,5)))</f>
        <v>0</v>
      </c>
      <c r="J383" s="3" t="str">
        <f t="shared" si="5"/>
        <v>ZZZ</v>
      </c>
      <c r="K383" s="3" t="b">
        <f t="array" ref="K383">OR(ISNUMBER(SEARCH(J$2:J$30,$B383,5)))</f>
        <v>0</v>
      </c>
      <c r="M383" s="3" t="str">
        <f t="shared" si="6"/>
        <v>ZZZ</v>
      </c>
      <c r="N383" s="3" t="b">
        <f t="array" ref="N383">OR(ISNUMBER(SEARCH(M$2:M$30,$B383,5)))</f>
        <v>0</v>
      </c>
      <c r="P383" s="3" t="str">
        <f t="shared" si="7"/>
        <v>ZZZ</v>
      </c>
      <c r="Q383" s="3" t="b">
        <f t="array" ref="Q383">OR(ISNUMBER(SEARCH(P$2:P$50,$B383,5)))</f>
        <v>0</v>
      </c>
      <c r="S383" s="3" t="str">
        <f t="shared" si="8"/>
        <v>ZZZ</v>
      </c>
      <c r="T383" s="3" t="b">
        <f t="array" ref="T383">OR(ISNUMBER(SEARCH(S$2:S$100,$B383,5)))</f>
        <v>0</v>
      </c>
      <c r="V383" s="3" t="str">
        <f t="shared" si="9"/>
        <v>ZZZ</v>
      </c>
      <c r="W383" s="3" t="b">
        <f t="array" ref="W383">OR(ISNUMBER(SEARCH(V$2:V$100,$B383,5)))</f>
        <v>0</v>
      </c>
      <c r="Y383" s="3" t="str">
        <f t="shared" si="10"/>
        <v>ZZZ</v>
      </c>
      <c r="Z383" s="3" t="b">
        <f t="array" ref="Z383">OR(ISNUMBER(SEARCH(Y$2:Y$100,$B383,5)))</f>
        <v>0</v>
      </c>
      <c r="AB383" s="3" t="str">
        <f t="shared" si="11"/>
        <v>ZZZ</v>
      </c>
      <c r="AC383" s="3" t="b">
        <f t="array" ref="AC383">OR(ISNUMBER(SEARCH(AB$2:AB$100,$B383,5)))</f>
        <v>0</v>
      </c>
      <c r="AE383" s="3" t="str">
        <f t="shared" si="12"/>
        <v>ZZZ</v>
      </c>
      <c r="AF383" s="3" t="b">
        <f t="array" ref="AF383">OR(ISNUMBER(SEARCH(AE$2:AE$100,$B383,5)))</f>
        <v>0</v>
      </c>
      <c r="AH383" s="3" t="str">
        <f t="shared" si="13"/>
        <v>ZZZ</v>
      </c>
      <c r="AI383" s="3" t="b">
        <f t="array" ref="AI383">OR(ISNUMBER(SEARCH(AH$2:AH$100,$B383,5)))</f>
        <v>0</v>
      </c>
      <c r="AK383" s="3" t="str">
        <f t="shared" si="14"/>
        <v>ZZZ</v>
      </c>
      <c r="AL383" s="3" t="b">
        <f t="array" ref="AL383">OR(ISNUMBER(SEARCH(AK$2:AK$100,$B383,5)))</f>
        <v>0</v>
      </c>
      <c r="AU383" s="8"/>
      <c r="AV383" s="6"/>
      <c r="AW383" s="8"/>
      <c r="AX383" s="8"/>
      <c r="AY383" s="6"/>
      <c r="AZ383" s="8"/>
      <c r="BA383" s="8"/>
      <c r="BB383" s="6"/>
      <c r="BC383" s="8"/>
      <c r="BD383" s="8"/>
      <c r="BE383" s="6"/>
      <c r="BF383" s="8"/>
      <c r="BG383" s="8"/>
      <c r="BH383" s="6"/>
      <c r="BI383" s="8"/>
      <c r="BJ383" s="8"/>
      <c r="BK383" s="6"/>
      <c r="BL383" s="8"/>
      <c r="BM383" s="8"/>
      <c r="BN383" s="6"/>
      <c r="BO383" s="8"/>
      <c r="BP383" s="8"/>
      <c r="BQ383" s="6"/>
      <c r="BR383" s="8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  <c r="HU383" s="7"/>
      <c r="HV383" s="7"/>
      <c r="HW383" s="7"/>
      <c r="HX383" s="7"/>
      <c r="HY383" s="7"/>
      <c r="HZ383" s="7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7"/>
      <c r="IQ383" s="7"/>
      <c r="IR383" s="7"/>
      <c r="IS383" s="7"/>
      <c r="IT383" s="7"/>
      <c r="IU383" s="7"/>
      <c r="IV383" s="7"/>
      <c r="IW383" s="7"/>
      <c r="IX383" s="7"/>
      <c r="IY383" s="7"/>
      <c r="IZ383" s="7"/>
      <c r="JA383" s="7"/>
      <c r="JB383" s="7"/>
      <c r="JC383" s="7"/>
      <c r="JD383" s="7"/>
      <c r="JE383" s="7"/>
      <c r="JF383" s="7"/>
      <c r="JG383" s="7"/>
      <c r="JH383" s="7"/>
      <c r="JI383" s="7"/>
      <c r="JJ383" s="7"/>
      <c r="JK383" s="7"/>
      <c r="JL383" s="7"/>
      <c r="JM383" s="7"/>
      <c r="JN383" s="7"/>
      <c r="JO383" s="7"/>
      <c r="JP383" s="7"/>
      <c r="JQ383" s="7"/>
      <c r="JR383" s="7"/>
      <c r="JS383" s="7"/>
      <c r="JT383" s="7"/>
      <c r="JU383" s="7"/>
      <c r="JV383" s="7"/>
      <c r="JW383" s="7"/>
      <c r="JX383" s="7"/>
      <c r="JY383" s="7"/>
      <c r="JZ383" s="7"/>
      <c r="KA383" s="7"/>
      <c r="KB383" s="7"/>
      <c r="KC383" s="7"/>
      <c r="KD383" s="7"/>
      <c r="KE383" s="7"/>
      <c r="KF383" s="7"/>
      <c r="KG383" s="7"/>
      <c r="KH383" s="7"/>
      <c r="KI383" s="7"/>
      <c r="KJ383" s="7"/>
      <c r="KK383" s="7"/>
      <c r="KL383" s="7"/>
      <c r="KM383" s="7"/>
      <c r="KN383" s="7"/>
    </row>
    <row r="384">
      <c r="A384" s="6"/>
      <c r="B384" s="6" t="s">
        <v>384</v>
      </c>
      <c r="C384" s="3" t="str">
        <f t="shared" si="3"/>
        <v>muted tomato</v>
      </c>
      <c r="D384" s="3" t="str">
        <f t="shared" si="17"/>
        <v>ZZZ</v>
      </c>
      <c r="E384" s="3" t="b">
        <f t="array" ref="E384">OR(ISNUMBER(SEARCH(D$2:D$30,$B384,5)))</f>
        <v>0</v>
      </c>
      <c r="G384" s="3" t="str">
        <f t="shared" si="4"/>
        <v>ZZZ</v>
      </c>
      <c r="H384" s="3" t="b">
        <f t="array" ref="H384">OR(ISNUMBER(SEARCH(G$2:G$30,$B384,5)))</f>
        <v>1</v>
      </c>
      <c r="J384" s="3" t="str">
        <f t="shared" si="5"/>
        <v>ZZZ</v>
      </c>
      <c r="K384" s="3" t="b">
        <f t="array" ref="K384">OR(ISNUMBER(SEARCH(J$2:J$30,$B384,5)))</f>
        <v>0</v>
      </c>
      <c r="M384" s="3" t="str">
        <f t="shared" si="6"/>
        <v>ZZZ</v>
      </c>
      <c r="N384" s="3" t="b">
        <f t="array" ref="N384">OR(ISNUMBER(SEARCH(M$2:M$30,$B384,5)))</f>
        <v>0</v>
      </c>
      <c r="P384" s="3" t="str">
        <f t="shared" si="7"/>
        <v>ZZZ</v>
      </c>
      <c r="Q384" s="3" t="b">
        <f t="array" ref="Q384">OR(ISNUMBER(SEARCH(P$2:P$50,$B384,5)))</f>
        <v>0</v>
      </c>
      <c r="S384" s="3" t="str">
        <f t="shared" si="8"/>
        <v>ZZZ</v>
      </c>
      <c r="T384" s="3" t="b">
        <f t="array" ref="T384">OR(ISNUMBER(SEARCH(S$2:S$100,$B384,5)))</f>
        <v>1</v>
      </c>
      <c r="V384" s="3" t="str">
        <f t="shared" si="9"/>
        <v>ZZZ</v>
      </c>
      <c r="W384" s="3" t="b">
        <f t="array" ref="W384">OR(ISNUMBER(SEARCH(V$2:V$100,$B384,5)))</f>
        <v>0</v>
      </c>
      <c r="Y384" s="3" t="str">
        <f t="shared" si="10"/>
        <v>ZZZ</v>
      </c>
      <c r="Z384" s="3" t="b">
        <f t="array" ref="Z384">OR(ISNUMBER(SEARCH(Y$2:Y$100,$B384,5)))</f>
        <v>0</v>
      </c>
      <c r="AB384" s="3" t="str">
        <f t="shared" si="11"/>
        <v>ZZZ</v>
      </c>
      <c r="AC384" s="3" t="b">
        <f t="array" ref="AC384">OR(ISNUMBER(SEARCH(AB$2:AB$100,$B384,5)))</f>
        <v>0</v>
      </c>
      <c r="AE384" s="3" t="str">
        <f t="shared" si="12"/>
        <v>ZZZ</v>
      </c>
      <c r="AF384" s="3" t="b">
        <f t="array" ref="AF384">OR(ISNUMBER(SEARCH(AE$2:AE$100,$B384,5)))</f>
        <v>0</v>
      </c>
      <c r="AH384" s="3" t="str">
        <f t="shared" si="13"/>
        <v>ZZZ</v>
      </c>
      <c r="AI384" s="3" t="b">
        <f t="array" ref="AI384">OR(ISNUMBER(SEARCH(AH$2:AH$100,$B384,5)))</f>
        <v>0</v>
      </c>
      <c r="AK384" s="3" t="str">
        <f t="shared" si="14"/>
        <v>ZZZ</v>
      </c>
      <c r="AL384" s="3" t="b">
        <f t="array" ref="AL384">OR(ISNUMBER(SEARCH(AK$2:AK$100,$B384,5)))</f>
        <v>0</v>
      </c>
      <c r="AU384" s="8"/>
      <c r="AV384" s="6"/>
      <c r="AW384" s="8"/>
      <c r="AX384" s="8"/>
      <c r="AY384" s="6"/>
      <c r="AZ384" s="8"/>
      <c r="BA384" s="8"/>
      <c r="BB384" s="6"/>
      <c r="BC384" s="8"/>
      <c r="BD384" s="8"/>
      <c r="BE384" s="6"/>
      <c r="BF384" s="8"/>
      <c r="BG384" s="8"/>
      <c r="BH384" s="6"/>
      <c r="BI384" s="8"/>
      <c r="BJ384" s="8"/>
      <c r="BK384" s="6"/>
      <c r="BL384" s="8"/>
      <c r="BM384" s="8"/>
      <c r="BN384" s="6"/>
      <c r="BO384" s="8"/>
      <c r="BP384" s="8"/>
      <c r="BQ384" s="6"/>
      <c r="BR384" s="8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  <c r="HT384" s="7"/>
      <c r="HU384" s="7"/>
      <c r="HV384" s="7"/>
      <c r="HW384" s="7"/>
      <c r="HX384" s="7"/>
      <c r="HY384" s="7"/>
      <c r="HZ384" s="7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7"/>
      <c r="IQ384" s="7"/>
      <c r="IR384" s="7"/>
      <c r="IS384" s="7"/>
      <c r="IT384" s="7"/>
      <c r="IU384" s="7"/>
      <c r="IV384" s="7"/>
      <c r="IW384" s="7"/>
      <c r="IX384" s="7"/>
      <c r="IY384" s="7"/>
      <c r="IZ384" s="7"/>
      <c r="JA384" s="7"/>
      <c r="JB384" s="7"/>
      <c r="JC384" s="7"/>
      <c r="JD384" s="7"/>
      <c r="JE384" s="7"/>
      <c r="JF384" s="7"/>
      <c r="JG384" s="7"/>
      <c r="JH384" s="7"/>
      <c r="JI384" s="7"/>
      <c r="JJ384" s="7"/>
      <c r="JK384" s="7"/>
      <c r="JL384" s="7"/>
      <c r="JM384" s="7"/>
      <c r="JN384" s="7"/>
      <c r="JO384" s="7"/>
      <c r="JP384" s="7"/>
      <c r="JQ384" s="7"/>
      <c r="JR384" s="7"/>
      <c r="JS384" s="7"/>
      <c r="JT384" s="7"/>
      <c r="JU384" s="7"/>
      <c r="JV384" s="7"/>
      <c r="JW384" s="7"/>
      <c r="JX384" s="7"/>
      <c r="JY384" s="7"/>
      <c r="JZ384" s="7"/>
      <c r="KA384" s="7"/>
      <c r="KB384" s="7"/>
      <c r="KC384" s="7"/>
      <c r="KD384" s="7"/>
      <c r="KE384" s="7"/>
      <c r="KF384" s="7"/>
      <c r="KG384" s="7"/>
      <c r="KH384" s="7"/>
      <c r="KI384" s="7"/>
      <c r="KJ384" s="7"/>
      <c r="KK384" s="7"/>
      <c r="KL384" s="7"/>
      <c r="KM384" s="7"/>
      <c r="KN384" s="7"/>
    </row>
    <row r="385">
      <c r="A385" s="6"/>
      <c r="B385" s="6" t="s">
        <v>385</v>
      </c>
      <c r="C385" s="3" t="str">
        <f t="shared" si="3"/>
        <v>posh silver</v>
      </c>
      <c r="D385" s="3" t="str">
        <f t="shared" si="17"/>
        <v>ZZZ</v>
      </c>
      <c r="E385" s="3" t="b">
        <f t="array" ref="E385">OR(ISNUMBER(SEARCH(D$2:D$30,$B385,5)))</f>
        <v>0</v>
      </c>
      <c r="G385" s="3" t="str">
        <f t="shared" si="4"/>
        <v>ZZZ</v>
      </c>
      <c r="H385" s="3" t="b">
        <f t="array" ref="H385">OR(ISNUMBER(SEARCH(G$2:G$30,$B385,5)))</f>
        <v>0</v>
      </c>
      <c r="J385" s="3" t="str">
        <f t="shared" si="5"/>
        <v>ZZZ</v>
      </c>
      <c r="K385" s="3" t="b">
        <f t="array" ref="K385">OR(ISNUMBER(SEARCH(J$2:J$30,$B385,5)))</f>
        <v>0</v>
      </c>
      <c r="M385" s="3" t="str">
        <f t="shared" si="6"/>
        <v>ZZZ</v>
      </c>
      <c r="N385" s="3" t="b">
        <f t="array" ref="N385">OR(ISNUMBER(SEARCH(M$2:M$30,$B385,5)))</f>
        <v>0</v>
      </c>
      <c r="P385" s="3" t="str">
        <f t="shared" si="7"/>
        <v>ZZZ</v>
      </c>
      <c r="Q385" s="3" t="b">
        <f t="array" ref="Q385">OR(ISNUMBER(SEARCH(P$2:P$50,$B385,5)))</f>
        <v>0</v>
      </c>
      <c r="S385" s="3" t="str">
        <f t="shared" si="8"/>
        <v>ZZZ</v>
      </c>
      <c r="T385" s="3" t="b">
        <f t="array" ref="T385">OR(ISNUMBER(SEARCH(S$2:S$100,$B385,5)))</f>
        <v>0</v>
      </c>
      <c r="V385" s="3" t="str">
        <f t="shared" si="9"/>
        <v>ZZZ</v>
      </c>
      <c r="W385" s="3" t="b">
        <f t="array" ref="W385">OR(ISNUMBER(SEARCH(V$2:V$100,$B385,5)))</f>
        <v>0</v>
      </c>
      <c r="Y385" s="3" t="str">
        <f t="shared" si="10"/>
        <v>ZZZ</v>
      </c>
      <c r="Z385" s="3" t="b">
        <f t="array" ref="Z385">OR(ISNUMBER(SEARCH(Y$2:Y$100,$B385,5)))</f>
        <v>0</v>
      </c>
      <c r="AB385" s="3" t="str">
        <f t="shared" si="11"/>
        <v>ZZZ</v>
      </c>
      <c r="AC385" s="3" t="b">
        <f t="array" ref="AC385">OR(ISNUMBER(SEARCH(AB$2:AB$100,$B385,5)))</f>
        <v>0</v>
      </c>
      <c r="AE385" s="3" t="str">
        <f t="shared" si="12"/>
        <v>ZZZ</v>
      </c>
      <c r="AF385" s="3" t="b">
        <f t="array" ref="AF385">OR(ISNUMBER(SEARCH(AE$2:AE$100,$B385,5)))</f>
        <v>0</v>
      </c>
      <c r="AH385" s="3" t="str">
        <f t="shared" si="13"/>
        <v>ZZZ</v>
      </c>
      <c r="AI385" s="3" t="b">
        <f t="array" ref="AI385">OR(ISNUMBER(SEARCH(AH$2:AH$100,$B385,5)))</f>
        <v>0</v>
      </c>
      <c r="AK385" s="3" t="str">
        <f t="shared" si="14"/>
        <v>ZZZ</v>
      </c>
      <c r="AL385" s="3" t="b">
        <f t="array" ref="AL385">OR(ISNUMBER(SEARCH(AK$2:AK$100,$B385,5)))</f>
        <v>0</v>
      </c>
      <c r="AU385" s="8"/>
      <c r="AV385" s="6"/>
      <c r="AW385" s="8"/>
      <c r="AX385" s="8"/>
      <c r="AY385" s="6"/>
      <c r="AZ385" s="8"/>
      <c r="BA385" s="8"/>
      <c r="BB385" s="6"/>
      <c r="BC385" s="8"/>
      <c r="BD385" s="8"/>
      <c r="BE385" s="6"/>
      <c r="BF385" s="8"/>
      <c r="BG385" s="8"/>
      <c r="BH385" s="6"/>
      <c r="BI385" s="8"/>
      <c r="BJ385" s="8"/>
      <c r="BK385" s="6"/>
      <c r="BL385" s="8"/>
      <c r="BM385" s="8"/>
      <c r="BN385" s="6"/>
      <c r="BO385" s="8"/>
      <c r="BP385" s="8"/>
      <c r="BQ385" s="6"/>
      <c r="BR385" s="8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7"/>
      <c r="HW385" s="7"/>
      <c r="HX385" s="7"/>
      <c r="HY385" s="7"/>
      <c r="HZ385" s="7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7"/>
      <c r="IQ385" s="7"/>
      <c r="IR385" s="7"/>
      <c r="IS385" s="7"/>
      <c r="IT385" s="7"/>
      <c r="IU385" s="7"/>
      <c r="IV385" s="7"/>
      <c r="IW385" s="7"/>
      <c r="IX385" s="7"/>
      <c r="IY385" s="7"/>
      <c r="IZ385" s="7"/>
      <c r="JA385" s="7"/>
      <c r="JB385" s="7"/>
      <c r="JC385" s="7"/>
      <c r="JD385" s="7"/>
      <c r="JE385" s="7"/>
      <c r="JF385" s="7"/>
      <c r="JG385" s="7"/>
      <c r="JH385" s="7"/>
      <c r="JI385" s="7"/>
      <c r="JJ385" s="7"/>
      <c r="JK385" s="7"/>
      <c r="JL385" s="7"/>
      <c r="JM385" s="7"/>
      <c r="JN385" s="7"/>
      <c r="JO385" s="7"/>
      <c r="JP385" s="7"/>
      <c r="JQ385" s="7"/>
      <c r="JR385" s="7"/>
      <c r="JS385" s="7"/>
      <c r="JT385" s="7"/>
      <c r="JU385" s="7"/>
      <c r="JV385" s="7"/>
      <c r="JW385" s="7"/>
      <c r="JX385" s="7"/>
      <c r="JY385" s="7"/>
      <c r="JZ385" s="7"/>
      <c r="KA385" s="7"/>
      <c r="KB385" s="7"/>
      <c r="KC385" s="7"/>
      <c r="KD385" s="7"/>
      <c r="KE385" s="7"/>
      <c r="KF385" s="7"/>
      <c r="KG385" s="7"/>
      <c r="KH385" s="7"/>
      <c r="KI385" s="7"/>
      <c r="KJ385" s="7"/>
      <c r="KK385" s="7"/>
      <c r="KL385" s="7"/>
      <c r="KM385" s="7"/>
      <c r="KN385" s="7"/>
    </row>
    <row r="386">
      <c r="A386" s="6"/>
      <c r="B386" s="6" t="s">
        <v>386</v>
      </c>
      <c r="C386" s="3" t="str">
        <f t="shared" si="3"/>
        <v>mirrored olive</v>
      </c>
      <c r="D386" s="3" t="str">
        <f t="shared" si="17"/>
        <v>ZZZ</v>
      </c>
      <c r="E386" s="3" t="b">
        <f t="array" ref="E386">OR(ISNUMBER(SEARCH(D$2:D$30,$B386,5)))</f>
        <v>0</v>
      </c>
      <c r="G386" s="3" t="str">
        <f t="shared" si="4"/>
        <v>ZZZ</v>
      </c>
      <c r="H386" s="3" t="b">
        <f t="array" ref="H386">OR(ISNUMBER(SEARCH(G$2:G$30,$B386,5)))</f>
        <v>0</v>
      </c>
      <c r="J386" s="3" t="str">
        <f t="shared" si="5"/>
        <v>ZZZ</v>
      </c>
      <c r="K386" s="3" t="b">
        <f t="array" ref="K386">OR(ISNUMBER(SEARCH(J$2:J$30,$B386,5)))</f>
        <v>0</v>
      </c>
      <c r="M386" s="3" t="str">
        <f t="shared" si="6"/>
        <v>ZZZ</v>
      </c>
      <c r="N386" s="3" t="b">
        <f t="array" ref="N386">OR(ISNUMBER(SEARCH(M$2:M$30,$B386,5)))</f>
        <v>0</v>
      </c>
      <c r="P386" s="3" t="str">
        <f t="shared" si="7"/>
        <v>ZZZ</v>
      </c>
      <c r="Q386" s="3" t="b">
        <f t="array" ref="Q386">OR(ISNUMBER(SEARCH(P$2:P$50,$B386,5)))</f>
        <v>0</v>
      </c>
      <c r="S386" s="3" t="str">
        <f t="shared" si="8"/>
        <v>ZZZ</v>
      </c>
      <c r="T386" s="3" t="b">
        <f t="array" ref="T386">OR(ISNUMBER(SEARCH(S$2:S$100,$B386,5)))</f>
        <v>0</v>
      </c>
      <c r="V386" s="3" t="str">
        <f t="shared" si="9"/>
        <v>ZZZ</v>
      </c>
      <c r="W386" s="3" t="b">
        <f t="array" ref="W386">OR(ISNUMBER(SEARCH(V$2:V$100,$B386,5)))</f>
        <v>0</v>
      </c>
      <c r="Y386" s="3" t="str">
        <f t="shared" si="10"/>
        <v>ZZZ</v>
      </c>
      <c r="Z386" s="3" t="b">
        <f t="array" ref="Z386">OR(ISNUMBER(SEARCH(Y$2:Y$100,$B386,5)))</f>
        <v>0</v>
      </c>
      <c r="AB386" s="3" t="str">
        <f t="shared" si="11"/>
        <v>ZZZ</v>
      </c>
      <c r="AC386" s="3" t="b">
        <f t="array" ref="AC386">OR(ISNUMBER(SEARCH(AB$2:AB$100,$B386,5)))</f>
        <v>0</v>
      </c>
      <c r="AE386" s="3" t="str">
        <f t="shared" si="12"/>
        <v>ZZZ</v>
      </c>
      <c r="AF386" s="3" t="b">
        <f t="array" ref="AF386">OR(ISNUMBER(SEARCH(AE$2:AE$100,$B386,5)))</f>
        <v>0</v>
      </c>
      <c r="AH386" s="3" t="str">
        <f t="shared" si="13"/>
        <v>ZZZ</v>
      </c>
      <c r="AI386" s="3" t="b">
        <f t="array" ref="AI386">OR(ISNUMBER(SEARCH(AH$2:AH$100,$B386,5)))</f>
        <v>0</v>
      </c>
      <c r="AK386" s="3" t="str">
        <f t="shared" si="14"/>
        <v>ZZZ</v>
      </c>
      <c r="AL386" s="3" t="b">
        <f t="array" ref="AL386">OR(ISNUMBER(SEARCH(AK$2:AK$100,$B386,5)))</f>
        <v>0</v>
      </c>
      <c r="AU386" s="8"/>
      <c r="AV386" s="6"/>
      <c r="AW386" s="8"/>
      <c r="AX386" s="8"/>
      <c r="AY386" s="6"/>
      <c r="AZ386" s="8"/>
      <c r="BA386" s="8"/>
      <c r="BB386" s="6"/>
      <c r="BC386" s="8"/>
      <c r="BD386" s="8"/>
      <c r="BE386" s="6"/>
      <c r="BF386" s="8"/>
      <c r="BG386" s="8"/>
      <c r="BH386" s="6"/>
      <c r="BI386" s="8"/>
      <c r="BJ386" s="8"/>
      <c r="BK386" s="6"/>
      <c r="BL386" s="8"/>
      <c r="BM386" s="8"/>
      <c r="BN386" s="6"/>
      <c r="BO386" s="8"/>
      <c r="BP386" s="8"/>
      <c r="BQ386" s="6"/>
      <c r="BR386" s="8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/>
      <c r="HT386" s="7"/>
      <c r="HU386" s="7"/>
      <c r="HV386" s="7"/>
      <c r="HW386" s="7"/>
      <c r="HX386" s="7"/>
      <c r="HY386" s="7"/>
      <c r="HZ386" s="7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7"/>
      <c r="IQ386" s="7"/>
      <c r="IR386" s="7"/>
      <c r="IS386" s="7"/>
      <c r="IT386" s="7"/>
      <c r="IU386" s="7"/>
      <c r="IV386" s="7"/>
      <c r="IW386" s="7"/>
      <c r="IX386" s="7"/>
      <c r="IY386" s="7"/>
      <c r="IZ386" s="7"/>
      <c r="JA386" s="7"/>
      <c r="JB386" s="7"/>
      <c r="JC386" s="7"/>
      <c r="JD386" s="7"/>
      <c r="JE386" s="7"/>
      <c r="JF386" s="7"/>
      <c r="JG386" s="7"/>
      <c r="JH386" s="7"/>
      <c r="JI386" s="7"/>
      <c r="JJ386" s="7"/>
      <c r="JK386" s="7"/>
      <c r="JL386" s="7"/>
      <c r="JM386" s="7"/>
      <c r="JN386" s="7"/>
      <c r="JO386" s="7"/>
      <c r="JP386" s="7"/>
      <c r="JQ386" s="7"/>
      <c r="JR386" s="7"/>
      <c r="JS386" s="7"/>
      <c r="JT386" s="7"/>
      <c r="JU386" s="7"/>
      <c r="JV386" s="7"/>
      <c r="JW386" s="7"/>
      <c r="JX386" s="7"/>
      <c r="JY386" s="7"/>
      <c r="JZ386" s="7"/>
      <c r="KA386" s="7"/>
      <c r="KB386" s="7"/>
      <c r="KC386" s="7"/>
      <c r="KD386" s="7"/>
      <c r="KE386" s="7"/>
      <c r="KF386" s="7"/>
      <c r="KG386" s="7"/>
      <c r="KH386" s="7"/>
      <c r="KI386" s="7"/>
      <c r="KJ386" s="7"/>
      <c r="KK386" s="7"/>
      <c r="KL386" s="7"/>
      <c r="KM386" s="7"/>
      <c r="KN386" s="7"/>
    </row>
    <row r="387">
      <c r="A387" s="6"/>
      <c r="B387" s="6" t="s">
        <v>387</v>
      </c>
      <c r="C387" s="3" t="str">
        <f t="shared" si="3"/>
        <v>shiny tomato</v>
      </c>
      <c r="D387" s="3" t="str">
        <f t="shared" si="17"/>
        <v>ZZZ</v>
      </c>
      <c r="E387" s="3" t="b">
        <f t="array" ref="E387">OR(ISNUMBER(SEARCH(D$2:D$30,$B387,5)))</f>
        <v>0</v>
      </c>
      <c r="G387" s="3" t="str">
        <f t="shared" si="4"/>
        <v>ZZZ</v>
      </c>
      <c r="H387" s="3" t="b">
        <f t="array" ref="H387">OR(ISNUMBER(SEARCH(G$2:G$30,$B387,5)))</f>
        <v>0</v>
      </c>
      <c r="J387" s="3" t="str">
        <f t="shared" si="5"/>
        <v>ZZZ</v>
      </c>
      <c r="K387" s="3" t="b">
        <f t="array" ref="K387">OR(ISNUMBER(SEARCH(J$2:J$30,$B387,5)))</f>
        <v>0</v>
      </c>
      <c r="M387" s="3" t="str">
        <f t="shared" si="6"/>
        <v>ZZZ</v>
      </c>
      <c r="N387" s="3" t="b">
        <f t="array" ref="N387">OR(ISNUMBER(SEARCH(M$2:M$30,$B387,5)))</f>
        <v>0</v>
      </c>
      <c r="P387" s="3" t="str">
        <f t="shared" si="7"/>
        <v>ZZZ</v>
      </c>
      <c r="Q387" s="3" t="b">
        <f t="array" ref="Q387">OR(ISNUMBER(SEARCH(P$2:P$50,$B387,5)))</f>
        <v>0</v>
      </c>
      <c r="S387" s="3" t="str">
        <f t="shared" si="8"/>
        <v>ZZZ</v>
      </c>
      <c r="T387" s="3" t="b">
        <f t="array" ref="T387">OR(ISNUMBER(SEARCH(S$2:S$100,$B387,5)))</f>
        <v>0</v>
      </c>
      <c r="V387" s="3" t="str">
        <f t="shared" si="9"/>
        <v>ZZZ</v>
      </c>
      <c r="W387" s="3" t="b">
        <f t="array" ref="W387">OR(ISNUMBER(SEARCH(V$2:V$100,$B387,5)))</f>
        <v>1</v>
      </c>
      <c r="Y387" s="3" t="str">
        <f t="shared" si="10"/>
        <v>ZZZ</v>
      </c>
      <c r="Z387" s="3" t="b">
        <f t="array" ref="Z387">OR(ISNUMBER(SEARCH(Y$2:Y$100,$B387,5)))</f>
        <v>0</v>
      </c>
      <c r="AB387" s="3" t="str">
        <f t="shared" si="11"/>
        <v>ZZZ</v>
      </c>
      <c r="AC387" s="3" t="b">
        <f t="array" ref="AC387">OR(ISNUMBER(SEARCH(AB$2:AB$100,$B387,5)))</f>
        <v>0</v>
      </c>
      <c r="AE387" s="3" t="str">
        <f t="shared" si="12"/>
        <v>ZZZ</v>
      </c>
      <c r="AF387" s="3" t="b">
        <f t="array" ref="AF387">OR(ISNUMBER(SEARCH(AE$2:AE$100,$B387,5)))</f>
        <v>0</v>
      </c>
      <c r="AH387" s="3" t="str">
        <f t="shared" si="13"/>
        <v>ZZZ</v>
      </c>
      <c r="AI387" s="3" t="b">
        <f t="array" ref="AI387">OR(ISNUMBER(SEARCH(AH$2:AH$100,$B387,5)))</f>
        <v>0</v>
      </c>
      <c r="AK387" s="3" t="str">
        <f t="shared" si="14"/>
        <v>ZZZ</v>
      </c>
      <c r="AL387" s="3" t="b">
        <f t="array" ref="AL387">OR(ISNUMBER(SEARCH(AK$2:AK$100,$B387,5)))</f>
        <v>0</v>
      </c>
      <c r="AU387" s="8"/>
      <c r="AV387" s="6"/>
      <c r="AW387" s="8"/>
      <c r="AX387" s="8"/>
      <c r="AY387" s="6"/>
      <c r="AZ387" s="8"/>
      <c r="BA387" s="8"/>
      <c r="BB387" s="6"/>
      <c r="BC387" s="8"/>
      <c r="BD387" s="8"/>
      <c r="BE387" s="6"/>
      <c r="BF387" s="8"/>
      <c r="BG387" s="8"/>
      <c r="BH387" s="6"/>
      <c r="BI387" s="8"/>
      <c r="BJ387" s="8"/>
      <c r="BK387" s="6"/>
      <c r="BL387" s="8"/>
      <c r="BM387" s="8"/>
      <c r="BN387" s="6"/>
      <c r="BO387" s="8"/>
      <c r="BP387" s="8"/>
      <c r="BQ387" s="6"/>
      <c r="BR387" s="8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  <c r="HT387" s="7"/>
      <c r="HU387" s="7"/>
      <c r="HV387" s="7"/>
      <c r="HW387" s="7"/>
      <c r="HX387" s="7"/>
      <c r="HY387" s="7"/>
      <c r="HZ387" s="7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7"/>
      <c r="IQ387" s="7"/>
      <c r="IR387" s="7"/>
      <c r="IS387" s="7"/>
      <c r="IT387" s="7"/>
      <c r="IU387" s="7"/>
      <c r="IV387" s="7"/>
      <c r="IW387" s="7"/>
      <c r="IX387" s="7"/>
      <c r="IY387" s="7"/>
      <c r="IZ387" s="7"/>
      <c r="JA387" s="7"/>
      <c r="JB387" s="7"/>
      <c r="JC387" s="7"/>
      <c r="JD387" s="7"/>
      <c r="JE387" s="7"/>
      <c r="JF387" s="7"/>
      <c r="JG387" s="7"/>
      <c r="JH387" s="7"/>
      <c r="JI387" s="7"/>
      <c r="JJ387" s="7"/>
      <c r="JK387" s="7"/>
      <c r="JL387" s="7"/>
      <c r="JM387" s="7"/>
      <c r="JN387" s="7"/>
      <c r="JO387" s="7"/>
      <c r="JP387" s="7"/>
      <c r="JQ387" s="7"/>
      <c r="JR387" s="7"/>
      <c r="JS387" s="7"/>
      <c r="JT387" s="7"/>
      <c r="JU387" s="7"/>
      <c r="JV387" s="7"/>
      <c r="JW387" s="7"/>
      <c r="JX387" s="7"/>
      <c r="JY387" s="7"/>
      <c r="JZ387" s="7"/>
      <c r="KA387" s="7"/>
      <c r="KB387" s="7"/>
      <c r="KC387" s="7"/>
      <c r="KD387" s="7"/>
      <c r="KE387" s="7"/>
      <c r="KF387" s="7"/>
      <c r="KG387" s="7"/>
      <c r="KH387" s="7"/>
      <c r="KI387" s="7"/>
      <c r="KJ387" s="7"/>
      <c r="KK387" s="7"/>
      <c r="KL387" s="7"/>
      <c r="KM387" s="7"/>
      <c r="KN387" s="7"/>
    </row>
    <row r="388">
      <c r="A388" s="6"/>
      <c r="B388" s="6" t="s">
        <v>388</v>
      </c>
      <c r="C388" s="3" t="str">
        <f t="shared" si="3"/>
        <v>striped coral</v>
      </c>
      <c r="D388" s="3" t="str">
        <f t="shared" si="17"/>
        <v>ZZZ</v>
      </c>
      <c r="E388" s="3" t="b">
        <f t="array" ref="E388">OR(ISNUMBER(SEARCH(D$2:D$30,$B388,5)))</f>
        <v>0</v>
      </c>
      <c r="G388" s="3" t="str">
        <f t="shared" si="4"/>
        <v>ZZZ</v>
      </c>
      <c r="H388" s="3" t="b">
        <f t="array" ref="H388">OR(ISNUMBER(SEARCH(G$2:G$30,$B388,5)))</f>
        <v>0</v>
      </c>
      <c r="J388" s="3" t="str">
        <f t="shared" si="5"/>
        <v>ZZZ</v>
      </c>
      <c r="K388" s="3" t="b">
        <f t="array" ref="K388">OR(ISNUMBER(SEARCH(J$2:J$30,$B388,5)))</f>
        <v>0</v>
      </c>
      <c r="M388" s="3" t="str">
        <f t="shared" si="6"/>
        <v>ZZZ</v>
      </c>
      <c r="N388" s="3" t="b">
        <f t="array" ref="N388">OR(ISNUMBER(SEARCH(M$2:M$30,$B388,5)))</f>
        <v>0</v>
      </c>
      <c r="P388" s="3" t="str">
        <f t="shared" si="7"/>
        <v>ZZZ</v>
      </c>
      <c r="Q388" s="3" t="b">
        <f t="array" ref="Q388">OR(ISNUMBER(SEARCH(P$2:P$50,$B388,5)))</f>
        <v>0</v>
      </c>
      <c r="S388" s="3" t="str">
        <f t="shared" si="8"/>
        <v>ZZZ</v>
      </c>
      <c r="T388" s="3" t="b">
        <f t="array" ref="T388">OR(ISNUMBER(SEARCH(S$2:S$100,$B388,5)))</f>
        <v>0</v>
      </c>
      <c r="V388" s="3" t="str">
        <f t="shared" si="9"/>
        <v>ZZZ</v>
      </c>
      <c r="W388" s="3" t="b">
        <f t="array" ref="W388">OR(ISNUMBER(SEARCH(V$2:V$100,$B388,5)))</f>
        <v>0</v>
      </c>
      <c r="Y388" s="3" t="str">
        <f t="shared" si="10"/>
        <v>ZZZ</v>
      </c>
      <c r="Z388" s="3" t="b">
        <f t="array" ref="Z388">OR(ISNUMBER(SEARCH(Y$2:Y$100,$B388,5)))</f>
        <v>0</v>
      </c>
      <c r="AB388" s="3" t="str">
        <f t="shared" si="11"/>
        <v>ZZZ</v>
      </c>
      <c r="AC388" s="3" t="b">
        <f t="array" ref="AC388">OR(ISNUMBER(SEARCH(AB$2:AB$100,$B388,5)))</f>
        <v>0</v>
      </c>
      <c r="AE388" s="3" t="str">
        <f t="shared" si="12"/>
        <v>ZZZ</v>
      </c>
      <c r="AF388" s="3" t="b">
        <f t="array" ref="AF388">OR(ISNUMBER(SEARCH(AE$2:AE$100,$B388,5)))</f>
        <v>0</v>
      </c>
      <c r="AH388" s="3" t="str">
        <f t="shared" si="13"/>
        <v>ZZZ</v>
      </c>
      <c r="AI388" s="3" t="b">
        <f t="array" ref="AI388">OR(ISNUMBER(SEARCH(AH$2:AH$100,$B388,5)))</f>
        <v>0</v>
      </c>
      <c r="AK388" s="3" t="str">
        <f t="shared" si="14"/>
        <v>ZZZ</v>
      </c>
      <c r="AL388" s="3" t="b">
        <f t="array" ref="AL388">OR(ISNUMBER(SEARCH(AK$2:AK$100,$B388,5)))</f>
        <v>0</v>
      </c>
      <c r="AU388" s="8"/>
      <c r="AV388" s="6"/>
      <c r="AW388" s="8"/>
      <c r="AX388" s="8"/>
      <c r="AY388" s="6"/>
      <c r="AZ388" s="8"/>
      <c r="BA388" s="8"/>
      <c r="BB388" s="6"/>
      <c r="BC388" s="8"/>
      <c r="BD388" s="8"/>
      <c r="BE388" s="6"/>
      <c r="BF388" s="8"/>
      <c r="BG388" s="8"/>
      <c r="BH388" s="6"/>
      <c r="BI388" s="8"/>
      <c r="BJ388" s="8"/>
      <c r="BK388" s="6"/>
      <c r="BL388" s="8"/>
      <c r="BM388" s="8"/>
      <c r="BN388" s="6"/>
      <c r="BO388" s="8"/>
      <c r="BP388" s="8"/>
      <c r="BQ388" s="6"/>
      <c r="BR388" s="8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  <c r="HQ388" s="7"/>
      <c r="HR388" s="7"/>
      <c r="HS388" s="7"/>
      <c r="HT388" s="7"/>
      <c r="HU388" s="7"/>
      <c r="HV388" s="7"/>
      <c r="HW388" s="7"/>
      <c r="HX388" s="7"/>
      <c r="HY388" s="7"/>
      <c r="HZ388" s="7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7"/>
      <c r="IP388" s="7"/>
      <c r="IQ388" s="7"/>
      <c r="IR388" s="7"/>
      <c r="IS388" s="7"/>
      <c r="IT388" s="7"/>
      <c r="IU388" s="7"/>
      <c r="IV388" s="7"/>
      <c r="IW388" s="7"/>
      <c r="IX388" s="7"/>
      <c r="IY388" s="7"/>
      <c r="IZ388" s="7"/>
      <c r="JA388" s="7"/>
      <c r="JB388" s="7"/>
      <c r="JC388" s="7"/>
      <c r="JD388" s="7"/>
      <c r="JE388" s="7"/>
      <c r="JF388" s="7"/>
      <c r="JG388" s="7"/>
      <c r="JH388" s="7"/>
      <c r="JI388" s="7"/>
      <c r="JJ388" s="7"/>
      <c r="JK388" s="7"/>
      <c r="JL388" s="7"/>
      <c r="JM388" s="7"/>
      <c r="JN388" s="7"/>
      <c r="JO388" s="7"/>
      <c r="JP388" s="7"/>
      <c r="JQ388" s="7"/>
      <c r="JR388" s="7"/>
      <c r="JS388" s="7"/>
      <c r="JT388" s="7"/>
      <c r="JU388" s="7"/>
      <c r="JV388" s="7"/>
      <c r="JW388" s="7"/>
      <c r="JX388" s="7"/>
      <c r="JY388" s="7"/>
      <c r="JZ388" s="7"/>
      <c r="KA388" s="7"/>
      <c r="KB388" s="7"/>
      <c r="KC388" s="7"/>
      <c r="KD388" s="7"/>
      <c r="KE388" s="7"/>
      <c r="KF388" s="7"/>
      <c r="KG388" s="7"/>
      <c r="KH388" s="7"/>
      <c r="KI388" s="7"/>
      <c r="KJ388" s="7"/>
      <c r="KK388" s="7"/>
      <c r="KL388" s="7"/>
      <c r="KM388" s="7"/>
      <c r="KN388" s="7"/>
    </row>
    <row r="389">
      <c r="A389" s="6"/>
      <c r="B389" s="6" t="s">
        <v>389</v>
      </c>
      <c r="C389" s="3" t="str">
        <f t="shared" si="3"/>
        <v>mirrored chartreuse</v>
      </c>
      <c r="D389" s="3" t="str">
        <f t="shared" si="17"/>
        <v>ZZZ</v>
      </c>
      <c r="E389" s="3" t="b">
        <f t="array" ref="E389">OR(ISNUMBER(SEARCH(D$2:D$30,$B389,5)))</f>
        <v>0</v>
      </c>
      <c r="G389" s="3" t="str">
        <f t="shared" si="4"/>
        <v>ZZZ</v>
      </c>
      <c r="H389" s="3" t="b">
        <f t="array" ref="H389">OR(ISNUMBER(SEARCH(G$2:G$30,$B389,5)))</f>
        <v>0</v>
      </c>
      <c r="J389" s="3" t="str">
        <f t="shared" si="5"/>
        <v>ZZZ</v>
      </c>
      <c r="K389" s="3" t="b">
        <f t="array" ref="K389">OR(ISNUMBER(SEARCH(J$2:J$30,$B389,5)))</f>
        <v>0</v>
      </c>
      <c r="M389" s="3" t="str">
        <f t="shared" si="6"/>
        <v>ZZZ</v>
      </c>
      <c r="N389" s="3" t="b">
        <f t="array" ref="N389">OR(ISNUMBER(SEARCH(M$2:M$30,$B389,5)))</f>
        <v>0</v>
      </c>
      <c r="P389" s="3" t="str">
        <f t="shared" si="7"/>
        <v>ZZZ</v>
      </c>
      <c r="Q389" s="3" t="b">
        <f t="array" ref="Q389">OR(ISNUMBER(SEARCH(P$2:P$50,$B389,5)))</f>
        <v>0</v>
      </c>
      <c r="S389" s="3" t="str">
        <f t="shared" si="8"/>
        <v>ZZZ</v>
      </c>
      <c r="T389" s="3" t="b">
        <f t="array" ref="T389">OR(ISNUMBER(SEARCH(S$2:S$100,$B389,5)))</f>
        <v>0</v>
      </c>
      <c r="V389" s="3" t="str">
        <f t="shared" si="9"/>
        <v>ZZZ</v>
      </c>
      <c r="W389" s="3" t="b">
        <f t="array" ref="W389">OR(ISNUMBER(SEARCH(V$2:V$100,$B389,5)))</f>
        <v>0</v>
      </c>
      <c r="Y389" s="3" t="str">
        <f t="shared" si="10"/>
        <v>ZZZ</v>
      </c>
      <c r="Z389" s="3" t="b">
        <f t="array" ref="Z389">OR(ISNUMBER(SEARCH(Y$2:Y$100,$B389,5)))</f>
        <v>0</v>
      </c>
      <c r="AB389" s="3" t="str">
        <f t="shared" si="11"/>
        <v>ZZZ</v>
      </c>
      <c r="AC389" s="3" t="b">
        <f t="array" ref="AC389">OR(ISNUMBER(SEARCH(AB$2:AB$100,$B389,5)))</f>
        <v>0</v>
      </c>
      <c r="AE389" s="3" t="str">
        <f t="shared" si="12"/>
        <v>ZZZ</v>
      </c>
      <c r="AF389" s="3" t="b">
        <f t="array" ref="AF389">OR(ISNUMBER(SEARCH(AE$2:AE$100,$B389,5)))</f>
        <v>0</v>
      </c>
      <c r="AH389" s="3" t="str">
        <f t="shared" si="13"/>
        <v>ZZZ</v>
      </c>
      <c r="AI389" s="3" t="b">
        <f t="array" ref="AI389">OR(ISNUMBER(SEARCH(AH$2:AH$100,$B389,5)))</f>
        <v>0</v>
      </c>
      <c r="AK389" s="3" t="str">
        <f t="shared" si="14"/>
        <v>ZZZ</v>
      </c>
      <c r="AL389" s="3" t="b">
        <f t="array" ref="AL389">OR(ISNUMBER(SEARCH(AK$2:AK$100,$B389,5)))</f>
        <v>0</v>
      </c>
      <c r="AU389" s="8"/>
      <c r="AV389" s="6"/>
      <c r="AW389" s="8"/>
      <c r="AX389" s="8"/>
      <c r="AY389" s="6"/>
      <c r="AZ389" s="8"/>
      <c r="BA389" s="8"/>
      <c r="BB389" s="6"/>
      <c r="BC389" s="8"/>
      <c r="BD389" s="8"/>
      <c r="BE389" s="6"/>
      <c r="BF389" s="8"/>
      <c r="BG389" s="8"/>
      <c r="BH389" s="6"/>
      <c r="BI389" s="8"/>
      <c r="BJ389" s="8"/>
      <c r="BK389" s="6"/>
      <c r="BL389" s="8"/>
      <c r="BM389" s="8"/>
      <c r="BN389" s="6"/>
      <c r="BO389" s="8"/>
      <c r="BP389" s="8"/>
      <c r="BQ389" s="6"/>
      <c r="BR389" s="8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/>
      <c r="HK389" s="7"/>
      <c r="HL389" s="7"/>
      <c r="HM389" s="7"/>
      <c r="HN389" s="7"/>
      <c r="HO389" s="7"/>
      <c r="HP389" s="7"/>
      <c r="HQ389" s="7"/>
      <c r="HR389" s="7"/>
      <c r="HS389" s="7"/>
      <c r="HT389" s="7"/>
      <c r="HU389" s="7"/>
      <c r="HV389" s="7"/>
      <c r="HW389" s="7"/>
      <c r="HX389" s="7"/>
      <c r="HY389" s="7"/>
      <c r="HZ389" s="7"/>
      <c r="IA389" s="7"/>
      <c r="IB389" s="7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7"/>
      <c r="IP389" s="7"/>
      <c r="IQ389" s="7"/>
      <c r="IR389" s="7"/>
      <c r="IS389" s="7"/>
      <c r="IT389" s="7"/>
      <c r="IU389" s="7"/>
      <c r="IV389" s="7"/>
      <c r="IW389" s="7"/>
      <c r="IX389" s="7"/>
      <c r="IY389" s="7"/>
      <c r="IZ389" s="7"/>
      <c r="JA389" s="7"/>
      <c r="JB389" s="7"/>
      <c r="JC389" s="7"/>
      <c r="JD389" s="7"/>
      <c r="JE389" s="7"/>
      <c r="JF389" s="7"/>
      <c r="JG389" s="7"/>
      <c r="JH389" s="7"/>
      <c r="JI389" s="7"/>
      <c r="JJ389" s="7"/>
      <c r="JK389" s="7"/>
      <c r="JL389" s="7"/>
      <c r="JM389" s="7"/>
      <c r="JN389" s="7"/>
      <c r="JO389" s="7"/>
      <c r="JP389" s="7"/>
      <c r="JQ389" s="7"/>
      <c r="JR389" s="7"/>
      <c r="JS389" s="7"/>
      <c r="JT389" s="7"/>
      <c r="JU389" s="7"/>
      <c r="JV389" s="7"/>
      <c r="JW389" s="7"/>
      <c r="JX389" s="7"/>
      <c r="JY389" s="7"/>
      <c r="JZ389" s="7"/>
      <c r="KA389" s="7"/>
      <c r="KB389" s="7"/>
      <c r="KC389" s="7"/>
      <c r="KD389" s="7"/>
      <c r="KE389" s="7"/>
      <c r="KF389" s="7"/>
      <c r="KG389" s="7"/>
      <c r="KH389" s="7"/>
      <c r="KI389" s="7"/>
      <c r="KJ389" s="7"/>
      <c r="KK389" s="7"/>
      <c r="KL389" s="7"/>
      <c r="KM389" s="7"/>
      <c r="KN389" s="7"/>
    </row>
    <row r="390">
      <c r="A390" s="6"/>
      <c r="B390" s="6" t="s">
        <v>390</v>
      </c>
      <c r="C390" s="3" t="str">
        <f t="shared" si="3"/>
        <v>pale maroon</v>
      </c>
      <c r="D390" s="3" t="str">
        <f t="shared" si="17"/>
        <v>ZZZ</v>
      </c>
      <c r="E390" s="3" t="b">
        <f t="array" ref="E390">OR(ISNUMBER(SEARCH(D$2:D$30,$B390,5)))</f>
        <v>0</v>
      </c>
      <c r="G390" s="3" t="str">
        <f t="shared" si="4"/>
        <v>ZZZ</v>
      </c>
      <c r="H390" s="3" t="b">
        <f t="array" ref="H390">OR(ISNUMBER(SEARCH(G$2:G$30,$B390,5)))</f>
        <v>0</v>
      </c>
      <c r="J390" s="3" t="str">
        <f t="shared" si="5"/>
        <v>ZZZ</v>
      </c>
      <c r="K390" s="3" t="b">
        <f t="array" ref="K390">OR(ISNUMBER(SEARCH(J$2:J$30,$B390,5)))</f>
        <v>0</v>
      </c>
      <c r="M390" s="3" t="str">
        <f t="shared" si="6"/>
        <v>ZZZ</v>
      </c>
      <c r="N390" s="3" t="b">
        <f t="array" ref="N390">OR(ISNUMBER(SEARCH(M$2:M$30,$B390,5)))</f>
        <v>0</v>
      </c>
      <c r="P390" s="3" t="str">
        <f t="shared" si="7"/>
        <v>ZZZ</v>
      </c>
      <c r="Q390" s="3" t="b">
        <f t="array" ref="Q390">OR(ISNUMBER(SEARCH(P$2:P$50,$B390,5)))</f>
        <v>0</v>
      </c>
      <c r="S390" s="3" t="str">
        <f t="shared" si="8"/>
        <v>ZZZ</v>
      </c>
      <c r="T390" s="3" t="b">
        <f t="array" ref="T390">OR(ISNUMBER(SEARCH(S$2:S$100,$B390,5)))</f>
        <v>0</v>
      </c>
      <c r="V390" s="3" t="str">
        <f t="shared" si="9"/>
        <v>ZZZ</v>
      </c>
      <c r="W390" s="3" t="b">
        <f t="array" ref="W390">OR(ISNUMBER(SEARCH(V$2:V$100,$B390,5)))</f>
        <v>0</v>
      </c>
      <c r="Y390" s="3" t="str">
        <f t="shared" si="10"/>
        <v>ZZZ</v>
      </c>
      <c r="Z390" s="3" t="b">
        <f t="array" ref="Z390">OR(ISNUMBER(SEARCH(Y$2:Y$100,$B390,5)))</f>
        <v>0</v>
      </c>
      <c r="AB390" s="3" t="str">
        <f t="shared" si="11"/>
        <v>ZZZ</v>
      </c>
      <c r="AC390" s="3" t="b">
        <f t="array" ref="AC390">OR(ISNUMBER(SEARCH(AB$2:AB$100,$B390,5)))</f>
        <v>0</v>
      </c>
      <c r="AE390" s="3" t="str">
        <f t="shared" si="12"/>
        <v>ZZZ</v>
      </c>
      <c r="AF390" s="3" t="b">
        <f t="array" ref="AF390">OR(ISNUMBER(SEARCH(AE$2:AE$100,$B390,5)))</f>
        <v>0</v>
      </c>
      <c r="AH390" s="3" t="str">
        <f t="shared" si="13"/>
        <v>ZZZ</v>
      </c>
      <c r="AI390" s="3" t="b">
        <f t="array" ref="AI390">OR(ISNUMBER(SEARCH(AH$2:AH$100,$B390,5)))</f>
        <v>0</v>
      </c>
      <c r="AK390" s="3" t="str">
        <f t="shared" si="14"/>
        <v>ZZZ</v>
      </c>
      <c r="AL390" s="3" t="b">
        <f t="array" ref="AL390">OR(ISNUMBER(SEARCH(AK$2:AK$100,$B390,5)))</f>
        <v>0</v>
      </c>
      <c r="AU390" s="8"/>
      <c r="AV390" s="6"/>
      <c r="AW390" s="8"/>
      <c r="AX390" s="8"/>
      <c r="AY390" s="6"/>
      <c r="AZ390" s="8"/>
      <c r="BA390" s="8"/>
      <c r="BB390" s="6"/>
      <c r="BC390" s="8"/>
      <c r="BD390" s="8"/>
      <c r="BE390" s="6"/>
      <c r="BF390" s="8"/>
      <c r="BG390" s="8"/>
      <c r="BH390" s="6"/>
      <c r="BI390" s="8"/>
      <c r="BJ390" s="8"/>
      <c r="BK390" s="6"/>
      <c r="BL390" s="8"/>
      <c r="BM390" s="8"/>
      <c r="BN390" s="6"/>
      <c r="BO390" s="8"/>
      <c r="BP390" s="8"/>
      <c r="BQ390" s="6"/>
      <c r="BR390" s="8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  <c r="HQ390" s="7"/>
      <c r="HR390" s="7"/>
      <c r="HS390" s="7"/>
      <c r="HT390" s="7"/>
      <c r="HU390" s="7"/>
      <c r="HV390" s="7"/>
      <c r="HW390" s="7"/>
      <c r="HX390" s="7"/>
      <c r="HY390" s="7"/>
      <c r="HZ390" s="7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7"/>
      <c r="IP390" s="7"/>
      <c r="IQ390" s="7"/>
      <c r="IR390" s="7"/>
      <c r="IS390" s="7"/>
      <c r="IT390" s="7"/>
      <c r="IU390" s="7"/>
      <c r="IV390" s="7"/>
      <c r="IW390" s="7"/>
      <c r="IX390" s="7"/>
      <c r="IY390" s="7"/>
      <c r="IZ390" s="7"/>
      <c r="JA390" s="7"/>
      <c r="JB390" s="7"/>
      <c r="JC390" s="7"/>
      <c r="JD390" s="7"/>
      <c r="JE390" s="7"/>
      <c r="JF390" s="7"/>
      <c r="JG390" s="7"/>
      <c r="JH390" s="7"/>
      <c r="JI390" s="7"/>
      <c r="JJ390" s="7"/>
      <c r="JK390" s="7"/>
      <c r="JL390" s="7"/>
      <c r="JM390" s="7"/>
      <c r="JN390" s="7"/>
      <c r="JO390" s="7"/>
      <c r="JP390" s="7"/>
      <c r="JQ390" s="7"/>
      <c r="JR390" s="7"/>
      <c r="JS390" s="7"/>
      <c r="JT390" s="7"/>
      <c r="JU390" s="7"/>
      <c r="JV390" s="7"/>
      <c r="JW390" s="7"/>
      <c r="JX390" s="7"/>
      <c r="JY390" s="7"/>
      <c r="JZ390" s="7"/>
      <c r="KA390" s="7"/>
      <c r="KB390" s="7"/>
      <c r="KC390" s="7"/>
      <c r="KD390" s="7"/>
      <c r="KE390" s="7"/>
      <c r="KF390" s="7"/>
      <c r="KG390" s="7"/>
      <c r="KH390" s="7"/>
      <c r="KI390" s="7"/>
      <c r="KJ390" s="7"/>
      <c r="KK390" s="7"/>
      <c r="KL390" s="7"/>
      <c r="KM390" s="7"/>
      <c r="KN390" s="7"/>
    </row>
    <row r="391">
      <c r="A391" s="6"/>
      <c r="B391" s="6" t="s">
        <v>391</v>
      </c>
      <c r="C391" s="3" t="str">
        <f t="shared" si="3"/>
        <v>striped black</v>
      </c>
      <c r="D391" s="3" t="str">
        <f t="shared" si="17"/>
        <v>ZZZ</v>
      </c>
      <c r="E391" s="3" t="b">
        <f t="array" ref="E391">OR(ISNUMBER(SEARCH(D$2:D$30,$B391,5)))</f>
        <v>0</v>
      </c>
      <c r="G391" s="3" t="str">
        <f t="shared" si="4"/>
        <v>ZZZ</v>
      </c>
      <c r="H391" s="3" t="b">
        <f t="array" ref="H391">OR(ISNUMBER(SEARCH(G$2:G$30,$B391,5)))</f>
        <v>1</v>
      </c>
      <c r="J391" s="3" t="str">
        <f t="shared" si="5"/>
        <v>ZZZ</v>
      </c>
      <c r="K391" s="3" t="b">
        <f t="array" ref="K391">OR(ISNUMBER(SEARCH(J$2:J$30,$B391,5)))</f>
        <v>0</v>
      </c>
      <c r="M391" s="3" t="str">
        <f t="shared" si="6"/>
        <v>ZZZ</v>
      </c>
      <c r="N391" s="3" t="b">
        <f t="array" ref="N391">OR(ISNUMBER(SEARCH(M$2:M$30,$B391,5)))</f>
        <v>0</v>
      </c>
      <c r="P391" s="3" t="str">
        <f t="shared" si="7"/>
        <v>ZZZ</v>
      </c>
      <c r="Q391" s="3" t="b">
        <f t="array" ref="Q391">OR(ISNUMBER(SEARCH(P$2:P$50,$B391,5)))</f>
        <v>0</v>
      </c>
      <c r="S391" s="3" t="str">
        <f t="shared" si="8"/>
        <v>ZZZ</v>
      </c>
      <c r="T391" s="3" t="b">
        <f t="array" ref="T391">OR(ISNUMBER(SEARCH(S$2:S$100,$B391,5)))</f>
        <v>0</v>
      </c>
      <c r="V391" s="3" t="str">
        <f t="shared" si="9"/>
        <v>ZZZ</v>
      </c>
      <c r="W391" s="3" t="b">
        <f t="array" ref="W391">OR(ISNUMBER(SEARCH(V$2:V$100,$B391,5)))</f>
        <v>0</v>
      </c>
      <c r="Y391" s="3" t="str">
        <f t="shared" si="10"/>
        <v>ZZZ</v>
      </c>
      <c r="Z391" s="3" t="b">
        <f t="array" ref="Z391">OR(ISNUMBER(SEARCH(Y$2:Y$100,$B391,5)))</f>
        <v>0</v>
      </c>
      <c r="AB391" s="3" t="str">
        <f t="shared" si="11"/>
        <v>ZZZ</v>
      </c>
      <c r="AC391" s="3" t="b">
        <f t="array" ref="AC391">OR(ISNUMBER(SEARCH(AB$2:AB$100,$B391,5)))</f>
        <v>0</v>
      </c>
      <c r="AE391" s="3" t="str">
        <f t="shared" si="12"/>
        <v>ZZZ</v>
      </c>
      <c r="AF391" s="3" t="b">
        <f t="array" ref="AF391">OR(ISNUMBER(SEARCH(AE$2:AE$100,$B391,5)))</f>
        <v>0</v>
      </c>
      <c r="AH391" s="3" t="str">
        <f t="shared" si="13"/>
        <v>ZZZ</v>
      </c>
      <c r="AI391" s="3" t="b">
        <f t="array" ref="AI391">OR(ISNUMBER(SEARCH(AH$2:AH$100,$B391,5)))</f>
        <v>0</v>
      </c>
      <c r="AK391" s="3" t="str">
        <f t="shared" si="14"/>
        <v>ZZZ</v>
      </c>
      <c r="AL391" s="3" t="b">
        <f t="array" ref="AL391">OR(ISNUMBER(SEARCH(AK$2:AK$100,$B391,5)))</f>
        <v>0</v>
      </c>
      <c r="AU391" s="8"/>
      <c r="AV391" s="6"/>
      <c r="AW391" s="8"/>
      <c r="AX391" s="8"/>
      <c r="AY391" s="6"/>
      <c r="AZ391" s="8"/>
      <c r="BA391" s="8"/>
      <c r="BB391" s="6"/>
      <c r="BC391" s="8"/>
      <c r="BD391" s="8"/>
      <c r="BE391" s="6"/>
      <c r="BF391" s="8"/>
      <c r="BG391" s="8"/>
      <c r="BH391" s="6"/>
      <c r="BI391" s="8"/>
      <c r="BJ391" s="8"/>
      <c r="BK391" s="6"/>
      <c r="BL391" s="8"/>
      <c r="BM391" s="8"/>
      <c r="BN391" s="6"/>
      <c r="BO391" s="8"/>
      <c r="BP391" s="8"/>
      <c r="BQ391" s="6"/>
      <c r="BR391" s="8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  <c r="HQ391" s="7"/>
      <c r="HR391" s="7"/>
      <c r="HS391" s="7"/>
      <c r="HT391" s="7"/>
      <c r="HU391" s="7"/>
      <c r="HV391" s="7"/>
      <c r="HW391" s="7"/>
      <c r="HX391" s="7"/>
      <c r="HY391" s="7"/>
      <c r="HZ391" s="7"/>
      <c r="IA391" s="7"/>
      <c r="IB391" s="7"/>
      <c r="IC391" s="7"/>
      <c r="ID391" s="7"/>
      <c r="IE391" s="7"/>
      <c r="IF391" s="7"/>
      <c r="IG391" s="7"/>
      <c r="IH391" s="7"/>
      <c r="II391" s="7"/>
      <c r="IJ391" s="7"/>
      <c r="IK391" s="7"/>
      <c r="IL391" s="7"/>
      <c r="IM391" s="7"/>
      <c r="IN391" s="7"/>
      <c r="IO391" s="7"/>
      <c r="IP391" s="7"/>
      <c r="IQ391" s="7"/>
      <c r="IR391" s="7"/>
      <c r="IS391" s="7"/>
      <c r="IT391" s="7"/>
      <c r="IU391" s="7"/>
      <c r="IV391" s="7"/>
      <c r="IW391" s="7"/>
      <c r="IX391" s="7"/>
      <c r="IY391" s="7"/>
      <c r="IZ391" s="7"/>
      <c r="JA391" s="7"/>
      <c r="JB391" s="7"/>
      <c r="JC391" s="7"/>
      <c r="JD391" s="7"/>
      <c r="JE391" s="7"/>
      <c r="JF391" s="7"/>
      <c r="JG391" s="7"/>
      <c r="JH391" s="7"/>
      <c r="JI391" s="7"/>
      <c r="JJ391" s="7"/>
      <c r="JK391" s="7"/>
      <c r="JL391" s="7"/>
      <c r="JM391" s="7"/>
      <c r="JN391" s="7"/>
      <c r="JO391" s="7"/>
      <c r="JP391" s="7"/>
      <c r="JQ391" s="7"/>
      <c r="JR391" s="7"/>
      <c r="JS391" s="7"/>
      <c r="JT391" s="7"/>
      <c r="JU391" s="7"/>
      <c r="JV391" s="7"/>
      <c r="JW391" s="7"/>
      <c r="JX391" s="7"/>
      <c r="JY391" s="7"/>
      <c r="JZ391" s="7"/>
      <c r="KA391" s="7"/>
      <c r="KB391" s="7"/>
      <c r="KC391" s="7"/>
      <c r="KD391" s="7"/>
      <c r="KE391" s="7"/>
      <c r="KF391" s="7"/>
      <c r="KG391" s="7"/>
      <c r="KH391" s="7"/>
      <c r="KI391" s="7"/>
      <c r="KJ391" s="7"/>
      <c r="KK391" s="7"/>
      <c r="KL391" s="7"/>
      <c r="KM391" s="7"/>
      <c r="KN391" s="7"/>
    </row>
    <row r="392">
      <c r="A392" s="6"/>
      <c r="B392" s="6" t="s">
        <v>392</v>
      </c>
      <c r="C392" s="3" t="str">
        <f t="shared" si="3"/>
        <v>dim maroon</v>
      </c>
      <c r="D392" s="3" t="str">
        <f t="shared" si="17"/>
        <v>ZZZ</v>
      </c>
      <c r="E392" s="3" t="b">
        <f t="array" ref="E392">OR(ISNUMBER(SEARCH(D$2:D$30,$B392,5)))</f>
        <v>0</v>
      </c>
      <c r="G392" s="3" t="str">
        <f t="shared" si="4"/>
        <v>ZZZ</v>
      </c>
      <c r="H392" s="3" t="b">
        <f t="array" ref="H392">OR(ISNUMBER(SEARCH(G$2:G$30,$B392,5)))</f>
        <v>0</v>
      </c>
      <c r="J392" s="3" t="str">
        <f t="shared" si="5"/>
        <v>ZZZ</v>
      </c>
      <c r="K392" s="3" t="b">
        <f t="array" ref="K392">OR(ISNUMBER(SEARCH(J$2:J$30,$B392,5)))</f>
        <v>0</v>
      </c>
      <c r="M392" s="3" t="str">
        <f t="shared" si="6"/>
        <v>ZZZ</v>
      </c>
      <c r="N392" s="3" t="b">
        <f t="array" ref="N392">OR(ISNUMBER(SEARCH(M$2:M$30,$B392,5)))</f>
        <v>0</v>
      </c>
      <c r="P392" s="3" t="str">
        <f t="shared" si="7"/>
        <v>ZZZ</v>
      </c>
      <c r="Q392" s="3" t="b">
        <f t="array" ref="Q392">OR(ISNUMBER(SEARCH(P$2:P$50,$B392,5)))</f>
        <v>0</v>
      </c>
      <c r="S392" s="3" t="str">
        <f t="shared" si="8"/>
        <v>ZZZ</v>
      </c>
      <c r="T392" s="3" t="b">
        <f t="array" ref="T392">OR(ISNUMBER(SEARCH(S$2:S$100,$B392,5)))</f>
        <v>0</v>
      </c>
      <c r="V392" s="3" t="str">
        <f t="shared" si="9"/>
        <v>ZZZ</v>
      </c>
      <c r="W392" s="3" t="b">
        <f t="array" ref="W392">OR(ISNUMBER(SEARCH(V$2:V$100,$B392,5)))</f>
        <v>0</v>
      </c>
      <c r="Y392" s="3" t="str">
        <f t="shared" si="10"/>
        <v>ZZZ</v>
      </c>
      <c r="Z392" s="3" t="b">
        <f t="array" ref="Z392">OR(ISNUMBER(SEARCH(Y$2:Y$100,$B392,5)))</f>
        <v>0</v>
      </c>
      <c r="AB392" s="3" t="str">
        <f t="shared" si="11"/>
        <v>ZZZ</v>
      </c>
      <c r="AC392" s="3" t="b">
        <f t="array" ref="AC392">OR(ISNUMBER(SEARCH(AB$2:AB$100,$B392,5)))</f>
        <v>0</v>
      </c>
      <c r="AE392" s="3" t="str">
        <f t="shared" si="12"/>
        <v>ZZZ</v>
      </c>
      <c r="AF392" s="3" t="b">
        <f t="array" ref="AF392">OR(ISNUMBER(SEARCH(AE$2:AE$100,$B392,5)))</f>
        <v>0</v>
      </c>
      <c r="AH392" s="3" t="str">
        <f t="shared" si="13"/>
        <v>ZZZ</v>
      </c>
      <c r="AI392" s="3" t="b">
        <f t="array" ref="AI392">OR(ISNUMBER(SEARCH(AH$2:AH$100,$B392,5)))</f>
        <v>0</v>
      </c>
      <c r="AK392" s="3" t="str">
        <f t="shared" si="14"/>
        <v>ZZZ</v>
      </c>
      <c r="AL392" s="3" t="b">
        <f t="array" ref="AL392">OR(ISNUMBER(SEARCH(AK$2:AK$100,$B392,5)))</f>
        <v>0</v>
      </c>
      <c r="AU392" s="8"/>
      <c r="AV392" s="6"/>
      <c r="AW392" s="8"/>
      <c r="AX392" s="8"/>
      <c r="AY392" s="6"/>
      <c r="AZ392" s="8"/>
      <c r="BA392" s="8"/>
      <c r="BB392" s="6"/>
      <c r="BC392" s="8"/>
      <c r="BD392" s="8"/>
      <c r="BE392" s="6"/>
      <c r="BF392" s="8"/>
      <c r="BG392" s="8"/>
      <c r="BH392" s="6"/>
      <c r="BI392" s="8"/>
      <c r="BJ392" s="8"/>
      <c r="BK392" s="6"/>
      <c r="BL392" s="8"/>
      <c r="BM392" s="8"/>
      <c r="BN392" s="6"/>
      <c r="BO392" s="8"/>
      <c r="BP392" s="8"/>
      <c r="BQ392" s="6"/>
      <c r="BR392" s="8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  <c r="HQ392" s="7"/>
      <c r="HR392" s="7"/>
      <c r="HS392" s="7"/>
      <c r="HT392" s="7"/>
      <c r="HU392" s="7"/>
      <c r="HV392" s="7"/>
      <c r="HW392" s="7"/>
      <c r="HX392" s="7"/>
      <c r="HY392" s="7"/>
      <c r="HZ392" s="7"/>
      <c r="IA392" s="7"/>
      <c r="IB392" s="7"/>
      <c r="IC392" s="7"/>
      <c r="ID392" s="7"/>
      <c r="IE392" s="7"/>
      <c r="IF392" s="7"/>
      <c r="IG392" s="7"/>
      <c r="IH392" s="7"/>
      <c r="II392" s="7"/>
      <c r="IJ392" s="7"/>
      <c r="IK392" s="7"/>
      <c r="IL392" s="7"/>
      <c r="IM392" s="7"/>
      <c r="IN392" s="7"/>
      <c r="IO392" s="7"/>
      <c r="IP392" s="7"/>
      <c r="IQ392" s="7"/>
      <c r="IR392" s="7"/>
      <c r="IS392" s="7"/>
      <c r="IT392" s="7"/>
      <c r="IU392" s="7"/>
      <c r="IV392" s="7"/>
      <c r="IW392" s="7"/>
      <c r="IX392" s="7"/>
      <c r="IY392" s="7"/>
      <c r="IZ392" s="7"/>
      <c r="JA392" s="7"/>
      <c r="JB392" s="7"/>
      <c r="JC392" s="7"/>
      <c r="JD392" s="7"/>
      <c r="JE392" s="7"/>
      <c r="JF392" s="7"/>
      <c r="JG392" s="7"/>
      <c r="JH392" s="7"/>
      <c r="JI392" s="7"/>
      <c r="JJ392" s="7"/>
      <c r="JK392" s="7"/>
      <c r="JL392" s="7"/>
      <c r="JM392" s="7"/>
      <c r="JN392" s="7"/>
      <c r="JO392" s="7"/>
      <c r="JP392" s="7"/>
      <c r="JQ392" s="7"/>
      <c r="JR392" s="7"/>
      <c r="JS392" s="7"/>
      <c r="JT392" s="7"/>
      <c r="JU392" s="7"/>
      <c r="JV392" s="7"/>
      <c r="JW392" s="7"/>
      <c r="JX392" s="7"/>
      <c r="JY392" s="7"/>
      <c r="JZ392" s="7"/>
      <c r="KA392" s="7"/>
      <c r="KB392" s="7"/>
      <c r="KC392" s="7"/>
      <c r="KD392" s="7"/>
      <c r="KE392" s="7"/>
      <c r="KF392" s="7"/>
      <c r="KG392" s="7"/>
      <c r="KH392" s="7"/>
      <c r="KI392" s="7"/>
      <c r="KJ392" s="7"/>
      <c r="KK392" s="7"/>
      <c r="KL392" s="7"/>
      <c r="KM392" s="7"/>
      <c r="KN392" s="7"/>
    </row>
    <row r="393">
      <c r="A393" s="6"/>
      <c r="B393" s="6" t="s">
        <v>393</v>
      </c>
      <c r="C393" s="3" t="str">
        <f t="shared" si="3"/>
        <v>bright beige</v>
      </c>
      <c r="D393" s="3" t="str">
        <f t="shared" si="17"/>
        <v>ZZZ</v>
      </c>
      <c r="E393" s="3" t="b">
        <f t="array" ref="E393">OR(ISNUMBER(SEARCH(D$2:D$30,$B393,5)))</f>
        <v>0</v>
      </c>
      <c r="G393" s="3" t="str">
        <f t="shared" si="4"/>
        <v>ZZZ</v>
      </c>
      <c r="H393" s="3" t="b">
        <f t="array" ref="H393">OR(ISNUMBER(SEARCH(G$2:G$30,$B393,5)))</f>
        <v>0</v>
      </c>
      <c r="J393" s="3" t="str">
        <f t="shared" si="5"/>
        <v>ZZZ</v>
      </c>
      <c r="K393" s="3" t="b">
        <f t="array" ref="K393">OR(ISNUMBER(SEARCH(J$2:J$30,$B393,5)))</f>
        <v>0</v>
      </c>
      <c r="M393" s="3" t="str">
        <f t="shared" si="6"/>
        <v>ZZZ</v>
      </c>
      <c r="N393" s="3" t="b">
        <f t="array" ref="N393">OR(ISNUMBER(SEARCH(M$2:M$30,$B393,5)))</f>
        <v>0</v>
      </c>
      <c r="P393" s="3" t="str">
        <f t="shared" si="7"/>
        <v>ZZZ</v>
      </c>
      <c r="Q393" s="3" t="b">
        <f t="array" ref="Q393">OR(ISNUMBER(SEARCH(P$2:P$50,$B393,5)))</f>
        <v>0</v>
      </c>
      <c r="S393" s="3" t="str">
        <f t="shared" si="8"/>
        <v>ZZZ</v>
      </c>
      <c r="T393" s="3" t="b">
        <f t="array" ref="T393">OR(ISNUMBER(SEARCH(S$2:S$100,$B393,5)))</f>
        <v>0</v>
      </c>
      <c r="V393" s="3" t="str">
        <f t="shared" si="9"/>
        <v>ZZZ</v>
      </c>
      <c r="W393" s="3" t="b">
        <f t="array" ref="W393">OR(ISNUMBER(SEARCH(V$2:V$100,$B393,5)))</f>
        <v>0</v>
      </c>
      <c r="Y393" s="3" t="str">
        <f t="shared" si="10"/>
        <v>ZZZ</v>
      </c>
      <c r="Z393" s="3" t="b">
        <f t="array" ref="Z393">OR(ISNUMBER(SEARCH(Y$2:Y$100,$B393,5)))</f>
        <v>0</v>
      </c>
      <c r="AB393" s="3" t="str">
        <f t="shared" si="11"/>
        <v>ZZZ</v>
      </c>
      <c r="AC393" s="3" t="b">
        <f t="array" ref="AC393">OR(ISNUMBER(SEARCH(AB$2:AB$100,$B393,5)))</f>
        <v>0</v>
      </c>
      <c r="AE393" s="3" t="str">
        <f t="shared" si="12"/>
        <v>ZZZ</v>
      </c>
      <c r="AF393" s="3" t="b">
        <f t="array" ref="AF393">OR(ISNUMBER(SEARCH(AE$2:AE$100,$B393,5)))</f>
        <v>0</v>
      </c>
      <c r="AH393" s="3" t="str">
        <f t="shared" si="13"/>
        <v>ZZZ</v>
      </c>
      <c r="AI393" s="3" t="b">
        <f t="array" ref="AI393">OR(ISNUMBER(SEARCH(AH$2:AH$100,$B393,5)))</f>
        <v>0</v>
      </c>
      <c r="AK393" s="3" t="str">
        <f t="shared" si="14"/>
        <v>ZZZ</v>
      </c>
      <c r="AL393" s="3" t="b">
        <f t="array" ref="AL393">OR(ISNUMBER(SEARCH(AK$2:AK$100,$B393,5)))</f>
        <v>0</v>
      </c>
      <c r="AU393" s="8"/>
      <c r="AV393" s="6"/>
      <c r="AW393" s="8"/>
      <c r="AX393" s="8"/>
      <c r="AY393" s="6"/>
      <c r="AZ393" s="8"/>
      <c r="BA393" s="8"/>
      <c r="BB393" s="6"/>
      <c r="BC393" s="8"/>
      <c r="BD393" s="8"/>
      <c r="BE393" s="6"/>
      <c r="BF393" s="8"/>
      <c r="BG393" s="8"/>
      <c r="BH393" s="6"/>
      <c r="BI393" s="8"/>
      <c r="BJ393" s="8"/>
      <c r="BK393" s="6"/>
      <c r="BL393" s="8"/>
      <c r="BM393" s="8"/>
      <c r="BN393" s="6"/>
      <c r="BO393" s="8"/>
      <c r="BP393" s="8"/>
      <c r="BQ393" s="6"/>
      <c r="BR393" s="8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  <c r="HQ393" s="7"/>
      <c r="HR393" s="7"/>
      <c r="HS393" s="7"/>
      <c r="HT393" s="7"/>
      <c r="HU393" s="7"/>
      <c r="HV393" s="7"/>
      <c r="HW393" s="7"/>
      <c r="HX393" s="7"/>
      <c r="HY393" s="7"/>
      <c r="HZ393" s="7"/>
      <c r="IA393" s="7"/>
      <c r="IB393" s="7"/>
      <c r="IC393" s="7"/>
      <c r="ID393" s="7"/>
      <c r="IE393" s="7"/>
      <c r="IF393" s="7"/>
      <c r="IG393" s="7"/>
      <c r="IH393" s="7"/>
      <c r="II393" s="7"/>
      <c r="IJ393" s="7"/>
      <c r="IK393" s="7"/>
      <c r="IL393" s="7"/>
      <c r="IM393" s="7"/>
      <c r="IN393" s="7"/>
      <c r="IO393" s="7"/>
      <c r="IP393" s="7"/>
      <c r="IQ393" s="7"/>
      <c r="IR393" s="7"/>
      <c r="IS393" s="7"/>
      <c r="IT393" s="7"/>
      <c r="IU393" s="7"/>
      <c r="IV393" s="7"/>
      <c r="IW393" s="7"/>
      <c r="IX393" s="7"/>
      <c r="IY393" s="7"/>
      <c r="IZ393" s="7"/>
      <c r="JA393" s="7"/>
      <c r="JB393" s="7"/>
      <c r="JC393" s="7"/>
      <c r="JD393" s="7"/>
      <c r="JE393" s="7"/>
      <c r="JF393" s="7"/>
      <c r="JG393" s="7"/>
      <c r="JH393" s="7"/>
      <c r="JI393" s="7"/>
      <c r="JJ393" s="7"/>
      <c r="JK393" s="7"/>
      <c r="JL393" s="7"/>
      <c r="JM393" s="7"/>
      <c r="JN393" s="7"/>
      <c r="JO393" s="7"/>
      <c r="JP393" s="7"/>
      <c r="JQ393" s="7"/>
      <c r="JR393" s="7"/>
      <c r="JS393" s="7"/>
      <c r="JT393" s="7"/>
      <c r="JU393" s="7"/>
      <c r="JV393" s="7"/>
      <c r="JW393" s="7"/>
      <c r="JX393" s="7"/>
      <c r="JY393" s="7"/>
      <c r="JZ393" s="7"/>
      <c r="KA393" s="7"/>
      <c r="KB393" s="7"/>
      <c r="KC393" s="7"/>
      <c r="KD393" s="7"/>
      <c r="KE393" s="7"/>
      <c r="KF393" s="7"/>
      <c r="KG393" s="7"/>
      <c r="KH393" s="7"/>
      <c r="KI393" s="7"/>
      <c r="KJ393" s="7"/>
      <c r="KK393" s="7"/>
      <c r="KL393" s="7"/>
      <c r="KM393" s="7"/>
      <c r="KN393" s="7"/>
    </row>
    <row r="394">
      <c r="A394" s="6"/>
      <c r="B394" s="6" t="s">
        <v>394</v>
      </c>
      <c r="C394" s="3" t="str">
        <f t="shared" si="3"/>
        <v>shiny gray</v>
      </c>
      <c r="D394" s="3" t="str">
        <f t="shared" si="17"/>
        <v>ZZZ</v>
      </c>
      <c r="E394" s="3" t="b">
        <f t="array" ref="E394">OR(ISNUMBER(SEARCH(D$2:D$30,$B394,5)))</f>
        <v>0</v>
      </c>
      <c r="G394" s="3" t="str">
        <f t="shared" si="4"/>
        <v>ZZZ</v>
      </c>
      <c r="H394" s="3" t="b">
        <f t="array" ref="H394">OR(ISNUMBER(SEARCH(G$2:G$30,$B394,5)))</f>
        <v>1</v>
      </c>
      <c r="J394" s="3" t="str">
        <f t="shared" si="5"/>
        <v>ZZZ</v>
      </c>
      <c r="K394" s="3" t="b">
        <f t="array" ref="K394">OR(ISNUMBER(SEARCH(J$2:J$30,$B394,5)))</f>
        <v>0</v>
      </c>
      <c r="M394" s="3" t="str">
        <f t="shared" si="6"/>
        <v>ZZZ</v>
      </c>
      <c r="N394" s="3" t="b">
        <f t="array" ref="N394">OR(ISNUMBER(SEARCH(M$2:M$30,$B394,5)))</f>
        <v>0</v>
      </c>
      <c r="P394" s="3" t="str">
        <f t="shared" si="7"/>
        <v>ZZZ</v>
      </c>
      <c r="Q394" s="3" t="b">
        <f t="array" ref="Q394">OR(ISNUMBER(SEARCH(P$2:P$50,$B394,5)))</f>
        <v>0</v>
      </c>
      <c r="S394" s="3" t="str">
        <f t="shared" si="8"/>
        <v>ZZZ</v>
      </c>
      <c r="T394" s="3" t="b">
        <f t="array" ref="T394">OR(ISNUMBER(SEARCH(S$2:S$100,$B394,5)))</f>
        <v>0</v>
      </c>
      <c r="V394" s="3" t="str">
        <f t="shared" si="9"/>
        <v>ZZZ</v>
      </c>
      <c r="W394" s="3" t="b">
        <f t="array" ref="W394">OR(ISNUMBER(SEARCH(V$2:V$100,$B394,5)))</f>
        <v>0</v>
      </c>
      <c r="Y394" s="3" t="str">
        <f t="shared" si="10"/>
        <v>ZZZ</v>
      </c>
      <c r="Z394" s="3" t="b">
        <f t="array" ref="Z394">OR(ISNUMBER(SEARCH(Y$2:Y$100,$B394,5)))</f>
        <v>0</v>
      </c>
      <c r="AB394" s="3" t="str">
        <f t="shared" si="11"/>
        <v>ZZZ</v>
      </c>
      <c r="AC394" s="3" t="b">
        <f t="array" ref="AC394">OR(ISNUMBER(SEARCH(AB$2:AB$100,$B394,5)))</f>
        <v>0</v>
      </c>
      <c r="AE394" s="3" t="str">
        <f t="shared" si="12"/>
        <v>ZZZ</v>
      </c>
      <c r="AF394" s="3" t="b">
        <f t="array" ref="AF394">OR(ISNUMBER(SEARCH(AE$2:AE$100,$B394,5)))</f>
        <v>0</v>
      </c>
      <c r="AH394" s="3" t="str">
        <f t="shared" si="13"/>
        <v>ZZZ</v>
      </c>
      <c r="AI394" s="3" t="b">
        <f t="array" ref="AI394">OR(ISNUMBER(SEARCH(AH$2:AH$100,$B394,5)))</f>
        <v>0</v>
      </c>
      <c r="AK394" s="3" t="str">
        <f t="shared" si="14"/>
        <v>ZZZ</v>
      </c>
      <c r="AL394" s="3" t="b">
        <f t="array" ref="AL394">OR(ISNUMBER(SEARCH(AK$2:AK$100,$B394,5)))</f>
        <v>0</v>
      </c>
      <c r="AU394" s="8"/>
      <c r="AV394" s="6"/>
      <c r="AW394" s="8"/>
      <c r="AX394" s="8"/>
      <c r="AY394" s="6"/>
      <c r="AZ394" s="8"/>
      <c r="BA394" s="8"/>
      <c r="BB394" s="6"/>
      <c r="BC394" s="8"/>
      <c r="BD394" s="8"/>
      <c r="BE394" s="6"/>
      <c r="BF394" s="8"/>
      <c r="BG394" s="8"/>
      <c r="BH394" s="6"/>
      <c r="BI394" s="8"/>
      <c r="BJ394" s="8"/>
      <c r="BK394" s="6"/>
      <c r="BL394" s="8"/>
      <c r="BM394" s="8"/>
      <c r="BN394" s="6"/>
      <c r="BO394" s="8"/>
      <c r="BP394" s="8"/>
      <c r="BQ394" s="6"/>
      <c r="BR394" s="8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  <c r="HQ394" s="7"/>
      <c r="HR394" s="7"/>
      <c r="HS394" s="7"/>
      <c r="HT394" s="7"/>
      <c r="HU394" s="7"/>
      <c r="HV394" s="7"/>
      <c r="HW394" s="7"/>
      <c r="HX394" s="7"/>
      <c r="HY394" s="7"/>
      <c r="HZ394" s="7"/>
      <c r="IA394" s="7"/>
      <c r="IB394" s="7"/>
      <c r="IC394" s="7"/>
      <c r="ID394" s="7"/>
      <c r="IE394" s="7"/>
      <c r="IF394" s="7"/>
      <c r="IG394" s="7"/>
      <c r="IH394" s="7"/>
      <c r="II394" s="7"/>
      <c r="IJ394" s="7"/>
      <c r="IK394" s="7"/>
      <c r="IL394" s="7"/>
      <c r="IM394" s="7"/>
      <c r="IN394" s="7"/>
      <c r="IO394" s="7"/>
      <c r="IP394" s="7"/>
      <c r="IQ394" s="7"/>
      <c r="IR394" s="7"/>
      <c r="IS394" s="7"/>
      <c r="IT394" s="7"/>
      <c r="IU394" s="7"/>
      <c r="IV394" s="7"/>
      <c r="IW394" s="7"/>
      <c r="IX394" s="7"/>
      <c r="IY394" s="7"/>
      <c r="IZ394" s="7"/>
      <c r="JA394" s="7"/>
      <c r="JB394" s="7"/>
      <c r="JC394" s="7"/>
      <c r="JD394" s="7"/>
      <c r="JE394" s="7"/>
      <c r="JF394" s="7"/>
      <c r="JG394" s="7"/>
      <c r="JH394" s="7"/>
      <c r="JI394" s="7"/>
      <c r="JJ394" s="7"/>
      <c r="JK394" s="7"/>
      <c r="JL394" s="7"/>
      <c r="JM394" s="7"/>
      <c r="JN394" s="7"/>
      <c r="JO394" s="7"/>
      <c r="JP394" s="7"/>
      <c r="JQ394" s="7"/>
      <c r="JR394" s="7"/>
      <c r="JS394" s="7"/>
      <c r="JT394" s="7"/>
      <c r="JU394" s="7"/>
      <c r="JV394" s="7"/>
      <c r="JW394" s="7"/>
      <c r="JX394" s="7"/>
      <c r="JY394" s="7"/>
      <c r="JZ394" s="7"/>
      <c r="KA394" s="7"/>
      <c r="KB394" s="7"/>
      <c r="KC394" s="7"/>
      <c r="KD394" s="7"/>
      <c r="KE394" s="7"/>
      <c r="KF394" s="7"/>
      <c r="KG394" s="7"/>
      <c r="KH394" s="7"/>
      <c r="KI394" s="7"/>
      <c r="KJ394" s="7"/>
      <c r="KK394" s="7"/>
      <c r="KL394" s="7"/>
      <c r="KM394" s="7"/>
      <c r="KN394" s="7"/>
    </row>
    <row r="395">
      <c r="A395" s="6"/>
      <c r="B395" s="6" t="s">
        <v>395</v>
      </c>
      <c r="C395" s="3" t="str">
        <f t="shared" si="3"/>
        <v>drab lime</v>
      </c>
      <c r="D395" s="3" t="str">
        <f t="shared" si="17"/>
        <v>ZZZ</v>
      </c>
      <c r="E395" s="3" t="b">
        <f t="array" ref="E395">OR(ISNUMBER(SEARCH(D$2:D$30,$B395,5)))</f>
        <v>0</v>
      </c>
      <c r="G395" s="3" t="str">
        <f t="shared" si="4"/>
        <v>ZZZ</v>
      </c>
      <c r="H395" s="3" t="b">
        <f t="array" ref="H395">OR(ISNUMBER(SEARCH(G$2:G$30,$B395,5)))</f>
        <v>0</v>
      </c>
      <c r="J395" s="3" t="str">
        <f t="shared" si="5"/>
        <v>ZZZ</v>
      </c>
      <c r="K395" s="3" t="b">
        <f t="array" ref="K395">OR(ISNUMBER(SEARCH(J$2:J$30,$B395,5)))</f>
        <v>0</v>
      </c>
      <c r="M395" s="3" t="str">
        <f t="shared" si="6"/>
        <v>ZZZ</v>
      </c>
      <c r="N395" s="3" t="b">
        <f t="array" ref="N395">OR(ISNUMBER(SEARCH(M$2:M$30,$B395,5)))</f>
        <v>0</v>
      </c>
      <c r="P395" s="3" t="str">
        <f t="shared" si="7"/>
        <v>ZZZ</v>
      </c>
      <c r="Q395" s="3" t="b">
        <f t="array" ref="Q395">OR(ISNUMBER(SEARCH(P$2:P$50,$B395,5)))</f>
        <v>0</v>
      </c>
      <c r="S395" s="3" t="str">
        <f t="shared" si="8"/>
        <v>ZZZ</v>
      </c>
      <c r="T395" s="3" t="b">
        <f t="array" ref="T395">OR(ISNUMBER(SEARCH(S$2:S$100,$B395,5)))</f>
        <v>0</v>
      </c>
      <c r="V395" s="3" t="str">
        <f t="shared" si="9"/>
        <v>ZZZ</v>
      </c>
      <c r="W395" s="3" t="b">
        <f t="array" ref="W395">OR(ISNUMBER(SEARCH(V$2:V$100,$B395,5)))</f>
        <v>0</v>
      </c>
      <c r="Y395" s="3" t="str">
        <f t="shared" si="10"/>
        <v>ZZZ</v>
      </c>
      <c r="Z395" s="3" t="b">
        <f t="array" ref="Z395">OR(ISNUMBER(SEARCH(Y$2:Y$100,$B395,5)))</f>
        <v>0</v>
      </c>
      <c r="AB395" s="3" t="str">
        <f t="shared" si="11"/>
        <v>ZZZ</v>
      </c>
      <c r="AC395" s="3" t="b">
        <f t="array" ref="AC395">OR(ISNUMBER(SEARCH(AB$2:AB$100,$B395,5)))</f>
        <v>0</v>
      </c>
      <c r="AE395" s="3" t="str">
        <f t="shared" si="12"/>
        <v>ZZZ</v>
      </c>
      <c r="AF395" s="3" t="b">
        <f t="array" ref="AF395">OR(ISNUMBER(SEARCH(AE$2:AE$100,$B395,5)))</f>
        <v>0</v>
      </c>
      <c r="AH395" s="3" t="str">
        <f t="shared" si="13"/>
        <v>ZZZ</v>
      </c>
      <c r="AI395" s="3" t="b">
        <f t="array" ref="AI395">OR(ISNUMBER(SEARCH(AH$2:AH$100,$B395,5)))</f>
        <v>0</v>
      </c>
      <c r="AK395" s="3" t="str">
        <f t="shared" si="14"/>
        <v>ZZZ</v>
      </c>
      <c r="AL395" s="3" t="b">
        <f t="array" ref="AL395">OR(ISNUMBER(SEARCH(AK$2:AK$100,$B395,5)))</f>
        <v>0</v>
      </c>
      <c r="AU395" s="8"/>
      <c r="AV395" s="6"/>
      <c r="AW395" s="8"/>
      <c r="AX395" s="8"/>
      <c r="AY395" s="6"/>
      <c r="AZ395" s="8"/>
      <c r="BA395" s="8"/>
      <c r="BB395" s="6"/>
      <c r="BC395" s="8"/>
      <c r="BD395" s="8"/>
      <c r="BE395" s="6"/>
      <c r="BF395" s="8"/>
      <c r="BG395" s="8"/>
      <c r="BH395" s="6"/>
      <c r="BI395" s="8"/>
      <c r="BJ395" s="8"/>
      <c r="BK395" s="6"/>
      <c r="BL395" s="8"/>
      <c r="BM395" s="8"/>
      <c r="BN395" s="6"/>
      <c r="BO395" s="8"/>
      <c r="BP395" s="8"/>
      <c r="BQ395" s="6"/>
      <c r="BR395" s="8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  <c r="HQ395" s="7"/>
      <c r="HR395" s="7"/>
      <c r="HS395" s="7"/>
      <c r="HT395" s="7"/>
      <c r="HU395" s="7"/>
      <c r="HV395" s="7"/>
      <c r="HW395" s="7"/>
      <c r="HX395" s="7"/>
      <c r="HY395" s="7"/>
      <c r="HZ395" s="7"/>
      <c r="IA395" s="7"/>
      <c r="IB395" s="7"/>
      <c r="IC395" s="7"/>
      <c r="ID395" s="7"/>
      <c r="IE395" s="7"/>
      <c r="IF395" s="7"/>
      <c r="IG395" s="7"/>
      <c r="IH395" s="7"/>
      <c r="II395" s="7"/>
      <c r="IJ395" s="7"/>
      <c r="IK395" s="7"/>
      <c r="IL395" s="7"/>
      <c r="IM395" s="7"/>
      <c r="IN395" s="7"/>
      <c r="IO395" s="7"/>
      <c r="IP395" s="7"/>
      <c r="IQ395" s="7"/>
      <c r="IR395" s="7"/>
      <c r="IS395" s="7"/>
      <c r="IT395" s="7"/>
      <c r="IU395" s="7"/>
      <c r="IV395" s="7"/>
      <c r="IW395" s="7"/>
      <c r="IX395" s="7"/>
      <c r="IY395" s="7"/>
      <c r="IZ395" s="7"/>
      <c r="JA395" s="7"/>
      <c r="JB395" s="7"/>
      <c r="JC395" s="7"/>
      <c r="JD395" s="7"/>
      <c r="JE395" s="7"/>
      <c r="JF395" s="7"/>
      <c r="JG395" s="7"/>
      <c r="JH395" s="7"/>
      <c r="JI395" s="7"/>
      <c r="JJ395" s="7"/>
      <c r="JK395" s="7"/>
      <c r="JL395" s="7"/>
      <c r="JM395" s="7"/>
      <c r="JN395" s="7"/>
      <c r="JO395" s="7"/>
      <c r="JP395" s="7"/>
      <c r="JQ395" s="7"/>
      <c r="JR395" s="7"/>
      <c r="JS395" s="7"/>
      <c r="JT395" s="7"/>
      <c r="JU395" s="7"/>
      <c r="JV395" s="7"/>
      <c r="JW395" s="7"/>
      <c r="JX395" s="7"/>
      <c r="JY395" s="7"/>
      <c r="JZ395" s="7"/>
      <c r="KA395" s="7"/>
      <c r="KB395" s="7"/>
      <c r="KC395" s="7"/>
      <c r="KD395" s="7"/>
      <c r="KE395" s="7"/>
      <c r="KF395" s="7"/>
      <c r="KG395" s="7"/>
      <c r="KH395" s="7"/>
      <c r="KI395" s="7"/>
      <c r="KJ395" s="7"/>
      <c r="KK395" s="7"/>
      <c r="KL395" s="7"/>
      <c r="KM395" s="7"/>
      <c r="KN395" s="7"/>
    </row>
    <row r="396">
      <c r="A396" s="6"/>
      <c r="B396" s="6" t="s">
        <v>396</v>
      </c>
      <c r="C396" s="3" t="str">
        <f t="shared" si="3"/>
        <v>dull gray</v>
      </c>
      <c r="D396" s="3" t="str">
        <f t="shared" si="17"/>
        <v>ZZZ</v>
      </c>
      <c r="E396" s="3" t="b">
        <f t="array" ref="E396">OR(ISNUMBER(SEARCH(D$2:D$30,$B396,5)))</f>
        <v>0</v>
      </c>
      <c r="G396" s="3" t="str">
        <f t="shared" si="4"/>
        <v>ZZZ</v>
      </c>
      <c r="H396" s="3" t="b">
        <f t="array" ref="H396">OR(ISNUMBER(SEARCH(G$2:G$30,$B396,5)))</f>
        <v>0</v>
      </c>
      <c r="J396" s="3" t="str">
        <f t="shared" si="5"/>
        <v>ZZZ</v>
      </c>
      <c r="K396" s="3" t="b">
        <f t="array" ref="K396">OR(ISNUMBER(SEARCH(J$2:J$30,$B396,5)))</f>
        <v>0</v>
      </c>
      <c r="M396" s="3" t="str">
        <f t="shared" si="6"/>
        <v>ZZZ</v>
      </c>
      <c r="N396" s="3" t="b">
        <f t="array" ref="N396">OR(ISNUMBER(SEARCH(M$2:M$30,$B396,5)))</f>
        <v>0</v>
      </c>
      <c r="P396" s="3" t="str">
        <f t="shared" si="7"/>
        <v>ZZZ</v>
      </c>
      <c r="Q396" s="3" t="b">
        <f t="array" ref="Q396">OR(ISNUMBER(SEARCH(P$2:P$50,$B396,5)))</f>
        <v>1</v>
      </c>
      <c r="S396" s="3" t="str">
        <f t="shared" si="8"/>
        <v>ZZZ</v>
      </c>
      <c r="T396" s="3" t="b">
        <f t="array" ref="T396">OR(ISNUMBER(SEARCH(S$2:S$100,$B396,5)))</f>
        <v>0</v>
      </c>
      <c r="V396" s="3" t="str">
        <f t="shared" si="9"/>
        <v>ZZZ</v>
      </c>
      <c r="W396" s="3" t="b">
        <f t="array" ref="W396">OR(ISNUMBER(SEARCH(V$2:V$100,$B396,5)))</f>
        <v>0</v>
      </c>
      <c r="Y396" s="3" t="str">
        <f t="shared" si="10"/>
        <v>ZZZ</v>
      </c>
      <c r="Z396" s="3" t="b">
        <f t="array" ref="Z396">OR(ISNUMBER(SEARCH(Y$2:Y$100,$B396,5)))</f>
        <v>0</v>
      </c>
      <c r="AB396" s="3" t="str">
        <f t="shared" si="11"/>
        <v>ZZZ</v>
      </c>
      <c r="AC396" s="3" t="b">
        <f t="array" ref="AC396">OR(ISNUMBER(SEARCH(AB$2:AB$100,$B396,5)))</f>
        <v>0</v>
      </c>
      <c r="AE396" s="3" t="str">
        <f t="shared" si="12"/>
        <v>ZZZ</v>
      </c>
      <c r="AF396" s="3" t="b">
        <f t="array" ref="AF396">OR(ISNUMBER(SEARCH(AE$2:AE$100,$B396,5)))</f>
        <v>0</v>
      </c>
      <c r="AH396" s="3" t="str">
        <f t="shared" si="13"/>
        <v>ZZZ</v>
      </c>
      <c r="AI396" s="3" t="b">
        <f t="array" ref="AI396">OR(ISNUMBER(SEARCH(AH$2:AH$100,$B396,5)))</f>
        <v>0</v>
      </c>
      <c r="AK396" s="3" t="str">
        <f t="shared" si="14"/>
        <v>ZZZ</v>
      </c>
      <c r="AL396" s="3" t="b">
        <f t="array" ref="AL396">OR(ISNUMBER(SEARCH(AK$2:AK$100,$B396,5)))</f>
        <v>0</v>
      </c>
      <c r="AU396" s="8"/>
      <c r="AV396" s="6"/>
      <c r="AW396" s="8"/>
      <c r="AX396" s="8"/>
      <c r="AY396" s="6"/>
      <c r="AZ396" s="8"/>
      <c r="BA396" s="8"/>
      <c r="BB396" s="6"/>
      <c r="BC396" s="8"/>
      <c r="BD396" s="8"/>
      <c r="BE396" s="6"/>
      <c r="BF396" s="8"/>
      <c r="BG396" s="8"/>
      <c r="BH396" s="6"/>
      <c r="BI396" s="8"/>
      <c r="BJ396" s="8"/>
      <c r="BK396" s="6"/>
      <c r="BL396" s="8"/>
      <c r="BM396" s="8"/>
      <c r="BN396" s="6"/>
      <c r="BO396" s="8"/>
      <c r="BP396" s="8"/>
      <c r="BQ396" s="6"/>
      <c r="BR396" s="8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  <c r="HT396" s="7"/>
      <c r="HU396" s="7"/>
      <c r="HV396" s="7"/>
      <c r="HW396" s="7"/>
      <c r="HX396" s="7"/>
      <c r="HY396" s="7"/>
      <c r="HZ396" s="7"/>
      <c r="IA396" s="7"/>
      <c r="IB396" s="7"/>
      <c r="IC396" s="7"/>
      <c r="ID396" s="7"/>
      <c r="IE396" s="7"/>
      <c r="IF396" s="7"/>
      <c r="IG396" s="7"/>
      <c r="IH396" s="7"/>
      <c r="II396" s="7"/>
      <c r="IJ396" s="7"/>
      <c r="IK396" s="7"/>
      <c r="IL396" s="7"/>
      <c r="IM396" s="7"/>
      <c r="IN396" s="7"/>
      <c r="IO396" s="7"/>
      <c r="IP396" s="7"/>
      <c r="IQ396" s="7"/>
      <c r="IR396" s="7"/>
      <c r="IS396" s="7"/>
      <c r="IT396" s="7"/>
      <c r="IU396" s="7"/>
      <c r="IV396" s="7"/>
      <c r="IW396" s="7"/>
      <c r="IX396" s="7"/>
      <c r="IY396" s="7"/>
      <c r="IZ396" s="7"/>
      <c r="JA396" s="7"/>
      <c r="JB396" s="7"/>
      <c r="JC396" s="7"/>
      <c r="JD396" s="7"/>
      <c r="JE396" s="7"/>
      <c r="JF396" s="7"/>
      <c r="JG396" s="7"/>
      <c r="JH396" s="7"/>
      <c r="JI396" s="7"/>
      <c r="JJ396" s="7"/>
      <c r="JK396" s="7"/>
      <c r="JL396" s="7"/>
      <c r="JM396" s="7"/>
      <c r="JN396" s="7"/>
      <c r="JO396" s="7"/>
      <c r="JP396" s="7"/>
      <c r="JQ396" s="7"/>
      <c r="JR396" s="7"/>
      <c r="JS396" s="7"/>
      <c r="JT396" s="7"/>
      <c r="JU396" s="7"/>
      <c r="JV396" s="7"/>
      <c r="JW396" s="7"/>
      <c r="JX396" s="7"/>
      <c r="JY396" s="7"/>
      <c r="JZ396" s="7"/>
      <c r="KA396" s="7"/>
      <c r="KB396" s="7"/>
      <c r="KC396" s="7"/>
      <c r="KD396" s="7"/>
      <c r="KE396" s="7"/>
      <c r="KF396" s="7"/>
      <c r="KG396" s="7"/>
      <c r="KH396" s="7"/>
      <c r="KI396" s="7"/>
      <c r="KJ396" s="7"/>
      <c r="KK396" s="7"/>
      <c r="KL396" s="7"/>
      <c r="KM396" s="7"/>
      <c r="KN396" s="7"/>
    </row>
    <row r="397">
      <c r="A397" s="6"/>
      <c r="B397" s="6" t="s">
        <v>397</v>
      </c>
      <c r="C397" s="3" t="str">
        <f t="shared" si="3"/>
        <v>light olive</v>
      </c>
      <c r="D397" s="3" t="str">
        <f t="shared" si="17"/>
        <v>ZZZ</v>
      </c>
      <c r="E397" s="3" t="b">
        <f t="array" ref="E397">OR(ISNUMBER(SEARCH(D$2:D$30,$B397,5)))</f>
        <v>0</v>
      </c>
      <c r="G397" s="3" t="str">
        <f t="shared" si="4"/>
        <v>ZZZ</v>
      </c>
      <c r="H397" s="3" t="b">
        <f t="array" ref="H397">OR(ISNUMBER(SEARCH(G$2:G$30,$B397,5)))</f>
        <v>0</v>
      </c>
      <c r="J397" s="3" t="str">
        <f t="shared" si="5"/>
        <v>ZZZ</v>
      </c>
      <c r="K397" s="3" t="b">
        <f t="array" ref="K397">OR(ISNUMBER(SEARCH(J$2:J$30,$B397,5)))</f>
        <v>0</v>
      </c>
      <c r="M397" s="3" t="str">
        <f t="shared" si="6"/>
        <v>ZZZ</v>
      </c>
      <c r="N397" s="3" t="b">
        <f t="array" ref="N397">OR(ISNUMBER(SEARCH(M$2:M$30,$B397,5)))</f>
        <v>1</v>
      </c>
      <c r="P397" s="3" t="str">
        <f t="shared" si="7"/>
        <v>ZZZ</v>
      </c>
      <c r="Q397" s="3" t="b">
        <f t="array" ref="Q397">OR(ISNUMBER(SEARCH(P$2:P$50,$B397,5)))</f>
        <v>0</v>
      </c>
      <c r="S397" s="3" t="str">
        <f t="shared" si="8"/>
        <v>ZZZ</v>
      </c>
      <c r="T397" s="3" t="b">
        <f t="array" ref="T397">OR(ISNUMBER(SEARCH(S$2:S$100,$B397,5)))</f>
        <v>0</v>
      </c>
      <c r="V397" s="3" t="str">
        <f t="shared" si="9"/>
        <v>ZZZ</v>
      </c>
      <c r="W397" s="3" t="b">
        <f t="array" ref="W397">OR(ISNUMBER(SEARCH(V$2:V$100,$B397,5)))</f>
        <v>0</v>
      </c>
      <c r="Y397" s="3" t="str">
        <f t="shared" si="10"/>
        <v>ZZZ</v>
      </c>
      <c r="Z397" s="3" t="b">
        <f t="array" ref="Z397">OR(ISNUMBER(SEARCH(Y$2:Y$100,$B397,5)))</f>
        <v>0</v>
      </c>
      <c r="AB397" s="3" t="str">
        <f t="shared" si="11"/>
        <v>ZZZ</v>
      </c>
      <c r="AC397" s="3" t="b">
        <f t="array" ref="AC397">OR(ISNUMBER(SEARCH(AB$2:AB$100,$B397,5)))</f>
        <v>0</v>
      </c>
      <c r="AE397" s="3" t="str">
        <f t="shared" si="12"/>
        <v>ZZZ</v>
      </c>
      <c r="AF397" s="3" t="b">
        <f t="array" ref="AF397">OR(ISNUMBER(SEARCH(AE$2:AE$100,$B397,5)))</f>
        <v>0</v>
      </c>
      <c r="AH397" s="3" t="str">
        <f t="shared" si="13"/>
        <v>ZZZ</v>
      </c>
      <c r="AI397" s="3" t="b">
        <f t="array" ref="AI397">OR(ISNUMBER(SEARCH(AH$2:AH$100,$B397,5)))</f>
        <v>0</v>
      </c>
      <c r="AK397" s="3" t="str">
        <f t="shared" si="14"/>
        <v>ZZZ</v>
      </c>
      <c r="AL397" s="3" t="b">
        <f t="array" ref="AL397">OR(ISNUMBER(SEARCH(AK$2:AK$100,$B397,5)))</f>
        <v>0</v>
      </c>
      <c r="AU397" s="8"/>
      <c r="AV397" s="6"/>
      <c r="AW397" s="8"/>
      <c r="AX397" s="8"/>
      <c r="AY397" s="6"/>
      <c r="AZ397" s="8"/>
      <c r="BA397" s="8"/>
      <c r="BB397" s="6"/>
      <c r="BC397" s="8"/>
      <c r="BD397" s="8"/>
      <c r="BE397" s="6"/>
      <c r="BF397" s="8"/>
      <c r="BG397" s="8"/>
      <c r="BH397" s="6"/>
      <c r="BI397" s="8"/>
      <c r="BJ397" s="8"/>
      <c r="BK397" s="6"/>
      <c r="BL397" s="8"/>
      <c r="BM397" s="8"/>
      <c r="BN397" s="6"/>
      <c r="BO397" s="8"/>
      <c r="BP397" s="8"/>
      <c r="BQ397" s="6"/>
      <c r="BR397" s="8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  <c r="HQ397" s="7"/>
      <c r="HR397" s="7"/>
      <c r="HS397" s="7"/>
      <c r="HT397" s="7"/>
      <c r="HU397" s="7"/>
      <c r="HV397" s="7"/>
      <c r="HW397" s="7"/>
      <c r="HX397" s="7"/>
      <c r="HY397" s="7"/>
      <c r="HZ397" s="7"/>
      <c r="IA397" s="7"/>
      <c r="IB397" s="7"/>
      <c r="IC397" s="7"/>
      <c r="ID397" s="7"/>
      <c r="IE397" s="7"/>
      <c r="IF397" s="7"/>
      <c r="IG397" s="7"/>
      <c r="IH397" s="7"/>
      <c r="II397" s="7"/>
      <c r="IJ397" s="7"/>
      <c r="IK397" s="7"/>
      <c r="IL397" s="7"/>
      <c r="IM397" s="7"/>
      <c r="IN397" s="7"/>
      <c r="IO397" s="7"/>
      <c r="IP397" s="7"/>
      <c r="IQ397" s="7"/>
      <c r="IR397" s="7"/>
      <c r="IS397" s="7"/>
      <c r="IT397" s="7"/>
      <c r="IU397" s="7"/>
      <c r="IV397" s="7"/>
      <c r="IW397" s="7"/>
      <c r="IX397" s="7"/>
      <c r="IY397" s="7"/>
      <c r="IZ397" s="7"/>
      <c r="JA397" s="7"/>
      <c r="JB397" s="7"/>
      <c r="JC397" s="7"/>
      <c r="JD397" s="7"/>
      <c r="JE397" s="7"/>
      <c r="JF397" s="7"/>
      <c r="JG397" s="7"/>
      <c r="JH397" s="7"/>
      <c r="JI397" s="7"/>
      <c r="JJ397" s="7"/>
      <c r="JK397" s="7"/>
      <c r="JL397" s="7"/>
      <c r="JM397" s="7"/>
      <c r="JN397" s="7"/>
      <c r="JO397" s="7"/>
      <c r="JP397" s="7"/>
      <c r="JQ397" s="7"/>
      <c r="JR397" s="7"/>
      <c r="JS397" s="7"/>
      <c r="JT397" s="7"/>
      <c r="JU397" s="7"/>
      <c r="JV397" s="7"/>
      <c r="JW397" s="7"/>
      <c r="JX397" s="7"/>
      <c r="JY397" s="7"/>
      <c r="JZ397" s="7"/>
      <c r="KA397" s="7"/>
      <c r="KB397" s="7"/>
      <c r="KC397" s="7"/>
      <c r="KD397" s="7"/>
      <c r="KE397" s="7"/>
      <c r="KF397" s="7"/>
      <c r="KG397" s="7"/>
      <c r="KH397" s="7"/>
      <c r="KI397" s="7"/>
      <c r="KJ397" s="7"/>
      <c r="KK397" s="7"/>
      <c r="KL397" s="7"/>
      <c r="KM397" s="7"/>
      <c r="KN397" s="7"/>
    </row>
    <row r="398">
      <c r="A398" s="6"/>
      <c r="B398" s="6" t="s">
        <v>398</v>
      </c>
      <c r="C398" s="3" t="str">
        <f t="shared" si="3"/>
        <v>vibrant violet</v>
      </c>
      <c r="D398" s="3" t="str">
        <f t="shared" si="17"/>
        <v>ZZZ</v>
      </c>
      <c r="E398" s="3" t="b">
        <f t="array" ref="E398">OR(ISNUMBER(SEARCH(D$2:D$30,$B398,5)))</f>
        <v>0</v>
      </c>
      <c r="G398" s="3" t="str">
        <f t="shared" si="4"/>
        <v>ZZZ</v>
      </c>
      <c r="H398" s="3" t="b">
        <f t="array" ref="H398">OR(ISNUMBER(SEARCH(G$2:G$30,$B398,5)))</f>
        <v>0</v>
      </c>
      <c r="J398" s="3" t="str">
        <f t="shared" si="5"/>
        <v>ZZZ</v>
      </c>
      <c r="K398" s="3" t="b">
        <f t="array" ref="K398">OR(ISNUMBER(SEARCH(J$2:J$30,$B398,5)))</f>
        <v>0</v>
      </c>
      <c r="M398" s="3" t="str">
        <f t="shared" si="6"/>
        <v>ZZZ</v>
      </c>
      <c r="N398" s="3" t="b">
        <f t="array" ref="N398">OR(ISNUMBER(SEARCH(M$2:M$30,$B398,5)))</f>
        <v>0</v>
      </c>
      <c r="P398" s="3" t="str">
        <f t="shared" si="7"/>
        <v>ZZZ</v>
      </c>
      <c r="Q398" s="3" t="b">
        <f t="array" ref="Q398">OR(ISNUMBER(SEARCH(P$2:P$50,$B398,5)))</f>
        <v>0</v>
      </c>
      <c r="S398" s="3" t="str">
        <f t="shared" si="8"/>
        <v>ZZZ</v>
      </c>
      <c r="T398" s="3" t="b">
        <f t="array" ref="T398">OR(ISNUMBER(SEARCH(S$2:S$100,$B398,5)))</f>
        <v>0</v>
      </c>
      <c r="V398" s="3" t="str">
        <f t="shared" si="9"/>
        <v>ZZZ</v>
      </c>
      <c r="W398" s="3" t="b">
        <f t="array" ref="W398">OR(ISNUMBER(SEARCH(V$2:V$100,$B398,5)))</f>
        <v>0</v>
      </c>
      <c r="Y398" s="3" t="str">
        <f t="shared" si="10"/>
        <v>ZZZ</v>
      </c>
      <c r="Z398" s="3" t="b">
        <f t="array" ref="Z398">OR(ISNUMBER(SEARCH(Y$2:Y$100,$B398,5)))</f>
        <v>0</v>
      </c>
      <c r="AB398" s="3" t="str">
        <f t="shared" si="11"/>
        <v>ZZZ</v>
      </c>
      <c r="AC398" s="3" t="b">
        <f t="array" ref="AC398">OR(ISNUMBER(SEARCH(AB$2:AB$100,$B398,5)))</f>
        <v>0</v>
      </c>
      <c r="AE398" s="3" t="str">
        <f t="shared" si="12"/>
        <v>ZZZ</v>
      </c>
      <c r="AF398" s="3" t="b">
        <f t="array" ref="AF398">OR(ISNUMBER(SEARCH(AE$2:AE$100,$B398,5)))</f>
        <v>0</v>
      </c>
      <c r="AH398" s="3" t="str">
        <f t="shared" si="13"/>
        <v>ZZZ</v>
      </c>
      <c r="AI398" s="3" t="b">
        <f t="array" ref="AI398">OR(ISNUMBER(SEARCH(AH$2:AH$100,$B398,5)))</f>
        <v>0</v>
      </c>
      <c r="AK398" s="3" t="str">
        <f t="shared" si="14"/>
        <v>ZZZ</v>
      </c>
      <c r="AL398" s="3" t="b">
        <f t="array" ref="AL398">OR(ISNUMBER(SEARCH(AK$2:AK$100,$B398,5)))</f>
        <v>0</v>
      </c>
      <c r="AU398" s="8"/>
      <c r="AV398" s="6"/>
      <c r="AW398" s="8"/>
      <c r="AX398" s="8"/>
      <c r="AY398" s="6"/>
      <c r="AZ398" s="8"/>
      <c r="BA398" s="8"/>
      <c r="BB398" s="6"/>
      <c r="BC398" s="8"/>
      <c r="BD398" s="8"/>
      <c r="BE398" s="6"/>
      <c r="BF398" s="8"/>
      <c r="BG398" s="8"/>
      <c r="BH398" s="6"/>
      <c r="BI398" s="8"/>
      <c r="BJ398" s="8"/>
      <c r="BK398" s="6"/>
      <c r="BL398" s="8"/>
      <c r="BM398" s="8"/>
      <c r="BN398" s="6"/>
      <c r="BO398" s="8"/>
      <c r="BP398" s="8"/>
      <c r="BQ398" s="6"/>
      <c r="BR398" s="8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7"/>
      <c r="GV398" s="7"/>
      <c r="GW398" s="7"/>
      <c r="GX398" s="7"/>
      <c r="GY398" s="7"/>
      <c r="GZ398" s="7"/>
      <c r="HA398" s="7"/>
      <c r="HB398" s="7"/>
      <c r="HC398" s="7"/>
      <c r="HD398" s="7"/>
      <c r="HE398" s="7"/>
      <c r="HF398" s="7"/>
      <c r="HG398" s="7"/>
      <c r="HH398" s="7"/>
      <c r="HI398" s="7"/>
      <c r="HJ398" s="7"/>
      <c r="HK398" s="7"/>
      <c r="HL398" s="7"/>
      <c r="HM398" s="7"/>
      <c r="HN398" s="7"/>
      <c r="HO398" s="7"/>
      <c r="HP398" s="7"/>
      <c r="HQ398" s="7"/>
      <c r="HR398" s="7"/>
      <c r="HS398" s="7"/>
      <c r="HT398" s="7"/>
      <c r="HU398" s="7"/>
      <c r="HV398" s="7"/>
      <c r="HW398" s="7"/>
      <c r="HX398" s="7"/>
      <c r="HY398" s="7"/>
      <c r="HZ398" s="7"/>
      <c r="IA398" s="7"/>
      <c r="IB398" s="7"/>
      <c r="IC398" s="7"/>
      <c r="ID398" s="7"/>
      <c r="IE398" s="7"/>
      <c r="IF398" s="7"/>
      <c r="IG398" s="7"/>
      <c r="IH398" s="7"/>
      <c r="II398" s="7"/>
      <c r="IJ398" s="7"/>
      <c r="IK398" s="7"/>
      <c r="IL398" s="7"/>
      <c r="IM398" s="7"/>
      <c r="IN398" s="7"/>
      <c r="IO398" s="7"/>
      <c r="IP398" s="7"/>
      <c r="IQ398" s="7"/>
      <c r="IR398" s="7"/>
      <c r="IS398" s="7"/>
      <c r="IT398" s="7"/>
      <c r="IU398" s="7"/>
      <c r="IV398" s="7"/>
      <c r="IW398" s="7"/>
      <c r="IX398" s="7"/>
      <c r="IY398" s="7"/>
      <c r="IZ398" s="7"/>
      <c r="JA398" s="7"/>
      <c r="JB398" s="7"/>
      <c r="JC398" s="7"/>
      <c r="JD398" s="7"/>
      <c r="JE398" s="7"/>
      <c r="JF398" s="7"/>
      <c r="JG398" s="7"/>
      <c r="JH398" s="7"/>
      <c r="JI398" s="7"/>
      <c r="JJ398" s="7"/>
      <c r="JK398" s="7"/>
      <c r="JL398" s="7"/>
      <c r="JM398" s="7"/>
      <c r="JN398" s="7"/>
      <c r="JO398" s="7"/>
      <c r="JP398" s="7"/>
      <c r="JQ398" s="7"/>
      <c r="JR398" s="7"/>
      <c r="JS398" s="7"/>
      <c r="JT398" s="7"/>
      <c r="JU398" s="7"/>
      <c r="JV398" s="7"/>
      <c r="JW398" s="7"/>
      <c r="JX398" s="7"/>
      <c r="JY398" s="7"/>
      <c r="JZ398" s="7"/>
      <c r="KA398" s="7"/>
      <c r="KB398" s="7"/>
      <c r="KC398" s="7"/>
      <c r="KD398" s="7"/>
      <c r="KE398" s="7"/>
      <c r="KF398" s="7"/>
      <c r="KG398" s="7"/>
      <c r="KH398" s="7"/>
      <c r="KI398" s="7"/>
      <c r="KJ398" s="7"/>
      <c r="KK398" s="7"/>
      <c r="KL398" s="7"/>
      <c r="KM398" s="7"/>
      <c r="KN398" s="7"/>
    </row>
    <row r="399">
      <c r="A399" s="6"/>
      <c r="B399" s="6" t="s">
        <v>399</v>
      </c>
      <c r="C399" s="3" t="str">
        <f t="shared" si="3"/>
        <v>posh lavender</v>
      </c>
      <c r="D399" s="3" t="str">
        <f t="shared" si="17"/>
        <v>ZZZ</v>
      </c>
      <c r="E399" s="3" t="b">
        <f t="array" ref="E399">OR(ISNUMBER(SEARCH(D$2:D$30,$B399,5)))</f>
        <v>0</v>
      </c>
      <c r="G399" s="3" t="str">
        <f t="shared" si="4"/>
        <v>ZZZ</v>
      </c>
      <c r="H399" s="3" t="b">
        <f t="array" ref="H399">OR(ISNUMBER(SEARCH(G$2:G$30,$B399,5)))</f>
        <v>0</v>
      </c>
      <c r="J399" s="3" t="str">
        <f t="shared" si="5"/>
        <v>ZZZ</v>
      </c>
      <c r="K399" s="3" t="b">
        <f t="array" ref="K399">OR(ISNUMBER(SEARCH(J$2:J$30,$B399,5)))</f>
        <v>0</v>
      </c>
      <c r="M399" s="3" t="str">
        <f t="shared" si="6"/>
        <v>ZZZ</v>
      </c>
      <c r="N399" s="3" t="b">
        <f t="array" ref="N399">OR(ISNUMBER(SEARCH(M$2:M$30,$B399,5)))</f>
        <v>0</v>
      </c>
      <c r="P399" s="3" t="str">
        <f t="shared" si="7"/>
        <v>ZZZ</v>
      </c>
      <c r="Q399" s="3" t="b">
        <f t="array" ref="Q399">OR(ISNUMBER(SEARCH(P$2:P$50,$B399,5)))</f>
        <v>0</v>
      </c>
      <c r="S399" s="3" t="str">
        <f t="shared" si="8"/>
        <v>ZZZ</v>
      </c>
      <c r="T399" s="3" t="b">
        <f t="array" ref="T399">OR(ISNUMBER(SEARCH(S$2:S$100,$B399,5)))</f>
        <v>0</v>
      </c>
      <c r="V399" s="3" t="str">
        <f t="shared" si="9"/>
        <v>ZZZ</v>
      </c>
      <c r="W399" s="3" t="b">
        <f t="array" ref="W399">OR(ISNUMBER(SEARCH(V$2:V$100,$B399,5)))</f>
        <v>0</v>
      </c>
      <c r="Y399" s="3" t="str">
        <f t="shared" si="10"/>
        <v>ZZZ</v>
      </c>
      <c r="Z399" s="3" t="b">
        <f t="array" ref="Z399">OR(ISNUMBER(SEARCH(Y$2:Y$100,$B399,5)))</f>
        <v>0</v>
      </c>
      <c r="AB399" s="3" t="str">
        <f t="shared" si="11"/>
        <v>ZZZ</v>
      </c>
      <c r="AC399" s="3" t="b">
        <f t="array" ref="AC399">OR(ISNUMBER(SEARCH(AB$2:AB$100,$B399,5)))</f>
        <v>0</v>
      </c>
      <c r="AE399" s="3" t="str">
        <f t="shared" si="12"/>
        <v>ZZZ</v>
      </c>
      <c r="AF399" s="3" t="b">
        <f t="array" ref="AF399">OR(ISNUMBER(SEARCH(AE$2:AE$100,$B399,5)))</f>
        <v>0</v>
      </c>
      <c r="AH399" s="3" t="str">
        <f t="shared" si="13"/>
        <v>ZZZ</v>
      </c>
      <c r="AI399" s="3" t="b">
        <f t="array" ref="AI399">OR(ISNUMBER(SEARCH(AH$2:AH$100,$B399,5)))</f>
        <v>0</v>
      </c>
      <c r="AK399" s="3" t="str">
        <f t="shared" si="14"/>
        <v>ZZZ</v>
      </c>
      <c r="AL399" s="3" t="b">
        <f t="array" ref="AL399">OR(ISNUMBER(SEARCH(AK$2:AK$100,$B399,5)))</f>
        <v>0</v>
      </c>
      <c r="AU399" s="8"/>
      <c r="AV399" s="6"/>
      <c r="AW399" s="8"/>
      <c r="AX399" s="8"/>
      <c r="AY399" s="6"/>
      <c r="AZ399" s="8"/>
      <c r="BA399" s="8"/>
      <c r="BB399" s="6"/>
      <c r="BC399" s="8"/>
      <c r="BD399" s="8"/>
      <c r="BE399" s="6"/>
      <c r="BF399" s="8"/>
      <c r="BG399" s="8"/>
      <c r="BH399" s="6"/>
      <c r="BI399" s="8"/>
      <c r="BJ399" s="8"/>
      <c r="BK399" s="6"/>
      <c r="BL399" s="8"/>
      <c r="BM399" s="8"/>
      <c r="BN399" s="6"/>
      <c r="BO399" s="8"/>
      <c r="BP399" s="8"/>
      <c r="BQ399" s="6"/>
      <c r="BR399" s="8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  <c r="HQ399" s="7"/>
      <c r="HR399" s="7"/>
      <c r="HS399" s="7"/>
      <c r="HT399" s="7"/>
      <c r="HU399" s="7"/>
      <c r="HV399" s="7"/>
      <c r="HW399" s="7"/>
      <c r="HX399" s="7"/>
      <c r="HY399" s="7"/>
      <c r="HZ399" s="7"/>
      <c r="IA399" s="7"/>
      <c r="IB399" s="7"/>
      <c r="IC399" s="7"/>
      <c r="ID399" s="7"/>
      <c r="IE399" s="7"/>
      <c r="IF399" s="7"/>
      <c r="IG399" s="7"/>
      <c r="IH399" s="7"/>
      <c r="II399" s="7"/>
      <c r="IJ399" s="7"/>
      <c r="IK399" s="7"/>
      <c r="IL399" s="7"/>
      <c r="IM399" s="7"/>
      <c r="IN399" s="7"/>
      <c r="IO399" s="7"/>
      <c r="IP399" s="7"/>
      <c r="IQ399" s="7"/>
      <c r="IR399" s="7"/>
      <c r="IS399" s="7"/>
      <c r="IT399" s="7"/>
      <c r="IU399" s="7"/>
      <c r="IV399" s="7"/>
      <c r="IW399" s="7"/>
      <c r="IX399" s="7"/>
      <c r="IY399" s="7"/>
      <c r="IZ399" s="7"/>
      <c r="JA399" s="7"/>
      <c r="JB399" s="7"/>
      <c r="JC399" s="7"/>
      <c r="JD399" s="7"/>
      <c r="JE399" s="7"/>
      <c r="JF399" s="7"/>
      <c r="JG399" s="7"/>
      <c r="JH399" s="7"/>
      <c r="JI399" s="7"/>
      <c r="JJ399" s="7"/>
      <c r="JK399" s="7"/>
      <c r="JL399" s="7"/>
      <c r="JM399" s="7"/>
      <c r="JN399" s="7"/>
      <c r="JO399" s="7"/>
      <c r="JP399" s="7"/>
      <c r="JQ399" s="7"/>
      <c r="JR399" s="7"/>
      <c r="JS399" s="7"/>
      <c r="JT399" s="7"/>
      <c r="JU399" s="7"/>
      <c r="JV399" s="7"/>
      <c r="JW399" s="7"/>
      <c r="JX399" s="7"/>
      <c r="JY399" s="7"/>
      <c r="JZ399" s="7"/>
      <c r="KA399" s="7"/>
      <c r="KB399" s="7"/>
      <c r="KC399" s="7"/>
      <c r="KD399" s="7"/>
      <c r="KE399" s="7"/>
      <c r="KF399" s="7"/>
      <c r="KG399" s="7"/>
      <c r="KH399" s="7"/>
      <c r="KI399" s="7"/>
      <c r="KJ399" s="7"/>
      <c r="KK399" s="7"/>
      <c r="KL399" s="7"/>
      <c r="KM399" s="7"/>
      <c r="KN399" s="7"/>
    </row>
    <row r="400">
      <c r="A400" s="6"/>
      <c r="B400" s="6" t="s">
        <v>400</v>
      </c>
      <c r="C400" s="3" t="str">
        <f t="shared" si="3"/>
        <v>plaid coral</v>
      </c>
      <c r="D400" s="3" t="str">
        <f t="shared" si="17"/>
        <v>ZZZ</v>
      </c>
      <c r="E400" s="3" t="b">
        <f t="array" ref="E400">OR(ISNUMBER(SEARCH(D$2:D$30,$B400,5)))</f>
        <v>0</v>
      </c>
      <c r="G400" s="3" t="str">
        <f t="shared" si="4"/>
        <v>ZZZ</v>
      </c>
      <c r="H400" s="3" t="b">
        <f t="array" ref="H400">OR(ISNUMBER(SEARCH(G$2:G$30,$B400,5)))</f>
        <v>0</v>
      </c>
      <c r="J400" s="3" t="str">
        <f t="shared" si="5"/>
        <v>ZZZ</v>
      </c>
      <c r="K400" s="3" t="b">
        <f t="array" ref="K400">OR(ISNUMBER(SEARCH(J$2:J$30,$B400,5)))</f>
        <v>0</v>
      </c>
      <c r="M400" s="3" t="str">
        <f t="shared" si="6"/>
        <v>ZZZ</v>
      </c>
      <c r="N400" s="3" t="b">
        <f t="array" ref="N400">OR(ISNUMBER(SEARCH(M$2:M$30,$B400,5)))</f>
        <v>0</v>
      </c>
      <c r="P400" s="3" t="str">
        <f t="shared" si="7"/>
        <v>ZZZ</v>
      </c>
      <c r="Q400" s="3" t="b">
        <f t="array" ref="Q400">OR(ISNUMBER(SEARCH(P$2:P$50,$B400,5)))</f>
        <v>0</v>
      </c>
      <c r="S400" s="3" t="str">
        <f t="shared" si="8"/>
        <v>ZZZ</v>
      </c>
      <c r="T400" s="3" t="b">
        <f t="array" ref="T400">OR(ISNUMBER(SEARCH(S$2:S$100,$B400,5)))</f>
        <v>1</v>
      </c>
      <c r="V400" s="3" t="str">
        <f t="shared" si="9"/>
        <v>ZZZ</v>
      </c>
      <c r="W400" s="3" t="b">
        <f t="array" ref="W400">OR(ISNUMBER(SEARCH(V$2:V$100,$B400,5)))</f>
        <v>0</v>
      </c>
      <c r="Y400" s="3" t="str">
        <f t="shared" si="10"/>
        <v>ZZZ</v>
      </c>
      <c r="Z400" s="3" t="b">
        <f t="array" ref="Z400">OR(ISNUMBER(SEARCH(Y$2:Y$100,$B400,5)))</f>
        <v>0</v>
      </c>
      <c r="AB400" s="3" t="str">
        <f t="shared" si="11"/>
        <v>ZZZ</v>
      </c>
      <c r="AC400" s="3" t="b">
        <f t="array" ref="AC400">OR(ISNUMBER(SEARCH(AB$2:AB$100,$B400,5)))</f>
        <v>0</v>
      </c>
      <c r="AE400" s="3" t="str">
        <f t="shared" si="12"/>
        <v>ZZZ</v>
      </c>
      <c r="AF400" s="3" t="b">
        <f t="array" ref="AF400">OR(ISNUMBER(SEARCH(AE$2:AE$100,$B400,5)))</f>
        <v>0</v>
      </c>
      <c r="AH400" s="3" t="str">
        <f t="shared" si="13"/>
        <v>ZZZ</v>
      </c>
      <c r="AI400" s="3" t="b">
        <f t="array" ref="AI400">OR(ISNUMBER(SEARCH(AH$2:AH$100,$B400,5)))</f>
        <v>0</v>
      </c>
      <c r="AK400" s="3" t="str">
        <f t="shared" si="14"/>
        <v>ZZZ</v>
      </c>
      <c r="AL400" s="3" t="b">
        <f t="array" ref="AL400">OR(ISNUMBER(SEARCH(AK$2:AK$100,$B400,5)))</f>
        <v>0</v>
      </c>
      <c r="AU400" s="8"/>
      <c r="AV400" s="6"/>
      <c r="AW400" s="8"/>
      <c r="AX400" s="8"/>
      <c r="AY400" s="6"/>
      <c r="AZ400" s="8"/>
      <c r="BA400" s="8"/>
      <c r="BB400" s="6"/>
      <c r="BC400" s="8"/>
      <c r="BD400" s="8"/>
      <c r="BE400" s="6"/>
      <c r="BF400" s="8"/>
      <c r="BG400" s="8"/>
      <c r="BH400" s="6"/>
      <c r="BI400" s="8"/>
      <c r="BJ400" s="8"/>
      <c r="BK400" s="6"/>
      <c r="BL400" s="8"/>
      <c r="BM400" s="8"/>
      <c r="BN400" s="6"/>
      <c r="BO400" s="8"/>
      <c r="BP400" s="8"/>
      <c r="BQ400" s="6"/>
      <c r="BR400" s="8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  <c r="HQ400" s="7"/>
      <c r="HR400" s="7"/>
      <c r="HS400" s="7"/>
      <c r="HT400" s="7"/>
      <c r="HU400" s="7"/>
      <c r="HV400" s="7"/>
      <c r="HW400" s="7"/>
      <c r="HX400" s="7"/>
      <c r="HY400" s="7"/>
      <c r="HZ400" s="7"/>
      <c r="IA400" s="7"/>
      <c r="IB400" s="7"/>
      <c r="IC400" s="7"/>
      <c r="ID400" s="7"/>
      <c r="IE400" s="7"/>
      <c r="IF400" s="7"/>
      <c r="IG400" s="7"/>
      <c r="IH400" s="7"/>
      <c r="II400" s="7"/>
      <c r="IJ400" s="7"/>
      <c r="IK400" s="7"/>
      <c r="IL400" s="7"/>
      <c r="IM400" s="7"/>
      <c r="IN400" s="7"/>
      <c r="IO400" s="7"/>
      <c r="IP400" s="7"/>
      <c r="IQ400" s="7"/>
      <c r="IR400" s="7"/>
      <c r="IS400" s="7"/>
      <c r="IT400" s="7"/>
      <c r="IU400" s="7"/>
      <c r="IV400" s="7"/>
      <c r="IW400" s="7"/>
      <c r="IX400" s="7"/>
      <c r="IY400" s="7"/>
      <c r="IZ400" s="7"/>
      <c r="JA400" s="7"/>
      <c r="JB400" s="7"/>
      <c r="JC400" s="7"/>
      <c r="JD400" s="7"/>
      <c r="JE400" s="7"/>
      <c r="JF400" s="7"/>
      <c r="JG400" s="7"/>
      <c r="JH400" s="7"/>
      <c r="JI400" s="7"/>
      <c r="JJ400" s="7"/>
      <c r="JK400" s="7"/>
      <c r="JL400" s="7"/>
      <c r="JM400" s="7"/>
      <c r="JN400" s="7"/>
      <c r="JO400" s="7"/>
      <c r="JP400" s="7"/>
      <c r="JQ400" s="7"/>
      <c r="JR400" s="7"/>
      <c r="JS400" s="7"/>
      <c r="JT400" s="7"/>
      <c r="JU400" s="7"/>
      <c r="JV400" s="7"/>
      <c r="JW400" s="7"/>
      <c r="JX400" s="7"/>
      <c r="JY400" s="7"/>
      <c r="JZ400" s="7"/>
      <c r="KA400" s="7"/>
      <c r="KB400" s="7"/>
      <c r="KC400" s="7"/>
      <c r="KD400" s="7"/>
      <c r="KE400" s="7"/>
      <c r="KF400" s="7"/>
      <c r="KG400" s="7"/>
      <c r="KH400" s="7"/>
      <c r="KI400" s="7"/>
      <c r="KJ400" s="7"/>
      <c r="KK400" s="7"/>
      <c r="KL400" s="7"/>
      <c r="KM400" s="7"/>
      <c r="KN400" s="7"/>
    </row>
    <row r="401">
      <c r="A401" s="6"/>
      <c r="B401" s="6" t="s">
        <v>401</v>
      </c>
      <c r="C401" s="3" t="str">
        <f t="shared" si="3"/>
        <v>vibrant blue</v>
      </c>
      <c r="D401" s="3" t="str">
        <f t="shared" si="17"/>
        <v>ZZZ</v>
      </c>
      <c r="E401" s="3" t="b">
        <f t="array" ref="E401">OR(ISNUMBER(SEARCH(D$2:D$30,$B401,5)))</f>
        <v>0</v>
      </c>
      <c r="G401" s="3" t="str">
        <f t="shared" si="4"/>
        <v>ZZZ</v>
      </c>
      <c r="H401" s="3" t="b">
        <f t="array" ref="H401">OR(ISNUMBER(SEARCH(G$2:G$30,$B401,5)))</f>
        <v>0</v>
      </c>
      <c r="J401" s="3" t="str">
        <f t="shared" si="5"/>
        <v>ZZZ</v>
      </c>
      <c r="K401" s="3" t="b">
        <f t="array" ref="K401">OR(ISNUMBER(SEARCH(J$2:J$30,$B401,5)))</f>
        <v>0</v>
      </c>
      <c r="M401" s="3" t="str">
        <f t="shared" si="6"/>
        <v>ZZZ</v>
      </c>
      <c r="N401" s="3" t="b">
        <f t="array" ref="N401">OR(ISNUMBER(SEARCH(M$2:M$30,$B401,5)))</f>
        <v>0</v>
      </c>
      <c r="P401" s="3" t="str">
        <f t="shared" si="7"/>
        <v>ZZZ</v>
      </c>
      <c r="Q401" s="3" t="b">
        <f t="array" ref="Q401">OR(ISNUMBER(SEARCH(P$2:P$50,$B401,5)))</f>
        <v>0</v>
      </c>
      <c r="S401" s="3" t="str">
        <f t="shared" si="8"/>
        <v>ZZZ</v>
      </c>
      <c r="T401" s="3" t="b">
        <f t="array" ref="T401">OR(ISNUMBER(SEARCH(S$2:S$100,$B401,5)))</f>
        <v>0</v>
      </c>
      <c r="V401" s="3" t="str">
        <f t="shared" si="9"/>
        <v>ZZZ</v>
      </c>
      <c r="W401" s="3" t="b">
        <f t="array" ref="W401">OR(ISNUMBER(SEARCH(V$2:V$100,$B401,5)))</f>
        <v>0</v>
      </c>
      <c r="Y401" s="3" t="str">
        <f t="shared" si="10"/>
        <v>ZZZ</v>
      </c>
      <c r="Z401" s="3" t="b">
        <f t="array" ref="Z401">OR(ISNUMBER(SEARCH(Y$2:Y$100,$B401,5)))</f>
        <v>0</v>
      </c>
      <c r="AB401" s="3" t="str">
        <f t="shared" si="11"/>
        <v>ZZZ</v>
      </c>
      <c r="AC401" s="3" t="b">
        <f t="array" ref="AC401">OR(ISNUMBER(SEARCH(AB$2:AB$100,$B401,5)))</f>
        <v>0</v>
      </c>
      <c r="AE401" s="3" t="str">
        <f t="shared" si="12"/>
        <v>ZZZ</v>
      </c>
      <c r="AF401" s="3" t="b">
        <f t="array" ref="AF401">OR(ISNUMBER(SEARCH(AE$2:AE$100,$B401,5)))</f>
        <v>0</v>
      </c>
      <c r="AH401" s="3" t="str">
        <f t="shared" si="13"/>
        <v>ZZZ</v>
      </c>
      <c r="AI401" s="3" t="b">
        <f t="array" ref="AI401">OR(ISNUMBER(SEARCH(AH$2:AH$100,$B401,5)))</f>
        <v>0</v>
      </c>
      <c r="AK401" s="3" t="str">
        <f t="shared" si="14"/>
        <v>ZZZ</v>
      </c>
      <c r="AL401" s="3" t="b">
        <f t="array" ref="AL401">OR(ISNUMBER(SEARCH(AK$2:AK$100,$B401,5)))</f>
        <v>0</v>
      </c>
      <c r="AU401" s="8"/>
      <c r="AV401" s="6"/>
      <c r="AW401" s="8"/>
      <c r="AX401" s="8"/>
      <c r="AY401" s="6"/>
      <c r="AZ401" s="8"/>
      <c r="BA401" s="8"/>
      <c r="BB401" s="6"/>
      <c r="BC401" s="8"/>
      <c r="BD401" s="8"/>
      <c r="BE401" s="6"/>
      <c r="BF401" s="8"/>
      <c r="BG401" s="8"/>
      <c r="BH401" s="6"/>
      <c r="BI401" s="8"/>
      <c r="BJ401" s="8"/>
      <c r="BK401" s="6"/>
      <c r="BL401" s="8"/>
      <c r="BM401" s="8"/>
      <c r="BN401" s="6"/>
      <c r="BO401" s="8"/>
      <c r="BP401" s="8"/>
      <c r="BQ401" s="6"/>
      <c r="BR401" s="8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A401" s="7"/>
      <c r="HB401" s="7"/>
      <c r="HC401" s="7"/>
      <c r="HD401" s="7"/>
      <c r="HE401" s="7"/>
      <c r="HF401" s="7"/>
      <c r="HG401" s="7"/>
      <c r="HH401" s="7"/>
      <c r="HI401" s="7"/>
      <c r="HJ401" s="7"/>
      <c r="HK401" s="7"/>
      <c r="HL401" s="7"/>
      <c r="HM401" s="7"/>
      <c r="HN401" s="7"/>
      <c r="HO401" s="7"/>
      <c r="HP401" s="7"/>
      <c r="HQ401" s="7"/>
      <c r="HR401" s="7"/>
      <c r="HS401" s="7"/>
      <c r="HT401" s="7"/>
      <c r="HU401" s="7"/>
      <c r="HV401" s="7"/>
      <c r="HW401" s="7"/>
      <c r="HX401" s="7"/>
      <c r="HY401" s="7"/>
      <c r="HZ401" s="7"/>
      <c r="IA401" s="7"/>
      <c r="IB401" s="7"/>
      <c r="IC401" s="7"/>
      <c r="ID401" s="7"/>
      <c r="IE401" s="7"/>
      <c r="IF401" s="7"/>
      <c r="IG401" s="7"/>
      <c r="IH401" s="7"/>
      <c r="II401" s="7"/>
      <c r="IJ401" s="7"/>
      <c r="IK401" s="7"/>
      <c r="IL401" s="7"/>
      <c r="IM401" s="7"/>
      <c r="IN401" s="7"/>
      <c r="IO401" s="7"/>
      <c r="IP401" s="7"/>
      <c r="IQ401" s="7"/>
      <c r="IR401" s="7"/>
      <c r="IS401" s="7"/>
      <c r="IT401" s="7"/>
      <c r="IU401" s="7"/>
      <c r="IV401" s="7"/>
      <c r="IW401" s="7"/>
      <c r="IX401" s="7"/>
      <c r="IY401" s="7"/>
      <c r="IZ401" s="7"/>
      <c r="JA401" s="7"/>
      <c r="JB401" s="7"/>
      <c r="JC401" s="7"/>
      <c r="JD401" s="7"/>
      <c r="JE401" s="7"/>
      <c r="JF401" s="7"/>
      <c r="JG401" s="7"/>
      <c r="JH401" s="7"/>
      <c r="JI401" s="7"/>
      <c r="JJ401" s="7"/>
      <c r="JK401" s="7"/>
      <c r="JL401" s="7"/>
      <c r="JM401" s="7"/>
      <c r="JN401" s="7"/>
      <c r="JO401" s="7"/>
      <c r="JP401" s="7"/>
      <c r="JQ401" s="7"/>
      <c r="JR401" s="7"/>
      <c r="JS401" s="7"/>
      <c r="JT401" s="7"/>
      <c r="JU401" s="7"/>
      <c r="JV401" s="7"/>
      <c r="JW401" s="7"/>
      <c r="JX401" s="7"/>
      <c r="JY401" s="7"/>
      <c r="JZ401" s="7"/>
      <c r="KA401" s="7"/>
      <c r="KB401" s="7"/>
      <c r="KC401" s="7"/>
      <c r="KD401" s="7"/>
      <c r="KE401" s="7"/>
      <c r="KF401" s="7"/>
      <c r="KG401" s="7"/>
      <c r="KH401" s="7"/>
      <c r="KI401" s="7"/>
      <c r="KJ401" s="7"/>
      <c r="KK401" s="7"/>
      <c r="KL401" s="7"/>
      <c r="KM401" s="7"/>
      <c r="KN401" s="7"/>
    </row>
    <row r="402">
      <c r="A402" s="6"/>
      <c r="B402" s="6" t="s">
        <v>402</v>
      </c>
      <c r="C402" s="3" t="str">
        <f t="shared" si="3"/>
        <v>dim aqua</v>
      </c>
      <c r="D402" s="3" t="str">
        <f t="shared" si="17"/>
        <v>ZZZ</v>
      </c>
      <c r="E402" s="3" t="b">
        <f t="array" ref="E402">OR(ISNUMBER(SEARCH(D$2:D$30,$B402,5)))</f>
        <v>0</v>
      </c>
      <c r="G402" s="3" t="str">
        <f t="shared" si="4"/>
        <v>ZZZ</v>
      </c>
      <c r="H402" s="3" t="b">
        <f t="array" ref="H402">OR(ISNUMBER(SEARCH(G$2:G$30,$B402,5)))</f>
        <v>0</v>
      </c>
      <c r="J402" s="3" t="str">
        <f t="shared" si="5"/>
        <v>ZZZ</v>
      </c>
      <c r="K402" s="3" t="b">
        <f t="array" ref="K402">OR(ISNUMBER(SEARCH(J$2:J$30,$B402,5)))</f>
        <v>0</v>
      </c>
      <c r="M402" s="3" t="str">
        <f t="shared" si="6"/>
        <v>ZZZ</v>
      </c>
      <c r="N402" s="3" t="b">
        <f t="array" ref="N402">OR(ISNUMBER(SEARCH(M$2:M$30,$B402,5)))</f>
        <v>0</v>
      </c>
      <c r="P402" s="3" t="str">
        <f t="shared" si="7"/>
        <v>ZZZ</v>
      </c>
      <c r="Q402" s="3" t="b">
        <f t="array" ref="Q402">OR(ISNUMBER(SEARCH(P$2:P$50,$B402,5)))</f>
        <v>0</v>
      </c>
      <c r="S402" s="3" t="str">
        <f t="shared" si="8"/>
        <v>ZZZ</v>
      </c>
      <c r="T402" s="3" t="b">
        <f t="array" ref="T402">OR(ISNUMBER(SEARCH(S$2:S$100,$B402,5)))</f>
        <v>0</v>
      </c>
      <c r="V402" s="3" t="str">
        <f t="shared" si="9"/>
        <v>ZZZ</v>
      </c>
      <c r="W402" s="3" t="b">
        <f t="array" ref="W402">OR(ISNUMBER(SEARCH(V$2:V$100,$B402,5)))</f>
        <v>0</v>
      </c>
      <c r="Y402" s="3" t="str">
        <f t="shared" si="10"/>
        <v>ZZZ</v>
      </c>
      <c r="Z402" s="3" t="b">
        <f t="array" ref="Z402">OR(ISNUMBER(SEARCH(Y$2:Y$100,$B402,5)))</f>
        <v>0</v>
      </c>
      <c r="AB402" s="3" t="str">
        <f t="shared" si="11"/>
        <v>ZZZ</v>
      </c>
      <c r="AC402" s="3" t="b">
        <f t="array" ref="AC402">OR(ISNUMBER(SEARCH(AB$2:AB$100,$B402,5)))</f>
        <v>0</v>
      </c>
      <c r="AE402" s="3" t="str">
        <f t="shared" si="12"/>
        <v>ZZZ</v>
      </c>
      <c r="AF402" s="3" t="b">
        <f t="array" ref="AF402">OR(ISNUMBER(SEARCH(AE$2:AE$100,$B402,5)))</f>
        <v>0</v>
      </c>
      <c r="AH402" s="3" t="str">
        <f t="shared" si="13"/>
        <v>ZZZ</v>
      </c>
      <c r="AI402" s="3" t="b">
        <f t="array" ref="AI402">OR(ISNUMBER(SEARCH(AH$2:AH$100,$B402,5)))</f>
        <v>0</v>
      </c>
      <c r="AK402" s="3" t="str">
        <f t="shared" si="14"/>
        <v>ZZZ</v>
      </c>
      <c r="AL402" s="3" t="b">
        <f t="array" ref="AL402">OR(ISNUMBER(SEARCH(AK$2:AK$100,$B402,5)))</f>
        <v>0</v>
      </c>
      <c r="AU402" s="8"/>
      <c r="AV402" s="6"/>
      <c r="AW402" s="8"/>
      <c r="AX402" s="8"/>
      <c r="AY402" s="6"/>
      <c r="AZ402" s="8"/>
      <c r="BA402" s="8"/>
      <c r="BB402" s="6"/>
      <c r="BC402" s="8"/>
      <c r="BD402" s="8"/>
      <c r="BE402" s="6"/>
      <c r="BF402" s="8"/>
      <c r="BG402" s="8"/>
      <c r="BH402" s="6"/>
      <c r="BI402" s="8"/>
      <c r="BJ402" s="8"/>
      <c r="BK402" s="6"/>
      <c r="BL402" s="8"/>
      <c r="BM402" s="8"/>
      <c r="BN402" s="6"/>
      <c r="BO402" s="8"/>
      <c r="BP402" s="8"/>
      <c r="BQ402" s="6"/>
      <c r="BR402" s="8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  <c r="HM402" s="7"/>
      <c r="HN402" s="7"/>
      <c r="HO402" s="7"/>
      <c r="HP402" s="7"/>
      <c r="HQ402" s="7"/>
      <c r="HR402" s="7"/>
      <c r="HS402" s="7"/>
      <c r="HT402" s="7"/>
      <c r="HU402" s="7"/>
      <c r="HV402" s="7"/>
      <c r="HW402" s="7"/>
      <c r="HX402" s="7"/>
      <c r="HY402" s="7"/>
      <c r="HZ402" s="7"/>
      <c r="IA402" s="7"/>
      <c r="IB402" s="7"/>
      <c r="IC402" s="7"/>
      <c r="ID402" s="7"/>
      <c r="IE402" s="7"/>
      <c r="IF402" s="7"/>
      <c r="IG402" s="7"/>
      <c r="IH402" s="7"/>
      <c r="II402" s="7"/>
      <c r="IJ402" s="7"/>
      <c r="IK402" s="7"/>
      <c r="IL402" s="7"/>
      <c r="IM402" s="7"/>
      <c r="IN402" s="7"/>
      <c r="IO402" s="7"/>
      <c r="IP402" s="7"/>
      <c r="IQ402" s="7"/>
      <c r="IR402" s="7"/>
      <c r="IS402" s="7"/>
      <c r="IT402" s="7"/>
      <c r="IU402" s="7"/>
      <c r="IV402" s="7"/>
      <c r="IW402" s="7"/>
      <c r="IX402" s="7"/>
      <c r="IY402" s="7"/>
      <c r="IZ402" s="7"/>
      <c r="JA402" s="7"/>
      <c r="JB402" s="7"/>
      <c r="JC402" s="7"/>
      <c r="JD402" s="7"/>
      <c r="JE402" s="7"/>
      <c r="JF402" s="7"/>
      <c r="JG402" s="7"/>
      <c r="JH402" s="7"/>
      <c r="JI402" s="7"/>
      <c r="JJ402" s="7"/>
      <c r="JK402" s="7"/>
      <c r="JL402" s="7"/>
      <c r="JM402" s="7"/>
      <c r="JN402" s="7"/>
      <c r="JO402" s="7"/>
      <c r="JP402" s="7"/>
      <c r="JQ402" s="7"/>
      <c r="JR402" s="7"/>
      <c r="JS402" s="7"/>
      <c r="JT402" s="7"/>
      <c r="JU402" s="7"/>
      <c r="JV402" s="7"/>
      <c r="JW402" s="7"/>
      <c r="JX402" s="7"/>
      <c r="JY402" s="7"/>
      <c r="JZ402" s="7"/>
      <c r="KA402" s="7"/>
      <c r="KB402" s="7"/>
      <c r="KC402" s="7"/>
      <c r="KD402" s="7"/>
      <c r="KE402" s="7"/>
      <c r="KF402" s="7"/>
      <c r="KG402" s="7"/>
      <c r="KH402" s="7"/>
      <c r="KI402" s="7"/>
      <c r="KJ402" s="7"/>
      <c r="KK402" s="7"/>
      <c r="KL402" s="7"/>
      <c r="KM402" s="7"/>
      <c r="KN402" s="7"/>
    </row>
    <row r="403">
      <c r="A403" s="6"/>
      <c r="B403" s="6" t="s">
        <v>403</v>
      </c>
      <c r="C403" s="3" t="str">
        <f t="shared" si="3"/>
        <v>wavy bronze</v>
      </c>
      <c r="D403" s="3" t="str">
        <f t="shared" si="17"/>
        <v>ZZZ</v>
      </c>
      <c r="E403" s="3" t="b">
        <f t="array" ref="E403">OR(ISNUMBER(SEARCH(D$2:D$30,$B403,5)))</f>
        <v>0</v>
      </c>
      <c r="G403" s="3" t="str">
        <f t="shared" si="4"/>
        <v>ZZZ</v>
      </c>
      <c r="H403" s="3" t="b">
        <f t="array" ref="H403">OR(ISNUMBER(SEARCH(G$2:G$30,$B403,5)))</f>
        <v>0</v>
      </c>
      <c r="J403" s="3" t="str">
        <f t="shared" si="5"/>
        <v>ZZZ</v>
      </c>
      <c r="K403" s="3" t="b">
        <f t="array" ref="K403">OR(ISNUMBER(SEARCH(J$2:J$30,$B403,5)))</f>
        <v>0</v>
      </c>
      <c r="M403" s="3" t="str">
        <f t="shared" si="6"/>
        <v>ZZZ</v>
      </c>
      <c r="N403" s="3" t="b">
        <f t="array" ref="N403">OR(ISNUMBER(SEARCH(M$2:M$30,$B403,5)))</f>
        <v>0</v>
      </c>
      <c r="P403" s="3" t="str">
        <f t="shared" si="7"/>
        <v>ZZZ</v>
      </c>
      <c r="Q403" s="3" t="b">
        <f t="array" ref="Q403">OR(ISNUMBER(SEARCH(P$2:P$50,$B403,5)))</f>
        <v>0</v>
      </c>
      <c r="S403" s="3" t="str">
        <f t="shared" si="8"/>
        <v>ZZZ</v>
      </c>
      <c r="T403" s="3" t="b">
        <f t="array" ref="T403">OR(ISNUMBER(SEARCH(S$2:S$100,$B403,5)))</f>
        <v>0</v>
      </c>
      <c r="V403" s="3" t="str">
        <f t="shared" si="9"/>
        <v>ZZZ</v>
      </c>
      <c r="W403" s="3" t="b">
        <f t="array" ref="W403">OR(ISNUMBER(SEARCH(V$2:V$100,$B403,5)))</f>
        <v>0</v>
      </c>
      <c r="Y403" s="3" t="str">
        <f t="shared" si="10"/>
        <v>ZZZ</v>
      </c>
      <c r="Z403" s="3" t="b">
        <f t="array" ref="Z403">OR(ISNUMBER(SEARCH(Y$2:Y$100,$B403,5)))</f>
        <v>0</v>
      </c>
      <c r="AB403" s="3" t="str">
        <f t="shared" si="11"/>
        <v>ZZZ</v>
      </c>
      <c r="AC403" s="3" t="b">
        <f t="array" ref="AC403">OR(ISNUMBER(SEARCH(AB$2:AB$100,$B403,5)))</f>
        <v>0</v>
      </c>
      <c r="AE403" s="3" t="str">
        <f t="shared" si="12"/>
        <v>ZZZ</v>
      </c>
      <c r="AF403" s="3" t="b">
        <f t="array" ref="AF403">OR(ISNUMBER(SEARCH(AE$2:AE$100,$B403,5)))</f>
        <v>0</v>
      </c>
      <c r="AH403" s="3" t="str">
        <f t="shared" si="13"/>
        <v>ZZZ</v>
      </c>
      <c r="AI403" s="3" t="b">
        <f t="array" ref="AI403">OR(ISNUMBER(SEARCH(AH$2:AH$100,$B403,5)))</f>
        <v>0</v>
      </c>
      <c r="AK403" s="3" t="str">
        <f t="shared" si="14"/>
        <v>ZZZ</v>
      </c>
      <c r="AL403" s="3" t="b">
        <f t="array" ref="AL403">OR(ISNUMBER(SEARCH(AK$2:AK$100,$B403,5)))</f>
        <v>0</v>
      </c>
      <c r="AU403" s="8"/>
      <c r="AV403" s="6"/>
      <c r="AW403" s="8"/>
      <c r="AX403" s="8"/>
      <c r="AY403" s="6"/>
      <c r="AZ403" s="8"/>
      <c r="BA403" s="8"/>
      <c r="BB403" s="6"/>
      <c r="BC403" s="8"/>
      <c r="BD403" s="8"/>
      <c r="BE403" s="6"/>
      <c r="BF403" s="8"/>
      <c r="BG403" s="8"/>
      <c r="BH403" s="6"/>
      <c r="BI403" s="8"/>
      <c r="BJ403" s="8"/>
      <c r="BK403" s="6"/>
      <c r="BL403" s="8"/>
      <c r="BM403" s="8"/>
      <c r="BN403" s="6"/>
      <c r="BO403" s="8"/>
      <c r="BP403" s="8"/>
      <c r="BQ403" s="6"/>
      <c r="BR403" s="8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A403" s="7"/>
      <c r="HB403" s="7"/>
      <c r="HC403" s="7"/>
      <c r="HD403" s="7"/>
      <c r="HE403" s="7"/>
      <c r="HF403" s="7"/>
      <c r="HG403" s="7"/>
      <c r="HH403" s="7"/>
      <c r="HI403" s="7"/>
      <c r="HJ403" s="7"/>
      <c r="HK403" s="7"/>
      <c r="HL403" s="7"/>
      <c r="HM403" s="7"/>
      <c r="HN403" s="7"/>
      <c r="HO403" s="7"/>
      <c r="HP403" s="7"/>
      <c r="HQ403" s="7"/>
      <c r="HR403" s="7"/>
      <c r="HS403" s="7"/>
      <c r="HT403" s="7"/>
      <c r="HU403" s="7"/>
      <c r="HV403" s="7"/>
      <c r="HW403" s="7"/>
      <c r="HX403" s="7"/>
      <c r="HY403" s="7"/>
      <c r="HZ403" s="7"/>
      <c r="IA403" s="7"/>
      <c r="IB403" s="7"/>
      <c r="IC403" s="7"/>
      <c r="ID403" s="7"/>
      <c r="IE403" s="7"/>
      <c r="IF403" s="7"/>
      <c r="IG403" s="7"/>
      <c r="IH403" s="7"/>
      <c r="II403" s="7"/>
      <c r="IJ403" s="7"/>
      <c r="IK403" s="7"/>
      <c r="IL403" s="7"/>
      <c r="IM403" s="7"/>
      <c r="IN403" s="7"/>
      <c r="IO403" s="7"/>
      <c r="IP403" s="7"/>
      <c r="IQ403" s="7"/>
      <c r="IR403" s="7"/>
      <c r="IS403" s="7"/>
      <c r="IT403" s="7"/>
      <c r="IU403" s="7"/>
      <c r="IV403" s="7"/>
      <c r="IW403" s="7"/>
      <c r="IX403" s="7"/>
      <c r="IY403" s="7"/>
      <c r="IZ403" s="7"/>
      <c r="JA403" s="7"/>
      <c r="JB403" s="7"/>
      <c r="JC403" s="7"/>
      <c r="JD403" s="7"/>
      <c r="JE403" s="7"/>
      <c r="JF403" s="7"/>
      <c r="JG403" s="7"/>
      <c r="JH403" s="7"/>
      <c r="JI403" s="7"/>
      <c r="JJ403" s="7"/>
      <c r="JK403" s="7"/>
      <c r="JL403" s="7"/>
      <c r="JM403" s="7"/>
      <c r="JN403" s="7"/>
      <c r="JO403" s="7"/>
      <c r="JP403" s="7"/>
      <c r="JQ403" s="7"/>
      <c r="JR403" s="7"/>
      <c r="JS403" s="7"/>
      <c r="JT403" s="7"/>
      <c r="JU403" s="7"/>
      <c r="JV403" s="7"/>
      <c r="JW403" s="7"/>
      <c r="JX403" s="7"/>
      <c r="JY403" s="7"/>
      <c r="JZ403" s="7"/>
      <c r="KA403" s="7"/>
      <c r="KB403" s="7"/>
      <c r="KC403" s="7"/>
      <c r="KD403" s="7"/>
      <c r="KE403" s="7"/>
      <c r="KF403" s="7"/>
      <c r="KG403" s="7"/>
      <c r="KH403" s="7"/>
      <c r="KI403" s="7"/>
      <c r="KJ403" s="7"/>
      <c r="KK403" s="7"/>
      <c r="KL403" s="7"/>
      <c r="KM403" s="7"/>
      <c r="KN403" s="7"/>
    </row>
    <row r="404">
      <c r="A404" s="6"/>
      <c r="B404" s="6" t="s">
        <v>404</v>
      </c>
      <c r="C404" s="3" t="str">
        <f t="shared" si="3"/>
        <v>muted plum</v>
      </c>
      <c r="D404" s="3" t="str">
        <f t="shared" si="17"/>
        <v>ZZZ</v>
      </c>
      <c r="E404" s="3" t="b">
        <f t="array" ref="E404">OR(ISNUMBER(SEARCH(D$2:D$30,$B404,5)))</f>
        <v>0</v>
      </c>
      <c r="G404" s="3" t="str">
        <f t="shared" si="4"/>
        <v>ZZZ</v>
      </c>
      <c r="H404" s="3" t="b">
        <f t="array" ref="H404">OR(ISNUMBER(SEARCH(G$2:G$30,$B404,5)))</f>
        <v>0</v>
      </c>
      <c r="J404" s="3" t="str">
        <f t="shared" si="5"/>
        <v>ZZZ</v>
      </c>
      <c r="K404" s="3" t="b">
        <f t="array" ref="K404">OR(ISNUMBER(SEARCH(J$2:J$30,$B404,5)))</f>
        <v>0</v>
      </c>
      <c r="M404" s="3" t="str">
        <f t="shared" si="6"/>
        <v>ZZZ</v>
      </c>
      <c r="N404" s="3" t="b">
        <f t="array" ref="N404">OR(ISNUMBER(SEARCH(M$2:M$30,$B404,5)))</f>
        <v>0</v>
      </c>
      <c r="P404" s="3" t="str">
        <f t="shared" si="7"/>
        <v>ZZZ</v>
      </c>
      <c r="Q404" s="3" t="b">
        <f t="array" ref="Q404">OR(ISNUMBER(SEARCH(P$2:P$50,$B404,5)))</f>
        <v>0</v>
      </c>
      <c r="S404" s="3" t="str">
        <f t="shared" si="8"/>
        <v>ZZZ</v>
      </c>
      <c r="T404" s="3" t="b">
        <f t="array" ref="T404">OR(ISNUMBER(SEARCH(S$2:S$100,$B404,5)))</f>
        <v>0</v>
      </c>
      <c r="V404" s="3" t="str">
        <f t="shared" si="9"/>
        <v>ZZZ</v>
      </c>
      <c r="W404" s="3" t="b">
        <f t="array" ref="W404">OR(ISNUMBER(SEARCH(V$2:V$100,$B404,5)))</f>
        <v>0</v>
      </c>
      <c r="Y404" s="3" t="str">
        <f t="shared" si="10"/>
        <v>ZZZ</v>
      </c>
      <c r="Z404" s="3" t="b">
        <f t="array" ref="Z404">OR(ISNUMBER(SEARCH(Y$2:Y$100,$B404,5)))</f>
        <v>0</v>
      </c>
      <c r="AB404" s="3" t="str">
        <f t="shared" si="11"/>
        <v>ZZZ</v>
      </c>
      <c r="AC404" s="3" t="b">
        <f t="array" ref="AC404">OR(ISNUMBER(SEARCH(AB$2:AB$100,$B404,5)))</f>
        <v>0</v>
      </c>
      <c r="AE404" s="3" t="str">
        <f t="shared" si="12"/>
        <v>ZZZ</v>
      </c>
      <c r="AF404" s="3" t="b">
        <f t="array" ref="AF404">OR(ISNUMBER(SEARCH(AE$2:AE$100,$B404,5)))</f>
        <v>0</v>
      </c>
      <c r="AH404" s="3" t="str">
        <f t="shared" si="13"/>
        <v>ZZZ</v>
      </c>
      <c r="AI404" s="3" t="b">
        <f t="array" ref="AI404">OR(ISNUMBER(SEARCH(AH$2:AH$100,$B404,5)))</f>
        <v>0</v>
      </c>
      <c r="AK404" s="3" t="str">
        <f t="shared" si="14"/>
        <v>ZZZ</v>
      </c>
      <c r="AL404" s="3" t="b">
        <f t="array" ref="AL404">OR(ISNUMBER(SEARCH(AK$2:AK$100,$B404,5)))</f>
        <v>0</v>
      </c>
      <c r="AU404" s="8"/>
      <c r="AV404" s="6"/>
      <c r="AW404" s="8"/>
      <c r="AX404" s="8"/>
      <c r="AY404" s="6"/>
      <c r="AZ404" s="8"/>
      <c r="BA404" s="8"/>
      <c r="BB404" s="6"/>
      <c r="BC404" s="8"/>
      <c r="BD404" s="8"/>
      <c r="BE404" s="6"/>
      <c r="BF404" s="8"/>
      <c r="BG404" s="8"/>
      <c r="BH404" s="6"/>
      <c r="BI404" s="8"/>
      <c r="BJ404" s="8"/>
      <c r="BK404" s="6"/>
      <c r="BL404" s="8"/>
      <c r="BM404" s="8"/>
      <c r="BN404" s="6"/>
      <c r="BO404" s="8"/>
      <c r="BP404" s="8"/>
      <c r="BQ404" s="6"/>
      <c r="BR404" s="8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7"/>
      <c r="GV404" s="7"/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/>
      <c r="HH404" s="7"/>
      <c r="HI404" s="7"/>
      <c r="HJ404" s="7"/>
      <c r="HK404" s="7"/>
      <c r="HL404" s="7"/>
      <c r="HM404" s="7"/>
      <c r="HN404" s="7"/>
      <c r="HO404" s="7"/>
      <c r="HP404" s="7"/>
      <c r="HQ404" s="7"/>
      <c r="HR404" s="7"/>
      <c r="HS404" s="7"/>
      <c r="HT404" s="7"/>
      <c r="HU404" s="7"/>
      <c r="HV404" s="7"/>
      <c r="HW404" s="7"/>
      <c r="HX404" s="7"/>
      <c r="HY404" s="7"/>
      <c r="HZ404" s="7"/>
      <c r="IA404" s="7"/>
      <c r="IB404" s="7"/>
      <c r="IC404" s="7"/>
      <c r="ID404" s="7"/>
      <c r="IE404" s="7"/>
      <c r="IF404" s="7"/>
      <c r="IG404" s="7"/>
      <c r="IH404" s="7"/>
      <c r="II404" s="7"/>
      <c r="IJ404" s="7"/>
      <c r="IK404" s="7"/>
      <c r="IL404" s="7"/>
      <c r="IM404" s="7"/>
      <c r="IN404" s="7"/>
      <c r="IO404" s="7"/>
      <c r="IP404" s="7"/>
      <c r="IQ404" s="7"/>
      <c r="IR404" s="7"/>
      <c r="IS404" s="7"/>
      <c r="IT404" s="7"/>
      <c r="IU404" s="7"/>
      <c r="IV404" s="7"/>
      <c r="IW404" s="7"/>
      <c r="IX404" s="7"/>
      <c r="IY404" s="7"/>
      <c r="IZ404" s="7"/>
      <c r="JA404" s="7"/>
      <c r="JB404" s="7"/>
      <c r="JC404" s="7"/>
      <c r="JD404" s="7"/>
      <c r="JE404" s="7"/>
      <c r="JF404" s="7"/>
      <c r="JG404" s="7"/>
      <c r="JH404" s="7"/>
      <c r="JI404" s="7"/>
      <c r="JJ404" s="7"/>
      <c r="JK404" s="7"/>
      <c r="JL404" s="7"/>
      <c r="JM404" s="7"/>
      <c r="JN404" s="7"/>
      <c r="JO404" s="7"/>
      <c r="JP404" s="7"/>
      <c r="JQ404" s="7"/>
      <c r="JR404" s="7"/>
      <c r="JS404" s="7"/>
      <c r="JT404" s="7"/>
      <c r="JU404" s="7"/>
      <c r="JV404" s="7"/>
      <c r="JW404" s="7"/>
      <c r="JX404" s="7"/>
      <c r="JY404" s="7"/>
      <c r="JZ404" s="7"/>
      <c r="KA404" s="7"/>
      <c r="KB404" s="7"/>
      <c r="KC404" s="7"/>
      <c r="KD404" s="7"/>
      <c r="KE404" s="7"/>
      <c r="KF404" s="7"/>
      <c r="KG404" s="7"/>
      <c r="KH404" s="7"/>
      <c r="KI404" s="7"/>
      <c r="KJ404" s="7"/>
      <c r="KK404" s="7"/>
      <c r="KL404" s="7"/>
      <c r="KM404" s="7"/>
      <c r="KN404" s="7"/>
    </row>
    <row r="405">
      <c r="A405" s="6"/>
      <c r="B405" s="6" t="s">
        <v>405</v>
      </c>
      <c r="C405" s="3" t="str">
        <f t="shared" si="3"/>
        <v>dull turquoise</v>
      </c>
      <c r="D405" s="3" t="str">
        <f t="shared" si="17"/>
        <v>ZZZ</v>
      </c>
      <c r="E405" s="3" t="b">
        <f t="array" ref="E405">OR(ISNUMBER(SEARCH(D$2:D$30,$B405,5)))</f>
        <v>0</v>
      </c>
      <c r="G405" s="3" t="str">
        <f t="shared" si="4"/>
        <v>ZZZ</v>
      </c>
      <c r="H405" s="3" t="b">
        <f t="array" ref="H405">OR(ISNUMBER(SEARCH(G$2:G$30,$B405,5)))</f>
        <v>0</v>
      </c>
      <c r="J405" s="3" t="str">
        <f t="shared" si="5"/>
        <v>ZZZ</v>
      </c>
      <c r="K405" s="3" t="b">
        <f t="array" ref="K405">OR(ISNUMBER(SEARCH(J$2:J$30,$B405,5)))</f>
        <v>0</v>
      </c>
      <c r="M405" s="3" t="str">
        <f t="shared" si="6"/>
        <v>ZZZ</v>
      </c>
      <c r="N405" s="3" t="b">
        <f t="array" ref="N405">OR(ISNUMBER(SEARCH(M$2:M$30,$B405,5)))</f>
        <v>0</v>
      </c>
      <c r="P405" s="3" t="str">
        <f t="shared" si="7"/>
        <v>ZZZ</v>
      </c>
      <c r="Q405" s="3" t="b">
        <f t="array" ref="Q405">OR(ISNUMBER(SEARCH(P$2:P$50,$B405,5)))</f>
        <v>0</v>
      </c>
      <c r="S405" s="3" t="str">
        <f t="shared" si="8"/>
        <v>ZZZ</v>
      </c>
      <c r="T405" s="3" t="b">
        <f t="array" ref="T405">OR(ISNUMBER(SEARCH(S$2:S$100,$B405,5)))</f>
        <v>0</v>
      </c>
      <c r="V405" s="3" t="str">
        <f t="shared" si="9"/>
        <v>ZZZ</v>
      </c>
      <c r="W405" s="3" t="b">
        <f t="array" ref="W405">OR(ISNUMBER(SEARCH(V$2:V$100,$B405,5)))</f>
        <v>0</v>
      </c>
      <c r="Y405" s="3" t="str">
        <f t="shared" si="10"/>
        <v>ZZZ</v>
      </c>
      <c r="Z405" s="3" t="b">
        <f t="array" ref="Z405">OR(ISNUMBER(SEARCH(Y$2:Y$100,$B405,5)))</f>
        <v>0</v>
      </c>
      <c r="AB405" s="3" t="str">
        <f t="shared" si="11"/>
        <v>ZZZ</v>
      </c>
      <c r="AC405" s="3" t="b">
        <f t="array" ref="AC405">OR(ISNUMBER(SEARCH(AB$2:AB$100,$B405,5)))</f>
        <v>0</v>
      </c>
      <c r="AE405" s="3" t="str">
        <f t="shared" si="12"/>
        <v>ZZZ</v>
      </c>
      <c r="AF405" s="3" t="b">
        <f t="array" ref="AF405">OR(ISNUMBER(SEARCH(AE$2:AE$100,$B405,5)))</f>
        <v>0</v>
      </c>
      <c r="AH405" s="3" t="str">
        <f t="shared" si="13"/>
        <v>ZZZ</v>
      </c>
      <c r="AI405" s="3" t="b">
        <f t="array" ref="AI405">OR(ISNUMBER(SEARCH(AH$2:AH$100,$B405,5)))</f>
        <v>0</v>
      </c>
      <c r="AK405" s="3" t="str">
        <f t="shared" si="14"/>
        <v>ZZZ</v>
      </c>
      <c r="AL405" s="3" t="b">
        <f t="array" ref="AL405">OR(ISNUMBER(SEARCH(AK$2:AK$100,$B405,5)))</f>
        <v>0</v>
      </c>
      <c r="AU405" s="8"/>
      <c r="AV405" s="6"/>
      <c r="AW405" s="8"/>
      <c r="AX405" s="8"/>
      <c r="AY405" s="6"/>
      <c r="AZ405" s="8"/>
      <c r="BA405" s="8"/>
      <c r="BB405" s="6"/>
      <c r="BC405" s="8"/>
      <c r="BD405" s="8"/>
      <c r="BE405" s="6"/>
      <c r="BF405" s="8"/>
      <c r="BG405" s="8"/>
      <c r="BH405" s="6"/>
      <c r="BI405" s="8"/>
      <c r="BJ405" s="8"/>
      <c r="BK405" s="6"/>
      <c r="BL405" s="8"/>
      <c r="BM405" s="8"/>
      <c r="BN405" s="6"/>
      <c r="BO405" s="8"/>
      <c r="BP405" s="8"/>
      <c r="BQ405" s="6"/>
      <c r="BR405" s="8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  <c r="HU405" s="7"/>
      <c r="HV405" s="7"/>
      <c r="HW405" s="7"/>
      <c r="HX405" s="7"/>
      <c r="HY405" s="7"/>
      <c r="HZ405" s="7"/>
      <c r="IA405" s="7"/>
      <c r="IB405" s="7"/>
      <c r="IC405" s="7"/>
      <c r="ID405" s="7"/>
      <c r="IE405" s="7"/>
      <c r="IF405" s="7"/>
      <c r="IG405" s="7"/>
      <c r="IH405" s="7"/>
      <c r="II405" s="7"/>
      <c r="IJ405" s="7"/>
      <c r="IK405" s="7"/>
      <c r="IL405" s="7"/>
      <c r="IM405" s="7"/>
      <c r="IN405" s="7"/>
      <c r="IO405" s="7"/>
      <c r="IP405" s="7"/>
      <c r="IQ405" s="7"/>
      <c r="IR405" s="7"/>
      <c r="IS405" s="7"/>
      <c r="IT405" s="7"/>
      <c r="IU405" s="7"/>
      <c r="IV405" s="7"/>
      <c r="IW405" s="7"/>
      <c r="IX405" s="7"/>
      <c r="IY405" s="7"/>
      <c r="IZ405" s="7"/>
      <c r="JA405" s="7"/>
      <c r="JB405" s="7"/>
      <c r="JC405" s="7"/>
      <c r="JD405" s="7"/>
      <c r="JE405" s="7"/>
      <c r="JF405" s="7"/>
      <c r="JG405" s="7"/>
      <c r="JH405" s="7"/>
      <c r="JI405" s="7"/>
      <c r="JJ405" s="7"/>
      <c r="JK405" s="7"/>
      <c r="JL405" s="7"/>
      <c r="JM405" s="7"/>
      <c r="JN405" s="7"/>
      <c r="JO405" s="7"/>
      <c r="JP405" s="7"/>
      <c r="JQ405" s="7"/>
      <c r="JR405" s="7"/>
      <c r="JS405" s="7"/>
      <c r="JT405" s="7"/>
      <c r="JU405" s="7"/>
      <c r="JV405" s="7"/>
      <c r="JW405" s="7"/>
      <c r="JX405" s="7"/>
      <c r="JY405" s="7"/>
      <c r="JZ405" s="7"/>
      <c r="KA405" s="7"/>
      <c r="KB405" s="7"/>
      <c r="KC405" s="7"/>
      <c r="KD405" s="7"/>
      <c r="KE405" s="7"/>
      <c r="KF405" s="7"/>
      <c r="KG405" s="7"/>
      <c r="KH405" s="7"/>
      <c r="KI405" s="7"/>
      <c r="KJ405" s="7"/>
      <c r="KK405" s="7"/>
      <c r="KL405" s="7"/>
      <c r="KM405" s="7"/>
      <c r="KN405" s="7"/>
    </row>
    <row r="406">
      <c r="A406" s="6"/>
      <c r="B406" s="6" t="s">
        <v>406</v>
      </c>
      <c r="C406" s="3" t="str">
        <f t="shared" si="3"/>
        <v>plaid blue</v>
      </c>
      <c r="D406" s="3" t="str">
        <f t="shared" si="17"/>
        <v>ZZZ</v>
      </c>
      <c r="E406" s="3" t="b">
        <f t="array" ref="E406">OR(ISNUMBER(SEARCH(D$2:D$30,$B406,5)))</f>
        <v>0</v>
      </c>
      <c r="G406" s="3" t="str">
        <f t="shared" si="4"/>
        <v>ZZZ</v>
      </c>
      <c r="H406" s="3" t="b">
        <f t="array" ref="H406">OR(ISNUMBER(SEARCH(G$2:G$30,$B406,5)))</f>
        <v>0</v>
      </c>
      <c r="J406" s="3" t="str">
        <f t="shared" si="5"/>
        <v>ZZZ</v>
      </c>
      <c r="K406" s="3" t="b">
        <f t="array" ref="K406">OR(ISNUMBER(SEARCH(J$2:J$30,$B406,5)))</f>
        <v>0</v>
      </c>
      <c r="M406" s="3" t="str">
        <f t="shared" si="6"/>
        <v>ZZZ</v>
      </c>
      <c r="N406" s="3" t="b">
        <f t="array" ref="N406">OR(ISNUMBER(SEARCH(M$2:M$30,$B406,5)))</f>
        <v>0</v>
      </c>
      <c r="P406" s="3" t="str">
        <f t="shared" si="7"/>
        <v>ZZZ</v>
      </c>
      <c r="Q406" s="3" t="b">
        <f t="array" ref="Q406">OR(ISNUMBER(SEARCH(P$2:P$50,$B406,5)))</f>
        <v>0</v>
      </c>
      <c r="S406" s="3" t="str">
        <f t="shared" si="8"/>
        <v>ZZZ</v>
      </c>
      <c r="T406" s="3" t="b">
        <f t="array" ref="T406">OR(ISNUMBER(SEARCH(S$2:S$100,$B406,5)))</f>
        <v>0</v>
      </c>
      <c r="V406" s="3" t="str">
        <f t="shared" si="9"/>
        <v>ZZZ</v>
      </c>
      <c r="W406" s="3" t="b">
        <f t="array" ref="W406">OR(ISNUMBER(SEARCH(V$2:V$100,$B406,5)))</f>
        <v>0</v>
      </c>
      <c r="Y406" s="3" t="str">
        <f t="shared" si="10"/>
        <v>ZZZ</v>
      </c>
      <c r="Z406" s="3" t="b">
        <f t="array" ref="Z406">OR(ISNUMBER(SEARCH(Y$2:Y$100,$B406,5)))</f>
        <v>0</v>
      </c>
      <c r="AB406" s="3" t="str">
        <f t="shared" si="11"/>
        <v>ZZZ</v>
      </c>
      <c r="AC406" s="3" t="b">
        <f t="array" ref="AC406">OR(ISNUMBER(SEARCH(AB$2:AB$100,$B406,5)))</f>
        <v>0</v>
      </c>
      <c r="AE406" s="3" t="str">
        <f t="shared" si="12"/>
        <v>ZZZ</v>
      </c>
      <c r="AF406" s="3" t="b">
        <f t="array" ref="AF406">OR(ISNUMBER(SEARCH(AE$2:AE$100,$B406,5)))</f>
        <v>0</v>
      </c>
      <c r="AH406" s="3" t="str">
        <f t="shared" si="13"/>
        <v>ZZZ</v>
      </c>
      <c r="AI406" s="3" t="b">
        <f t="array" ref="AI406">OR(ISNUMBER(SEARCH(AH$2:AH$100,$B406,5)))</f>
        <v>0</v>
      </c>
      <c r="AK406" s="3" t="str">
        <f t="shared" si="14"/>
        <v>ZZZ</v>
      </c>
      <c r="AL406" s="3" t="b">
        <f t="array" ref="AL406">OR(ISNUMBER(SEARCH(AK$2:AK$100,$B406,5)))</f>
        <v>0</v>
      </c>
      <c r="AU406" s="8"/>
      <c r="AV406" s="6"/>
      <c r="AW406" s="8"/>
      <c r="AX406" s="8"/>
      <c r="AY406" s="6"/>
      <c r="AZ406" s="8"/>
      <c r="BA406" s="8"/>
      <c r="BB406" s="6"/>
      <c r="BC406" s="8"/>
      <c r="BD406" s="8"/>
      <c r="BE406" s="6"/>
      <c r="BF406" s="8"/>
      <c r="BG406" s="8"/>
      <c r="BH406" s="6"/>
      <c r="BI406" s="8"/>
      <c r="BJ406" s="8"/>
      <c r="BK406" s="6"/>
      <c r="BL406" s="8"/>
      <c r="BM406" s="8"/>
      <c r="BN406" s="6"/>
      <c r="BO406" s="8"/>
      <c r="BP406" s="8"/>
      <c r="BQ406" s="6"/>
      <c r="BR406" s="8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  <c r="HQ406" s="7"/>
      <c r="HR406" s="7"/>
      <c r="HS406" s="7"/>
      <c r="HT406" s="7"/>
      <c r="HU406" s="7"/>
      <c r="HV406" s="7"/>
      <c r="HW406" s="7"/>
      <c r="HX406" s="7"/>
      <c r="HY406" s="7"/>
      <c r="HZ406" s="7"/>
      <c r="IA406" s="7"/>
      <c r="IB406" s="7"/>
      <c r="IC406" s="7"/>
      <c r="ID406" s="7"/>
      <c r="IE406" s="7"/>
      <c r="IF406" s="7"/>
      <c r="IG406" s="7"/>
      <c r="IH406" s="7"/>
      <c r="II406" s="7"/>
      <c r="IJ406" s="7"/>
      <c r="IK406" s="7"/>
      <c r="IL406" s="7"/>
      <c r="IM406" s="7"/>
      <c r="IN406" s="7"/>
      <c r="IO406" s="7"/>
      <c r="IP406" s="7"/>
      <c r="IQ406" s="7"/>
      <c r="IR406" s="7"/>
      <c r="IS406" s="7"/>
      <c r="IT406" s="7"/>
      <c r="IU406" s="7"/>
      <c r="IV406" s="7"/>
      <c r="IW406" s="7"/>
      <c r="IX406" s="7"/>
      <c r="IY406" s="7"/>
      <c r="IZ406" s="7"/>
      <c r="JA406" s="7"/>
      <c r="JB406" s="7"/>
      <c r="JC406" s="7"/>
      <c r="JD406" s="7"/>
      <c r="JE406" s="7"/>
      <c r="JF406" s="7"/>
      <c r="JG406" s="7"/>
      <c r="JH406" s="7"/>
      <c r="JI406" s="7"/>
      <c r="JJ406" s="7"/>
      <c r="JK406" s="7"/>
      <c r="JL406" s="7"/>
      <c r="JM406" s="7"/>
      <c r="JN406" s="7"/>
      <c r="JO406" s="7"/>
      <c r="JP406" s="7"/>
      <c r="JQ406" s="7"/>
      <c r="JR406" s="7"/>
      <c r="JS406" s="7"/>
      <c r="JT406" s="7"/>
      <c r="JU406" s="7"/>
      <c r="JV406" s="7"/>
      <c r="JW406" s="7"/>
      <c r="JX406" s="7"/>
      <c r="JY406" s="7"/>
      <c r="JZ406" s="7"/>
      <c r="KA406" s="7"/>
      <c r="KB406" s="7"/>
      <c r="KC406" s="7"/>
      <c r="KD406" s="7"/>
      <c r="KE406" s="7"/>
      <c r="KF406" s="7"/>
      <c r="KG406" s="7"/>
      <c r="KH406" s="7"/>
      <c r="KI406" s="7"/>
      <c r="KJ406" s="7"/>
      <c r="KK406" s="7"/>
      <c r="KL406" s="7"/>
      <c r="KM406" s="7"/>
      <c r="KN406" s="7"/>
    </row>
    <row r="407">
      <c r="A407" s="6"/>
      <c r="B407" s="6" t="s">
        <v>407</v>
      </c>
      <c r="C407" s="3" t="str">
        <f t="shared" si="3"/>
        <v>dotted tan</v>
      </c>
      <c r="D407" s="3" t="str">
        <f t="shared" si="17"/>
        <v>ZZZ</v>
      </c>
      <c r="E407" s="3" t="b">
        <f t="array" ref="E407">OR(ISNUMBER(SEARCH(D$2:D$30,$B407,5)))</f>
        <v>0</v>
      </c>
      <c r="G407" s="3" t="str">
        <f t="shared" si="4"/>
        <v>ZZZ</v>
      </c>
      <c r="H407" s="3" t="b">
        <f t="array" ref="H407">OR(ISNUMBER(SEARCH(G$2:G$30,$B407,5)))</f>
        <v>0</v>
      </c>
      <c r="J407" s="3" t="str">
        <f t="shared" si="5"/>
        <v>ZZZ</v>
      </c>
      <c r="K407" s="3" t="b">
        <f t="array" ref="K407">OR(ISNUMBER(SEARCH(J$2:J$30,$B407,5)))</f>
        <v>0</v>
      </c>
      <c r="M407" s="3" t="str">
        <f t="shared" si="6"/>
        <v>ZZZ</v>
      </c>
      <c r="N407" s="3" t="b">
        <f t="array" ref="N407">OR(ISNUMBER(SEARCH(M$2:M$30,$B407,5)))</f>
        <v>0</v>
      </c>
      <c r="P407" s="3" t="str">
        <f t="shared" si="7"/>
        <v>ZZZ</v>
      </c>
      <c r="Q407" s="3" t="b">
        <f t="array" ref="Q407">OR(ISNUMBER(SEARCH(P$2:P$50,$B407,5)))</f>
        <v>1</v>
      </c>
      <c r="S407" s="3" t="str">
        <f t="shared" si="8"/>
        <v>ZZZ</v>
      </c>
      <c r="T407" s="3" t="b">
        <f t="array" ref="T407">OR(ISNUMBER(SEARCH(S$2:S$100,$B407,5)))</f>
        <v>1</v>
      </c>
      <c r="V407" s="3" t="str">
        <f t="shared" si="9"/>
        <v>ZZZ</v>
      </c>
      <c r="W407" s="3" t="b">
        <f t="array" ref="W407">OR(ISNUMBER(SEARCH(V$2:V$100,$B407,5)))</f>
        <v>0</v>
      </c>
      <c r="Y407" s="3" t="str">
        <f t="shared" si="10"/>
        <v>ZZZ</v>
      </c>
      <c r="Z407" s="3" t="b">
        <f t="array" ref="Z407">OR(ISNUMBER(SEARCH(Y$2:Y$100,$B407,5)))</f>
        <v>1</v>
      </c>
      <c r="AB407" s="3" t="str">
        <f t="shared" si="11"/>
        <v>ZZZ</v>
      </c>
      <c r="AC407" s="3" t="b">
        <f t="array" ref="AC407">OR(ISNUMBER(SEARCH(AB$2:AB$100,$B407,5)))</f>
        <v>1</v>
      </c>
      <c r="AE407" s="3" t="str">
        <f t="shared" si="12"/>
        <v>ZZZ</v>
      </c>
      <c r="AF407" s="3" t="b">
        <f t="array" ref="AF407">OR(ISNUMBER(SEARCH(AE$2:AE$100,$B407,5)))</f>
        <v>0</v>
      </c>
      <c r="AH407" s="3" t="str">
        <f t="shared" si="13"/>
        <v>ZZZ</v>
      </c>
      <c r="AI407" s="3" t="b">
        <f t="array" ref="AI407">OR(ISNUMBER(SEARCH(AH$2:AH$100,$B407,5)))</f>
        <v>0</v>
      </c>
      <c r="AK407" s="3" t="str">
        <f t="shared" si="14"/>
        <v>ZZZ</v>
      </c>
      <c r="AL407" s="3" t="b">
        <f t="array" ref="AL407">OR(ISNUMBER(SEARCH(AK$2:AK$100,$B407,5)))</f>
        <v>0</v>
      </c>
      <c r="AU407" s="8"/>
      <c r="AV407" s="6"/>
      <c r="AW407" s="8"/>
      <c r="AX407" s="8"/>
      <c r="AY407" s="6"/>
      <c r="AZ407" s="8"/>
      <c r="BA407" s="8"/>
      <c r="BB407" s="6"/>
      <c r="BC407" s="8"/>
      <c r="BD407" s="8"/>
      <c r="BE407" s="6"/>
      <c r="BF407" s="8"/>
      <c r="BG407" s="8"/>
      <c r="BH407" s="6"/>
      <c r="BI407" s="8"/>
      <c r="BJ407" s="8"/>
      <c r="BK407" s="6"/>
      <c r="BL407" s="8"/>
      <c r="BM407" s="8"/>
      <c r="BN407" s="6"/>
      <c r="BO407" s="8"/>
      <c r="BP407" s="8"/>
      <c r="BQ407" s="6"/>
      <c r="BR407" s="8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  <c r="HQ407" s="7"/>
      <c r="HR407" s="7"/>
      <c r="HS407" s="7"/>
      <c r="HT407" s="7"/>
      <c r="HU407" s="7"/>
      <c r="HV407" s="7"/>
      <c r="HW407" s="7"/>
      <c r="HX407" s="7"/>
      <c r="HY407" s="7"/>
      <c r="HZ407" s="7"/>
      <c r="IA407" s="7"/>
      <c r="IB407" s="7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7"/>
      <c r="IQ407" s="7"/>
      <c r="IR407" s="7"/>
      <c r="IS407" s="7"/>
      <c r="IT407" s="7"/>
      <c r="IU407" s="7"/>
      <c r="IV407" s="7"/>
      <c r="IW407" s="7"/>
      <c r="IX407" s="7"/>
      <c r="IY407" s="7"/>
      <c r="IZ407" s="7"/>
      <c r="JA407" s="7"/>
      <c r="JB407" s="7"/>
      <c r="JC407" s="7"/>
      <c r="JD407" s="7"/>
      <c r="JE407" s="7"/>
      <c r="JF407" s="7"/>
      <c r="JG407" s="7"/>
      <c r="JH407" s="7"/>
      <c r="JI407" s="7"/>
      <c r="JJ407" s="7"/>
      <c r="JK407" s="7"/>
      <c r="JL407" s="7"/>
      <c r="JM407" s="7"/>
      <c r="JN407" s="7"/>
      <c r="JO407" s="7"/>
      <c r="JP407" s="7"/>
      <c r="JQ407" s="7"/>
      <c r="JR407" s="7"/>
      <c r="JS407" s="7"/>
      <c r="JT407" s="7"/>
      <c r="JU407" s="7"/>
      <c r="JV407" s="7"/>
      <c r="JW407" s="7"/>
      <c r="JX407" s="7"/>
      <c r="JY407" s="7"/>
      <c r="JZ407" s="7"/>
      <c r="KA407" s="7"/>
      <c r="KB407" s="7"/>
      <c r="KC407" s="7"/>
      <c r="KD407" s="7"/>
      <c r="KE407" s="7"/>
      <c r="KF407" s="7"/>
      <c r="KG407" s="7"/>
      <c r="KH407" s="7"/>
      <c r="KI407" s="7"/>
      <c r="KJ407" s="7"/>
      <c r="KK407" s="7"/>
      <c r="KL407" s="7"/>
      <c r="KM407" s="7"/>
      <c r="KN407" s="7"/>
    </row>
    <row r="408">
      <c r="A408" s="6"/>
      <c r="B408" s="6" t="s">
        <v>408</v>
      </c>
      <c r="C408" s="3" t="str">
        <f t="shared" si="3"/>
        <v>plaid black</v>
      </c>
      <c r="D408" s="3" t="str">
        <f t="shared" si="17"/>
        <v>ZZZ</v>
      </c>
      <c r="E408" s="3" t="b">
        <f t="array" ref="E408">OR(ISNUMBER(SEARCH(D$2:D$30,$B408,5)))</f>
        <v>0</v>
      </c>
      <c r="G408" s="3" t="str">
        <f t="shared" si="4"/>
        <v>ZZZ</v>
      </c>
      <c r="H408" s="3" t="b">
        <f t="array" ref="H408">OR(ISNUMBER(SEARCH(G$2:G$30,$B408,5)))</f>
        <v>0</v>
      </c>
      <c r="J408" s="3" t="str">
        <f t="shared" si="5"/>
        <v>ZZZ</v>
      </c>
      <c r="K408" s="3" t="b">
        <f t="array" ref="K408">OR(ISNUMBER(SEARCH(J$2:J$30,$B408,5)))</f>
        <v>0</v>
      </c>
      <c r="M408" s="3" t="str">
        <f t="shared" si="6"/>
        <v>ZZZ</v>
      </c>
      <c r="N408" s="3" t="b">
        <f t="array" ref="N408">OR(ISNUMBER(SEARCH(M$2:M$30,$B408,5)))</f>
        <v>0</v>
      </c>
      <c r="P408" s="3" t="str">
        <f t="shared" si="7"/>
        <v>ZZZ</v>
      </c>
      <c r="Q408" s="3" t="b">
        <f t="array" ref="Q408">OR(ISNUMBER(SEARCH(P$2:P$50,$B408,5)))</f>
        <v>0</v>
      </c>
      <c r="S408" s="3" t="str">
        <f t="shared" si="8"/>
        <v>ZZZ</v>
      </c>
      <c r="T408" s="3" t="b">
        <f t="array" ref="T408">OR(ISNUMBER(SEARCH(S$2:S$100,$B408,5)))</f>
        <v>0</v>
      </c>
      <c r="V408" s="3" t="str">
        <f t="shared" si="9"/>
        <v>ZZZ</v>
      </c>
      <c r="W408" s="3" t="b">
        <f t="array" ref="W408">OR(ISNUMBER(SEARCH(V$2:V$100,$B408,5)))</f>
        <v>0</v>
      </c>
      <c r="Y408" s="3" t="str">
        <f t="shared" si="10"/>
        <v>ZZZ</v>
      </c>
      <c r="Z408" s="3" t="b">
        <f t="array" ref="Z408">OR(ISNUMBER(SEARCH(Y$2:Y$100,$B408,5)))</f>
        <v>0</v>
      </c>
      <c r="AB408" s="3" t="str">
        <f t="shared" si="11"/>
        <v>ZZZ</v>
      </c>
      <c r="AC408" s="3" t="b">
        <f t="array" ref="AC408">OR(ISNUMBER(SEARCH(AB$2:AB$100,$B408,5)))</f>
        <v>0</v>
      </c>
      <c r="AE408" s="3" t="str">
        <f t="shared" si="12"/>
        <v>ZZZ</v>
      </c>
      <c r="AF408" s="3" t="b">
        <f t="array" ref="AF408">OR(ISNUMBER(SEARCH(AE$2:AE$100,$B408,5)))</f>
        <v>0</v>
      </c>
      <c r="AH408" s="3" t="str">
        <f t="shared" si="13"/>
        <v>ZZZ</v>
      </c>
      <c r="AI408" s="3" t="b">
        <f t="array" ref="AI408">OR(ISNUMBER(SEARCH(AH$2:AH$100,$B408,5)))</f>
        <v>0</v>
      </c>
      <c r="AK408" s="3" t="str">
        <f t="shared" si="14"/>
        <v>ZZZ</v>
      </c>
      <c r="AL408" s="3" t="b">
        <f t="array" ref="AL408">OR(ISNUMBER(SEARCH(AK$2:AK$100,$B408,5)))</f>
        <v>0</v>
      </c>
      <c r="AU408" s="8"/>
      <c r="AV408" s="6"/>
      <c r="AW408" s="8"/>
      <c r="AX408" s="8"/>
      <c r="AY408" s="6"/>
      <c r="AZ408" s="8"/>
      <c r="BA408" s="8"/>
      <c r="BB408" s="6"/>
      <c r="BC408" s="8"/>
      <c r="BD408" s="8"/>
      <c r="BE408" s="6"/>
      <c r="BF408" s="8"/>
      <c r="BG408" s="8"/>
      <c r="BH408" s="6"/>
      <c r="BI408" s="8"/>
      <c r="BJ408" s="8"/>
      <c r="BK408" s="6"/>
      <c r="BL408" s="8"/>
      <c r="BM408" s="8"/>
      <c r="BN408" s="6"/>
      <c r="BO408" s="8"/>
      <c r="BP408" s="8"/>
      <c r="BQ408" s="6"/>
      <c r="BR408" s="8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  <c r="HQ408" s="7"/>
      <c r="HR408" s="7"/>
      <c r="HS408" s="7"/>
      <c r="HT408" s="7"/>
      <c r="HU408" s="7"/>
      <c r="HV408" s="7"/>
      <c r="HW408" s="7"/>
      <c r="HX408" s="7"/>
      <c r="HY408" s="7"/>
      <c r="HZ408" s="7"/>
      <c r="IA408" s="7"/>
      <c r="IB408" s="7"/>
      <c r="IC408" s="7"/>
      <c r="ID408" s="7"/>
      <c r="IE408" s="7"/>
      <c r="IF408" s="7"/>
      <c r="IG408" s="7"/>
      <c r="IH408" s="7"/>
      <c r="II408" s="7"/>
      <c r="IJ408" s="7"/>
      <c r="IK408" s="7"/>
      <c r="IL408" s="7"/>
      <c r="IM408" s="7"/>
      <c r="IN408" s="7"/>
      <c r="IO408" s="7"/>
      <c r="IP408" s="7"/>
      <c r="IQ408" s="7"/>
      <c r="IR408" s="7"/>
      <c r="IS408" s="7"/>
      <c r="IT408" s="7"/>
      <c r="IU408" s="7"/>
      <c r="IV408" s="7"/>
      <c r="IW408" s="7"/>
      <c r="IX408" s="7"/>
      <c r="IY408" s="7"/>
      <c r="IZ408" s="7"/>
      <c r="JA408" s="7"/>
      <c r="JB408" s="7"/>
      <c r="JC408" s="7"/>
      <c r="JD408" s="7"/>
      <c r="JE408" s="7"/>
      <c r="JF408" s="7"/>
      <c r="JG408" s="7"/>
      <c r="JH408" s="7"/>
      <c r="JI408" s="7"/>
      <c r="JJ408" s="7"/>
      <c r="JK408" s="7"/>
      <c r="JL408" s="7"/>
      <c r="JM408" s="7"/>
      <c r="JN408" s="7"/>
      <c r="JO408" s="7"/>
      <c r="JP408" s="7"/>
      <c r="JQ408" s="7"/>
      <c r="JR408" s="7"/>
      <c r="JS408" s="7"/>
      <c r="JT408" s="7"/>
      <c r="JU408" s="7"/>
      <c r="JV408" s="7"/>
      <c r="JW408" s="7"/>
      <c r="JX408" s="7"/>
      <c r="JY408" s="7"/>
      <c r="JZ408" s="7"/>
      <c r="KA408" s="7"/>
      <c r="KB408" s="7"/>
      <c r="KC408" s="7"/>
      <c r="KD408" s="7"/>
      <c r="KE408" s="7"/>
      <c r="KF408" s="7"/>
      <c r="KG408" s="7"/>
      <c r="KH408" s="7"/>
      <c r="KI408" s="7"/>
      <c r="KJ408" s="7"/>
      <c r="KK408" s="7"/>
      <c r="KL408" s="7"/>
      <c r="KM408" s="7"/>
      <c r="KN408" s="7"/>
    </row>
    <row r="409">
      <c r="A409" s="6"/>
      <c r="B409" s="6" t="s">
        <v>409</v>
      </c>
      <c r="C409" s="3" t="str">
        <f t="shared" si="3"/>
        <v>light cyan</v>
      </c>
      <c r="D409" s="3" t="str">
        <f t="shared" si="17"/>
        <v>ZZZ</v>
      </c>
      <c r="E409" s="3" t="b">
        <f t="array" ref="E409">OR(ISNUMBER(SEARCH(D$2:D$30,$B409,5)))</f>
        <v>0</v>
      </c>
      <c r="G409" s="3" t="str">
        <f t="shared" si="4"/>
        <v>ZZZ</v>
      </c>
      <c r="H409" s="3" t="b">
        <f t="array" ref="H409">OR(ISNUMBER(SEARCH(G$2:G$30,$B409,5)))</f>
        <v>0</v>
      </c>
      <c r="J409" s="3" t="str">
        <f t="shared" si="5"/>
        <v>ZZZ</v>
      </c>
      <c r="K409" s="3" t="b">
        <f t="array" ref="K409">OR(ISNUMBER(SEARCH(J$2:J$30,$B409,5)))</f>
        <v>0</v>
      </c>
      <c r="M409" s="3" t="str">
        <f t="shared" si="6"/>
        <v>ZZZ</v>
      </c>
      <c r="N409" s="3" t="b">
        <f t="array" ref="N409">OR(ISNUMBER(SEARCH(M$2:M$30,$B409,5)))</f>
        <v>0</v>
      </c>
      <c r="P409" s="3" t="str">
        <f t="shared" si="7"/>
        <v>ZZZ</v>
      </c>
      <c r="Q409" s="3" t="b">
        <f t="array" ref="Q409">OR(ISNUMBER(SEARCH(P$2:P$50,$B409,5)))</f>
        <v>0</v>
      </c>
      <c r="S409" s="3" t="str">
        <f t="shared" si="8"/>
        <v>ZZZ</v>
      </c>
      <c r="T409" s="3" t="b">
        <f t="array" ref="T409">OR(ISNUMBER(SEARCH(S$2:S$100,$B409,5)))</f>
        <v>0</v>
      </c>
      <c r="V409" s="3" t="str">
        <f t="shared" si="9"/>
        <v>ZZZ</v>
      </c>
      <c r="W409" s="3" t="b">
        <f t="array" ref="W409">OR(ISNUMBER(SEARCH(V$2:V$100,$B409,5)))</f>
        <v>0</v>
      </c>
      <c r="Y409" s="3" t="str">
        <f t="shared" si="10"/>
        <v>ZZZ</v>
      </c>
      <c r="Z409" s="3" t="b">
        <f t="array" ref="Z409">OR(ISNUMBER(SEARCH(Y$2:Y$100,$B409,5)))</f>
        <v>0</v>
      </c>
      <c r="AB409" s="3" t="str">
        <f t="shared" si="11"/>
        <v>ZZZ</v>
      </c>
      <c r="AC409" s="3" t="b">
        <f t="array" ref="AC409">OR(ISNUMBER(SEARCH(AB$2:AB$100,$B409,5)))</f>
        <v>0</v>
      </c>
      <c r="AE409" s="3" t="str">
        <f t="shared" si="12"/>
        <v>ZZZ</v>
      </c>
      <c r="AF409" s="3" t="b">
        <f t="array" ref="AF409">OR(ISNUMBER(SEARCH(AE$2:AE$100,$B409,5)))</f>
        <v>0</v>
      </c>
      <c r="AH409" s="3" t="str">
        <f t="shared" si="13"/>
        <v>ZZZ</v>
      </c>
      <c r="AI409" s="3" t="b">
        <f t="array" ref="AI409">OR(ISNUMBER(SEARCH(AH$2:AH$100,$B409,5)))</f>
        <v>0</v>
      </c>
      <c r="AK409" s="3" t="str">
        <f t="shared" si="14"/>
        <v>ZZZ</v>
      </c>
      <c r="AL409" s="3" t="b">
        <f t="array" ref="AL409">OR(ISNUMBER(SEARCH(AK$2:AK$100,$B409,5)))</f>
        <v>0</v>
      </c>
      <c r="AU409" s="8"/>
      <c r="AV409" s="6"/>
      <c r="AW409" s="8"/>
      <c r="AX409" s="8"/>
      <c r="AY409" s="6"/>
      <c r="AZ409" s="8"/>
      <c r="BA409" s="8"/>
      <c r="BB409" s="6"/>
      <c r="BC409" s="8"/>
      <c r="BD409" s="8"/>
      <c r="BE409" s="6"/>
      <c r="BF409" s="8"/>
      <c r="BG409" s="8"/>
      <c r="BH409" s="6"/>
      <c r="BI409" s="8"/>
      <c r="BJ409" s="8"/>
      <c r="BK409" s="6"/>
      <c r="BL409" s="8"/>
      <c r="BM409" s="8"/>
      <c r="BN409" s="6"/>
      <c r="BO409" s="8"/>
      <c r="BP409" s="8"/>
      <c r="BQ409" s="6"/>
      <c r="BR409" s="8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  <c r="HT409" s="7"/>
      <c r="HU409" s="7"/>
      <c r="HV409" s="7"/>
      <c r="HW409" s="7"/>
      <c r="HX409" s="7"/>
      <c r="HY409" s="7"/>
      <c r="HZ409" s="7"/>
      <c r="IA409" s="7"/>
      <c r="IB409" s="7"/>
      <c r="IC409" s="7"/>
      <c r="ID409" s="7"/>
      <c r="IE409" s="7"/>
      <c r="IF409" s="7"/>
      <c r="IG409" s="7"/>
      <c r="IH409" s="7"/>
      <c r="II409" s="7"/>
      <c r="IJ409" s="7"/>
      <c r="IK409" s="7"/>
      <c r="IL409" s="7"/>
      <c r="IM409" s="7"/>
      <c r="IN409" s="7"/>
      <c r="IO409" s="7"/>
      <c r="IP409" s="7"/>
      <c r="IQ409" s="7"/>
      <c r="IR409" s="7"/>
      <c r="IS409" s="7"/>
      <c r="IT409" s="7"/>
      <c r="IU409" s="7"/>
      <c r="IV409" s="7"/>
      <c r="IW409" s="7"/>
      <c r="IX409" s="7"/>
      <c r="IY409" s="7"/>
      <c r="IZ409" s="7"/>
      <c r="JA409" s="7"/>
      <c r="JB409" s="7"/>
      <c r="JC409" s="7"/>
      <c r="JD409" s="7"/>
      <c r="JE409" s="7"/>
      <c r="JF409" s="7"/>
      <c r="JG409" s="7"/>
      <c r="JH409" s="7"/>
      <c r="JI409" s="7"/>
      <c r="JJ409" s="7"/>
      <c r="JK409" s="7"/>
      <c r="JL409" s="7"/>
      <c r="JM409" s="7"/>
      <c r="JN409" s="7"/>
      <c r="JO409" s="7"/>
      <c r="JP409" s="7"/>
      <c r="JQ409" s="7"/>
      <c r="JR409" s="7"/>
      <c r="JS409" s="7"/>
      <c r="JT409" s="7"/>
      <c r="JU409" s="7"/>
      <c r="JV409" s="7"/>
      <c r="JW409" s="7"/>
      <c r="JX409" s="7"/>
      <c r="JY409" s="7"/>
      <c r="JZ409" s="7"/>
      <c r="KA409" s="7"/>
      <c r="KB409" s="7"/>
      <c r="KC409" s="7"/>
      <c r="KD409" s="7"/>
      <c r="KE409" s="7"/>
      <c r="KF409" s="7"/>
      <c r="KG409" s="7"/>
      <c r="KH409" s="7"/>
      <c r="KI409" s="7"/>
      <c r="KJ409" s="7"/>
      <c r="KK409" s="7"/>
      <c r="KL409" s="7"/>
      <c r="KM409" s="7"/>
      <c r="KN409" s="7"/>
    </row>
    <row r="410">
      <c r="A410" s="6"/>
      <c r="B410" s="6" t="s">
        <v>410</v>
      </c>
      <c r="C410" s="3" t="str">
        <f t="shared" si="3"/>
        <v>dull fuchsia</v>
      </c>
      <c r="D410" s="3" t="str">
        <f t="shared" si="17"/>
        <v>ZZZ</v>
      </c>
      <c r="E410" s="3" t="b">
        <f t="array" ref="E410">OR(ISNUMBER(SEARCH(D$2:D$30,$B410,5)))</f>
        <v>0</v>
      </c>
      <c r="G410" s="3" t="str">
        <f t="shared" si="4"/>
        <v>ZZZ</v>
      </c>
      <c r="H410" s="3" t="b">
        <f t="array" ref="H410">OR(ISNUMBER(SEARCH(G$2:G$30,$B410,5)))</f>
        <v>0</v>
      </c>
      <c r="J410" s="3" t="str">
        <f t="shared" si="5"/>
        <v>ZZZ</v>
      </c>
      <c r="K410" s="3" t="b">
        <f t="array" ref="K410">OR(ISNUMBER(SEARCH(J$2:J$30,$B410,5)))</f>
        <v>0</v>
      </c>
      <c r="M410" s="3" t="str">
        <f t="shared" si="6"/>
        <v>ZZZ</v>
      </c>
      <c r="N410" s="3" t="b">
        <f t="array" ref="N410">OR(ISNUMBER(SEARCH(M$2:M$30,$B410,5)))</f>
        <v>0</v>
      </c>
      <c r="P410" s="3" t="str">
        <f t="shared" si="7"/>
        <v>ZZZ</v>
      </c>
      <c r="Q410" s="3" t="b">
        <f t="array" ref="Q410">OR(ISNUMBER(SEARCH(P$2:P$50,$B410,5)))</f>
        <v>0</v>
      </c>
      <c r="S410" s="3" t="str">
        <f t="shared" si="8"/>
        <v>ZZZ</v>
      </c>
      <c r="T410" s="3" t="b">
        <f t="array" ref="T410">OR(ISNUMBER(SEARCH(S$2:S$100,$B410,5)))</f>
        <v>0</v>
      </c>
      <c r="V410" s="3" t="str">
        <f t="shared" si="9"/>
        <v>ZZZ</v>
      </c>
      <c r="W410" s="3" t="b">
        <f t="array" ref="W410">OR(ISNUMBER(SEARCH(V$2:V$100,$B410,5)))</f>
        <v>0</v>
      </c>
      <c r="Y410" s="3" t="str">
        <f t="shared" si="10"/>
        <v>ZZZ</v>
      </c>
      <c r="Z410" s="3" t="b">
        <f t="array" ref="Z410">OR(ISNUMBER(SEARCH(Y$2:Y$100,$B410,5)))</f>
        <v>0</v>
      </c>
      <c r="AB410" s="3" t="str">
        <f t="shared" si="11"/>
        <v>ZZZ</v>
      </c>
      <c r="AC410" s="3" t="b">
        <f t="array" ref="AC410">OR(ISNUMBER(SEARCH(AB$2:AB$100,$B410,5)))</f>
        <v>0</v>
      </c>
      <c r="AE410" s="3" t="str">
        <f t="shared" si="12"/>
        <v>ZZZ</v>
      </c>
      <c r="AF410" s="3" t="b">
        <f t="array" ref="AF410">OR(ISNUMBER(SEARCH(AE$2:AE$100,$B410,5)))</f>
        <v>0</v>
      </c>
      <c r="AH410" s="3" t="str">
        <f t="shared" si="13"/>
        <v>ZZZ</v>
      </c>
      <c r="AI410" s="3" t="b">
        <f t="array" ref="AI410">OR(ISNUMBER(SEARCH(AH$2:AH$100,$B410,5)))</f>
        <v>0</v>
      </c>
      <c r="AK410" s="3" t="str">
        <f t="shared" si="14"/>
        <v>ZZZ</v>
      </c>
      <c r="AL410" s="3" t="b">
        <f t="array" ref="AL410">OR(ISNUMBER(SEARCH(AK$2:AK$100,$B410,5)))</f>
        <v>0</v>
      </c>
      <c r="AU410" s="8"/>
      <c r="AV410" s="6"/>
      <c r="AW410" s="8"/>
      <c r="AX410" s="8"/>
      <c r="AY410" s="6"/>
      <c r="AZ410" s="8"/>
      <c r="BA410" s="8"/>
      <c r="BB410" s="6"/>
      <c r="BC410" s="8"/>
      <c r="BD410" s="8"/>
      <c r="BE410" s="6"/>
      <c r="BF410" s="8"/>
      <c r="BG410" s="8"/>
      <c r="BH410" s="6"/>
      <c r="BI410" s="8"/>
      <c r="BJ410" s="8"/>
      <c r="BK410" s="6"/>
      <c r="BL410" s="8"/>
      <c r="BM410" s="8"/>
      <c r="BN410" s="6"/>
      <c r="BO410" s="8"/>
      <c r="BP410" s="8"/>
      <c r="BQ410" s="6"/>
      <c r="BR410" s="8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  <c r="HK410" s="7"/>
      <c r="HL410" s="7"/>
      <c r="HM410" s="7"/>
      <c r="HN410" s="7"/>
      <c r="HO410" s="7"/>
      <c r="HP410" s="7"/>
      <c r="HQ410" s="7"/>
      <c r="HR410" s="7"/>
      <c r="HS410" s="7"/>
      <c r="HT410" s="7"/>
      <c r="HU410" s="7"/>
      <c r="HV410" s="7"/>
      <c r="HW410" s="7"/>
      <c r="HX410" s="7"/>
      <c r="HY410" s="7"/>
      <c r="HZ410" s="7"/>
      <c r="IA410" s="7"/>
      <c r="IB410" s="7"/>
      <c r="IC410" s="7"/>
      <c r="ID410" s="7"/>
      <c r="IE410" s="7"/>
      <c r="IF410" s="7"/>
      <c r="IG410" s="7"/>
      <c r="IH410" s="7"/>
      <c r="II410" s="7"/>
      <c r="IJ410" s="7"/>
      <c r="IK410" s="7"/>
      <c r="IL410" s="7"/>
      <c r="IM410" s="7"/>
      <c r="IN410" s="7"/>
      <c r="IO410" s="7"/>
      <c r="IP410" s="7"/>
      <c r="IQ410" s="7"/>
      <c r="IR410" s="7"/>
      <c r="IS410" s="7"/>
      <c r="IT410" s="7"/>
      <c r="IU410" s="7"/>
      <c r="IV410" s="7"/>
      <c r="IW410" s="7"/>
      <c r="IX410" s="7"/>
      <c r="IY410" s="7"/>
      <c r="IZ410" s="7"/>
      <c r="JA410" s="7"/>
      <c r="JB410" s="7"/>
      <c r="JC410" s="7"/>
      <c r="JD410" s="7"/>
      <c r="JE410" s="7"/>
      <c r="JF410" s="7"/>
      <c r="JG410" s="7"/>
      <c r="JH410" s="7"/>
      <c r="JI410" s="7"/>
      <c r="JJ410" s="7"/>
      <c r="JK410" s="7"/>
      <c r="JL410" s="7"/>
      <c r="JM410" s="7"/>
      <c r="JN410" s="7"/>
      <c r="JO410" s="7"/>
      <c r="JP410" s="7"/>
      <c r="JQ410" s="7"/>
      <c r="JR410" s="7"/>
      <c r="JS410" s="7"/>
      <c r="JT410" s="7"/>
      <c r="JU410" s="7"/>
      <c r="JV410" s="7"/>
      <c r="JW410" s="7"/>
      <c r="JX410" s="7"/>
      <c r="JY410" s="7"/>
      <c r="JZ410" s="7"/>
      <c r="KA410" s="7"/>
      <c r="KB410" s="7"/>
      <c r="KC410" s="7"/>
      <c r="KD410" s="7"/>
      <c r="KE410" s="7"/>
      <c r="KF410" s="7"/>
      <c r="KG410" s="7"/>
      <c r="KH410" s="7"/>
      <c r="KI410" s="7"/>
      <c r="KJ410" s="7"/>
      <c r="KK410" s="7"/>
      <c r="KL410" s="7"/>
      <c r="KM410" s="7"/>
      <c r="KN410" s="7"/>
    </row>
    <row r="411">
      <c r="A411" s="6"/>
      <c r="B411" s="6" t="s">
        <v>411</v>
      </c>
      <c r="C411" s="3" t="str">
        <f t="shared" si="3"/>
        <v>dark turquoise</v>
      </c>
      <c r="D411" s="3" t="str">
        <f t="shared" si="17"/>
        <v>ZZZ</v>
      </c>
      <c r="E411" s="3" t="b">
        <f t="array" ref="E411">OR(ISNUMBER(SEARCH(D$2:D$30,$B411,5)))</f>
        <v>0</v>
      </c>
      <c r="G411" s="3" t="str">
        <f t="shared" si="4"/>
        <v>ZZZ</v>
      </c>
      <c r="H411" s="3" t="b">
        <f t="array" ref="H411">OR(ISNUMBER(SEARCH(G$2:G$30,$B411,5)))</f>
        <v>0</v>
      </c>
      <c r="J411" s="3" t="str">
        <f t="shared" si="5"/>
        <v>ZZZ</v>
      </c>
      <c r="K411" s="3" t="b">
        <f t="array" ref="K411">OR(ISNUMBER(SEARCH(J$2:J$30,$B411,5)))</f>
        <v>0</v>
      </c>
      <c r="M411" s="3" t="str">
        <f t="shared" si="6"/>
        <v>ZZZ</v>
      </c>
      <c r="N411" s="3" t="b">
        <f t="array" ref="N411">OR(ISNUMBER(SEARCH(M$2:M$30,$B411,5)))</f>
        <v>0</v>
      </c>
      <c r="P411" s="3" t="str">
        <f t="shared" si="7"/>
        <v>ZZZ</v>
      </c>
      <c r="Q411" s="3" t="b">
        <f t="array" ref="Q411">OR(ISNUMBER(SEARCH(P$2:P$50,$B411,5)))</f>
        <v>0</v>
      </c>
      <c r="S411" s="3" t="str">
        <f t="shared" si="8"/>
        <v>ZZZ</v>
      </c>
      <c r="T411" s="3" t="b">
        <f t="array" ref="T411">OR(ISNUMBER(SEARCH(S$2:S$100,$B411,5)))</f>
        <v>0</v>
      </c>
      <c r="V411" s="3" t="str">
        <f t="shared" si="9"/>
        <v>ZZZ</v>
      </c>
      <c r="W411" s="3" t="b">
        <f t="array" ref="W411">OR(ISNUMBER(SEARCH(V$2:V$100,$B411,5)))</f>
        <v>0</v>
      </c>
      <c r="Y411" s="3" t="str">
        <f t="shared" si="10"/>
        <v>ZZZ</v>
      </c>
      <c r="Z411" s="3" t="b">
        <f t="array" ref="Z411">OR(ISNUMBER(SEARCH(Y$2:Y$100,$B411,5)))</f>
        <v>0</v>
      </c>
      <c r="AB411" s="3" t="str">
        <f t="shared" si="11"/>
        <v>ZZZ</v>
      </c>
      <c r="AC411" s="3" t="b">
        <f t="array" ref="AC411">OR(ISNUMBER(SEARCH(AB$2:AB$100,$B411,5)))</f>
        <v>0</v>
      </c>
      <c r="AE411" s="3" t="str">
        <f t="shared" si="12"/>
        <v>ZZZ</v>
      </c>
      <c r="AF411" s="3" t="b">
        <f t="array" ref="AF411">OR(ISNUMBER(SEARCH(AE$2:AE$100,$B411,5)))</f>
        <v>0</v>
      </c>
      <c r="AH411" s="3" t="str">
        <f t="shared" si="13"/>
        <v>ZZZ</v>
      </c>
      <c r="AI411" s="3" t="b">
        <f t="array" ref="AI411">OR(ISNUMBER(SEARCH(AH$2:AH$100,$B411,5)))</f>
        <v>0</v>
      </c>
      <c r="AK411" s="3" t="str">
        <f t="shared" si="14"/>
        <v>ZZZ</v>
      </c>
      <c r="AL411" s="3" t="b">
        <f t="array" ref="AL411">OR(ISNUMBER(SEARCH(AK$2:AK$100,$B411,5)))</f>
        <v>0</v>
      </c>
      <c r="AU411" s="8"/>
      <c r="AV411" s="6"/>
      <c r="AW411" s="8"/>
      <c r="AX411" s="8"/>
      <c r="AY411" s="6"/>
      <c r="AZ411" s="8"/>
      <c r="BA411" s="8"/>
      <c r="BB411" s="6"/>
      <c r="BC411" s="8"/>
      <c r="BD411" s="8"/>
      <c r="BE411" s="6"/>
      <c r="BF411" s="8"/>
      <c r="BG411" s="8"/>
      <c r="BH411" s="6"/>
      <c r="BI411" s="8"/>
      <c r="BJ411" s="8"/>
      <c r="BK411" s="6"/>
      <c r="BL411" s="8"/>
      <c r="BM411" s="8"/>
      <c r="BN411" s="6"/>
      <c r="BO411" s="8"/>
      <c r="BP411" s="8"/>
      <c r="BQ411" s="6"/>
      <c r="BR411" s="8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  <c r="HQ411" s="7"/>
      <c r="HR411" s="7"/>
      <c r="HS411" s="7"/>
      <c r="HT411" s="7"/>
      <c r="HU411" s="7"/>
      <c r="HV411" s="7"/>
      <c r="HW411" s="7"/>
      <c r="HX411" s="7"/>
      <c r="HY411" s="7"/>
      <c r="HZ411" s="7"/>
      <c r="IA411" s="7"/>
      <c r="IB411" s="7"/>
      <c r="IC411" s="7"/>
      <c r="ID411" s="7"/>
      <c r="IE411" s="7"/>
      <c r="IF411" s="7"/>
      <c r="IG411" s="7"/>
      <c r="IH411" s="7"/>
      <c r="II411" s="7"/>
      <c r="IJ411" s="7"/>
      <c r="IK411" s="7"/>
      <c r="IL411" s="7"/>
      <c r="IM411" s="7"/>
      <c r="IN411" s="7"/>
      <c r="IO411" s="7"/>
      <c r="IP411" s="7"/>
      <c r="IQ411" s="7"/>
      <c r="IR411" s="7"/>
      <c r="IS411" s="7"/>
      <c r="IT411" s="7"/>
      <c r="IU411" s="7"/>
      <c r="IV411" s="7"/>
      <c r="IW411" s="7"/>
      <c r="IX411" s="7"/>
      <c r="IY411" s="7"/>
      <c r="IZ411" s="7"/>
      <c r="JA411" s="7"/>
      <c r="JB411" s="7"/>
      <c r="JC411" s="7"/>
      <c r="JD411" s="7"/>
      <c r="JE411" s="7"/>
      <c r="JF411" s="7"/>
      <c r="JG411" s="7"/>
      <c r="JH411" s="7"/>
      <c r="JI411" s="7"/>
      <c r="JJ411" s="7"/>
      <c r="JK411" s="7"/>
      <c r="JL411" s="7"/>
      <c r="JM411" s="7"/>
      <c r="JN411" s="7"/>
      <c r="JO411" s="7"/>
      <c r="JP411" s="7"/>
      <c r="JQ411" s="7"/>
      <c r="JR411" s="7"/>
      <c r="JS411" s="7"/>
      <c r="JT411" s="7"/>
      <c r="JU411" s="7"/>
      <c r="JV411" s="7"/>
      <c r="JW411" s="7"/>
      <c r="JX411" s="7"/>
      <c r="JY411" s="7"/>
      <c r="JZ411" s="7"/>
      <c r="KA411" s="7"/>
      <c r="KB411" s="7"/>
      <c r="KC411" s="7"/>
      <c r="KD411" s="7"/>
      <c r="KE411" s="7"/>
      <c r="KF411" s="7"/>
      <c r="KG411" s="7"/>
      <c r="KH411" s="7"/>
      <c r="KI411" s="7"/>
      <c r="KJ411" s="7"/>
      <c r="KK411" s="7"/>
      <c r="KL411" s="7"/>
      <c r="KM411" s="7"/>
      <c r="KN411" s="7"/>
    </row>
    <row r="412">
      <c r="A412" s="6"/>
      <c r="B412" s="6" t="s">
        <v>412</v>
      </c>
      <c r="C412" s="3" t="str">
        <f t="shared" si="3"/>
        <v>vibrant silver</v>
      </c>
      <c r="D412" s="3" t="str">
        <f t="shared" si="17"/>
        <v>ZZZ</v>
      </c>
      <c r="E412" s="3" t="b">
        <f t="array" ref="E412">OR(ISNUMBER(SEARCH(D$2:D$30,$B412,5)))</f>
        <v>0</v>
      </c>
      <c r="G412" s="3" t="str">
        <f t="shared" si="4"/>
        <v>ZZZ</v>
      </c>
      <c r="H412" s="3" t="b">
        <f t="array" ref="H412">OR(ISNUMBER(SEARCH(G$2:G$30,$B412,5)))</f>
        <v>0</v>
      </c>
      <c r="J412" s="3" t="str">
        <f t="shared" si="5"/>
        <v>ZZZ</v>
      </c>
      <c r="K412" s="3" t="b">
        <f t="array" ref="K412">OR(ISNUMBER(SEARCH(J$2:J$30,$B412,5)))</f>
        <v>0</v>
      </c>
      <c r="M412" s="3" t="str">
        <f t="shared" si="6"/>
        <v>ZZZ</v>
      </c>
      <c r="N412" s="3" t="b">
        <f t="array" ref="N412">OR(ISNUMBER(SEARCH(M$2:M$30,$B412,5)))</f>
        <v>0</v>
      </c>
      <c r="P412" s="3" t="str">
        <f t="shared" si="7"/>
        <v>ZZZ</v>
      </c>
      <c r="Q412" s="3" t="b">
        <f t="array" ref="Q412">OR(ISNUMBER(SEARCH(P$2:P$50,$B412,5)))</f>
        <v>1</v>
      </c>
      <c r="S412" s="3" t="str">
        <f t="shared" si="8"/>
        <v>ZZZ</v>
      </c>
      <c r="T412" s="3" t="b">
        <f t="array" ref="T412">OR(ISNUMBER(SEARCH(S$2:S$100,$B412,5)))</f>
        <v>0</v>
      </c>
      <c r="V412" s="3" t="str">
        <f t="shared" si="9"/>
        <v>ZZZ</v>
      </c>
      <c r="W412" s="3" t="b">
        <f t="array" ref="W412">OR(ISNUMBER(SEARCH(V$2:V$100,$B412,5)))</f>
        <v>0</v>
      </c>
      <c r="Y412" s="3" t="str">
        <f t="shared" si="10"/>
        <v>ZZZ</v>
      </c>
      <c r="Z412" s="3" t="b">
        <f t="array" ref="Z412">OR(ISNUMBER(SEARCH(Y$2:Y$100,$B412,5)))</f>
        <v>0</v>
      </c>
      <c r="AB412" s="3" t="str">
        <f t="shared" si="11"/>
        <v>ZZZ</v>
      </c>
      <c r="AC412" s="3" t="b">
        <f t="array" ref="AC412">OR(ISNUMBER(SEARCH(AB$2:AB$100,$B412,5)))</f>
        <v>0</v>
      </c>
      <c r="AE412" s="3" t="str">
        <f t="shared" si="12"/>
        <v>ZZZ</v>
      </c>
      <c r="AF412" s="3" t="b">
        <f t="array" ref="AF412">OR(ISNUMBER(SEARCH(AE$2:AE$100,$B412,5)))</f>
        <v>0</v>
      </c>
      <c r="AH412" s="3" t="str">
        <f t="shared" si="13"/>
        <v>ZZZ</v>
      </c>
      <c r="AI412" s="3" t="b">
        <f t="array" ref="AI412">OR(ISNUMBER(SEARCH(AH$2:AH$100,$B412,5)))</f>
        <v>0</v>
      </c>
      <c r="AK412" s="3" t="str">
        <f t="shared" si="14"/>
        <v>ZZZ</v>
      </c>
      <c r="AL412" s="3" t="b">
        <f t="array" ref="AL412">OR(ISNUMBER(SEARCH(AK$2:AK$100,$B412,5)))</f>
        <v>0</v>
      </c>
      <c r="AU412" s="8"/>
      <c r="AV412" s="6"/>
      <c r="AW412" s="8"/>
      <c r="AX412" s="8"/>
      <c r="AY412" s="6"/>
      <c r="AZ412" s="8"/>
      <c r="BA412" s="8"/>
      <c r="BB412" s="6"/>
      <c r="BC412" s="8"/>
      <c r="BD412" s="8"/>
      <c r="BE412" s="6"/>
      <c r="BF412" s="8"/>
      <c r="BG412" s="8"/>
      <c r="BH412" s="6"/>
      <c r="BI412" s="8"/>
      <c r="BJ412" s="8"/>
      <c r="BK412" s="6"/>
      <c r="BL412" s="8"/>
      <c r="BM412" s="8"/>
      <c r="BN412" s="6"/>
      <c r="BO412" s="8"/>
      <c r="BP412" s="8"/>
      <c r="BQ412" s="6"/>
      <c r="BR412" s="8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  <c r="HQ412" s="7"/>
      <c r="HR412" s="7"/>
      <c r="HS412" s="7"/>
      <c r="HT412" s="7"/>
      <c r="HU412" s="7"/>
      <c r="HV412" s="7"/>
      <c r="HW412" s="7"/>
      <c r="HX412" s="7"/>
      <c r="HY412" s="7"/>
      <c r="HZ412" s="7"/>
      <c r="IA412" s="7"/>
      <c r="IB412" s="7"/>
      <c r="IC412" s="7"/>
      <c r="ID412" s="7"/>
      <c r="IE412" s="7"/>
      <c r="IF412" s="7"/>
      <c r="IG412" s="7"/>
      <c r="IH412" s="7"/>
      <c r="II412" s="7"/>
      <c r="IJ412" s="7"/>
      <c r="IK412" s="7"/>
      <c r="IL412" s="7"/>
      <c r="IM412" s="7"/>
      <c r="IN412" s="7"/>
      <c r="IO412" s="7"/>
      <c r="IP412" s="7"/>
      <c r="IQ412" s="7"/>
      <c r="IR412" s="7"/>
      <c r="IS412" s="7"/>
      <c r="IT412" s="7"/>
      <c r="IU412" s="7"/>
      <c r="IV412" s="7"/>
      <c r="IW412" s="7"/>
      <c r="IX412" s="7"/>
      <c r="IY412" s="7"/>
      <c r="IZ412" s="7"/>
      <c r="JA412" s="7"/>
      <c r="JB412" s="7"/>
      <c r="JC412" s="7"/>
      <c r="JD412" s="7"/>
      <c r="JE412" s="7"/>
      <c r="JF412" s="7"/>
      <c r="JG412" s="7"/>
      <c r="JH412" s="7"/>
      <c r="JI412" s="7"/>
      <c r="JJ412" s="7"/>
      <c r="JK412" s="7"/>
      <c r="JL412" s="7"/>
      <c r="JM412" s="7"/>
      <c r="JN412" s="7"/>
      <c r="JO412" s="7"/>
      <c r="JP412" s="7"/>
      <c r="JQ412" s="7"/>
      <c r="JR412" s="7"/>
      <c r="JS412" s="7"/>
      <c r="JT412" s="7"/>
      <c r="JU412" s="7"/>
      <c r="JV412" s="7"/>
      <c r="JW412" s="7"/>
      <c r="JX412" s="7"/>
      <c r="JY412" s="7"/>
      <c r="JZ412" s="7"/>
      <c r="KA412" s="7"/>
      <c r="KB412" s="7"/>
      <c r="KC412" s="7"/>
      <c r="KD412" s="7"/>
      <c r="KE412" s="7"/>
      <c r="KF412" s="7"/>
      <c r="KG412" s="7"/>
      <c r="KH412" s="7"/>
      <c r="KI412" s="7"/>
      <c r="KJ412" s="7"/>
      <c r="KK412" s="7"/>
      <c r="KL412" s="7"/>
      <c r="KM412" s="7"/>
      <c r="KN412" s="7"/>
    </row>
    <row r="413">
      <c r="A413" s="6"/>
      <c r="B413" s="6" t="s">
        <v>413</v>
      </c>
      <c r="C413" s="3" t="str">
        <f t="shared" si="3"/>
        <v>dotted tomato</v>
      </c>
      <c r="D413" s="3" t="str">
        <f t="shared" si="17"/>
        <v>ZZZ</v>
      </c>
      <c r="E413" s="3" t="b">
        <f t="array" ref="E413">OR(ISNUMBER(SEARCH(D$2:D$30,$B413,5)))</f>
        <v>0</v>
      </c>
      <c r="G413" s="3" t="str">
        <f t="shared" si="4"/>
        <v>ZZZ</v>
      </c>
      <c r="H413" s="3" t="b">
        <f t="array" ref="H413">OR(ISNUMBER(SEARCH(G$2:G$30,$B413,5)))</f>
        <v>0</v>
      </c>
      <c r="J413" s="3" t="str">
        <f t="shared" si="5"/>
        <v>ZZZ</v>
      </c>
      <c r="K413" s="3" t="b">
        <f t="array" ref="K413">OR(ISNUMBER(SEARCH(J$2:J$30,$B413,5)))</f>
        <v>0</v>
      </c>
      <c r="M413" s="3" t="str">
        <f t="shared" si="6"/>
        <v>ZZZ</v>
      </c>
      <c r="N413" s="3" t="b">
        <f t="array" ref="N413">OR(ISNUMBER(SEARCH(M$2:M$30,$B413,5)))</f>
        <v>0</v>
      </c>
      <c r="P413" s="3" t="str">
        <f t="shared" si="7"/>
        <v>ZZZ</v>
      </c>
      <c r="Q413" s="3" t="b">
        <f t="array" ref="Q413">OR(ISNUMBER(SEARCH(P$2:P$50,$B413,5)))</f>
        <v>1</v>
      </c>
      <c r="S413" s="3" t="str">
        <f t="shared" si="8"/>
        <v>ZZZ</v>
      </c>
      <c r="T413" s="3" t="b">
        <f t="array" ref="T413">OR(ISNUMBER(SEARCH(S$2:S$100,$B413,5)))</f>
        <v>0</v>
      </c>
      <c r="V413" s="3" t="str">
        <f t="shared" si="9"/>
        <v>ZZZ</v>
      </c>
      <c r="W413" s="3" t="b">
        <f t="array" ref="W413">OR(ISNUMBER(SEARCH(V$2:V$100,$B413,5)))</f>
        <v>0</v>
      </c>
      <c r="Y413" s="3" t="str">
        <f t="shared" si="10"/>
        <v>ZZZ</v>
      </c>
      <c r="Z413" s="3" t="b">
        <f t="array" ref="Z413">OR(ISNUMBER(SEARCH(Y$2:Y$100,$B413,5)))</f>
        <v>0</v>
      </c>
      <c r="AB413" s="3" t="str">
        <f t="shared" si="11"/>
        <v>ZZZ</v>
      </c>
      <c r="AC413" s="3" t="b">
        <f t="array" ref="AC413">OR(ISNUMBER(SEARCH(AB$2:AB$100,$B413,5)))</f>
        <v>0</v>
      </c>
      <c r="AE413" s="3" t="str">
        <f t="shared" si="12"/>
        <v>ZZZ</v>
      </c>
      <c r="AF413" s="3" t="b">
        <f t="array" ref="AF413">OR(ISNUMBER(SEARCH(AE$2:AE$100,$B413,5)))</f>
        <v>0</v>
      </c>
      <c r="AH413" s="3" t="str">
        <f t="shared" si="13"/>
        <v>ZZZ</v>
      </c>
      <c r="AI413" s="3" t="b">
        <f t="array" ref="AI413">OR(ISNUMBER(SEARCH(AH$2:AH$100,$B413,5)))</f>
        <v>0</v>
      </c>
      <c r="AK413" s="3" t="str">
        <f t="shared" si="14"/>
        <v>ZZZ</v>
      </c>
      <c r="AL413" s="3" t="b">
        <f t="array" ref="AL413">OR(ISNUMBER(SEARCH(AK$2:AK$100,$B413,5)))</f>
        <v>0</v>
      </c>
      <c r="AU413" s="8"/>
      <c r="AV413" s="6"/>
      <c r="AW413" s="8"/>
      <c r="AX413" s="8"/>
      <c r="AY413" s="6"/>
      <c r="AZ413" s="8"/>
      <c r="BA413" s="8"/>
      <c r="BB413" s="6"/>
      <c r="BC413" s="8"/>
      <c r="BD413" s="8"/>
      <c r="BE413" s="6"/>
      <c r="BF413" s="8"/>
      <c r="BG413" s="8"/>
      <c r="BH413" s="6"/>
      <c r="BI413" s="8"/>
      <c r="BJ413" s="8"/>
      <c r="BK413" s="6"/>
      <c r="BL413" s="8"/>
      <c r="BM413" s="8"/>
      <c r="BN413" s="6"/>
      <c r="BO413" s="8"/>
      <c r="BP413" s="8"/>
      <c r="BQ413" s="6"/>
      <c r="BR413" s="8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  <c r="HQ413" s="7"/>
      <c r="HR413" s="7"/>
      <c r="HS413" s="7"/>
      <c r="HT413" s="7"/>
      <c r="HU413" s="7"/>
      <c r="HV413" s="7"/>
      <c r="HW413" s="7"/>
      <c r="HX413" s="7"/>
      <c r="HY413" s="7"/>
      <c r="HZ413" s="7"/>
      <c r="IA413" s="7"/>
      <c r="IB413" s="7"/>
      <c r="IC413" s="7"/>
      <c r="ID413" s="7"/>
      <c r="IE413" s="7"/>
      <c r="IF413" s="7"/>
      <c r="IG413" s="7"/>
      <c r="IH413" s="7"/>
      <c r="II413" s="7"/>
      <c r="IJ413" s="7"/>
      <c r="IK413" s="7"/>
      <c r="IL413" s="7"/>
      <c r="IM413" s="7"/>
      <c r="IN413" s="7"/>
      <c r="IO413" s="7"/>
      <c r="IP413" s="7"/>
      <c r="IQ413" s="7"/>
      <c r="IR413" s="7"/>
      <c r="IS413" s="7"/>
      <c r="IT413" s="7"/>
      <c r="IU413" s="7"/>
      <c r="IV413" s="7"/>
      <c r="IW413" s="7"/>
      <c r="IX413" s="7"/>
      <c r="IY413" s="7"/>
      <c r="IZ413" s="7"/>
      <c r="JA413" s="7"/>
      <c r="JB413" s="7"/>
      <c r="JC413" s="7"/>
      <c r="JD413" s="7"/>
      <c r="JE413" s="7"/>
      <c r="JF413" s="7"/>
      <c r="JG413" s="7"/>
      <c r="JH413" s="7"/>
      <c r="JI413" s="7"/>
      <c r="JJ413" s="7"/>
      <c r="JK413" s="7"/>
      <c r="JL413" s="7"/>
      <c r="JM413" s="7"/>
      <c r="JN413" s="7"/>
      <c r="JO413" s="7"/>
      <c r="JP413" s="7"/>
      <c r="JQ413" s="7"/>
      <c r="JR413" s="7"/>
      <c r="JS413" s="7"/>
      <c r="JT413" s="7"/>
      <c r="JU413" s="7"/>
      <c r="JV413" s="7"/>
      <c r="JW413" s="7"/>
      <c r="JX413" s="7"/>
      <c r="JY413" s="7"/>
      <c r="JZ413" s="7"/>
      <c r="KA413" s="7"/>
      <c r="KB413" s="7"/>
      <c r="KC413" s="7"/>
      <c r="KD413" s="7"/>
      <c r="KE413" s="7"/>
      <c r="KF413" s="7"/>
      <c r="KG413" s="7"/>
      <c r="KH413" s="7"/>
      <c r="KI413" s="7"/>
      <c r="KJ413" s="7"/>
      <c r="KK413" s="7"/>
      <c r="KL413" s="7"/>
      <c r="KM413" s="7"/>
      <c r="KN413" s="7"/>
    </row>
    <row r="414">
      <c r="A414" s="6"/>
      <c r="B414" s="6" t="s">
        <v>414</v>
      </c>
      <c r="C414" s="3" t="str">
        <f t="shared" si="3"/>
        <v>vibrant white</v>
      </c>
      <c r="D414" s="3" t="str">
        <f t="shared" si="17"/>
        <v>ZZZ</v>
      </c>
      <c r="E414" s="3" t="b">
        <f t="array" ref="E414">OR(ISNUMBER(SEARCH(D$2:D$30,$B414,5)))</f>
        <v>0</v>
      </c>
      <c r="G414" s="3" t="str">
        <f t="shared" si="4"/>
        <v>ZZZ</v>
      </c>
      <c r="H414" s="3" t="b">
        <f t="array" ref="H414">OR(ISNUMBER(SEARCH(G$2:G$30,$B414,5)))</f>
        <v>0</v>
      </c>
      <c r="J414" s="3" t="str">
        <f t="shared" si="5"/>
        <v>ZZZ</v>
      </c>
      <c r="K414" s="3" t="b">
        <f t="array" ref="K414">OR(ISNUMBER(SEARCH(J$2:J$30,$B414,5)))</f>
        <v>0</v>
      </c>
      <c r="M414" s="3" t="str">
        <f t="shared" si="6"/>
        <v>ZZZ</v>
      </c>
      <c r="N414" s="3" t="b">
        <f t="array" ref="N414">OR(ISNUMBER(SEARCH(M$2:M$30,$B414,5)))</f>
        <v>0</v>
      </c>
      <c r="P414" s="3" t="str">
        <f t="shared" si="7"/>
        <v>ZZZ</v>
      </c>
      <c r="Q414" s="3" t="b">
        <f t="array" ref="Q414">OR(ISNUMBER(SEARCH(P$2:P$50,$B414,5)))</f>
        <v>0</v>
      </c>
      <c r="S414" s="3" t="str">
        <f t="shared" si="8"/>
        <v>ZZZ</v>
      </c>
      <c r="T414" s="3" t="b">
        <f t="array" ref="T414">OR(ISNUMBER(SEARCH(S$2:S$100,$B414,5)))</f>
        <v>0</v>
      </c>
      <c r="V414" s="3" t="str">
        <f t="shared" si="9"/>
        <v>ZZZ</v>
      </c>
      <c r="W414" s="3" t="b">
        <f t="array" ref="W414">OR(ISNUMBER(SEARCH(V$2:V$100,$B414,5)))</f>
        <v>0</v>
      </c>
      <c r="Y414" s="3" t="str">
        <f t="shared" si="10"/>
        <v>ZZZ</v>
      </c>
      <c r="Z414" s="3" t="b">
        <f t="array" ref="Z414">OR(ISNUMBER(SEARCH(Y$2:Y$100,$B414,5)))</f>
        <v>0</v>
      </c>
      <c r="AB414" s="3" t="str">
        <f t="shared" si="11"/>
        <v>ZZZ</v>
      </c>
      <c r="AC414" s="3" t="b">
        <f t="array" ref="AC414">OR(ISNUMBER(SEARCH(AB$2:AB$100,$B414,5)))</f>
        <v>0</v>
      </c>
      <c r="AE414" s="3" t="str">
        <f t="shared" si="12"/>
        <v>ZZZ</v>
      </c>
      <c r="AF414" s="3" t="b">
        <f t="array" ref="AF414">OR(ISNUMBER(SEARCH(AE$2:AE$100,$B414,5)))</f>
        <v>0</v>
      </c>
      <c r="AH414" s="3" t="str">
        <f t="shared" si="13"/>
        <v>ZZZ</v>
      </c>
      <c r="AI414" s="3" t="b">
        <f t="array" ref="AI414">OR(ISNUMBER(SEARCH(AH$2:AH$100,$B414,5)))</f>
        <v>0</v>
      </c>
      <c r="AK414" s="3" t="str">
        <f t="shared" si="14"/>
        <v>ZZZ</v>
      </c>
      <c r="AL414" s="3" t="b">
        <f t="array" ref="AL414">OR(ISNUMBER(SEARCH(AK$2:AK$100,$B414,5)))</f>
        <v>0</v>
      </c>
      <c r="AU414" s="8"/>
      <c r="AV414" s="6"/>
      <c r="AW414" s="8"/>
      <c r="AX414" s="8"/>
      <c r="AY414" s="6"/>
      <c r="AZ414" s="8"/>
      <c r="BA414" s="8"/>
      <c r="BB414" s="6"/>
      <c r="BC414" s="8"/>
      <c r="BD414" s="8"/>
      <c r="BE414" s="6"/>
      <c r="BF414" s="8"/>
      <c r="BG414" s="8"/>
      <c r="BH414" s="6"/>
      <c r="BI414" s="8"/>
      <c r="BJ414" s="8"/>
      <c r="BK414" s="6"/>
      <c r="BL414" s="8"/>
      <c r="BM414" s="8"/>
      <c r="BN414" s="6"/>
      <c r="BO414" s="8"/>
      <c r="BP414" s="8"/>
      <c r="BQ414" s="6"/>
      <c r="BR414" s="8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  <c r="HQ414" s="7"/>
      <c r="HR414" s="7"/>
      <c r="HS414" s="7"/>
      <c r="HT414" s="7"/>
      <c r="HU414" s="7"/>
      <c r="HV414" s="7"/>
      <c r="HW414" s="7"/>
      <c r="HX414" s="7"/>
      <c r="HY414" s="7"/>
      <c r="HZ414" s="7"/>
      <c r="IA414" s="7"/>
      <c r="IB414" s="7"/>
      <c r="IC414" s="7"/>
      <c r="ID414" s="7"/>
      <c r="IE414" s="7"/>
      <c r="IF414" s="7"/>
      <c r="IG414" s="7"/>
      <c r="IH414" s="7"/>
      <c r="II414" s="7"/>
      <c r="IJ414" s="7"/>
      <c r="IK414" s="7"/>
      <c r="IL414" s="7"/>
      <c r="IM414" s="7"/>
      <c r="IN414" s="7"/>
      <c r="IO414" s="7"/>
      <c r="IP414" s="7"/>
      <c r="IQ414" s="7"/>
      <c r="IR414" s="7"/>
      <c r="IS414" s="7"/>
      <c r="IT414" s="7"/>
      <c r="IU414" s="7"/>
      <c r="IV414" s="7"/>
      <c r="IW414" s="7"/>
      <c r="IX414" s="7"/>
      <c r="IY414" s="7"/>
      <c r="IZ414" s="7"/>
      <c r="JA414" s="7"/>
      <c r="JB414" s="7"/>
      <c r="JC414" s="7"/>
      <c r="JD414" s="7"/>
      <c r="JE414" s="7"/>
      <c r="JF414" s="7"/>
      <c r="JG414" s="7"/>
      <c r="JH414" s="7"/>
      <c r="JI414" s="7"/>
      <c r="JJ414" s="7"/>
      <c r="JK414" s="7"/>
      <c r="JL414" s="7"/>
      <c r="JM414" s="7"/>
      <c r="JN414" s="7"/>
      <c r="JO414" s="7"/>
      <c r="JP414" s="7"/>
      <c r="JQ414" s="7"/>
      <c r="JR414" s="7"/>
      <c r="JS414" s="7"/>
      <c r="JT414" s="7"/>
      <c r="JU414" s="7"/>
      <c r="JV414" s="7"/>
      <c r="JW414" s="7"/>
      <c r="JX414" s="7"/>
      <c r="JY414" s="7"/>
      <c r="JZ414" s="7"/>
      <c r="KA414" s="7"/>
      <c r="KB414" s="7"/>
      <c r="KC414" s="7"/>
      <c r="KD414" s="7"/>
      <c r="KE414" s="7"/>
      <c r="KF414" s="7"/>
      <c r="KG414" s="7"/>
      <c r="KH414" s="7"/>
      <c r="KI414" s="7"/>
      <c r="KJ414" s="7"/>
      <c r="KK414" s="7"/>
      <c r="KL414" s="7"/>
      <c r="KM414" s="7"/>
      <c r="KN414" s="7"/>
    </row>
    <row r="415">
      <c r="A415" s="6"/>
      <c r="B415" s="6" t="s">
        <v>415</v>
      </c>
      <c r="C415" s="3" t="str">
        <f t="shared" si="3"/>
        <v>shiny fuchsia</v>
      </c>
      <c r="D415" s="3" t="str">
        <f t="shared" si="17"/>
        <v>ZZZ</v>
      </c>
      <c r="E415" s="3" t="b">
        <f t="array" ref="E415">OR(ISNUMBER(SEARCH(D$2:D$30,$B415,5)))</f>
        <v>0</v>
      </c>
      <c r="G415" s="3" t="str">
        <f t="shared" si="4"/>
        <v>ZZZ</v>
      </c>
      <c r="H415" s="3" t="b">
        <f t="array" ref="H415">OR(ISNUMBER(SEARCH(G$2:G$30,$B415,5)))</f>
        <v>0</v>
      </c>
      <c r="J415" s="3" t="str">
        <f t="shared" si="5"/>
        <v>ZZZ</v>
      </c>
      <c r="K415" s="3" t="b">
        <f t="array" ref="K415">OR(ISNUMBER(SEARCH(J$2:J$30,$B415,5)))</f>
        <v>0</v>
      </c>
      <c r="M415" s="3" t="str">
        <f t="shared" si="6"/>
        <v>ZZZ</v>
      </c>
      <c r="N415" s="3" t="b">
        <f t="array" ref="N415">OR(ISNUMBER(SEARCH(M$2:M$30,$B415,5)))</f>
        <v>0</v>
      </c>
      <c r="P415" s="3" t="str">
        <f t="shared" si="7"/>
        <v>ZZZ</v>
      </c>
      <c r="Q415" s="3" t="b">
        <f t="array" ref="Q415">OR(ISNUMBER(SEARCH(P$2:P$50,$B415,5)))</f>
        <v>0</v>
      </c>
      <c r="S415" s="3" t="str">
        <f t="shared" si="8"/>
        <v>ZZZ</v>
      </c>
      <c r="T415" s="3" t="b">
        <f t="array" ref="T415">OR(ISNUMBER(SEARCH(S$2:S$100,$B415,5)))</f>
        <v>0</v>
      </c>
      <c r="V415" s="3" t="str">
        <f t="shared" si="9"/>
        <v>ZZZ</v>
      </c>
      <c r="W415" s="3" t="b">
        <f t="array" ref="W415">OR(ISNUMBER(SEARCH(V$2:V$100,$B415,5)))</f>
        <v>0</v>
      </c>
      <c r="Y415" s="3" t="str">
        <f t="shared" si="10"/>
        <v>ZZZ</v>
      </c>
      <c r="Z415" s="3" t="b">
        <f t="array" ref="Z415">OR(ISNUMBER(SEARCH(Y$2:Y$100,$B415,5)))</f>
        <v>0</v>
      </c>
      <c r="AB415" s="3" t="str">
        <f t="shared" si="11"/>
        <v>ZZZ</v>
      </c>
      <c r="AC415" s="3" t="b">
        <f t="array" ref="AC415">OR(ISNUMBER(SEARCH(AB$2:AB$100,$B415,5)))</f>
        <v>0</v>
      </c>
      <c r="AE415" s="3" t="str">
        <f t="shared" si="12"/>
        <v>ZZZ</v>
      </c>
      <c r="AF415" s="3" t="b">
        <f t="array" ref="AF415">OR(ISNUMBER(SEARCH(AE$2:AE$100,$B415,5)))</f>
        <v>0</v>
      </c>
      <c r="AH415" s="3" t="str">
        <f t="shared" si="13"/>
        <v>ZZZ</v>
      </c>
      <c r="AI415" s="3" t="b">
        <f t="array" ref="AI415">OR(ISNUMBER(SEARCH(AH$2:AH$100,$B415,5)))</f>
        <v>0</v>
      </c>
      <c r="AK415" s="3" t="str">
        <f t="shared" si="14"/>
        <v>ZZZ</v>
      </c>
      <c r="AL415" s="3" t="b">
        <f t="array" ref="AL415">OR(ISNUMBER(SEARCH(AK$2:AK$100,$B415,5)))</f>
        <v>0</v>
      </c>
      <c r="AU415" s="8"/>
      <c r="AV415" s="6"/>
      <c r="AW415" s="8"/>
      <c r="AX415" s="8"/>
      <c r="AY415" s="6"/>
      <c r="AZ415" s="8"/>
      <c r="BA415" s="8"/>
      <c r="BB415" s="6"/>
      <c r="BC415" s="8"/>
      <c r="BD415" s="8"/>
      <c r="BE415" s="6"/>
      <c r="BF415" s="8"/>
      <c r="BG415" s="8"/>
      <c r="BH415" s="6"/>
      <c r="BI415" s="8"/>
      <c r="BJ415" s="8"/>
      <c r="BK415" s="6"/>
      <c r="BL415" s="8"/>
      <c r="BM415" s="8"/>
      <c r="BN415" s="6"/>
      <c r="BO415" s="8"/>
      <c r="BP415" s="8"/>
      <c r="BQ415" s="6"/>
      <c r="BR415" s="8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  <c r="HQ415" s="7"/>
      <c r="HR415" s="7"/>
      <c r="HS415" s="7"/>
      <c r="HT415" s="7"/>
      <c r="HU415" s="7"/>
      <c r="HV415" s="7"/>
      <c r="HW415" s="7"/>
      <c r="HX415" s="7"/>
      <c r="HY415" s="7"/>
      <c r="HZ415" s="7"/>
      <c r="IA415" s="7"/>
      <c r="IB415" s="7"/>
      <c r="IC415" s="7"/>
      <c r="ID415" s="7"/>
      <c r="IE415" s="7"/>
      <c r="IF415" s="7"/>
      <c r="IG415" s="7"/>
      <c r="IH415" s="7"/>
      <c r="II415" s="7"/>
      <c r="IJ415" s="7"/>
      <c r="IK415" s="7"/>
      <c r="IL415" s="7"/>
      <c r="IM415" s="7"/>
      <c r="IN415" s="7"/>
      <c r="IO415" s="7"/>
      <c r="IP415" s="7"/>
      <c r="IQ415" s="7"/>
      <c r="IR415" s="7"/>
      <c r="IS415" s="7"/>
      <c r="IT415" s="7"/>
      <c r="IU415" s="7"/>
      <c r="IV415" s="7"/>
      <c r="IW415" s="7"/>
      <c r="IX415" s="7"/>
      <c r="IY415" s="7"/>
      <c r="IZ415" s="7"/>
      <c r="JA415" s="7"/>
      <c r="JB415" s="7"/>
      <c r="JC415" s="7"/>
      <c r="JD415" s="7"/>
      <c r="JE415" s="7"/>
      <c r="JF415" s="7"/>
      <c r="JG415" s="7"/>
      <c r="JH415" s="7"/>
      <c r="JI415" s="7"/>
      <c r="JJ415" s="7"/>
      <c r="JK415" s="7"/>
      <c r="JL415" s="7"/>
      <c r="JM415" s="7"/>
      <c r="JN415" s="7"/>
      <c r="JO415" s="7"/>
      <c r="JP415" s="7"/>
      <c r="JQ415" s="7"/>
      <c r="JR415" s="7"/>
      <c r="JS415" s="7"/>
      <c r="JT415" s="7"/>
      <c r="JU415" s="7"/>
      <c r="JV415" s="7"/>
      <c r="JW415" s="7"/>
      <c r="JX415" s="7"/>
      <c r="JY415" s="7"/>
      <c r="JZ415" s="7"/>
      <c r="KA415" s="7"/>
      <c r="KB415" s="7"/>
      <c r="KC415" s="7"/>
      <c r="KD415" s="7"/>
      <c r="KE415" s="7"/>
      <c r="KF415" s="7"/>
      <c r="KG415" s="7"/>
      <c r="KH415" s="7"/>
      <c r="KI415" s="7"/>
      <c r="KJ415" s="7"/>
      <c r="KK415" s="7"/>
      <c r="KL415" s="7"/>
      <c r="KM415" s="7"/>
      <c r="KN415" s="7"/>
    </row>
    <row r="416">
      <c r="A416" s="6"/>
      <c r="B416" s="6" t="s">
        <v>416</v>
      </c>
      <c r="C416" s="3" t="str">
        <f t="shared" si="3"/>
        <v>wavy fuchsia</v>
      </c>
      <c r="D416" s="3" t="str">
        <f t="shared" si="17"/>
        <v>ZZZ</v>
      </c>
      <c r="E416" s="3" t="b">
        <f t="array" ref="E416">OR(ISNUMBER(SEARCH(D$2:D$30,$B416,5)))</f>
        <v>0</v>
      </c>
      <c r="G416" s="3" t="str">
        <f t="shared" si="4"/>
        <v>ZZZ</v>
      </c>
      <c r="H416" s="3" t="b">
        <f t="array" ref="H416">OR(ISNUMBER(SEARCH(G$2:G$30,$B416,5)))</f>
        <v>0</v>
      </c>
      <c r="J416" s="3" t="str">
        <f t="shared" si="5"/>
        <v>ZZZ</v>
      </c>
      <c r="K416" s="3" t="b">
        <f t="array" ref="K416">OR(ISNUMBER(SEARCH(J$2:J$30,$B416,5)))</f>
        <v>0</v>
      </c>
      <c r="M416" s="3" t="str">
        <f t="shared" si="6"/>
        <v>ZZZ</v>
      </c>
      <c r="N416" s="3" t="b">
        <f t="array" ref="N416">OR(ISNUMBER(SEARCH(M$2:M$30,$B416,5)))</f>
        <v>0</v>
      </c>
      <c r="P416" s="3" t="str">
        <f t="shared" si="7"/>
        <v>ZZZ</v>
      </c>
      <c r="Q416" s="3" t="b">
        <f t="array" ref="Q416">OR(ISNUMBER(SEARCH(P$2:P$50,$B416,5)))</f>
        <v>0</v>
      </c>
      <c r="S416" s="3" t="str">
        <f t="shared" si="8"/>
        <v>ZZZ</v>
      </c>
      <c r="T416" s="3" t="b">
        <f t="array" ref="T416">OR(ISNUMBER(SEARCH(S$2:S$100,$B416,5)))</f>
        <v>0</v>
      </c>
      <c r="V416" s="3" t="str">
        <f t="shared" si="9"/>
        <v>ZZZ</v>
      </c>
      <c r="W416" s="3" t="b">
        <f t="array" ref="W416">OR(ISNUMBER(SEARCH(V$2:V$100,$B416,5)))</f>
        <v>0</v>
      </c>
      <c r="Y416" s="3" t="str">
        <f t="shared" si="10"/>
        <v>ZZZ</v>
      </c>
      <c r="Z416" s="3" t="b">
        <f t="array" ref="Z416">OR(ISNUMBER(SEARCH(Y$2:Y$100,$B416,5)))</f>
        <v>0</v>
      </c>
      <c r="AB416" s="3" t="str">
        <f t="shared" si="11"/>
        <v>ZZZ</v>
      </c>
      <c r="AC416" s="3" t="b">
        <f t="array" ref="AC416">OR(ISNUMBER(SEARCH(AB$2:AB$100,$B416,5)))</f>
        <v>0</v>
      </c>
      <c r="AE416" s="3" t="str">
        <f t="shared" si="12"/>
        <v>ZZZ</v>
      </c>
      <c r="AF416" s="3" t="b">
        <f t="array" ref="AF416">OR(ISNUMBER(SEARCH(AE$2:AE$100,$B416,5)))</f>
        <v>0</v>
      </c>
      <c r="AH416" s="3" t="str">
        <f t="shared" si="13"/>
        <v>ZZZ</v>
      </c>
      <c r="AI416" s="3" t="b">
        <f t="array" ref="AI416">OR(ISNUMBER(SEARCH(AH$2:AH$100,$B416,5)))</f>
        <v>0</v>
      </c>
      <c r="AK416" s="3" t="str">
        <f t="shared" si="14"/>
        <v>ZZZ</v>
      </c>
      <c r="AL416" s="3" t="b">
        <f t="array" ref="AL416">OR(ISNUMBER(SEARCH(AK$2:AK$100,$B416,5)))</f>
        <v>0</v>
      </c>
      <c r="AU416" s="8"/>
      <c r="AV416" s="6"/>
      <c r="AW416" s="8"/>
      <c r="AX416" s="8"/>
      <c r="AY416" s="6"/>
      <c r="AZ416" s="8"/>
      <c r="BA416" s="8"/>
      <c r="BB416" s="6"/>
      <c r="BC416" s="8"/>
      <c r="BD416" s="8"/>
      <c r="BE416" s="6"/>
      <c r="BF416" s="8"/>
      <c r="BG416" s="8"/>
      <c r="BH416" s="6"/>
      <c r="BI416" s="8"/>
      <c r="BJ416" s="8"/>
      <c r="BK416" s="6"/>
      <c r="BL416" s="8"/>
      <c r="BM416" s="8"/>
      <c r="BN416" s="6"/>
      <c r="BO416" s="8"/>
      <c r="BP416" s="8"/>
      <c r="BQ416" s="6"/>
      <c r="BR416" s="8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  <c r="HK416" s="7"/>
      <c r="HL416" s="7"/>
      <c r="HM416" s="7"/>
      <c r="HN416" s="7"/>
      <c r="HO416" s="7"/>
      <c r="HP416" s="7"/>
      <c r="HQ416" s="7"/>
      <c r="HR416" s="7"/>
      <c r="HS416" s="7"/>
      <c r="HT416" s="7"/>
      <c r="HU416" s="7"/>
      <c r="HV416" s="7"/>
      <c r="HW416" s="7"/>
      <c r="HX416" s="7"/>
      <c r="HY416" s="7"/>
      <c r="HZ416" s="7"/>
      <c r="IA416" s="7"/>
      <c r="IB416" s="7"/>
      <c r="IC416" s="7"/>
      <c r="ID416" s="7"/>
      <c r="IE416" s="7"/>
      <c r="IF416" s="7"/>
      <c r="IG416" s="7"/>
      <c r="IH416" s="7"/>
      <c r="II416" s="7"/>
      <c r="IJ416" s="7"/>
      <c r="IK416" s="7"/>
      <c r="IL416" s="7"/>
      <c r="IM416" s="7"/>
      <c r="IN416" s="7"/>
      <c r="IO416" s="7"/>
      <c r="IP416" s="7"/>
      <c r="IQ416" s="7"/>
      <c r="IR416" s="7"/>
      <c r="IS416" s="7"/>
      <c r="IT416" s="7"/>
      <c r="IU416" s="7"/>
      <c r="IV416" s="7"/>
      <c r="IW416" s="7"/>
      <c r="IX416" s="7"/>
      <c r="IY416" s="7"/>
      <c r="IZ416" s="7"/>
      <c r="JA416" s="7"/>
      <c r="JB416" s="7"/>
      <c r="JC416" s="7"/>
      <c r="JD416" s="7"/>
      <c r="JE416" s="7"/>
      <c r="JF416" s="7"/>
      <c r="JG416" s="7"/>
      <c r="JH416" s="7"/>
      <c r="JI416" s="7"/>
      <c r="JJ416" s="7"/>
      <c r="JK416" s="7"/>
      <c r="JL416" s="7"/>
      <c r="JM416" s="7"/>
      <c r="JN416" s="7"/>
      <c r="JO416" s="7"/>
      <c r="JP416" s="7"/>
      <c r="JQ416" s="7"/>
      <c r="JR416" s="7"/>
      <c r="JS416" s="7"/>
      <c r="JT416" s="7"/>
      <c r="JU416" s="7"/>
      <c r="JV416" s="7"/>
      <c r="JW416" s="7"/>
      <c r="JX416" s="7"/>
      <c r="JY416" s="7"/>
      <c r="JZ416" s="7"/>
      <c r="KA416" s="7"/>
      <c r="KB416" s="7"/>
      <c r="KC416" s="7"/>
      <c r="KD416" s="7"/>
      <c r="KE416" s="7"/>
      <c r="KF416" s="7"/>
      <c r="KG416" s="7"/>
      <c r="KH416" s="7"/>
      <c r="KI416" s="7"/>
      <c r="KJ416" s="7"/>
      <c r="KK416" s="7"/>
      <c r="KL416" s="7"/>
      <c r="KM416" s="7"/>
      <c r="KN416" s="7"/>
    </row>
    <row r="417">
      <c r="A417" s="6"/>
      <c r="B417" s="6" t="s">
        <v>417</v>
      </c>
      <c r="C417" s="3" t="str">
        <f t="shared" si="3"/>
        <v>dotted gray</v>
      </c>
      <c r="D417" s="3" t="str">
        <f t="shared" si="17"/>
        <v>ZZZ</v>
      </c>
      <c r="E417" s="3" t="b">
        <f t="array" ref="E417">OR(ISNUMBER(SEARCH(D$2:D$30,$B417,5)))</f>
        <v>0</v>
      </c>
      <c r="G417" s="3" t="str">
        <f t="shared" si="4"/>
        <v>ZZZ</v>
      </c>
      <c r="H417" s="3" t="b">
        <f t="array" ref="H417">OR(ISNUMBER(SEARCH(G$2:G$30,$B417,5)))</f>
        <v>0</v>
      </c>
      <c r="J417" s="3" t="str">
        <f t="shared" si="5"/>
        <v>ZZZ</v>
      </c>
      <c r="K417" s="3" t="b">
        <f t="array" ref="K417">OR(ISNUMBER(SEARCH(J$2:J$30,$B417,5)))</f>
        <v>0</v>
      </c>
      <c r="M417" s="3" t="str">
        <f t="shared" si="6"/>
        <v>ZZZ</v>
      </c>
      <c r="N417" s="3" t="b">
        <f t="array" ref="N417">OR(ISNUMBER(SEARCH(M$2:M$30,$B417,5)))</f>
        <v>0</v>
      </c>
      <c r="P417" s="3" t="str">
        <f t="shared" si="7"/>
        <v>ZZZ</v>
      </c>
      <c r="Q417" s="3" t="b">
        <f t="array" ref="Q417">OR(ISNUMBER(SEARCH(P$2:P$50,$B417,5)))</f>
        <v>0</v>
      </c>
      <c r="S417" s="3" t="str">
        <f t="shared" si="8"/>
        <v>ZZZ</v>
      </c>
      <c r="T417" s="3" t="b">
        <f t="array" ref="T417">OR(ISNUMBER(SEARCH(S$2:S$100,$B417,5)))</f>
        <v>0</v>
      </c>
      <c r="V417" s="3" t="str">
        <f t="shared" si="9"/>
        <v>ZZZ</v>
      </c>
      <c r="W417" s="3" t="b">
        <f t="array" ref="W417">OR(ISNUMBER(SEARCH(V$2:V$100,$B417,5)))</f>
        <v>0</v>
      </c>
      <c r="Y417" s="3" t="str">
        <f t="shared" si="10"/>
        <v>ZZZ</v>
      </c>
      <c r="Z417" s="3" t="b">
        <f t="array" ref="Z417">OR(ISNUMBER(SEARCH(Y$2:Y$100,$B417,5)))</f>
        <v>0</v>
      </c>
      <c r="AB417" s="3" t="str">
        <f t="shared" si="11"/>
        <v>ZZZ</v>
      </c>
      <c r="AC417" s="3" t="b">
        <f t="array" ref="AC417">OR(ISNUMBER(SEARCH(AB$2:AB$100,$B417,5)))</f>
        <v>0</v>
      </c>
      <c r="AE417" s="3" t="str">
        <f t="shared" si="12"/>
        <v>ZZZ</v>
      </c>
      <c r="AF417" s="3" t="b">
        <f t="array" ref="AF417">OR(ISNUMBER(SEARCH(AE$2:AE$100,$B417,5)))</f>
        <v>0</v>
      </c>
      <c r="AH417" s="3" t="str">
        <f t="shared" si="13"/>
        <v>ZZZ</v>
      </c>
      <c r="AI417" s="3" t="b">
        <f t="array" ref="AI417">OR(ISNUMBER(SEARCH(AH$2:AH$100,$B417,5)))</f>
        <v>0</v>
      </c>
      <c r="AK417" s="3" t="str">
        <f t="shared" si="14"/>
        <v>ZZZ</v>
      </c>
      <c r="AL417" s="3" t="b">
        <f t="array" ref="AL417">OR(ISNUMBER(SEARCH(AK$2:AK$100,$B417,5)))</f>
        <v>0</v>
      </c>
      <c r="AU417" s="8"/>
      <c r="AV417" s="6"/>
      <c r="AW417" s="8"/>
      <c r="AX417" s="8"/>
      <c r="AY417" s="6"/>
      <c r="AZ417" s="8"/>
      <c r="BA417" s="8"/>
      <c r="BB417" s="6"/>
      <c r="BC417" s="8"/>
      <c r="BD417" s="8"/>
      <c r="BE417" s="6"/>
      <c r="BF417" s="8"/>
      <c r="BG417" s="8"/>
      <c r="BH417" s="6"/>
      <c r="BI417" s="8"/>
      <c r="BJ417" s="8"/>
      <c r="BK417" s="6"/>
      <c r="BL417" s="8"/>
      <c r="BM417" s="8"/>
      <c r="BN417" s="6"/>
      <c r="BO417" s="8"/>
      <c r="BP417" s="8"/>
      <c r="BQ417" s="6"/>
      <c r="BR417" s="8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  <c r="HQ417" s="7"/>
      <c r="HR417" s="7"/>
      <c r="HS417" s="7"/>
      <c r="HT417" s="7"/>
      <c r="HU417" s="7"/>
      <c r="HV417" s="7"/>
      <c r="HW417" s="7"/>
      <c r="HX417" s="7"/>
      <c r="HY417" s="7"/>
      <c r="HZ417" s="7"/>
      <c r="IA417" s="7"/>
      <c r="IB417" s="7"/>
      <c r="IC417" s="7"/>
      <c r="ID417" s="7"/>
      <c r="IE417" s="7"/>
      <c r="IF417" s="7"/>
      <c r="IG417" s="7"/>
      <c r="IH417" s="7"/>
      <c r="II417" s="7"/>
      <c r="IJ417" s="7"/>
      <c r="IK417" s="7"/>
      <c r="IL417" s="7"/>
      <c r="IM417" s="7"/>
      <c r="IN417" s="7"/>
      <c r="IO417" s="7"/>
      <c r="IP417" s="7"/>
      <c r="IQ417" s="7"/>
      <c r="IR417" s="7"/>
      <c r="IS417" s="7"/>
      <c r="IT417" s="7"/>
      <c r="IU417" s="7"/>
      <c r="IV417" s="7"/>
      <c r="IW417" s="7"/>
      <c r="IX417" s="7"/>
      <c r="IY417" s="7"/>
      <c r="IZ417" s="7"/>
      <c r="JA417" s="7"/>
      <c r="JB417" s="7"/>
      <c r="JC417" s="7"/>
      <c r="JD417" s="7"/>
      <c r="JE417" s="7"/>
      <c r="JF417" s="7"/>
      <c r="JG417" s="7"/>
      <c r="JH417" s="7"/>
      <c r="JI417" s="7"/>
      <c r="JJ417" s="7"/>
      <c r="JK417" s="7"/>
      <c r="JL417" s="7"/>
      <c r="JM417" s="7"/>
      <c r="JN417" s="7"/>
      <c r="JO417" s="7"/>
      <c r="JP417" s="7"/>
      <c r="JQ417" s="7"/>
      <c r="JR417" s="7"/>
      <c r="JS417" s="7"/>
      <c r="JT417" s="7"/>
      <c r="JU417" s="7"/>
      <c r="JV417" s="7"/>
      <c r="JW417" s="7"/>
      <c r="JX417" s="7"/>
      <c r="JY417" s="7"/>
      <c r="JZ417" s="7"/>
      <c r="KA417" s="7"/>
      <c r="KB417" s="7"/>
      <c r="KC417" s="7"/>
      <c r="KD417" s="7"/>
      <c r="KE417" s="7"/>
      <c r="KF417" s="7"/>
      <c r="KG417" s="7"/>
      <c r="KH417" s="7"/>
      <c r="KI417" s="7"/>
      <c r="KJ417" s="7"/>
      <c r="KK417" s="7"/>
      <c r="KL417" s="7"/>
      <c r="KM417" s="7"/>
      <c r="KN417" s="7"/>
    </row>
    <row r="418">
      <c r="A418" s="6"/>
      <c r="B418" s="6" t="s">
        <v>418</v>
      </c>
      <c r="C418" s="3" t="str">
        <f t="shared" si="3"/>
        <v>bright tomato</v>
      </c>
      <c r="D418" s="3" t="str">
        <f t="shared" si="17"/>
        <v>ZZZ</v>
      </c>
      <c r="E418" s="3" t="b">
        <f t="array" ref="E418">OR(ISNUMBER(SEARCH(D$2:D$30,$B418,5)))</f>
        <v>0</v>
      </c>
      <c r="G418" s="3" t="str">
        <f t="shared" si="4"/>
        <v>ZZZ</v>
      </c>
      <c r="H418" s="3" t="b">
        <f t="array" ref="H418">OR(ISNUMBER(SEARCH(G$2:G$30,$B418,5)))</f>
        <v>0</v>
      </c>
      <c r="J418" s="3" t="str">
        <f t="shared" si="5"/>
        <v>ZZZ</v>
      </c>
      <c r="K418" s="3" t="b">
        <f t="array" ref="K418">OR(ISNUMBER(SEARCH(J$2:J$30,$B418,5)))</f>
        <v>0</v>
      </c>
      <c r="M418" s="3" t="str">
        <f t="shared" si="6"/>
        <v>ZZZ</v>
      </c>
      <c r="N418" s="3" t="b">
        <f t="array" ref="N418">OR(ISNUMBER(SEARCH(M$2:M$30,$B418,5)))</f>
        <v>0</v>
      </c>
      <c r="P418" s="3" t="str">
        <f t="shared" si="7"/>
        <v>ZZZ</v>
      </c>
      <c r="Q418" s="3" t="b">
        <f t="array" ref="Q418">OR(ISNUMBER(SEARCH(P$2:P$50,$B418,5)))</f>
        <v>0</v>
      </c>
      <c r="S418" s="3" t="str">
        <f t="shared" si="8"/>
        <v>ZZZ</v>
      </c>
      <c r="T418" s="3" t="b">
        <f t="array" ref="T418">OR(ISNUMBER(SEARCH(S$2:S$100,$B418,5)))</f>
        <v>0</v>
      </c>
      <c r="V418" s="3" t="str">
        <f t="shared" si="9"/>
        <v>ZZZ</v>
      </c>
      <c r="W418" s="3" t="b">
        <f t="array" ref="W418">OR(ISNUMBER(SEARCH(V$2:V$100,$B418,5)))</f>
        <v>0</v>
      </c>
      <c r="Y418" s="3" t="str">
        <f t="shared" si="10"/>
        <v>ZZZ</v>
      </c>
      <c r="Z418" s="3" t="b">
        <f t="array" ref="Z418">OR(ISNUMBER(SEARCH(Y$2:Y$100,$B418,5)))</f>
        <v>0</v>
      </c>
      <c r="AB418" s="3" t="str">
        <f t="shared" si="11"/>
        <v>ZZZ</v>
      </c>
      <c r="AC418" s="3" t="b">
        <f t="array" ref="AC418">OR(ISNUMBER(SEARCH(AB$2:AB$100,$B418,5)))</f>
        <v>0</v>
      </c>
      <c r="AE418" s="3" t="str">
        <f t="shared" si="12"/>
        <v>ZZZ</v>
      </c>
      <c r="AF418" s="3" t="b">
        <f t="array" ref="AF418">OR(ISNUMBER(SEARCH(AE$2:AE$100,$B418,5)))</f>
        <v>0</v>
      </c>
      <c r="AH418" s="3" t="str">
        <f t="shared" si="13"/>
        <v>ZZZ</v>
      </c>
      <c r="AI418" s="3" t="b">
        <f t="array" ref="AI418">OR(ISNUMBER(SEARCH(AH$2:AH$100,$B418,5)))</f>
        <v>0</v>
      </c>
      <c r="AK418" s="3" t="str">
        <f t="shared" si="14"/>
        <v>ZZZ</v>
      </c>
      <c r="AL418" s="3" t="b">
        <f t="array" ref="AL418">OR(ISNUMBER(SEARCH(AK$2:AK$100,$B418,5)))</f>
        <v>0</v>
      </c>
      <c r="AU418" s="8"/>
      <c r="AV418" s="6"/>
      <c r="AW418" s="8"/>
      <c r="AX418" s="8"/>
      <c r="AY418" s="6"/>
      <c r="AZ418" s="8"/>
      <c r="BA418" s="8"/>
      <c r="BB418" s="6"/>
      <c r="BC418" s="8"/>
      <c r="BD418" s="8"/>
      <c r="BE418" s="6"/>
      <c r="BF418" s="8"/>
      <c r="BG418" s="8"/>
      <c r="BH418" s="6"/>
      <c r="BI418" s="8"/>
      <c r="BJ418" s="8"/>
      <c r="BK418" s="6"/>
      <c r="BL418" s="8"/>
      <c r="BM418" s="8"/>
      <c r="BN418" s="6"/>
      <c r="BO418" s="8"/>
      <c r="BP418" s="8"/>
      <c r="BQ418" s="6"/>
      <c r="BR418" s="8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7"/>
      <c r="HP418" s="7"/>
      <c r="HQ418" s="7"/>
      <c r="HR418" s="7"/>
      <c r="HS418" s="7"/>
      <c r="HT418" s="7"/>
      <c r="HU418" s="7"/>
      <c r="HV418" s="7"/>
      <c r="HW418" s="7"/>
      <c r="HX418" s="7"/>
      <c r="HY418" s="7"/>
      <c r="HZ418" s="7"/>
      <c r="IA418" s="7"/>
      <c r="IB418" s="7"/>
      <c r="IC418" s="7"/>
      <c r="ID418" s="7"/>
      <c r="IE418" s="7"/>
      <c r="IF418" s="7"/>
      <c r="IG418" s="7"/>
      <c r="IH418" s="7"/>
      <c r="II418" s="7"/>
      <c r="IJ418" s="7"/>
      <c r="IK418" s="7"/>
      <c r="IL418" s="7"/>
      <c r="IM418" s="7"/>
      <c r="IN418" s="7"/>
      <c r="IO418" s="7"/>
      <c r="IP418" s="7"/>
      <c r="IQ418" s="7"/>
      <c r="IR418" s="7"/>
      <c r="IS418" s="7"/>
      <c r="IT418" s="7"/>
      <c r="IU418" s="7"/>
      <c r="IV418" s="7"/>
      <c r="IW418" s="7"/>
      <c r="IX418" s="7"/>
      <c r="IY418" s="7"/>
      <c r="IZ418" s="7"/>
      <c r="JA418" s="7"/>
      <c r="JB418" s="7"/>
      <c r="JC418" s="7"/>
      <c r="JD418" s="7"/>
      <c r="JE418" s="7"/>
      <c r="JF418" s="7"/>
      <c r="JG418" s="7"/>
      <c r="JH418" s="7"/>
      <c r="JI418" s="7"/>
      <c r="JJ418" s="7"/>
      <c r="JK418" s="7"/>
      <c r="JL418" s="7"/>
      <c r="JM418" s="7"/>
      <c r="JN418" s="7"/>
      <c r="JO418" s="7"/>
      <c r="JP418" s="7"/>
      <c r="JQ418" s="7"/>
      <c r="JR418" s="7"/>
      <c r="JS418" s="7"/>
      <c r="JT418" s="7"/>
      <c r="JU418" s="7"/>
      <c r="JV418" s="7"/>
      <c r="JW418" s="7"/>
      <c r="JX418" s="7"/>
      <c r="JY418" s="7"/>
      <c r="JZ418" s="7"/>
      <c r="KA418" s="7"/>
      <c r="KB418" s="7"/>
      <c r="KC418" s="7"/>
      <c r="KD418" s="7"/>
      <c r="KE418" s="7"/>
      <c r="KF418" s="7"/>
      <c r="KG418" s="7"/>
      <c r="KH418" s="7"/>
      <c r="KI418" s="7"/>
      <c r="KJ418" s="7"/>
      <c r="KK418" s="7"/>
      <c r="KL418" s="7"/>
      <c r="KM418" s="7"/>
      <c r="KN418" s="7"/>
    </row>
    <row r="419">
      <c r="A419" s="6"/>
      <c r="B419" s="6" t="s">
        <v>419</v>
      </c>
      <c r="C419" s="3" t="str">
        <f t="shared" si="3"/>
        <v>clear chartreuse</v>
      </c>
      <c r="D419" s="3" t="str">
        <f t="shared" si="17"/>
        <v>ZZZ</v>
      </c>
      <c r="E419" s="3" t="b">
        <f t="array" ref="E419">OR(ISNUMBER(SEARCH(D$2:D$30,$B419,5)))</f>
        <v>0</v>
      </c>
      <c r="G419" s="3" t="str">
        <f t="shared" si="4"/>
        <v>ZZZ</v>
      </c>
      <c r="H419" s="3" t="b">
        <f t="array" ref="H419">OR(ISNUMBER(SEARCH(G$2:G$30,$B419,5)))</f>
        <v>0</v>
      </c>
      <c r="J419" s="3" t="str">
        <f t="shared" si="5"/>
        <v>ZZZ</v>
      </c>
      <c r="K419" s="3" t="b">
        <f t="array" ref="K419">OR(ISNUMBER(SEARCH(J$2:J$30,$B419,5)))</f>
        <v>0</v>
      </c>
      <c r="M419" s="3" t="str">
        <f t="shared" si="6"/>
        <v>ZZZ</v>
      </c>
      <c r="N419" s="3" t="b">
        <f t="array" ref="N419">OR(ISNUMBER(SEARCH(M$2:M$30,$B419,5)))</f>
        <v>0</v>
      </c>
      <c r="P419" s="3" t="str">
        <f t="shared" si="7"/>
        <v>ZZZ</v>
      </c>
      <c r="Q419" s="3" t="b">
        <f t="array" ref="Q419">OR(ISNUMBER(SEARCH(P$2:P$50,$B419,5)))</f>
        <v>0</v>
      </c>
      <c r="S419" s="3" t="str">
        <f t="shared" si="8"/>
        <v>ZZZ</v>
      </c>
      <c r="T419" s="3" t="b">
        <f t="array" ref="T419">OR(ISNUMBER(SEARCH(S$2:S$100,$B419,5)))</f>
        <v>0</v>
      </c>
      <c r="V419" s="3" t="str">
        <f t="shared" si="9"/>
        <v>ZZZ</v>
      </c>
      <c r="W419" s="3" t="b">
        <f t="array" ref="W419">OR(ISNUMBER(SEARCH(V$2:V$100,$B419,5)))</f>
        <v>0</v>
      </c>
      <c r="Y419" s="3" t="str">
        <f t="shared" si="10"/>
        <v>ZZZ</v>
      </c>
      <c r="Z419" s="3" t="b">
        <f t="array" ref="Z419">OR(ISNUMBER(SEARCH(Y$2:Y$100,$B419,5)))</f>
        <v>0</v>
      </c>
      <c r="AB419" s="3" t="str">
        <f t="shared" si="11"/>
        <v>ZZZ</v>
      </c>
      <c r="AC419" s="3" t="b">
        <f t="array" ref="AC419">OR(ISNUMBER(SEARCH(AB$2:AB$100,$B419,5)))</f>
        <v>0</v>
      </c>
      <c r="AE419" s="3" t="str">
        <f t="shared" si="12"/>
        <v>ZZZ</v>
      </c>
      <c r="AF419" s="3" t="b">
        <f t="array" ref="AF419">OR(ISNUMBER(SEARCH(AE$2:AE$100,$B419,5)))</f>
        <v>0</v>
      </c>
      <c r="AH419" s="3" t="str">
        <f t="shared" si="13"/>
        <v>ZZZ</v>
      </c>
      <c r="AI419" s="3" t="b">
        <f t="array" ref="AI419">OR(ISNUMBER(SEARCH(AH$2:AH$100,$B419,5)))</f>
        <v>0</v>
      </c>
      <c r="AK419" s="3" t="str">
        <f t="shared" si="14"/>
        <v>ZZZ</v>
      </c>
      <c r="AL419" s="3" t="b">
        <f t="array" ref="AL419">OR(ISNUMBER(SEARCH(AK$2:AK$100,$B419,5)))</f>
        <v>0</v>
      </c>
      <c r="AU419" s="8"/>
      <c r="AV419" s="6"/>
      <c r="AW419" s="8"/>
      <c r="AX419" s="8"/>
      <c r="AY419" s="6"/>
      <c r="AZ419" s="8"/>
      <c r="BA419" s="8"/>
      <c r="BB419" s="6"/>
      <c r="BC419" s="8"/>
      <c r="BD419" s="8"/>
      <c r="BE419" s="6"/>
      <c r="BF419" s="8"/>
      <c r="BG419" s="8"/>
      <c r="BH419" s="6"/>
      <c r="BI419" s="8"/>
      <c r="BJ419" s="8"/>
      <c r="BK419" s="6"/>
      <c r="BL419" s="8"/>
      <c r="BM419" s="8"/>
      <c r="BN419" s="6"/>
      <c r="BO419" s="8"/>
      <c r="BP419" s="8"/>
      <c r="BQ419" s="6"/>
      <c r="BR419" s="8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7"/>
      <c r="HP419" s="7"/>
      <c r="HQ419" s="7"/>
      <c r="HR419" s="7"/>
      <c r="HS419" s="7"/>
      <c r="HT419" s="7"/>
      <c r="HU419" s="7"/>
      <c r="HV419" s="7"/>
      <c r="HW419" s="7"/>
      <c r="HX419" s="7"/>
      <c r="HY419" s="7"/>
      <c r="HZ419" s="7"/>
      <c r="IA419" s="7"/>
      <c r="IB419" s="7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7"/>
      <c r="IP419" s="7"/>
      <c r="IQ419" s="7"/>
      <c r="IR419" s="7"/>
      <c r="IS419" s="7"/>
      <c r="IT419" s="7"/>
      <c r="IU419" s="7"/>
      <c r="IV419" s="7"/>
      <c r="IW419" s="7"/>
      <c r="IX419" s="7"/>
      <c r="IY419" s="7"/>
      <c r="IZ419" s="7"/>
      <c r="JA419" s="7"/>
      <c r="JB419" s="7"/>
      <c r="JC419" s="7"/>
      <c r="JD419" s="7"/>
      <c r="JE419" s="7"/>
      <c r="JF419" s="7"/>
      <c r="JG419" s="7"/>
      <c r="JH419" s="7"/>
      <c r="JI419" s="7"/>
      <c r="JJ419" s="7"/>
      <c r="JK419" s="7"/>
      <c r="JL419" s="7"/>
      <c r="JM419" s="7"/>
      <c r="JN419" s="7"/>
      <c r="JO419" s="7"/>
      <c r="JP419" s="7"/>
      <c r="JQ419" s="7"/>
      <c r="JR419" s="7"/>
      <c r="JS419" s="7"/>
      <c r="JT419" s="7"/>
      <c r="JU419" s="7"/>
      <c r="JV419" s="7"/>
      <c r="JW419" s="7"/>
      <c r="JX419" s="7"/>
      <c r="JY419" s="7"/>
      <c r="JZ419" s="7"/>
      <c r="KA419" s="7"/>
      <c r="KB419" s="7"/>
      <c r="KC419" s="7"/>
      <c r="KD419" s="7"/>
      <c r="KE419" s="7"/>
      <c r="KF419" s="7"/>
      <c r="KG419" s="7"/>
      <c r="KH419" s="7"/>
      <c r="KI419" s="7"/>
      <c r="KJ419" s="7"/>
      <c r="KK419" s="7"/>
      <c r="KL419" s="7"/>
      <c r="KM419" s="7"/>
      <c r="KN419" s="7"/>
    </row>
    <row r="420">
      <c r="A420" s="6"/>
      <c r="B420" s="6" t="s">
        <v>420</v>
      </c>
      <c r="C420" s="3" t="str">
        <f t="shared" si="3"/>
        <v>dim teal</v>
      </c>
      <c r="D420" s="3" t="str">
        <f t="shared" si="17"/>
        <v>ZZZ</v>
      </c>
      <c r="E420" s="3" t="b">
        <f t="array" ref="E420">OR(ISNUMBER(SEARCH(D$2:D$30,$B420,5)))</f>
        <v>0</v>
      </c>
      <c r="G420" s="3" t="str">
        <f t="shared" si="4"/>
        <v>ZZZ</v>
      </c>
      <c r="H420" s="3" t="b">
        <f t="array" ref="H420">OR(ISNUMBER(SEARCH(G$2:G$30,$B420,5)))</f>
        <v>0</v>
      </c>
      <c r="J420" s="3" t="str">
        <f t="shared" si="5"/>
        <v>ZZZ</v>
      </c>
      <c r="K420" s="3" t="b">
        <f t="array" ref="K420">OR(ISNUMBER(SEARCH(J$2:J$30,$B420,5)))</f>
        <v>0</v>
      </c>
      <c r="M420" s="3" t="str">
        <f t="shared" si="6"/>
        <v>ZZZ</v>
      </c>
      <c r="N420" s="3" t="b">
        <f t="array" ref="N420">OR(ISNUMBER(SEARCH(M$2:M$30,$B420,5)))</f>
        <v>0</v>
      </c>
      <c r="P420" s="3" t="str">
        <f t="shared" si="7"/>
        <v>ZZZ</v>
      </c>
      <c r="Q420" s="3" t="b">
        <f t="array" ref="Q420">OR(ISNUMBER(SEARCH(P$2:P$50,$B420,5)))</f>
        <v>0</v>
      </c>
      <c r="S420" s="3" t="str">
        <f t="shared" si="8"/>
        <v>ZZZ</v>
      </c>
      <c r="T420" s="3" t="b">
        <f t="array" ref="T420">OR(ISNUMBER(SEARCH(S$2:S$100,$B420,5)))</f>
        <v>1</v>
      </c>
      <c r="V420" s="3" t="str">
        <f t="shared" si="9"/>
        <v>ZZZ</v>
      </c>
      <c r="W420" s="3" t="b">
        <f t="array" ref="W420">OR(ISNUMBER(SEARCH(V$2:V$100,$B420,5)))</f>
        <v>0</v>
      </c>
      <c r="Y420" s="3" t="str">
        <f t="shared" si="10"/>
        <v>ZZZ</v>
      </c>
      <c r="Z420" s="3" t="b">
        <f t="array" ref="Z420">OR(ISNUMBER(SEARCH(Y$2:Y$100,$B420,5)))</f>
        <v>0</v>
      </c>
      <c r="AB420" s="3" t="str">
        <f t="shared" si="11"/>
        <v>ZZZ</v>
      </c>
      <c r="AC420" s="3" t="b">
        <f t="array" ref="AC420">OR(ISNUMBER(SEARCH(AB$2:AB$100,$B420,5)))</f>
        <v>0</v>
      </c>
      <c r="AE420" s="3" t="str">
        <f t="shared" si="12"/>
        <v>ZZZ</v>
      </c>
      <c r="AF420" s="3" t="b">
        <f t="array" ref="AF420">OR(ISNUMBER(SEARCH(AE$2:AE$100,$B420,5)))</f>
        <v>0</v>
      </c>
      <c r="AH420" s="3" t="str">
        <f t="shared" si="13"/>
        <v>ZZZ</v>
      </c>
      <c r="AI420" s="3" t="b">
        <f t="array" ref="AI420">OR(ISNUMBER(SEARCH(AH$2:AH$100,$B420,5)))</f>
        <v>0</v>
      </c>
      <c r="AK420" s="3" t="str">
        <f t="shared" si="14"/>
        <v>ZZZ</v>
      </c>
      <c r="AL420" s="3" t="b">
        <f t="array" ref="AL420">OR(ISNUMBER(SEARCH(AK$2:AK$100,$B420,5)))</f>
        <v>0</v>
      </c>
      <c r="AU420" s="8"/>
      <c r="AV420" s="6"/>
      <c r="AW420" s="8"/>
      <c r="AX420" s="8"/>
      <c r="AY420" s="6"/>
      <c r="AZ420" s="8"/>
      <c r="BA420" s="8"/>
      <c r="BB420" s="6"/>
      <c r="BC420" s="8"/>
      <c r="BD420" s="8"/>
      <c r="BE420" s="6"/>
      <c r="BF420" s="8"/>
      <c r="BG420" s="8"/>
      <c r="BH420" s="6"/>
      <c r="BI420" s="8"/>
      <c r="BJ420" s="8"/>
      <c r="BK420" s="6"/>
      <c r="BL420" s="8"/>
      <c r="BM420" s="8"/>
      <c r="BN420" s="6"/>
      <c r="BO420" s="8"/>
      <c r="BP420" s="8"/>
      <c r="BQ420" s="6"/>
      <c r="BR420" s="8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  <c r="HM420" s="7"/>
      <c r="HN420" s="7"/>
      <c r="HO420" s="7"/>
      <c r="HP420" s="7"/>
      <c r="HQ420" s="7"/>
      <c r="HR420" s="7"/>
      <c r="HS420" s="7"/>
      <c r="HT420" s="7"/>
      <c r="HU420" s="7"/>
      <c r="HV420" s="7"/>
      <c r="HW420" s="7"/>
      <c r="HX420" s="7"/>
      <c r="HY420" s="7"/>
      <c r="HZ420" s="7"/>
      <c r="IA420" s="7"/>
      <c r="IB420" s="7"/>
      <c r="IC420" s="7"/>
      <c r="ID420" s="7"/>
      <c r="IE420" s="7"/>
      <c r="IF420" s="7"/>
      <c r="IG420" s="7"/>
      <c r="IH420" s="7"/>
      <c r="II420" s="7"/>
      <c r="IJ420" s="7"/>
      <c r="IK420" s="7"/>
      <c r="IL420" s="7"/>
      <c r="IM420" s="7"/>
      <c r="IN420" s="7"/>
      <c r="IO420" s="7"/>
      <c r="IP420" s="7"/>
      <c r="IQ420" s="7"/>
      <c r="IR420" s="7"/>
      <c r="IS420" s="7"/>
      <c r="IT420" s="7"/>
      <c r="IU420" s="7"/>
      <c r="IV420" s="7"/>
      <c r="IW420" s="7"/>
      <c r="IX420" s="7"/>
      <c r="IY420" s="7"/>
      <c r="IZ420" s="7"/>
      <c r="JA420" s="7"/>
      <c r="JB420" s="7"/>
      <c r="JC420" s="7"/>
      <c r="JD420" s="7"/>
      <c r="JE420" s="7"/>
      <c r="JF420" s="7"/>
      <c r="JG420" s="7"/>
      <c r="JH420" s="7"/>
      <c r="JI420" s="7"/>
      <c r="JJ420" s="7"/>
      <c r="JK420" s="7"/>
      <c r="JL420" s="7"/>
      <c r="JM420" s="7"/>
      <c r="JN420" s="7"/>
      <c r="JO420" s="7"/>
      <c r="JP420" s="7"/>
      <c r="JQ420" s="7"/>
      <c r="JR420" s="7"/>
      <c r="JS420" s="7"/>
      <c r="JT420" s="7"/>
      <c r="JU420" s="7"/>
      <c r="JV420" s="7"/>
      <c r="JW420" s="7"/>
      <c r="JX420" s="7"/>
      <c r="JY420" s="7"/>
      <c r="JZ420" s="7"/>
      <c r="KA420" s="7"/>
      <c r="KB420" s="7"/>
      <c r="KC420" s="7"/>
      <c r="KD420" s="7"/>
      <c r="KE420" s="7"/>
      <c r="KF420" s="7"/>
      <c r="KG420" s="7"/>
      <c r="KH420" s="7"/>
      <c r="KI420" s="7"/>
      <c r="KJ420" s="7"/>
      <c r="KK420" s="7"/>
      <c r="KL420" s="7"/>
      <c r="KM420" s="7"/>
      <c r="KN420" s="7"/>
    </row>
    <row r="421">
      <c r="A421" s="6"/>
      <c r="B421" s="6" t="s">
        <v>421</v>
      </c>
      <c r="C421" s="3" t="str">
        <f t="shared" si="3"/>
        <v>dotted yellow</v>
      </c>
      <c r="D421" s="3" t="str">
        <f t="shared" si="17"/>
        <v>ZZZ</v>
      </c>
      <c r="E421" s="3" t="b">
        <f t="array" ref="E421">OR(ISNUMBER(SEARCH(D$2:D$30,$B421,5)))</f>
        <v>0</v>
      </c>
      <c r="G421" s="3" t="str">
        <f t="shared" si="4"/>
        <v>ZZZ</v>
      </c>
      <c r="H421" s="3" t="b">
        <f t="array" ref="H421">OR(ISNUMBER(SEARCH(G$2:G$30,$B421,5)))</f>
        <v>0</v>
      </c>
      <c r="J421" s="3" t="str">
        <f t="shared" si="5"/>
        <v>ZZZ</v>
      </c>
      <c r="K421" s="3" t="b">
        <f t="array" ref="K421">OR(ISNUMBER(SEARCH(J$2:J$30,$B421,5)))</f>
        <v>0</v>
      </c>
      <c r="M421" s="3" t="str">
        <f t="shared" si="6"/>
        <v>ZZZ</v>
      </c>
      <c r="N421" s="3" t="b">
        <f t="array" ref="N421">OR(ISNUMBER(SEARCH(M$2:M$30,$B421,5)))</f>
        <v>0</v>
      </c>
      <c r="P421" s="3" t="str">
        <f t="shared" si="7"/>
        <v>ZZZ</v>
      </c>
      <c r="Q421" s="3" t="b">
        <f t="array" ref="Q421">OR(ISNUMBER(SEARCH(P$2:P$50,$B421,5)))</f>
        <v>0</v>
      </c>
      <c r="S421" s="3" t="str">
        <f t="shared" si="8"/>
        <v>ZZZ</v>
      </c>
      <c r="T421" s="3" t="b">
        <f t="array" ref="T421">OR(ISNUMBER(SEARCH(S$2:S$100,$B421,5)))</f>
        <v>0</v>
      </c>
      <c r="V421" s="3" t="str">
        <f t="shared" si="9"/>
        <v>ZZZ</v>
      </c>
      <c r="W421" s="3" t="b">
        <f t="array" ref="W421">OR(ISNUMBER(SEARCH(V$2:V$100,$B421,5)))</f>
        <v>0</v>
      </c>
      <c r="Y421" s="3" t="str">
        <f t="shared" si="10"/>
        <v>ZZZ</v>
      </c>
      <c r="Z421" s="3" t="b">
        <f t="array" ref="Z421">OR(ISNUMBER(SEARCH(Y$2:Y$100,$B421,5)))</f>
        <v>0</v>
      </c>
      <c r="AB421" s="3" t="str">
        <f t="shared" si="11"/>
        <v>ZZZ</v>
      </c>
      <c r="AC421" s="3" t="b">
        <f t="array" ref="AC421">OR(ISNUMBER(SEARCH(AB$2:AB$100,$B421,5)))</f>
        <v>0</v>
      </c>
      <c r="AE421" s="3" t="str">
        <f t="shared" si="12"/>
        <v>ZZZ</v>
      </c>
      <c r="AF421" s="3" t="b">
        <f t="array" ref="AF421">OR(ISNUMBER(SEARCH(AE$2:AE$100,$B421,5)))</f>
        <v>0</v>
      </c>
      <c r="AH421" s="3" t="str">
        <f t="shared" si="13"/>
        <v>ZZZ</v>
      </c>
      <c r="AI421" s="3" t="b">
        <f t="array" ref="AI421">OR(ISNUMBER(SEARCH(AH$2:AH$100,$B421,5)))</f>
        <v>0</v>
      </c>
      <c r="AK421" s="3" t="str">
        <f t="shared" si="14"/>
        <v>ZZZ</v>
      </c>
      <c r="AL421" s="3" t="b">
        <f t="array" ref="AL421">OR(ISNUMBER(SEARCH(AK$2:AK$100,$B421,5)))</f>
        <v>0</v>
      </c>
      <c r="AU421" s="8"/>
      <c r="AV421" s="6"/>
      <c r="AW421" s="8"/>
      <c r="AX421" s="8"/>
      <c r="AY421" s="6"/>
      <c r="AZ421" s="8"/>
      <c r="BA421" s="8"/>
      <c r="BB421" s="6"/>
      <c r="BC421" s="8"/>
      <c r="BD421" s="8"/>
      <c r="BE421" s="6"/>
      <c r="BF421" s="8"/>
      <c r="BG421" s="8"/>
      <c r="BH421" s="6"/>
      <c r="BI421" s="8"/>
      <c r="BJ421" s="8"/>
      <c r="BK421" s="6"/>
      <c r="BL421" s="8"/>
      <c r="BM421" s="8"/>
      <c r="BN421" s="6"/>
      <c r="BO421" s="8"/>
      <c r="BP421" s="8"/>
      <c r="BQ421" s="6"/>
      <c r="BR421" s="8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  <c r="HQ421" s="7"/>
      <c r="HR421" s="7"/>
      <c r="HS421" s="7"/>
      <c r="HT421" s="7"/>
      <c r="HU421" s="7"/>
      <c r="HV421" s="7"/>
      <c r="HW421" s="7"/>
      <c r="HX421" s="7"/>
      <c r="HY421" s="7"/>
      <c r="HZ421" s="7"/>
      <c r="IA421" s="7"/>
      <c r="IB421" s="7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7"/>
      <c r="IP421" s="7"/>
      <c r="IQ421" s="7"/>
      <c r="IR421" s="7"/>
      <c r="IS421" s="7"/>
      <c r="IT421" s="7"/>
      <c r="IU421" s="7"/>
      <c r="IV421" s="7"/>
      <c r="IW421" s="7"/>
      <c r="IX421" s="7"/>
      <c r="IY421" s="7"/>
      <c r="IZ421" s="7"/>
      <c r="JA421" s="7"/>
      <c r="JB421" s="7"/>
      <c r="JC421" s="7"/>
      <c r="JD421" s="7"/>
      <c r="JE421" s="7"/>
      <c r="JF421" s="7"/>
      <c r="JG421" s="7"/>
      <c r="JH421" s="7"/>
      <c r="JI421" s="7"/>
      <c r="JJ421" s="7"/>
      <c r="JK421" s="7"/>
      <c r="JL421" s="7"/>
      <c r="JM421" s="7"/>
      <c r="JN421" s="7"/>
      <c r="JO421" s="7"/>
      <c r="JP421" s="7"/>
      <c r="JQ421" s="7"/>
      <c r="JR421" s="7"/>
      <c r="JS421" s="7"/>
      <c r="JT421" s="7"/>
      <c r="JU421" s="7"/>
      <c r="JV421" s="7"/>
      <c r="JW421" s="7"/>
      <c r="JX421" s="7"/>
      <c r="JY421" s="7"/>
      <c r="JZ421" s="7"/>
      <c r="KA421" s="7"/>
      <c r="KB421" s="7"/>
      <c r="KC421" s="7"/>
      <c r="KD421" s="7"/>
      <c r="KE421" s="7"/>
      <c r="KF421" s="7"/>
      <c r="KG421" s="7"/>
      <c r="KH421" s="7"/>
      <c r="KI421" s="7"/>
      <c r="KJ421" s="7"/>
      <c r="KK421" s="7"/>
      <c r="KL421" s="7"/>
      <c r="KM421" s="7"/>
      <c r="KN421" s="7"/>
    </row>
    <row r="422">
      <c r="A422" s="6"/>
      <c r="B422" s="6" t="s">
        <v>422</v>
      </c>
      <c r="C422" s="3" t="str">
        <f t="shared" si="3"/>
        <v>dark indigo</v>
      </c>
      <c r="D422" s="3" t="str">
        <f t="shared" si="17"/>
        <v>ZZZ</v>
      </c>
      <c r="E422" s="3" t="b">
        <f t="array" ref="E422">OR(ISNUMBER(SEARCH(D$2:D$30,$B422,5)))</f>
        <v>0</v>
      </c>
      <c r="G422" s="3" t="str">
        <f t="shared" si="4"/>
        <v>ZZZ</v>
      </c>
      <c r="H422" s="3" t="b">
        <f t="array" ref="H422">OR(ISNUMBER(SEARCH(G$2:G$30,$B422,5)))</f>
        <v>0</v>
      </c>
      <c r="J422" s="3" t="str">
        <f t="shared" si="5"/>
        <v>ZZZ</v>
      </c>
      <c r="K422" s="3" t="b">
        <f t="array" ref="K422">OR(ISNUMBER(SEARCH(J$2:J$30,$B422,5)))</f>
        <v>0</v>
      </c>
      <c r="M422" s="3" t="str">
        <f t="shared" si="6"/>
        <v>ZZZ</v>
      </c>
      <c r="N422" s="3" t="b">
        <f t="array" ref="N422">OR(ISNUMBER(SEARCH(M$2:M$30,$B422,5)))</f>
        <v>0</v>
      </c>
      <c r="P422" s="3" t="str">
        <f t="shared" si="7"/>
        <v>ZZZ</v>
      </c>
      <c r="Q422" s="3" t="b">
        <f t="array" ref="Q422">OR(ISNUMBER(SEARCH(P$2:P$50,$B422,5)))</f>
        <v>0</v>
      </c>
      <c r="S422" s="3" t="str">
        <f t="shared" si="8"/>
        <v>ZZZ</v>
      </c>
      <c r="T422" s="3" t="b">
        <f t="array" ref="T422">OR(ISNUMBER(SEARCH(S$2:S$100,$B422,5)))</f>
        <v>0</v>
      </c>
      <c r="V422" s="3" t="str">
        <f t="shared" si="9"/>
        <v>ZZZ</v>
      </c>
      <c r="W422" s="3" t="b">
        <f t="array" ref="W422">OR(ISNUMBER(SEARCH(V$2:V$100,$B422,5)))</f>
        <v>0</v>
      </c>
      <c r="Y422" s="3" t="str">
        <f t="shared" si="10"/>
        <v>ZZZ</v>
      </c>
      <c r="Z422" s="3" t="b">
        <f t="array" ref="Z422">OR(ISNUMBER(SEARCH(Y$2:Y$100,$B422,5)))</f>
        <v>0</v>
      </c>
      <c r="AB422" s="3" t="str">
        <f t="shared" si="11"/>
        <v>ZZZ</v>
      </c>
      <c r="AC422" s="3" t="b">
        <f t="array" ref="AC422">OR(ISNUMBER(SEARCH(AB$2:AB$100,$B422,5)))</f>
        <v>0</v>
      </c>
      <c r="AE422" s="3" t="str">
        <f t="shared" si="12"/>
        <v>ZZZ</v>
      </c>
      <c r="AF422" s="3" t="b">
        <f t="array" ref="AF422">OR(ISNUMBER(SEARCH(AE$2:AE$100,$B422,5)))</f>
        <v>0</v>
      </c>
      <c r="AH422" s="3" t="str">
        <f t="shared" si="13"/>
        <v>ZZZ</v>
      </c>
      <c r="AI422" s="3" t="b">
        <f t="array" ref="AI422">OR(ISNUMBER(SEARCH(AH$2:AH$100,$B422,5)))</f>
        <v>0</v>
      </c>
      <c r="AK422" s="3" t="str">
        <f t="shared" si="14"/>
        <v>ZZZ</v>
      </c>
      <c r="AL422" s="3" t="b">
        <f t="array" ref="AL422">OR(ISNUMBER(SEARCH(AK$2:AK$100,$B422,5)))</f>
        <v>0</v>
      </c>
      <c r="AU422" s="8"/>
      <c r="AV422" s="6"/>
      <c r="AW422" s="8"/>
      <c r="AX422" s="8"/>
      <c r="AY422" s="6"/>
      <c r="AZ422" s="8"/>
      <c r="BA422" s="8"/>
      <c r="BB422" s="6"/>
      <c r="BC422" s="8"/>
      <c r="BD422" s="8"/>
      <c r="BE422" s="6"/>
      <c r="BF422" s="8"/>
      <c r="BG422" s="8"/>
      <c r="BH422" s="6"/>
      <c r="BI422" s="8"/>
      <c r="BJ422" s="8"/>
      <c r="BK422" s="6"/>
      <c r="BL422" s="8"/>
      <c r="BM422" s="8"/>
      <c r="BN422" s="6"/>
      <c r="BO422" s="8"/>
      <c r="BP422" s="8"/>
      <c r="BQ422" s="6"/>
      <c r="BR422" s="8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  <c r="HQ422" s="7"/>
      <c r="HR422" s="7"/>
      <c r="HS422" s="7"/>
      <c r="HT422" s="7"/>
      <c r="HU422" s="7"/>
      <c r="HV422" s="7"/>
      <c r="HW422" s="7"/>
      <c r="HX422" s="7"/>
      <c r="HY422" s="7"/>
      <c r="HZ422" s="7"/>
      <c r="IA422" s="7"/>
      <c r="IB422" s="7"/>
      <c r="IC422" s="7"/>
      <c r="ID422" s="7"/>
      <c r="IE422" s="7"/>
      <c r="IF422" s="7"/>
      <c r="IG422" s="7"/>
      <c r="IH422" s="7"/>
      <c r="II422" s="7"/>
      <c r="IJ422" s="7"/>
      <c r="IK422" s="7"/>
      <c r="IL422" s="7"/>
      <c r="IM422" s="7"/>
      <c r="IN422" s="7"/>
      <c r="IO422" s="7"/>
      <c r="IP422" s="7"/>
      <c r="IQ422" s="7"/>
      <c r="IR422" s="7"/>
      <c r="IS422" s="7"/>
      <c r="IT422" s="7"/>
      <c r="IU422" s="7"/>
      <c r="IV422" s="7"/>
      <c r="IW422" s="7"/>
      <c r="IX422" s="7"/>
      <c r="IY422" s="7"/>
      <c r="IZ422" s="7"/>
      <c r="JA422" s="7"/>
      <c r="JB422" s="7"/>
      <c r="JC422" s="7"/>
      <c r="JD422" s="7"/>
      <c r="JE422" s="7"/>
      <c r="JF422" s="7"/>
      <c r="JG422" s="7"/>
      <c r="JH422" s="7"/>
      <c r="JI422" s="7"/>
      <c r="JJ422" s="7"/>
      <c r="JK422" s="7"/>
      <c r="JL422" s="7"/>
      <c r="JM422" s="7"/>
      <c r="JN422" s="7"/>
      <c r="JO422" s="7"/>
      <c r="JP422" s="7"/>
      <c r="JQ422" s="7"/>
      <c r="JR422" s="7"/>
      <c r="JS422" s="7"/>
      <c r="JT422" s="7"/>
      <c r="JU422" s="7"/>
      <c r="JV422" s="7"/>
      <c r="JW422" s="7"/>
      <c r="JX422" s="7"/>
      <c r="JY422" s="7"/>
      <c r="JZ422" s="7"/>
      <c r="KA422" s="7"/>
      <c r="KB422" s="7"/>
      <c r="KC422" s="7"/>
      <c r="KD422" s="7"/>
      <c r="KE422" s="7"/>
      <c r="KF422" s="7"/>
      <c r="KG422" s="7"/>
      <c r="KH422" s="7"/>
      <c r="KI422" s="7"/>
      <c r="KJ422" s="7"/>
      <c r="KK422" s="7"/>
      <c r="KL422" s="7"/>
      <c r="KM422" s="7"/>
      <c r="KN422" s="7"/>
    </row>
    <row r="423">
      <c r="A423" s="6"/>
      <c r="B423" s="6" t="s">
        <v>423</v>
      </c>
      <c r="C423" s="3" t="str">
        <f t="shared" si="3"/>
        <v>wavy black</v>
      </c>
      <c r="D423" s="3" t="str">
        <f t="shared" si="17"/>
        <v>ZZZ</v>
      </c>
      <c r="E423" s="3" t="b">
        <f t="array" ref="E423">OR(ISNUMBER(SEARCH(D$2:D$30,$B423,5)))</f>
        <v>0</v>
      </c>
      <c r="G423" s="3" t="str">
        <f t="shared" si="4"/>
        <v>ZZZ</v>
      </c>
      <c r="H423" s="3" t="b">
        <f t="array" ref="H423">OR(ISNUMBER(SEARCH(G$2:G$30,$B423,5)))</f>
        <v>0</v>
      </c>
      <c r="J423" s="3" t="str">
        <f t="shared" si="5"/>
        <v>ZZZ</v>
      </c>
      <c r="K423" s="3" t="b">
        <f t="array" ref="K423">OR(ISNUMBER(SEARCH(J$2:J$30,$B423,5)))</f>
        <v>0</v>
      </c>
      <c r="M423" s="3" t="str">
        <f t="shared" si="6"/>
        <v>ZZZ</v>
      </c>
      <c r="N423" s="3" t="b">
        <f t="array" ref="N423">OR(ISNUMBER(SEARCH(M$2:M$30,$B423,5)))</f>
        <v>0</v>
      </c>
      <c r="P423" s="3" t="str">
        <f t="shared" si="7"/>
        <v>ZZZ</v>
      </c>
      <c r="Q423" s="3" t="b">
        <f t="array" ref="Q423">OR(ISNUMBER(SEARCH(P$2:P$50,$B423,5)))</f>
        <v>0</v>
      </c>
      <c r="S423" s="3" t="str">
        <f t="shared" si="8"/>
        <v>ZZZ</v>
      </c>
      <c r="T423" s="3" t="b">
        <f t="array" ref="T423">OR(ISNUMBER(SEARCH(S$2:S$100,$B423,5)))</f>
        <v>0</v>
      </c>
      <c r="V423" s="3" t="str">
        <f t="shared" si="9"/>
        <v>ZZZ</v>
      </c>
      <c r="W423" s="3" t="b">
        <f t="array" ref="W423">OR(ISNUMBER(SEARCH(V$2:V$100,$B423,5)))</f>
        <v>0</v>
      </c>
      <c r="Y423" s="3" t="str">
        <f t="shared" si="10"/>
        <v>ZZZ</v>
      </c>
      <c r="Z423" s="3" t="b">
        <f t="array" ref="Z423">OR(ISNUMBER(SEARCH(Y$2:Y$100,$B423,5)))</f>
        <v>1</v>
      </c>
      <c r="AB423" s="3" t="str">
        <f t="shared" si="11"/>
        <v>ZZZ</v>
      </c>
      <c r="AC423" s="3" t="b">
        <f t="array" ref="AC423">OR(ISNUMBER(SEARCH(AB$2:AB$100,$B423,5)))</f>
        <v>0</v>
      </c>
      <c r="AE423" s="3" t="str">
        <f t="shared" si="12"/>
        <v>ZZZ</v>
      </c>
      <c r="AF423" s="3" t="b">
        <f t="array" ref="AF423">OR(ISNUMBER(SEARCH(AE$2:AE$100,$B423,5)))</f>
        <v>0</v>
      </c>
      <c r="AH423" s="3" t="str">
        <f t="shared" si="13"/>
        <v>ZZZ</v>
      </c>
      <c r="AI423" s="3" t="b">
        <f t="array" ref="AI423">OR(ISNUMBER(SEARCH(AH$2:AH$100,$B423,5)))</f>
        <v>0</v>
      </c>
      <c r="AK423" s="3" t="str">
        <f t="shared" si="14"/>
        <v>ZZZ</v>
      </c>
      <c r="AL423" s="3" t="b">
        <f t="array" ref="AL423">OR(ISNUMBER(SEARCH(AK$2:AK$100,$B423,5)))</f>
        <v>0</v>
      </c>
      <c r="AU423" s="8"/>
      <c r="AV423" s="6"/>
      <c r="AW423" s="8"/>
      <c r="AX423" s="8"/>
      <c r="AY423" s="6"/>
      <c r="AZ423" s="8"/>
      <c r="BA423" s="8"/>
      <c r="BB423" s="6"/>
      <c r="BC423" s="8"/>
      <c r="BD423" s="8"/>
      <c r="BE423" s="6"/>
      <c r="BF423" s="8"/>
      <c r="BG423" s="8"/>
      <c r="BH423" s="6"/>
      <c r="BI423" s="8"/>
      <c r="BJ423" s="8"/>
      <c r="BK423" s="6"/>
      <c r="BL423" s="8"/>
      <c r="BM423" s="8"/>
      <c r="BN423" s="6"/>
      <c r="BO423" s="8"/>
      <c r="BP423" s="8"/>
      <c r="BQ423" s="6"/>
      <c r="BR423" s="8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  <c r="HQ423" s="7"/>
      <c r="HR423" s="7"/>
      <c r="HS423" s="7"/>
      <c r="HT423" s="7"/>
      <c r="HU423" s="7"/>
      <c r="HV423" s="7"/>
      <c r="HW423" s="7"/>
      <c r="HX423" s="7"/>
      <c r="HY423" s="7"/>
      <c r="HZ423" s="7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7"/>
      <c r="IP423" s="7"/>
      <c r="IQ423" s="7"/>
      <c r="IR423" s="7"/>
      <c r="IS423" s="7"/>
      <c r="IT423" s="7"/>
      <c r="IU423" s="7"/>
      <c r="IV423" s="7"/>
      <c r="IW423" s="7"/>
      <c r="IX423" s="7"/>
      <c r="IY423" s="7"/>
      <c r="IZ423" s="7"/>
      <c r="JA423" s="7"/>
      <c r="JB423" s="7"/>
      <c r="JC423" s="7"/>
      <c r="JD423" s="7"/>
      <c r="JE423" s="7"/>
      <c r="JF423" s="7"/>
      <c r="JG423" s="7"/>
      <c r="JH423" s="7"/>
      <c r="JI423" s="7"/>
      <c r="JJ423" s="7"/>
      <c r="JK423" s="7"/>
      <c r="JL423" s="7"/>
      <c r="JM423" s="7"/>
      <c r="JN423" s="7"/>
      <c r="JO423" s="7"/>
      <c r="JP423" s="7"/>
      <c r="JQ423" s="7"/>
      <c r="JR423" s="7"/>
      <c r="JS423" s="7"/>
      <c r="JT423" s="7"/>
      <c r="JU423" s="7"/>
      <c r="JV423" s="7"/>
      <c r="JW423" s="7"/>
      <c r="JX423" s="7"/>
      <c r="JY423" s="7"/>
      <c r="JZ423" s="7"/>
      <c r="KA423" s="7"/>
      <c r="KB423" s="7"/>
      <c r="KC423" s="7"/>
      <c r="KD423" s="7"/>
      <c r="KE423" s="7"/>
      <c r="KF423" s="7"/>
      <c r="KG423" s="7"/>
      <c r="KH423" s="7"/>
      <c r="KI423" s="7"/>
      <c r="KJ423" s="7"/>
      <c r="KK423" s="7"/>
      <c r="KL423" s="7"/>
      <c r="KM423" s="7"/>
      <c r="KN423" s="7"/>
    </row>
    <row r="424">
      <c r="A424" s="6"/>
      <c r="B424" s="6" t="s">
        <v>424</v>
      </c>
      <c r="C424" s="3" t="str">
        <f t="shared" si="3"/>
        <v>striped green</v>
      </c>
      <c r="D424" s="3" t="str">
        <f t="shared" si="17"/>
        <v>ZZZ</v>
      </c>
      <c r="E424" s="3" t="b">
        <f t="array" ref="E424">OR(ISNUMBER(SEARCH(D$2:D$30,$B424,5)))</f>
        <v>0</v>
      </c>
      <c r="G424" s="3" t="str">
        <f t="shared" si="4"/>
        <v>ZZZ</v>
      </c>
      <c r="H424" s="3" t="b">
        <f t="array" ref="H424">OR(ISNUMBER(SEARCH(G$2:G$30,$B424,5)))</f>
        <v>0</v>
      </c>
      <c r="J424" s="3" t="str">
        <f t="shared" si="5"/>
        <v>ZZZ</v>
      </c>
      <c r="K424" s="3" t="b">
        <f t="array" ref="K424">OR(ISNUMBER(SEARCH(J$2:J$30,$B424,5)))</f>
        <v>0</v>
      </c>
      <c r="M424" s="3" t="str">
        <f t="shared" si="6"/>
        <v>ZZZ</v>
      </c>
      <c r="N424" s="3" t="b">
        <f t="array" ref="N424">OR(ISNUMBER(SEARCH(M$2:M$30,$B424,5)))</f>
        <v>0</v>
      </c>
      <c r="P424" s="3" t="str">
        <f t="shared" si="7"/>
        <v>ZZZ</v>
      </c>
      <c r="Q424" s="3" t="b">
        <f t="array" ref="Q424">OR(ISNUMBER(SEARCH(P$2:P$50,$B424,5)))</f>
        <v>0</v>
      </c>
      <c r="S424" s="3" t="str">
        <f t="shared" si="8"/>
        <v>ZZZ</v>
      </c>
      <c r="T424" s="3" t="b">
        <f t="array" ref="T424">OR(ISNUMBER(SEARCH(S$2:S$100,$B424,5)))</f>
        <v>0</v>
      </c>
      <c r="V424" s="3" t="str">
        <f t="shared" si="9"/>
        <v>ZZZ</v>
      </c>
      <c r="W424" s="3" t="b">
        <f t="array" ref="W424">OR(ISNUMBER(SEARCH(V$2:V$100,$B424,5)))</f>
        <v>0</v>
      </c>
      <c r="Y424" s="3" t="str">
        <f t="shared" si="10"/>
        <v>ZZZ</v>
      </c>
      <c r="Z424" s="3" t="b">
        <f t="array" ref="Z424">OR(ISNUMBER(SEARCH(Y$2:Y$100,$B424,5)))</f>
        <v>0</v>
      </c>
      <c r="AB424" s="3" t="str">
        <f t="shared" si="11"/>
        <v>ZZZ</v>
      </c>
      <c r="AC424" s="3" t="b">
        <f t="array" ref="AC424">OR(ISNUMBER(SEARCH(AB$2:AB$100,$B424,5)))</f>
        <v>0</v>
      </c>
      <c r="AE424" s="3" t="str">
        <f t="shared" si="12"/>
        <v>ZZZ</v>
      </c>
      <c r="AF424" s="3" t="b">
        <f t="array" ref="AF424">OR(ISNUMBER(SEARCH(AE$2:AE$100,$B424,5)))</f>
        <v>0</v>
      </c>
      <c r="AH424" s="3" t="str">
        <f t="shared" si="13"/>
        <v>ZZZ</v>
      </c>
      <c r="AI424" s="3" t="b">
        <f t="array" ref="AI424">OR(ISNUMBER(SEARCH(AH$2:AH$100,$B424,5)))</f>
        <v>0</v>
      </c>
      <c r="AK424" s="3" t="str">
        <f t="shared" si="14"/>
        <v>ZZZ</v>
      </c>
      <c r="AL424" s="3" t="b">
        <f t="array" ref="AL424">OR(ISNUMBER(SEARCH(AK$2:AK$100,$B424,5)))</f>
        <v>0</v>
      </c>
      <c r="AU424" s="8"/>
      <c r="AV424" s="6"/>
      <c r="AW424" s="8"/>
      <c r="AX424" s="8"/>
      <c r="AY424" s="6"/>
      <c r="AZ424" s="8"/>
      <c r="BA424" s="8"/>
      <c r="BB424" s="6"/>
      <c r="BC424" s="8"/>
      <c r="BD424" s="8"/>
      <c r="BE424" s="6"/>
      <c r="BF424" s="8"/>
      <c r="BG424" s="8"/>
      <c r="BH424" s="6"/>
      <c r="BI424" s="8"/>
      <c r="BJ424" s="8"/>
      <c r="BK424" s="6"/>
      <c r="BL424" s="8"/>
      <c r="BM424" s="8"/>
      <c r="BN424" s="6"/>
      <c r="BO424" s="8"/>
      <c r="BP424" s="8"/>
      <c r="BQ424" s="6"/>
      <c r="BR424" s="8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7"/>
      <c r="HW424" s="7"/>
      <c r="HX424" s="7"/>
      <c r="HY424" s="7"/>
      <c r="HZ424" s="7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7"/>
      <c r="IP424" s="7"/>
      <c r="IQ424" s="7"/>
      <c r="IR424" s="7"/>
      <c r="IS424" s="7"/>
      <c r="IT424" s="7"/>
      <c r="IU424" s="7"/>
      <c r="IV424" s="7"/>
      <c r="IW424" s="7"/>
      <c r="IX424" s="7"/>
      <c r="IY424" s="7"/>
      <c r="IZ424" s="7"/>
      <c r="JA424" s="7"/>
      <c r="JB424" s="7"/>
      <c r="JC424" s="7"/>
      <c r="JD424" s="7"/>
      <c r="JE424" s="7"/>
      <c r="JF424" s="7"/>
      <c r="JG424" s="7"/>
      <c r="JH424" s="7"/>
      <c r="JI424" s="7"/>
      <c r="JJ424" s="7"/>
      <c r="JK424" s="7"/>
      <c r="JL424" s="7"/>
      <c r="JM424" s="7"/>
      <c r="JN424" s="7"/>
      <c r="JO424" s="7"/>
      <c r="JP424" s="7"/>
      <c r="JQ424" s="7"/>
      <c r="JR424" s="7"/>
      <c r="JS424" s="7"/>
      <c r="JT424" s="7"/>
      <c r="JU424" s="7"/>
      <c r="JV424" s="7"/>
      <c r="JW424" s="7"/>
      <c r="JX424" s="7"/>
      <c r="JY424" s="7"/>
      <c r="JZ424" s="7"/>
      <c r="KA424" s="7"/>
      <c r="KB424" s="7"/>
      <c r="KC424" s="7"/>
      <c r="KD424" s="7"/>
      <c r="KE424" s="7"/>
      <c r="KF424" s="7"/>
      <c r="KG424" s="7"/>
      <c r="KH424" s="7"/>
      <c r="KI424" s="7"/>
      <c r="KJ424" s="7"/>
      <c r="KK424" s="7"/>
      <c r="KL424" s="7"/>
      <c r="KM424" s="7"/>
      <c r="KN424" s="7"/>
    </row>
    <row r="425">
      <c r="A425" s="6"/>
      <c r="B425" s="6" t="s">
        <v>425</v>
      </c>
      <c r="C425" s="3" t="str">
        <f t="shared" si="3"/>
        <v>dull lime</v>
      </c>
      <c r="D425" s="3" t="str">
        <f t="shared" si="17"/>
        <v>ZZZ</v>
      </c>
      <c r="E425" s="3" t="b">
        <f t="array" ref="E425">OR(ISNUMBER(SEARCH(D$2:D$30,$B425,5)))</f>
        <v>0</v>
      </c>
      <c r="G425" s="3" t="str">
        <f t="shared" si="4"/>
        <v>ZZZ</v>
      </c>
      <c r="H425" s="3" t="b">
        <f t="array" ref="H425">OR(ISNUMBER(SEARCH(G$2:G$30,$B425,5)))</f>
        <v>0</v>
      </c>
      <c r="J425" s="3" t="str">
        <f t="shared" si="5"/>
        <v>ZZZ</v>
      </c>
      <c r="K425" s="3" t="b">
        <f t="array" ref="K425">OR(ISNUMBER(SEARCH(J$2:J$30,$B425,5)))</f>
        <v>0</v>
      </c>
      <c r="M425" s="3" t="str">
        <f t="shared" si="6"/>
        <v>ZZZ</v>
      </c>
      <c r="N425" s="3" t="b">
        <f t="array" ref="N425">OR(ISNUMBER(SEARCH(M$2:M$30,$B425,5)))</f>
        <v>0</v>
      </c>
      <c r="P425" s="3" t="str">
        <f t="shared" si="7"/>
        <v>ZZZ</v>
      </c>
      <c r="Q425" s="3" t="b">
        <f t="array" ref="Q425">OR(ISNUMBER(SEARCH(P$2:P$50,$B425,5)))</f>
        <v>0</v>
      </c>
      <c r="S425" s="3" t="str">
        <f t="shared" si="8"/>
        <v>ZZZ</v>
      </c>
      <c r="T425" s="3" t="b">
        <f t="array" ref="T425">OR(ISNUMBER(SEARCH(S$2:S$100,$B425,5)))</f>
        <v>0</v>
      </c>
      <c r="V425" s="3" t="str">
        <f t="shared" si="9"/>
        <v>ZZZ</v>
      </c>
      <c r="W425" s="3" t="b">
        <f t="array" ref="W425">OR(ISNUMBER(SEARCH(V$2:V$100,$B425,5)))</f>
        <v>0</v>
      </c>
      <c r="Y425" s="3" t="str">
        <f t="shared" si="10"/>
        <v>ZZZ</v>
      </c>
      <c r="Z425" s="3" t="b">
        <f t="array" ref="Z425">OR(ISNUMBER(SEARCH(Y$2:Y$100,$B425,5)))</f>
        <v>0</v>
      </c>
      <c r="AB425" s="3" t="str">
        <f t="shared" si="11"/>
        <v>ZZZ</v>
      </c>
      <c r="AC425" s="3" t="b">
        <f t="array" ref="AC425">OR(ISNUMBER(SEARCH(AB$2:AB$100,$B425,5)))</f>
        <v>0</v>
      </c>
      <c r="AE425" s="3" t="str">
        <f t="shared" si="12"/>
        <v>ZZZ</v>
      </c>
      <c r="AF425" s="3" t="b">
        <f t="array" ref="AF425">OR(ISNUMBER(SEARCH(AE$2:AE$100,$B425,5)))</f>
        <v>0</v>
      </c>
      <c r="AH425" s="3" t="str">
        <f t="shared" si="13"/>
        <v>ZZZ</v>
      </c>
      <c r="AI425" s="3" t="b">
        <f t="array" ref="AI425">OR(ISNUMBER(SEARCH(AH$2:AH$100,$B425,5)))</f>
        <v>0</v>
      </c>
      <c r="AK425" s="3" t="str">
        <f t="shared" si="14"/>
        <v>ZZZ</v>
      </c>
      <c r="AL425" s="3" t="b">
        <f t="array" ref="AL425">OR(ISNUMBER(SEARCH(AK$2:AK$100,$B425,5)))</f>
        <v>0</v>
      </c>
      <c r="AU425" s="8"/>
      <c r="AV425" s="6"/>
      <c r="AW425" s="8"/>
      <c r="AX425" s="8"/>
      <c r="AY425" s="6"/>
      <c r="AZ425" s="8"/>
      <c r="BA425" s="8"/>
      <c r="BB425" s="6"/>
      <c r="BC425" s="8"/>
      <c r="BD425" s="8"/>
      <c r="BE425" s="6"/>
      <c r="BF425" s="8"/>
      <c r="BG425" s="8"/>
      <c r="BH425" s="6"/>
      <c r="BI425" s="8"/>
      <c r="BJ425" s="8"/>
      <c r="BK425" s="6"/>
      <c r="BL425" s="8"/>
      <c r="BM425" s="8"/>
      <c r="BN425" s="6"/>
      <c r="BO425" s="8"/>
      <c r="BP425" s="8"/>
      <c r="BQ425" s="6"/>
      <c r="BR425" s="8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/>
      <c r="HQ425" s="7"/>
      <c r="HR425" s="7"/>
      <c r="HS425" s="7"/>
      <c r="HT425" s="7"/>
      <c r="HU425" s="7"/>
      <c r="HV425" s="7"/>
      <c r="HW425" s="7"/>
      <c r="HX425" s="7"/>
      <c r="HY425" s="7"/>
      <c r="HZ425" s="7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7"/>
      <c r="IN425" s="7"/>
      <c r="IO425" s="7"/>
      <c r="IP425" s="7"/>
      <c r="IQ425" s="7"/>
      <c r="IR425" s="7"/>
      <c r="IS425" s="7"/>
      <c r="IT425" s="7"/>
      <c r="IU425" s="7"/>
      <c r="IV425" s="7"/>
      <c r="IW425" s="7"/>
      <c r="IX425" s="7"/>
      <c r="IY425" s="7"/>
      <c r="IZ425" s="7"/>
      <c r="JA425" s="7"/>
      <c r="JB425" s="7"/>
      <c r="JC425" s="7"/>
      <c r="JD425" s="7"/>
      <c r="JE425" s="7"/>
      <c r="JF425" s="7"/>
      <c r="JG425" s="7"/>
      <c r="JH425" s="7"/>
      <c r="JI425" s="7"/>
      <c r="JJ425" s="7"/>
      <c r="JK425" s="7"/>
      <c r="JL425" s="7"/>
      <c r="JM425" s="7"/>
      <c r="JN425" s="7"/>
      <c r="JO425" s="7"/>
      <c r="JP425" s="7"/>
      <c r="JQ425" s="7"/>
      <c r="JR425" s="7"/>
      <c r="JS425" s="7"/>
      <c r="JT425" s="7"/>
      <c r="JU425" s="7"/>
      <c r="JV425" s="7"/>
      <c r="JW425" s="7"/>
      <c r="JX425" s="7"/>
      <c r="JY425" s="7"/>
      <c r="JZ425" s="7"/>
      <c r="KA425" s="7"/>
      <c r="KB425" s="7"/>
      <c r="KC425" s="7"/>
      <c r="KD425" s="7"/>
      <c r="KE425" s="7"/>
      <c r="KF425" s="7"/>
      <c r="KG425" s="7"/>
      <c r="KH425" s="7"/>
      <c r="KI425" s="7"/>
      <c r="KJ425" s="7"/>
      <c r="KK425" s="7"/>
      <c r="KL425" s="7"/>
      <c r="KM425" s="7"/>
      <c r="KN425" s="7"/>
    </row>
    <row r="426">
      <c r="A426" s="6"/>
      <c r="B426" s="6" t="s">
        <v>426</v>
      </c>
      <c r="C426" s="3" t="str">
        <f t="shared" si="3"/>
        <v>faded chartreuse</v>
      </c>
      <c r="D426" s="3" t="str">
        <f t="shared" si="17"/>
        <v>ZZZ</v>
      </c>
      <c r="E426" s="3" t="b">
        <f t="array" ref="E426">OR(ISNUMBER(SEARCH(D$2:D$30,$B426,5)))</f>
        <v>0</v>
      </c>
      <c r="G426" s="3" t="str">
        <f t="shared" si="4"/>
        <v>ZZZ</v>
      </c>
      <c r="H426" s="3" t="b">
        <f t="array" ref="H426">OR(ISNUMBER(SEARCH(G$2:G$30,$B426,5)))</f>
        <v>0</v>
      </c>
      <c r="J426" s="3" t="str">
        <f t="shared" si="5"/>
        <v>ZZZ</v>
      </c>
      <c r="K426" s="3" t="b">
        <f t="array" ref="K426">OR(ISNUMBER(SEARCH(J$2:J$30,$B426,5)))</f>
        <v>0</v>
      </c>
      <c r="M426" s="3" t="str">
        <f t="shared" si="6"/>
        <v>ZZZ</v>
      </c>
      <c r="N426" s="3" t="b">
        <f t="array" ref="N426">OR(ISNUMBER(SEARCH(M$2:M$30,$B426,5)))</f>
        <v>0</v>
      </c>
      <c r="P426" s="3" t="str">
        <f t="shared" si="7"/>
        <v>ZZZ</v>
      </c>
      <c r="Q426" s="3" t="b">
        <f t="array" ref="Q426">OR(ISNUMBER(SEARCH(P$2:P$50,$B426,5)))</f>
        <v>0</v>
      </c>
      <c r="S426" s="3" t="str">
        <f t="shared" si="8"/>
        <v>ZZZ</v>
      </c>
      <c r="T426" s="3" t="b">
        <f t="array" ref="T426">OR(ISNUMBER(SEARCH(S$2:S$100,$B426,5)))</f>
        <v>0</v>
      </c>
      <c r="V426" s="3" t="str">
        <f t="shared" si="9"/>
        <v>ZZZ</v>
      </c>
      <c r="W426" s="3" t="b">
        <f t="array" ref="W426">OR(ISNUMBER(SEARCH(V$2:V$100,$B426,5)))</f>
        <v>0</v>
      </c>
      <c r="Y426" s="3" t="str">
        <f t="shared" si="10"/>
        <v>ZZZ</v>
      </c>
      <c r="Z426" s="3" t="b">
        <f t="array" ref="Z426">OR(ISNUMBER(SEARCH(Y$2:Y$100,$B426,5)))</f>
        <v>0</v>
      </c>
      <c r="AB426" s="3" t="str">
        <f t="shared" si="11"/>
        <v>ZZZ</v>
      </c>
      <c r="AC426" s="3" t="b">
        <f t="array" ref="AC426">OR(ISNUMBER(SEARCH(AB$2:AB$100,$B426,5)))</f>
        <v>0</v>
      </c>
      <c r="AE426" s="3" t="str">
        <f t="shared" si="12"/>
        <v>ZZZ</v>
      </c>
      <c r="AF426" s="3" t="b">
        <f t="array" ref="AF426">OR(ISNUMBER(SEARCH(AE$2:AE$100,$B426,5)))</f>
        <v>0</v>
      </c>
      <c r="AH426" s="3" t="str">
        <f t="shared" si="13"/>
        <v>ZZZ</v>
      </c>
      <c r="AI426" s="3" t="b">
        <f t="array" ref="AI426">OR(ISNUMBER(SEARCH(AH$2:AH$100,$B426,5)))</f>
        <v>0</v>
      </c>
      <c r="AK426" s="3" t="str">
        <f t="shared" si="14"/>
        <v>ZZZ</v>
      </c>
      <c r="AL426" s="3" t="b">
        <f t="array" ref="AL426">OR(ISNUMBER(SEARCH(AK$2:AK$100,$B426,5)))</f>
        <v>0</v>
      </c>
      <c r="AU426" s="8"/>
      <c r="AV426" s="6"/>
      <c r="AW426" s="8"/>
      <c r="AX426" s="8"/>
      <c r="AY426" s="6"/>
      <c r="AZ426" s="8"/>
      <c r="BA426" s="8"/>
      <c r="BB426" s="6"/>
      <c r="BC426" s="8"/>
      <c r="BD426" s="8"/>
      <c r="BE426" s="6"/>
      <c r="BF426" s="8"/>
      <c r="BG426" s="8"/>
      <c r="BH426" s="6"/>
      <c r="BI426" s="8"/>
      <c r="BJ426" s="8"/>
      <c r="BK426" s="6"/>
      <c r="BL426" s="8"/>
      <c r="BM426" s="8"/>
      <c r="BN426" s="6"/>
      <c r="BO426" s="8"/>
      <c r="BP426" s="8"/>
      <c r="BQ426" s="6"/>
      <c r="BR426" s="8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  <c r="HM426" s="7"/>
      <c r="HN426" s="7"/>
      <c r="HO426" s="7"/>
      <c r="HP426" s="7"/>
      <c r="HQ426" s="7"/>
      <c r="HR426" s="7"/>
      <c r="HS426" s="7"/>
      <c r="HT426" s="7"/>
      <c r="HU426" s="7"/>
      <c r="HV426" s="7"/>
      <c r="HW426" s="7"/>
      <c r="HX426" s="7"/>
      <c r="HY426" s="7"/>
      <c r="HZ426" s="7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7"/>
      <c r="IN426" s="7"/>
      <c r="IO426" s="7"/>
      <c r="IP426" s="7"/>
      <c r="IQ426" s="7"/>
      <c r="IR426" s="7"/>
      <c r="IS426" s="7"/>
      <c r="IT426" s="7"/>
      <c r="IU426" s="7"/>
      <c r="IV426" s="7"/>
      <c r="IW426" s="7"/>
      <c r="IX426" s="7"/>
      <c r="IY426" s="7"/>
      <c r="IZ426" s="7"/>
      <c r="JA426" s="7"/>
      <c r="JB426" s="7"/>
      <c r="JC426" s="7"/>
      <c r="JD426" s="7"/>
      <c r="JE426" s="7"/>
      <c r="JF426" s="7"/>
      <c r="JG426" s="7"/>
      <c r="JH426" s="7"/>
      <c r="JI426" s="7"/>
      <c r="JJ426" s="7"/>
      <c r="JK426" s="7"/>
      <c r="JL426" s="7"/>
      <c r="JM426" s="7"/>
      <c r="JN426" s="7"/>
      <c r="JO426" s="7"/>
      <c r="JP426" s="7"/>
      <c r="JQ426" s="7"/>
      <c r="JR426" s="7"/>
      <c r="JS426" s="7"/>
      <c r="JT426" s="7"/>
      <c r="JU426" s="7"/>
      <c r="JV426" s="7"/>
      <c r="JW426" s="7"/>
      <c r="JX426" s="7"/>
      <c r="JY426" s="7"/>
      <c r="JZ426" s="7"/>
      <c r="KA426" s="7"/>
      <c r="KB426" s="7"/>
      <c r="KC426" s="7"/>
      <c r="KD426" s="7"/>
      <c r="KE426" s="7"/>
      <c r="KF426" s="7"/>
      <c r="KG426" s="7"/>
      <c r="KH426" s="7"/>
      <c r="KI426" s="7"/>
      <c r="KJ426" s="7"/>
      <c r="KK426" s="7"/>
      <c r="KL426" s="7"/>
      <c r="KM426" s="7"/>
      <c r="KN426" s="7"/>
    </row>
    <row r="427">
      <c r="A427" s="6"/>
      <c r="B427" s="6" t="s">
        <v>427</v>
      </c>
      <c r="C427" s="3" t="str">
        <f t="shared" si="3"/>
        <v>dark yellow</v>
      </c>
      <c r="D427" s="3" t="str">
        <f t="shared" si="17"/>
        <v>ZZZ</v>
      </c>
      <c r="E427" s="3" t="b">
        <f t="array" ref="E427">OR(ISNUMBER(SEARCH(D$2:D$30,$B427,5)))</f>
        <v>0</v>
      </c>
      <c r="G427" s="3" t="str">
        <f t="shared" si="4"/>
        <v>ZZZ</v>
      </c>
      <c r="H427" s="3" t="b">
        <f t="array" ref="H427">OR(ISNUMBER(SEARCH(G$2:G$30,$B427,5)))</f>
        <v>0</v>
      </c>
      <c r="J427" s="3" t="str">
        <f t="shared" si="5"/>
        <v>ZZZ</v>
      </c>
      <c r="K427" s="3" t="b">
        <f t="array" ref="K427">OR(ISNUMBER(SEARCH(J$2:J$30,$B427,5)))</f>
        <v>0</v>
      </c>
      <c r="M427" s="3" t="str">
        <f t="shared" si="6"/>
        <v>ZZZ</v>
      </c>
      <c r="N427" s="3" t="b">
        <f t="array" ref="N427">OR(ISNUMBER(SEARCH(M$2:M$30,$B427,5)))</f>
        <v>0</v>
      </c>
      <c r="P427" s="3" t="str">
        <f t="shared" si="7"/>
        <v>ZZZ</v>
      </c>
      <c r="Q427" s="3" t="b">
        <f t="array" ref="Q427">OR(ISNUMBER(SEARCH(P$2:P$50,$B427,5)))</f>
        <v>0</v>
      </c>
      <c r="S427" s="3" t="str">
        <f t="shared" si="8"/>
        <v>ZZZ</v>
      </c>
      <c r="T427" s="3" t="b">
        <f t="array" ref="T427">OR(ISNUMBER(SEARCH(S$2:S$100,$B427,5)))</f>
        <v>0</v>
      </c>
      <c r="V427" s="3" t="str">
        <f t="shared" si="9"/>
        <v>ZZZ</v>
      </c>
      <c r="W427" s="3" t="b">
        <f t="array" ref="W427">OR(ISNUMBER(SEARCH(V$2:V$100,$B427,5)))</f>
        <v>0</v>
      </c>
      <c r="Y427" s="3" t="str">
        <f t="shared" si="10"/>
        <v>ZZZ</v>
      </c>
      <c r="Z427" s="3" t="b">
        <f t="array" ref="Z427">OR(ISNUMBER(SEARCH(Y$2:Y$100,$B427,5)))</f>
        <v>0</v>
      </c>
      <c r="AB427" s="3" t="str">
        <f t="shared" si="11"/>
        <v>ZZZ</v>
      </c>
      <c r="AC427" s="3" t="b">
        <f t="array" ref="AC427">OR(ISNUMBER(SEARCH(AB$2:AB$100,$B427,5)))</f>
        <v>0</v>
      </c>
      <c r="AE427" s="3" t="str">
        <f t="shared" si="12"/>
        <v>ZZZ</v>
      </c>
      <c r="AF427" s="3" t="b">
        <f t="array" ref="AF427">OR(ISNUMBER(SEARCH(AE$2:AE$100,$B427,5)))</f>
        <v>0</v>
      </c>
      <c r="AH427" s="3" t="str">
        <f t="shared" si="13"/>
        <v>ZZZ</v>
      </c>
      <c r="AI427" s="3" t="b">
        <f t="array" ref="AI427">OR(ISNUMBER(SEARCH(AH$2:AH$100,$B427,5)))</f>
        <v>0</v>
      </c>
      <c r="AK427" s="3" t="str">
        <f t="shared" si="14"/>
        <v>ZZZ</v>
      </c>
      <c r="AL427" s="3" t="b">
        <f t="array" ref="AL427">OR(ISNUMBER(SEARCH(AK$2:AK$100,$B427,5)))</f>
        <v>0</v>
      </c>
      <c r="AU427" s="8"/>
      <c r="AV427" s="6"/>
      <c r="AW427" s="8"/>
      <c r="AX427" s="8"/>
      <c r="AY427" s="6"/>
      <c r="AZ427" s="8"/>
      <c r="BA427" s="8"/>
      <c r="BB427" s="6"/>
      <c r="BC427" s="8"/>
      <c r="BD427" s="8"/>
      <c r="BE427" s="6"/>
      <c r="BF427" s="8"/>
      <c r="BG427" s="8"/>
      <c r="BH427" s="6"/>
      <c r="BI427" s="8"/>
      <c r="BJ427" s="8"/>
      <c r="BK427" s="6"/>
      <c r="BL427" s="8"/>
      <c r="BM427" s="8"/>
      <c r="BN427" s="6"/>
      <c r="BO427" s="8"/>
      <c r="BP427" s="8"/>
      <c r="BQ427" s="6"/>
      <c r="BR427" s="8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7"/>
      <c r="GV427" s="7"/>
      <c r="GW427" s="7"/>
      <c r="GX427" s="7"/>
      <c r="GY427" s="7"/>
      <c r="GZ427" s="7"/>
      <c r="HA427" s="7"/>
      <c r="HB427" s="7"/>
      <c r="HC427" s="7"/>
      <c r="HD427" s="7"/>
      <c r="HE427" s="7"/>
      <c r="HF427" s="7"/>
      <c r="HG427" s="7"/>
      <c r="HH427" s="7"/>
      <c r="HI427" s="7"/>
      <c r="HJ427" s="7"/>
      <c r="HK427" s="7"/>
      <c r="HL427" s="7"/>
      <c r="HM427" s="7"/>
      <c r="HN427" s="7"/>
      <c r="HO427" s="7"/>
      <c r="HP427" s="7"/>
      <c r="HQ427" s="7"/>
      <c r="HR427" s="7"/>
      <c r="HS427" s="7"/>
      <c r="HT427" s="7"/>
      <c r="HU427" s="7"/>
      <c r="HV427" s="7"/>
      <c r="HW427" s="7"/>
      <c r="HX427" s="7"/>
      <c r="HY427" s="7"/>
      <c r="HZ427" s="7"/>
      <c r="IA427" s="7"/>
      <c r="IB427" s="7"/>
      <c r="IC427" s="7"/>
      <c r="ID427" s="7"/>
      <c r="IE427" s="7"/>
      <c r="IF427" s="7"/>
      <c r="IG427" s="7"/>
      <c r="IH427" s="7"/>
      <c r="II427" s="7"/>
      <c r="IJ427" s="7"/>
      <c r="IK427" s="7"/>
      <c r="IL427" s="7"/>
      <c r="IM427" s="7"/>
      <c r="IN427" s="7"/>
      <c r="IO427" s="7"/>
      <c r="IP427" s="7"/>
      <c r="IQ427" s="7"/>
      <c r="IR427" s="7"/>
      <c r="IS427" s="7"/>
      <c r="IT427" s="7"/>
      <c r="IU427" s="7"/>
      <c r="IV427" s="7"/>
      <c r="IW427" s="7"/>
      <c r="IX427" s="7"/>
      <c r="IY427" s="7"/>
      <c r="IZ427" s="7"/>
      <c r="JA427" s="7"/>
      <c r="JB427" s="7"/>
      <c r="JC427" s="7"/>
      <c r="JD427" s="7"/>
      <c r="JE427" s="7"/>
      <c r="JF427" s="7"/>
      <c r="JG427" s="7"/>
      <c r="JH427" s="7"/>
      <c r="JI427" s="7"/>
      <c r="JJ427" s="7"/>
      <c r="JK427" s="7"/>
      <c r="JL427" s="7"/>
      <c r="JM427" s="7"/>
      <c r="JN427" s="7"/>
      <c r="JO427" s="7"/>
      <c r="JP427" s="7"/>
      <c r="JQ427" s="7"/>
      <c r="JR427" s="7"/>
      <c r="JS427" s="7"/>
      <c r="JT427" s="7"/>
      <c r="JU427" s="7"/>
      <c r="JV427" s="7"/>
      <c r="JW427" s="7"/>
      <c r="JX427" s="7"/>
      <c r="JY427" s="7"/>
      <c r="JZ427" s="7"/>
      <c r="KA427" s="7"/>
      <c r="KB427" s="7"/>
      <c r="KC427" s="7"/>
      <c r="KD427" s="7"/>
      <c r="KE427" s="7"/>
      <c r="KF427" s="7"/>
      <c r="KG427" s="7"/>
      <c r="KH427" s="7"/>
      <c r="KI427" s="7"/>
      <c r="KJ427" s="7"/>
      <c r="KK427" s="7"/>
      <c r="KL427" s="7"/>
      <c r="KM427" s="7"/>
      <c r="KN427" s="7"/>
    </row>
    <row r="428">
      <c r="A428" s="6"/>
      <c r="B428" s="6" t="s">
        <v>428</v>
      </c>
      <c r="C428" s="3" t="str">
        <f t="shared" si="3"/>
        <v>plaid beige</v>
      </c>
      <c r="D428" s="3" t="str">
        <f t="shared" si="17"/>
        <v>ZZZ</v>
      </c>
      <c r="E428" s="3" t="b">
        <f t="array" ref="E428">OR(ISNUMBER(SEARCH(D$2:D$30,$B428,5)))</f>
        <v>0</v>
      </c>
      <c r="G428" s="3" t="str">
        <f t="shared" si="4"/>
        <v>ZZZ</v>
      </c>
      <c r="H428" s="3" t="b">
        <f t="array" ref="H428">OR(ISNUMBER(SEARCH(G$2:G$30,$B428,5)))</f>
        <v>0</v>
      </c>
      <c r="J428" s="3" t="str">
        <f t="shared" si="5"/>
        <v>ZZZ</v>
      </c>
      <c r="K428" s="3" t="b">
        <f t="array" ref="K428">OR(ISNUMBER(SEARCH(J$2:J$30,$B428,5)))</f>
        <v>0</v>
      </c>
      <c r="M428" s="3" t="str">
        <f t="shared" si="6"/>
        <v>ZZZ</v>
      </c>
      <c r="N428" s="3" t="b">
        <f t="array" ref="N428">OR(ISNUMBER(SEARCH(M$2:M$30,$B428,5)))</f>
        <v>1</v>
      </c>
      <c r="P428" s="3" t="str">
        <f t="shared" si="7"/>
        <v>ZZZ</v>
      </c>
      <c r="Q428" s="3" t="b">
        <f t="array" ref="Q428">OR(ISNUMBER(SEARCH(P$2:P$50,$B428,5)))</f>
        <v>0</v>
      </c>
      <c r="S428" s="3" t="str">
        <f t="shared" si="8"/>
        <v>ZZZ</v>
      </c>
      <c r="T428" s="3" t="b">
        <f t="array" ref="T428">OR(ISNUMBER(SEARCH(S$2:S$100,$B428,5)))</f>
        <v>0</v>
      </c>
      <c r="V428" s="3" t="str">
        <f t="shared" si="9"/>
        <v>ZZZ</v>
      </c>
      <c r="W428" s="3" t="b">
        <f t="array" ref="W428">OR(ISNUMBER(SEARCH(V$2:V$100,$B428,5)))</f>
        <v>1</v>
      </c>
      <c r="Y428" s="3" t="str">
        <f t="shared" si="10"/>
        <v>ZZZ</v>
      </c>
      <c r="Z428" s="3" t="b">
        <f t="array" ref="Z428">OR(ISNUMBER(SEARCH(Y$2:Y$100,$B428,5)))</f>
        <v>0</v>
      </c>
      <c r="AB428" s="3" t="str">
        <f t="shared" si="11"/>
        <v>ZZZ</v>
      </c>
      <c r="AC428" s="3" t="b">
        <f t="array" ref="AC428">OR(ISNUMBER(SEARCH(AB$2:AB$100,$B428,5)))</f>
        <v>0</v>
      </c>
      <c r="AE428" s="3" t="str">
        <f t="shared" si="12"/>
        <v>ZZZ</v>
      </c>
      <c r="AF428" s="3" t="b">
        <f t="array" ref="AF428">OR(ISNUMBER(SEARCH(AE$2:AE$100,$B428,5)))</f>
        <v>0</v>
      </c>
      <c r="AH428" s="3" t="str">
        <f t="shared" si="13"/>
        <v>ZZZ</v>
      </c>
      <c r="AI428" s="3" t="b">
        <f t="array" ref="AI428">OR(ISNUMBER(SEARCH(AH$2:AH$100,$B428,5)))</f>
        <v>0</v>
      </c>
      <c r="AK428" s="3" t="str">
        <f t="shared" si="14"/>
        <v>ZZZ</v>
      </c>
      <c r="AL428" s="3" t="b">
        <f t="array" ref="AL428">OR(ISNUMBER(SEARCH(AK$2:AK$100,$B428,5)))</f>
        <v>0</v>
      </c>
      <c r="AU428" s="8"/>
      <c r="AV428" s="6"/>
      <c r="AW428" s="8"/>
      <c r="AX428" s="8"/>
      <c r="AY428" s="6"/>
      <c r="AZ428" s="8"/>
      <c r="BA428" s="8"/>
      <c r="BB428" s="6"/>
      <c r="BC428" s="8"/>
      <c r="BD428" s="8"/>
      <c r="BE428" s="6"/>
      <c r="BF428" s="8"/>
      <c r="BG428" s="8"/>
      <c r="BH428" s="6"/>
      <c r="BI428" s="8"/>
      <c r="BJ428" s="8"/>
      <c r="BK428" s="6"/>
      <c r="BL428" s="8"/>
      <c r="BM428" s="8"/>
      <c r="BN428" s="6"/>
      <c r="BO428" s="8"/>
      <c r="BP428" s="8"/>
      <c r="BQ428" s="6"/>
      <c r="BR428" s="8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  <c r="GS428" s="7"/>
      <c r="GT428" s="7"/>
      <c r="GU428" s="7"/>
      <c r="GV428" s="7"/>
      <c r="GW428" s="7"/>
      <c r="GX428" s="7"/>
      <c r="GY428" s="7"/>
      <c r="GZ428" s="7"/>
      <c r="HA428" s="7"/>
      <c r="HB428" s="7"/>
      <c r="HC428" s="7"/>
      <c r="HD428" s="7"/>
      <c r="HE428" s="7"/>
      <c r="HF428" s="7"/>
      <c r="HG428" s="7"/>
      <c r="HH428" s="7"/>
      <c r="HI428" s="7"/>
      <c r="HJ428" s="7"/>
      <c r="HK428" s="7"/>
      <c r="HL428" s="7"/>
      <c r="HM428" s="7"/>
      <c r="HN428" s="7"/>
      <c r="HO428" s="7"/>
      <c r="HP428" s="7"/>
      <c r="HQ428" s="7"/>
      <c r="HR428" s="7"/>
      <c r="HS428" s="7"/>
      <c r="HT428" s="7"/>
      <c r="HU428" s="7"/>
      <c r="HV428" s="7"/>
      <c r="HW428" s="7"/>
      <c r="HX428" s="7"/>
      <c r="HY428" s="7"/>
      <c r="HZ428" s="7"/>
      <c r="IA428" s="7"/>
      <c r="IB428" s="7"/>
      <c r="IC428" s="7"/>
      <c r="ID428" s="7"/>
      <c r="IE428" s="7"/>
      <c r="IF428" s="7"/>
      <c r="IG428" s="7"/>
      <c r="IH428" s="7"/>
      <c r="II428" s="7"/>
      <c r="IJ428" s="7"/>
      <c r="IK428" s="7"/>
      <c r="IL428" s="7"/>
      <c r="IM428" s="7"/>
      <c r="IN428" s="7"/>
      <c r="IO428" s="7"/>
      <c r="IP428" s="7"/>
      <c r="IQ428" s="7"/>
      <c r="IR428" s="7"/>
      <c r="IS428" s="7"/>
      <c r="IT428" s="7"/>
      <c r="IU428" s="7"/>
      <c r="IV428" s="7"/>
      <c r="IW428" s="7"/>
      <c r="IX428" s="7"/>
      <c r="IY428" s="7"/>
      <c r="IZ428" s="7"/>
      <c r="JA428" s="7"/>
      <c r="JB428" s="7"/>
      <c r="JC428" s="7"/>
      <c r="JD428" s="7"/>
      <c r="JE428" s="7"/>
      <c r="JF428" s="7"/>
      <c r="JG428" s="7"/>
      <c r="JH428" s="7"/>
      <c r="JI428" s="7"/>
      <c r="JJ428" s="7"/>
      <c r="JK428" s="7"/>
      <c r="JL428" s="7"/>
      <c r="JM428" s="7"/>
      <c r="JN428" s="7"/>
      <c r="JO428" s="7"/>
      <c r="JP428" s="7"/>
      <c r="JQ428" s="7"/>
      <c r="JR428" s="7"/>
      <c r="JS428" s="7"/>
      <c r="JT428" s="7"/>
      <c r="JU428" s="7"/>
      <c r="JV428" s="7"/>
      <c r="JW428" s="7"/>
      <c r="JX428" s="7"/>
      <c r="JY428" s="7"/>
      <c r="JZ428" s="7"/>
      <c r="KA428" s="7"/>
      <c r="KB428" s="7"/>
      <c r="KC428" s="7"/>
      <c r="KD428" s="7"/>
      <c r="KE428" s="7"/>
      <c r="KF428" s="7"/>
      <c r="KG428" s="7"/>
      <c r="KH428" s="7"/>
      <c r="KI428" s="7"/>
      <c r="KJ428" s="7"/>
      <c r="KK428" s="7"/>
      <c r="KL428" s="7"/>
      <c r="KM428" s="7"/>
      <c r="KN428" s="7"/>
    </row>
    <row r="429">
      <c r="A429" s="6"/>
      <c r="B429" s="6" t="s">
        <v>429</v>
      </c>
      <c r="C429" s="3" t="str">
        <f t="shared" si="3"/>
        <v>faded maroon</v>
      </c>
      <c r="D429" s="3" t="str">
        <f t="shared" si="17"/>
        <v>ZZZ</v>
      </c>
      <c r="E429" s="3" t="b">
        <f t="array" ref="E429">OR(ISNUMBER(SEARCH(D$2:D$30,$B429,5)))</f>
        <v>0</v>
      </c>
      <c r="G429" s="3" t="str">
        <f t="shared" si="4"/>
        <v>ZZZ</v>
      </c>
      <c r="H429" s="3" t="b">
        <f t="array" ref="H429">OR(ISNUMBER(SEARCH(G$2:G$30,$B429,5)))</f>
        <v>0</v>
      </c>
      <c r="J429" s="3" t="str">
        <f t="shared" si="5"/>
        <v>ZZZ</v>
      </c>
      <c r="K429" s="3" t="b">
        <f t="array" ref="K429">OR(ISNUMBER(SEARCH(J$2:J$30,$B429,5)))</f>
        <v>0</v>
      </c>
      <c r="M429" s="3" t="str">
        <f t="shared" si="6"/>
        <v>ZZZ</v>
      </c>
      <c r="N429" s="3" t="b">
        <f t="array" ref="N429">OR(ISNUMBER(SEARCH(M$2:M$30,$B429,5)))</f>
        <v>0</v>
      </c>
      <c r="P429" s="3" t="str">
        <f t="shared" si="7"/>
        <v>ZZZ</v>
      </c>
      <c r="Q429" s="3" t="b">
        <f t="array" ref="Q429">OR(ISNUMBER(SEARCH(P$2:P$50,$B429,5)))</f>
        <v>0</v>
      </c>
      <c r="S429" s="3" t="str">
        <f t="shared" si="8"/>
        <v>ZZZ</v>
      </c>
      <c r="T429" s="3" t="b">
        <f t="array" ref="T429">OR(ISNUMBER(SEARCH(S$2:S$100,$B429,5)))</f>
        <v>0</v>
      </c>
      <c r="V429" s="3" t="str">
        <f t="shared" si="9"/>
        <v>ZZZ</v>
      </c>
      <c r="W429" s="3" t="b">
        <f t="array" ref="W429">OR(ISNUMBER(SEARCH(V$2:V$100,$B429,5)))</f>
        <v>0</v>
      </c>
      <c r="Y429" s="3" t="str">
        <f t="shared" si="10"/>
        <v>ZZZ</v>
      </c>
      <c r="Z429" s="3" t="b">
        <f t="array" ref="Z429">OR(ISNUMBER(SEARCH(Y$2:Y$100,$B429,5)))</f>
        <v>0</v>
      </c>
      <c r="AB429" s="3" t="str">
        <f t="shared" si="11"/>
        <v>ZZZ</v>
      </c>
      <c r="AC429" s="3" t="b">
        <f t="array" ref="AC429">OR(ISNUMBER(SEARCH(AB$2:AB$100,$B429,5)))</f>
        <v>0</v>
      </c>
      <c r="AE429" s="3" t="str">
        <f t="shared" si="12"/>
        <v>ZZZ</v>
      </c>
      <c r="AF429" s="3" t="b">
        <f t="array" ref="AF429">OR(ISNUMBER(SEARCH(AE$2:AE$100,$B429,5)))</f>
        <v>0</v>
      </c>
      <c r="AH429" s="3" t="str">
        <f t="shared" si="13"/>
        <v>ZZZ</v>
      </c>
      <c r="AI429" s="3" t="b">
        <f t="array" ref="AI429">OR(ISNUMBER(SEARCH(AH$2:AH$100,$B429,5)))</f>
        <v>0</v>
      </c>
      <c r="AK429" s="3" t="str">
        <f t="shared" si="14"/>
        <v>ZZZ</v>
      </c>
      <c r="AL429" s="3" t="b">
        <f t="array" ref="AL429">OR(ISNUMBER(SEARCH(AK$2:AK$100,$B429,5)))</f>
        <v>0</v>
      </c>
      <c r="AU429" s="8"/>
      <c r="AV429" s="6"/>
      <c r="AW429" s="8"/>
      <c r="AX429" s="8"/>
      <c r="AY429" s="6"/>
      <c r="AZ429" s="8"/>
      <c r="BA429" s="8"/>
      <c r="BB429" s="6"/>
      <c r="BC429" s="8"/>
      <c r="BD429" s="8"/>
      <c r="BE429" s="6"/>
      <c r="BF429" s="8"/>
      <c r="BG429" s="8"/>
      <c r="BH429" s="6"/>
      <c r="BI429" s="8"/>
      <c r="BJ429" s="8"/>
      <c r="BK429" s="6"/>
      <c r="BL429" s="8"/>
      <c r="BM429" s="8"/>
      <c r="BN429" s="6"/>
      <c r="BO429" s="8"/>
      <c r="BP429" s="8"/>
      <c r="BQ429" s="6"/>
      <c r="BR429" s="8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  <c r="HM429" s="7"/>
      <c r="HN429" s="7"/>
      <c r="HO429" s="7"/>
      <c r="HP429" s="7"/>
      <c r="HQ429" s="7"/>
      <c r="HR429" s="7"/>
      <c r="HS429" s="7"/>
      <c r="HT429" s="7"/>
      <c r="HU429" s="7"/>
      <c r="HV429" s="7"/>
      <c r="HW429" s="7"/>
      <c r="HX429" s="7"/>
      <c r="HY429" s="7"/>
      <c r="HZ429" s="7"/>
      <c r="IA429" s="7"/>
      <c r="IB429" s="7"/>
      <c r="IC429" s="7"/>
      <c r="ID429" s="7"/>
      <c r="IE429" s="7"/>
      <c r="IF429" s="7"/>
      <c r="IG429" s="7"/>
      <c r="IH429" s="7"/>
      <c r="II429" s="7"/>
      <c r="IJ429" s="7"/>
      <c r="IK429" s="7"/>
      <c r="IL429" s="7"/>
      <c r="IM429" s="7"/>
      <c r="IN429" s="7"/>
      <c r="IO429" s="7"/>
      <c r="IP429" s="7"/>
      <c r="IQ429" s="7"/>
      <c r="IR429" s="7"/>
      <c r="IS429" s="7"/>
      <c r="IT429" s="7"/>
      <c r="IU429" s="7"/>
      <c r="IV429" s="7"/>
      <c r="IW429" s="7"/>
      <c r="IX429" s="7"/>
      <c r="IY429" s="7"/>
      <c r="IZ429" s="7"/>
      <c r="JA429" s="7"/>
      <c r="JB429" s="7"/>
      <c r="JC429" s="7"/>
      <c r="JD429" s="7"/>
      <c r="JE429" s="7"/>
      <c r="JF429" s="7"/>
      <c r="JG429" s="7"/>
      <c r="JH429" s="7"/>
      <c r="JI429" s="7"/>
      <c r="JJ429" s="7"/>
      <c r="JK429" s="7"/>
      <c r="JL429" s="7"/>
      <c r="JM429" s="7"/>
      <c r="JN429" s="7"/>
      <c r="JO429" s="7"/>
      <c r="JP429" s="7"/>
      <c r="JQ429" s="7"/>
      <c r="JR429" s="7"/>
      <c r="JS429" s="7"/>
      <c r="JT429" s="7"/>
      <c r="JU429" s="7"/>
      <c r="JV429" s="7"/>
      <c r="JW429" s="7"/>
      <c r="JX429" s="7"/>
      <c r="JY429" s="7"/>
      <c r="JZ429" s="7"/>
      <c r="KA429" s="7"/>
      <c r="KB429" s="7"/>
      <c r="KC429" s="7"/>
      <c r="KD429" s="7"/>
      <c r="KE429" s="7"/>
      <c r="KF429" s="7"/>
      <c r="KG429" s="7"/>
      <c r="KH429" s="7"/>
      <c r="KI429" s="7"/>
      <c r="KJ429" s="7"/>
      <c r="KK429" s="7"/>
      <c r="KL429" s="7"/>
      <c r="KM429" s="7"/>
      <c r="KN429" s="7"/>
    </row>
    <row r="430">
      <c r="A430" s="6"/>
      <c r="B430" s="6" t="s">
        <v>430</v>
      </c>
      <c r="C430" s="3" t="str">
        <f t="shared" si="3"/>
        <v>muted silver</v>
      </c>
      <c r="D430" s="3" t="str">
        <f t="shared" si="17"/>
        <v>ZZZ</v>
      </c>
      <c r="E430" s="3" t="b">
        <f t="array" ref="E430">OR(ISNUMBER(SEARCH(D$2:D$30,$B430,5)))</f>
        <v>0</v>
      </c>
      <c r="G430" s="3" t="str">
        <f t="shared" si="4"/>
        <v>ZZZ</v>
      </c>
      <c r="H430" s="3" t="b">
        <f t="array" ref="H430">OR(ISNUMBER(SEARCH(G$2:G$30,$B430,5)))</f>
        <v>1</v>
      </c>
      <c r="J430" s="3" t="str">
        <f t="shared" si="5"/>
        <v>ZZZ</v>
      </c>
      <c r="K430" s="3" t="b">
        <f t="array" ref="K430">OR(ISNUMBER(SEARCH(J$2:J$30,$B430,5)))</f>
        <v>0</v>
      </c>
      <c r="M430" s="3" t="str">
        <f t="shared" si="6"/>
        <v>ZZZ</v>
      </c>
      <c r="N430" s="3" t="b">
        <f t="array" ref="N430">OR(ISNUMBER(SEARCH(M$2:M$30,$B430,5)))</f>
        <v>0</v>
      </c>
      <c r="P430" s="3" t="str">
        <f t="shared" si="7"/>
        <v>ZZZ</v>
      </c>
      <c r="Q430" s="3" t="b">
        <f t="array" ref="Q430">OR(ISNUMBER(SEARCH(P$2:P$50,$B430,5)))</f>
        <v>0</v>
      </c>
      <c r="S430" s="3" t="str">
        <f t="shared" si="8"/>
        <v>ZZZ</v>
      </c>
      <c r="T430" s="3" t="b">
        <f t="array" ref="T430">OR(ISNUMBER(SEARCH(S$2:S$100,$B430,5)))</f>
        <v>0</v>
      </c>
      <c r="V430" s="3" t="str">
        <f t="shared" si="9"/>
        <v>ZZZ</v>
      </c>
      <c r="W430" s="3" t="b">
        <f t="array" ref="W430">OR(ISNUMBER(SEARCH(V$2:V$100,$B430,5)))</f>
        <v>0</v>
      </c>
      <c r="Y430" s="3" t="str">
        <f t="shared" si="10"/>
        <v>ZZZ</v>
      </c>
      <c r="Z430" s="3" t="b">
        <f t="array" ref="Z430">OR(ISNUMBER(SEARCH(Y$2:Y$100,$B430,5)))</f>
        <v>0</v>
      </c>
      <c r="AB430" s="3" t="str">
        <f t="shared" si="11"/>
        <v>ZZZ</v>
      </c>
      <c r="AC430" s="3" t="b">
        <f t="array" ref="AC430">OR(ISNUMBER(SEARCH(AB$2:AB$100,$B430,5)))</f>
        <v>0</v>
      </c>
      <c r="AE430" s="3" t="str">
        <f t="shared" si="12"/>
        <v>ZZZ</v>
      </c>
      <c r="AF430" s="3" t="b">
        <f t="array" ref="AF430">OR(ISNUMBER(SEARCH(AE$2:AE$100,$B430,5)))</f>
        <v>1</v>
      </c>
      <c r="AH430" s="3" t="str">
        <f t="shared" si="13"/>
        <v>ZZZ</v>
      </c>
      <c r="AI430" s="3" t="b">
        <f t="array" ref="AI430">OR(ISNUMBER(SEARCH(AH$2:AH$100,$B430,5)))</f>
        <v>0</v>
      </c>
      <c r="AK430" s="3" t="str">
        <f t="shared" si="14"/>
        <v>ZZZ</v>
      </c>
      <c r="AL430" s="3" t="b">
        <f t="array" ref="AL430">OR(ISNUMBER(SEARCH(AK$2:AK$100,$B430,5)))</f>
        <v>0</v>
      </c>
      <c r="AU430" s="8"/>
      <c r="AV430" s="6"/>
      <c r="AW430" s="8"/>
      <c r="AX430" s="8"/>
      <c r="AY430" s="6"/>
      <c r="AZ430" s="8"/>
      <c r="BA430" s="8"/>
      <c r="BB430" s="6"/>
      <c r="BC430" s="8"/>
      <c r="BD430" s="8"/>
      <c r="BE430" s="6"/>
      <c r="BF430" s="8"/>
      <c r="BG430" s="8"/>
      <c r="BH430" s="6"/>
      <c r="BI430" s="8"/>
      <c r="BJ430" s="8"/>
      <c r="BK430" s="6"/>
      <c r="BL430" s="8"/>
      <c r="BM430" s="8"/>
      <c r="BN430" s="6"/>
      <c r="BO430" s="8"/>
      <c r="BP430" s="8"/>
      <c r="BQ430" s="6"/>
      <c r="BR430" s="8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  <c r="HQ430" s="7"/>
      <c r="HR430" s="7"/>
      <c r="HS430" s="7"/>
      <c r="HT430" s="7"/>
      <c r="HU430" s="7"/>
      <c r="HV430" s="7"/>
      <c r="HW430" s="7"/>
      <c r="HX430" s="7"/>
      <c r="HY430" s="7"/>
      <c r="HZ430" s="7"/>
      <c r="IA430" s="7"/>
      <c r="IB430" s="7"/>
      <c r="IC430" s="7"/>
      <c r="ID430" s="7"/>
      <c r="IE430" s="7"/>
      <c r="IF430" s="7"/>
      <c r="IG430" s="7"/>
      <c r="IH430" s="7"/>
      <c r="II430" s="7"/>
      <c r="IJ430" s="7"/>
      <c r="IK430" s="7"/>
      <c r="IL430" s="7"/>
      <c r="IM430" s="7"/>
      <c r="IN430" s="7"/>
      <c r="IO430" s="7"/>
      <c r="IP430" s="7"/>
      <c r="IQ430" s="7"/>
      <c r="IR430" s="7"/>
      <c r="IS430" s="7"/>
      <c r="IT430" s="7"/>
      <c r="IU430" s="7"/>
      <c r="IV430" s="7"/>
      <c r="IW430" s="7"/>
      <c r="IX430" s="7"/>
      <c r="IY430" s="7"/>
      <c r="IZ430" s="7"/>
      <c r="JA430" s="7"/>
      <c r="JB430" s="7"/>
      <c r="JC430" s="7"/>
      <c r="JD430" s="7"/>
      <c r="JE430" s="7"/>
      <c r="JF430" s="7"/>
      <c r="JG430" s="7"/>
      <c r="JH430" s="7"/>
      <c r="JI430" s="7"/>
      <c r="JJ430" s="7"/>
      <c r="JK430" s="7"/>
      <c r="JL430" s="7"/>
      <c r="JM430" s="7"/>
      <c r="JN430" s="7"/>
      <c r="JO430" s="7"/>
      <c r="JP430" s="7"/>
      <c r="JQ430" s="7"/>
      <c r="JR430" s="7"/>
      <c r="JS430" s="7"/>
      <c r="JT430" s="7"/>
      <c r="JU430" s="7"/>
      <c r="JV430" s="7"/>
      <c r="JW430" s="7"/>
      <c r="JX430" s="7"/>
      <c r="JY430" s="7"/>
      <c r="JZ430" s="7"/>
      <c r="KA430" s="7"/>
      <c r="KB430" s="7"/>
      <c r="KC430" s="7"/>
      <c r="KD430" s="7"/>
      <c r="KE430" s="7"/>
      <c r="KF430" s="7"/>
      <c r="KG430" s="7"/>
      <c r="KH430" s="7"/>
      <c r="KI430" s="7"/>
      <c r="KJ430" s="7"/>
      <c r="KK430" s="7"/>
      <c r="KL430" s="7"/>
      <c r="KM430" s="7"/>
      <c r="KN430" s="7"/>
    </row>
    <row r="431">
      <c r="A431" s="6"/>
      <c r="B431" s="6" t="s">
        <v>431</v>
      </c>
      <c r="C431" s="3" t="str">
        <f t="shared" si="3"/>
        <v>pale violet</v>
      </c>
      <c r="D431" s="3" t="str">
        <f t="shared" si="17"/>
        <v>ZZZ</v>
      </c>
      <c r="E431" s="3" t="b">
        <f t="array" ref="E431">OR(ISNUMBER(SEARCH(D$2:D$30,$B431,5)))</f>
        <v>0</v>
      </c>
      <c r="G431" s="3" t="str">
        <f t="shared" si="4"/>
        <v>ZZZ</v>
      </c>
      <c r="H431" s="3" t="b">
        <f t="array" ref="H431">OR(ISNUMBER(SEARCH(G$2:G$30,$B431,5)))</f>
        <v>0</v>
      </c>
      <c r="J431" s="3" t="str">
        <f t="shared" si="5"/>
        <v>ZZZ</v>
      </c>
      <c r="K431" s="3" t="b">
        <f t="array" ref="K431">OR(ISNUMBER(SEARCH(J$2:J$30,$B431,5)))</f>
        <v>0</v>
      </c>
      <c r="M431" s="3" t="str">
        <f t="shared" si="6"/>
        <v>ZZZ</v>
      </c>
      <c r="N431" s="3" t="b">
        <f t="array" ref="N431">OR(ISNUMBER(SEARCH(M$2:M$30,$B431,5)))</f>
        <v>0</v>
      </c>
      <c r="P431" s="3" t="str">
        <f t="shared" si="7"/>
        <v>ZZZ</v>
      </c>
      <c r="Q431" s="3" t="b">
        <f t="array" ref="Q431">OR(ISNUMBER(SEARCH(P$2:P$50,$B431,5)))</f>
        <v>1</v>
      </c>
      <c r="S431" s="3" t="str">
        <f t="shared" si="8"/>
        <v>ZZZ</v>
      </c>
      <c r="T431" s="3" t="b">
        <f t="array" ref="T431">OR(ISNUMBER(SEARCH(S$2:S$100,$B431,5)))</f>
        <v>0</v>
      </c>
      <c r="V431" s="3" t="str">
        <f t="shared" si="9"/>
        <v>ZZZ</v>
      </c>
      <c r="W431" s="3" t="b">
        <f t="array" ref="W431">OR(ISNUMBER(SEARCH(V$2:V$100,$B431,5)))</f>
        <v>1</v>
      </c>
      <c r="Y431" s="3" t="str">
        <f t="shared" si="10"/>
        <v>ZZZ</v>
      </c>
      <c r="Z431" s="3" t="b">
        <f t="array" ref="Z431">OR(ISNUMBER(SEARCH(Y$2:Y$100,$B431,5)))</f>
        <v>0</v>
      </c>
      <c r="AB431" s="3" t="str">
        <f t="shared" si="11"/>
        <v>ZZZ</v>
      </c>
      <c r="AC431" s="3" t="b">
        <f t="array" ref="AC431">OR(ISNUMBER(SEARCH(AB$2:AB$100,$B431,5)))</f>
        <v>1</v>
      </c>
      <c r="AE431" s="3" t="str">
        <f t="shared" si="12"/>
        <v>ZZZ</v>
      </c>
      <c r="AF431" s="3" t="b">
        <f t="array" ref="AF431">OR(ISNUMBER(SEARCH(AE$2:AE$100,$B431,5)))</f>
        <v>0</v>
      </c>
      <c r="AH431" s="3" t="str">
        <f t="shared" si="13"/>
        <v>ZZZ</v>
      </c>
      <c r="AI431" s="3" t="b">
        <f t="array" ref="AI431">OR(ISNUMBER(SEARCH(AH$2:AH$100,$B431,5)))</f>
        <v>0</v>
      </c>
      <c r="AK431" s="3" t="str">
        <f t="shared" si="14"/>
        <v>ZZZ</v>
      </c>
      <c r="AL431" s="3" t="b">
        <f t="array" ref="AL431">OR(ISNUMBER(SEARCH(AK$2:AK$100,$B431,5)))</f>
        <v>0</v>
      </c>
      <c r="AU431" s="8"/>
      <c r="AV431" s="6"/>
      <c r="AW431" s="8"/>
      <c r="AX431" s="8"/>
      <c r="AY431" s="6"/>
      <c r="AZ431" s="8"/>
      <c r="BA431" s="8"/>
      <c r="BB431" s="6"/>
      <c r="BC431" s="8"/>
      <c r="BD431" s="8"/>
      <c r="BE431" s="6"/>
      <c r="BF431" s="8"/>
      <c r="BG431" s="8"/>
      <c r="BH431" s="6"/>
      <c r="BI431" s="8"/>
      <c r="BJ431" s="8"/>
      <c r="BK431" s="6"/>
      <c r="BL431" s="8"/>
      <c r="BM431" s="8"/>
      <c r="BN431" s="6"/>
      <c r="BO431" s="8"/>
      <c r="BP431" s="8"/>
      <c r="BQ431" s="6"/>
      <c r="BR431" s="8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  <c r="HQ431" s="7"/>
      <c r="HR431" s="7"/>
      <c r="HS431" s="7"/>
      <c r="HT431" s="7"/>
      <c r="HU431" s="7"/>
      <c r="HV431" s="7"/>
      <c r="HW431" s="7"/>
      <c r="HX431" s="7"/>
      <c r="HY431" s="7"/>
      <c r="HZ431" s="7"/>
      <c r="IA431" s="7"/>
      <c r="IB431" s="7"/>
      <c r="IC431" s="7"/>
      <c r="ID431" s="7"/>
      <c r="IE431" s="7"/>
      <c r="IF431" s="7"/>
      <c r="IG431" s="7"/>
      <c r="IH431" s="7"/>
      <c r="II431" s="7"/>
      <c r="IJ431" s="7"/>
      <c r="IK431" s="7"/>
      <c r="IL431" s="7"/>
      <c r="IM431" s="7"/>
      <c r="IN431" s="7"/>
      <c r="IO431" s="7"/>
      <c r="IP431" s="7"/>
      <c r="IQ431" s="7"/>
      <c r="IR431" s="7"/>
      <c r="IS431" s="7"/>
      <c r="IT431" s="7"/>
      <c r="IU431" s="7"/>
      <c r="IV431" s="7"/>
      <c r="IW431" s="7"/>
      <c r="IX431" s="7"/>
      <c r="IY431" s="7"/>
      <c r="IZ431" s="7"/>
      <c r="JA431" s="7"/>
      <c r="JB431" s="7"/>
      <c r="JC431" s="7"/>
      <c r="JD431" s="7"/>
      <c r="JE431" s="7"/>
      <c r="JF431" s="7"/>
      <c r="JG431" s="7"/>
      <c r="JH431" s="7"/>
      <c r="JI431" s="7"/>
      <c r="JJ431" s="7"/>
      <c r="JK431" s="7"/>
      <c r="JL431" s="7"/>
      <c r="JM431" s="7"/>
      <c r="JN431" s="7"/>
      <c r="JO431" s="7"/>
      <c r="JP431" s="7"/>
      <c r="JQ431" s="7"/>
      <c r="JR431" s="7"/>
      <c r="JS431" s="7"/>
      <c r="JT431" s="7"/>
      <c r="JU431" s="7"/>
      <c r="JV431" s="7"/>
      <c r="JW431" s="7"/>
      <c r="JX431" s="7"/>
      <c r="JY431" s="7"/>
      <c r="JZ431" s="7"/>
      <c r="KA431" s="7"/>
      <c r="KB431" s="7"/>
      <c r="KC431" s="7"/>
      <c r="KD431" s="7"/>
      <c r="KE431" s="7"/>
      <c r="KF431" s="7"/>
      <c r="KG431" s="7"/>
      <c r="KH431" s="7"/>
      <c r="KI431" s="7"/>
      <c r="KJ431" s="7"/>
      <c r="KK431" s="7"/>
      <c r="KL431" s="7"/>
      <c r="KM431" s="7"/>
      <c r="KN431" s="7"/>
    </row>
    <row r="432">
      <c r="A432" s="6"/>
      <c r="B432" s="6" t="s">
        <v>432</v>
      </c>
      <c r="C432" s="3" t="str">
        <f t="shared" si="3"/>
        <v>dim olive</v>
      </c>
      <c r="D432" s="3" t="str">
        <f t="shared" si="17"/>
        <v>ZZZ</v>
      </c>
      <c r="E432" s="3" t="b">
        <f t="array" ref="E432">OR(ISNUMBER(SEARCH(D$2:D$30,$B432,5)))</f>
        <v>0</v>
      </c>
      <c r="G432" s="3" t="str">
        <f t="shared" si="4"/>
        <v>ZZZ</v>
      </c>
      <c r="H432" s="3" t="b">
        <f t="array" ref="H432">OR(ISNUMBER(SEARCH(G$2:G$30,$B432,5)))</f>
        <v>0</v>
      </c>
      <c r="J432" s="3" t="str">
        <f t="shared" si="5"/>
        <v>ZZZ</v>
      </c>
      <c r="K432" s="3" t="b">
        <f t="array" ref="K432">OR(ISNUMBER(SEARCH(J$2:J$30,$B432,5)))</f>
        <v>0</v>
      </c>
      <c r="M432" s="3" t="str">
        <f t="shared" si="6"/>
        <v>ZZZ</v>
      </c>
      <c r="N432" s="3" t="b">
        <f t="array" ref="N432">OR(ISNUMBER(SEARCH(M$2:M$30,$B432,5)))</f>
        <v>0</v>
      </c>
      <c r="P432" s="3" t="str">
        <f t="shared" si="7"/>
        <v>ZZZ</v>
      </c>
      <c r="Q432" s="3" t="b">
        <f t="array" ref="Q432">OR(ISNUMBER(SEARCH(P$2:P$50,$B432,5)))</f>
        <v>0</v>
      </c>
      <c r="S432" s="3" t="str">
        <f t="shared" si="8"/>
        <v>ZZZ</v>
      </c>
      <c r="T432" s="3" t="b">
        <f t="array" ref="T432">OR(ISNUMBER(SEARCH(S$2:S$100,$B432,5)))</f>
        <v>0</v>
      </c>
      <c r="V432" s="3" t="str">
        <f t="shared" si="9"/>
        <v>ZZZ</v>
      </c>
      <c r="W432" s="3" t="b">
        <f t="array" ref="W432">OR(ISNUMBER(SEARCH(V$2:V$100,$B432,5)))</f>
        <v>0</v>
      </c>
      <c r="Y432" s="3" t="str">
        <f t="shared" si="10"/>
        <v>ZZZ</v>
      </c>
      <c r="Z432" s="3" t="b">
        <f t="array" ref="Z432">OR(ISNUMBER(SEARCH(Y$2:Y$100,$B432,5)))</f>
        <v>0</v>
      </c>
      <c r="AB432" s="3" t="str">
        <f t="shared" si="11"/>
        <v>ZZZ</v>
      </c>
      <c r="AC432" s="3" t="b">
        <f t="array" ref="AC432">OR(ISNUMBER(SEARCH(AB$2:AB$100,$B432,5)))</f>
        <v>0</v>
      </c>
      <c r="AE432" s="3" t="str">
        <f t="shared" si="12"/>
        <v>ZZZ</v>
      </c>
      <c r="AF432" s="3" t="b">
        <f t="array" ref="AF432">OR(ISNUMBER(SEARCH(AE$2:AE$100,$B432,5)))</f>
        <v>0</v>
      </c>
      <c r="AH432" s="3" t="str">
        <f t="shared" si="13"/>
        <v>ZZZ</v>
      </c>
      <c r="AI432" s="3" t="b">
        <f t="array" ref="AI432">OR(ISNUMBER(SEARCH(AH$2:AH$100,$B432,5)))</f>
        <v>0</v>
      </c>
      <c r="AK432" s="3" t="str">
        <f t="shared" si="14"/>
        <v>ZZZ</v>
      </c>
      <c r="AL432" s="3" t="b">
        <f t="array" ref="AL432">OR(ISNUMBER(SEARCH(AK$2:AK$100,$B432,5)))</f>
        <v>0</v>
      </c>
      <c r="AU432" s="8"/>
      <c r="AV432" s="6"/>
      <c r="AW432" s="8"/>
      <c r="AX432" s="8"/>
      <c r="AY432" s="6"/>
      <c r="AZ432" s="8"/>
      <c r="BA432" s="8"/>
      <c r="BB432" s="6"/>
      <c r="BC432" s="8"/>
      <c r="BD432" s="8"/>
      <c r="BE432" s="6"/>
      <c r="BF432" s="8"/>
      <c r="BG432" s="8"/>
      <c r="BH432" s="6"/>
      <c r="BI432" s="8"/>
      <c r="BJ432" s="8"/>
      <c r="BK432" s="6"/>
      <c r="BL432" s="8"/>
      <c r="BM432" s="8"/>
      <c r="BN432" s="6"/>
      <c r="BO432" s="8"/>
      <c r="BP432" s="8"/>
      <c r="BQ432" s="6"/>
      <c r="BR432" s="8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  <c r="HQ432" s="7"/>
      <c r="HR432" s="7"/>
      <c r="HS432" s="7"/>
      <c r="HT432" s="7"/>
      <c r="HU432" s="7"/>
      <c r="HV432" s="7"/>
      <c r="HW432" s="7"/>
      <c r="HX432" s="7"/>
      <c r="HY432" s="7"/>
      <c r="HZ432" s="7"/>
      <c r="IA432" s="7"/>
      <c r="IB432" s="7"/>
      <c r="IC432" s="7"/>
      <c r="ID432" s="7"/>
      <c r="IE432" s="7"/>
      <c r="IF432" s="7"/>
      <c r="IG432" s="7"/>
      <c r="IH432" s="7"/>
      <c r="II432" s="7"/>
      <c r="IJ432" s="7"/>
      <c r="IK432" s="7"/>
      <c r="IL432" s="7"/>
      <c r="IM432" s="7"/>
      <c r="IN432" s="7"/>
      <c r="IO432" s="7"/>
      <c r="IP432" s="7"/>
      <c r="IQ432" s="7"/>
      <c r="IR432" s="7"/>
      <c r="IS432" s="7"/>
      <c r="IT432" s="7"/>
      <c r="IU432" s="7"/>
      <c r="IV432" s="7"/>
      <c r="IW432" s="7"/>
      <c r="IX432" s="7"/>
      <c r="IY432" s="7"/>
      <c r="IZ432" s="7"/>
      <c r="JA432" s="7"/>
      <c r="JB432" s="7"/>
      <c r="JC432" s="7"/>
      <c r="JD432" s="7"/>
      <c r="JE432" s="7"/>
      <c r="JF432" s="7"/>
      <c r="JG432" s="7"/>
      <c r="JH432" s="7"/>
      <c r="JI432" s="7"/>
      <c r="JJ432" s="7"/>
      <c r="JK432" s="7"/>
      <c r="JL432" s="7"/>
      <c r="JM432" s="7"/>
      <c r="JN432" s="7"/>
      <c r="JO432" s="7"/>
      <c r="JP432" s="7"/>
      <c r="JQ432" s="7"/>
      <c r="JR432" s="7"/>
      <c r="JS432" s="7"/>
      <c r="JT432" s="7"/>
      <c r="JU432" s="7"/>
      <c r="JV432" s="7"/>
      <c r="JW432" s="7"/>
      <c r="JX432" s="7"/>
      <c r="JY432" s="7"/>
      <c r="JZ432" s="7"/>
      <c r="KA432" s="7"/>
      <c r="KB432" s="7"/>
      <c r="KC432" s="7"/>
      <c r="KD432" s="7"/>
      <c r="KE432" s="7"/>
      <c r="KF432" s="7"/>
      <c r="KG432" s="7"/>
      <c r="KH432" s="7"/>
      <c r="KI432" s="7"/>
      <c r="KJ432" s="7"/>
      <c r="KK432" s="7"/>
      <c r="KL432" s="7"/>
      <c r="KM432" s="7"/>
      <c r="KN432" s="7"/>
    </row>
    <row r="433">
      <c r="A433" s="6"/>
      <c r="B433" s="6" t="s">
        <v>433</v>
      </c>
      <c r="C433" s="3" t="str">
        <f t="shared" si="3"/>
        <v>mirrored bronze</v>
      </c>
      <c r="D433" s="3" t="str">
        <f t="shared" si="17"/>
        <v>ZZZ</v>
      </c>
      <c r="E433" s="3" t="b">
        <f t="array" ref="E433">OR(ISNUMBER(SEARCH(D$2:D$30,$B433,5)))</f>
        <v>0</v>
      </c>
      <c r="G433" s="3" t="str">
        <f t="shared" si="4"/>
        <v>ZZZ</v>
      </c>
      <c r="H433" s="3" t="b">
        <f t="array" ref="H433">OR(ISNUMBER(SEARCH(G$2:G$30,$B433,5)))</f>
        <v>0</v>
      </c>
      <c r="J433" s="3" t="str">
        <f t="shared" si="5"/>
        <v>ZZZ</v>
      </c>
      <c r="K433" s="3" t="b">
        <f t="array" ref="K433">OR(ISNUMBER(SEARCH(J$2:J$30,$B433,5)))</f>
        <v>0</v>
      </c>
      <c r="M433" s="3" t="str">
        <f t="shared" si="6"/>
        <v>ZZZ</v>
      </c>
      <c r="N433" s="3" t="b">
        <f t="array" ref="N433">OR(ISNUMBER(SEARCH(M$2:M$30,$B433,5)))</f>
        <v>0</v>
      </c>
      <c r="P433" s="3" t="str">
        <f t="shared" si="7"/>
        <v>ZZZ</v>
      </c>
      <c r="Q433" s="3" t="b">
        <f t="array" ref="Q433">OR(ISNUMBER(SEARCH(P$2:P$50,$B433,5)))</f>
        <v>0</v>
      </c>
      <c r="S433" s="3" t="str">
        <f t="shared" si="8"/>
        <v>ZZZ</v>
      </c>
      <c r="T433" s="3" t="b">
        <f t="array" ref="T433">OR(ISNUMBER(SEARCH(S$2:S$100,$B433,5)))</f>
        <v>0</v>
      </c>
      <c r="V433" s="3" t="str">
        <f t="shared" si="9"/>
        <v>ZZZ</v>
      </c>
      <c r="W433" s="3" t="b">
        <f t="array" ref="W433">OR(ISNUMBER(SEARCH(V$2:V$100,$B433,5)))</f>
        <v>0</v>
      </c>
      <c r="Y433" s="3" t="str">
        <f t="shared" si="10"/>
        <v>ZZZ</v>
      </c>
      <c r="Z433" s="3" t="b">
        <f t="array" ref="Z433">OR(ISNUMBER(SEARCH(Y$2:Y$100,$B433,5)))</f>
        <v>0</v>
      </c>
      <c r="AB433" s="3" t="str">
        <f t="shared" si="11"/>
        <v>ZZZ</v>
      </c>
      <c r="AC433" s="3" t="b">
        <f t="array" ref="AC433">OR(ISNUMBER(SEARCH(AB$2:AB$100,$B433,5)))</f>
        <v>0</v>
      </c>
      <c r="AE433" s="3" t="str">
        <f t="shared" si="12"/>
        <v>ZZZ</v>
      </c>
      <c r="AF433" s="3" t="b">
        <f t="array" ref="AF433">OR(ISNUMBER(SEARCH(AE$2:AE$100,$B433,5)))</f>
        <v>0</v>
      </c>
      <c r="AH433" s="3" t="str">
        <f t="shared" si="13"/>
        <v>ZZZ</v>
      </c>
      <c r="AI433" s="3" t="b">
        <f t="array" ref="AI433">OR(ISNUMBER(SEARCH(AH$2:AH$100,$B433,5)))</f>
        <v>0</v>
      </c>
      <c r="AK433" s="3" t="str">
        <f t="shared" si="14"/>
        <v>ZZZ</v>
      </c>
      <c r="AL433" s="3" t="b">
        <f t="array" ref="AL433">OR(ISNUMBER(SEARCH(AK$2:AK$100,$B433,5)))</f>
        <v>0</v>
      </c>
      <c r="AU433" s="8"/>
      <c r="AV433" s="6"/>
      <c r="AW433" s="8"/>
      <c r="AX433" s="8"/>
      <c r="AY433" s="6"/>
      <c r="AZ433" s="8"/>
      <c r="BA433" s="8"/>
      <c r="BB433" s="6"/>
      <c r="BC433" s="8"/>
      <c r="BD433" s="8"/>
      <c r="BE433" s="6"/>
      <c r="BF433" s="8"/>
      <c r="BG433" s="8"/>
      <c r="BH433" s="6"/>
      <c r="BI433" s="8"/>
      <c r="BJ433" s="8"/>
      <c r="BK433" s="6"/>
      <c r="BL433" s="8"/>
      <c r="BM433" s="8"/>
      <c r="BN433" s="6"/>
      <c r="BO433" s="8"/>
      <c r="BP433" s="8"/>
      <c r="BQ433" s="6"/>
      <c r="BR433" s="8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7"/>
      <c r="GV433" s="7"/>
      <c r="GW433" s="7"/>
      <c r="GX433" s="7"/>
      <c r="GY433" s="7"/>
      <c r="GZ433" s="7"/>
      <c r="HA433" s="7"/>
      <c r="HB433" s="7"/>
      <c r="HC433" s="7"/>
      <c r="HD433" s="7"/>
      <c r="HE433" s="7"/>
      <c r="HF433" s="7"/>
      <c r="HG433" s="7"/>
      <c r="HH433" s="7"/>
      <c r="HI433" s="7"/>
      <c r="HJ433" s="7"/>
      <c r="HK433" s="7"/>
      <c r="HL433" s="7"/>
      <c r="HM433" s="7"/>
      <c r="HN433" s="7"/>
      <c r="HO433" s="7"/>
      <c r="HP433" s="7"/>
      <c r="HQ433" s="7"/>
      <c r="HR433" s="7"/>
      <c r="HS433" s="7"/>
      <c r="HT433" s="7"/>
      <c r="HU433" s="7"/>
      <c r="HV433" s="7"/>
      <c r="HW433" s="7"/>
      <c r="HX433" s="7"/>
      <c r="HY433" s="7"/>
      <c r="HZ433" s="7"/>
      <c r="IA433" s="7"/>
      <c r="IB433" s="7"/>
      <c r="IC433" s="7"/>
      <c r="ID433" s="7"/>
      <c r="IE433" s="7"/>
      <c r="IF433" s="7"/>
      <c r="IG433" s="7"/>
      <c r="IH433" s="7"/>
      <c r="II433" s="7"/>
      <c r="IJ433" s="7"/>
      <c r="IK433" s="7"/>
      <c r="IL433" s="7"/>
      <c r="IM433" s="7"/>
      <c r="IN433" s="7"/>
      <c r="IO433" s="7"/>
      <c r="IP433" s="7"/>
      <c r="IQ433" s="7"/>
      <c r="IR433" s="7"/>
      <c r="IS433" s="7"/>
      <c r="IT433" s="7"/>
      <c r="IU433" s="7"/>
      <c r="IV433" s="7"/>
      <c r="IW433" s="7"/>
      <c r="IX433" s="7"/>
      <c r="IY433" s="7"/>
      <c r="IZ433" s="7"/>
      <c r="JA433" s="7"/>
      <c r="JB433" s="7"/>
      <c r="JC433" s="7"/>
      <c r="JD433" s="7"/>
      <c r="JE433" s="7"/>
      <c r="JF433" s="7"/>
      <c r="JG433" s="7"/>
      <c r="JH433" s="7"/>
      <c r="JI433" s="7"/>
      <c r="JJ433" s="7"/>
      <c r="JK433" s="7"/>
      <c r="JL433" s="7"/>
      <c r="JM433" s="7"/>
      <c r="JN433" s="7"/>
      <c r="JO433" s="7"/>
      <c r="JP433" s="7"/>
      <c r="JQ433" s="7"/>
      <c r="JR433" s="7"/>
      <c r="JS433" s="7"/>
      <c r="JT433" s="7"/>
      <c r="JU433" s="7"/>
      <c r="JV433" s="7"/>
      <c r="JW433" s="7"/>
      <c r="JX433" s="7"/>
      <c r="JY433" s="7"/>
      <c r="JZ433" s="7"/>
      <c r="KA433" s="7"/>
      <c r="KB433" s="7"/>
      <c r="KC433" s="7"/>
      <c r="KD433" s="7"/>
      <c r="KE433" s="7"/>
      <c r="KF433" s="7"/>
      <c r="KG433" s="7"/>
      <c r="KH433" s="7"/>
      <c r="KI433" s="7"/>
      <c r="KJ433" s="7"/>
      <c r="KK433" s="7"/>
      <c r="KL433" s="7"/>
      <c r="KM433" s="7"/>
      <c r="KN433" s="7"/>
    </row>
    <row r="434">
      <c r="A434" s="6"/>
      <c r="B434" s="6" t="s">
        <v>434</v>
      </c>
      <c r="C434" s="3" t="str">
        <f t="shared" si="3"/>
        <v>dull green</v>
      </c>
      <c r="D434" s="3" t="str">
        <f t="shared" si="17"/>
        <v>ZZZ</v>
      </c>
      <c r="E434" s="3" t="b">
        <f t="array" ref="E434">OR(ISNUMBER(SEARCH(D$2:D$30,$B434,5)))</f>
        <v>0</v>
      </c>
      <c r="G434" s="3" t="str">
        <f t="shared" si="4"/>
        <v>ZZZ</v>
      </c>
      <c r="H434" s="3" t="b">
        <f t="array" ref="H434">OR(ISNUMBER(SEARCH(G$2:G$30,$B434,5)))</f>
        <v>0</v>
      </c>
      <c r="J434" s="3" t="str">
        <f t="shared" si="5"/>
        <v>ZZZ</v>
      </c>
      <c r="K434" s="3" t="b">
        <f t="array" ref="K434">OR(ISNUMBER(SEARCH(J$2:J$30,$B434,5)))</f>
        <v>0</v>
      </c>
      <c r="M434" s="3" t="str">
        <f t="shared" si="6"/>
        <v>ZZZ</v>
      </c>
      <c r="N434" s="3" t="b">
        <f t="array" ref="N434">OR(ISNUMBER(SEARCH(M$2:M$30,$B434,5)))</f>
        <v>0</v>
      </c>
      <c r="P434" s="3" t="str">
        <f t="shared" si="7"/>
        <v>ZZZ</v>
      </c>
      <c r="Q434" s="3" t="b">
        <f t="array" ref="Q434">OR(ISNUMBER(SEARCH(P$2:P$50,$B434,5)))</f>
        <v>0</v>
      </c>
      <c r="S434" s="3" t="str">
        <f t="shared" si="8"/>
        <v>ZZZ</v>
      </c>
      <c r="T434" s="3" t="b">
        <f t="array" ref="T434">OR(ISNUMBER(SEARCH(S$2:S$100,$B434,5)))</f>
        <v>0</v>
      </c>
      <c r="V434" s="3" t="str">
        <f t="shared" si="9"/>
        <v>ZZZ</v>
      </c>
      <c r="W434" s="3" t="b">
        <f t="array" ref="W434">OR(ISNUMBER(SEARCH(V$2:V$100,$B434,5)))</f>
        <v>0</v>
      </c>
      <c r="Y434" s="3" t="str">
        <f t="shared" si="10"/>
        <v>ZZZ</v>
      </c>
      <c r="Z434" s="3" t="b">
        <f t="array" ref="Z434">OR(ISNUMBER(SEARCH(Y$2:Y$100,$B434,5)))</f>
        <v>0</v>
      </c>
      <c r="AB434" s="3" t="str">
        <f t="shared" si="11"/>
        <v>ZZZ</v>
      </c>
      <c r="AC434" s="3" t="b">
        <f t="array" ref="AC434">OR(ISNUMBER(SEARCH(AB$2:AB$100,$B434,5)))</f>
        <v>0</v>
      </c>
      <c r="AE434" s="3" t="str">
        <f t="shared" si="12"/>
        <v>ZZZ</v>
      </c>
      <c r="AF434" s="3" t="b">
        <f t="array" ref="AF434">OR(ISNUMBER(SEARCH(AE$2:AE$100,$B434,5)))</f>
        <v>0</v>
      </c>
      <c r="AH434" s="3" t="str">
        <f t="shared" si="13"/>
        <v>ZZZ</v>
      </c>
      <c r="AI434" s="3" t="b">
        <f t="array" ref="AI434">OR(ISNUMBER(SEARCH(AH$2:AH$100,$B434,5)))</f>
        <v>0</v>
      </c>
      <c r="AK434" s="3" t="str">
        <f t="shared" si="14"/>
        <v>ZZZ</v>
      </c>
      <c r="AL434" s="3" t="b">
        <f t="array" ref="AL434">OR(ISNUMBER(SEARCH(AK$2:AK$100,$B434,5)))</f>
        <v>0</v>
      </c>
      <c r="AU434" s="8"/>
      <c r="AV434" s="6"/>
      <c r="AW434" s="8"/>
      <c r="AX434" s="8"/>
      <c r="AY434" s="6"/>
      <c r="AZ434" s="8"/>
      <c r="BA434" s="8"/>
      <c r="BB434" s="6"/>
      <c r="BC434" s="8"/>
      <c r="BD434" s="8"/>
      <c r="BE434" s="6"/>
      <c r="BF434" s="8"/>
      <c r="BG434" s="8"/>
      <c r="BH434" s="6"/>
      <c r="BI434" s="8"/>
      <c r="BJ434" s="8"/>
      <c r="BK434" s="6"/>
      <c r="BL434" s="8"/>
      <c r="BM434" s="8"/>
      <c r="BN434" s="6"/>
      <c r="BO434" s="8"/>
      <c r="BP434" s="8"/>
      <c r="BQ434" s="6"/>
      <c r="BR434" s="8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7"/>
      <c r="GV434" s="7"/>
      <c r="GW434" s="7"/>
      <c r="GX434" s="7"/>
      <c r="GY434" s="7"/>
      <c r="GZ434" s="7"/>
      <c r="HA434" s="7"/>
      <c r="HB434" s="7"/>
      <c r="HC434" s="7"/>
      <c r="HD434" s="7"/>
      <c r="HE434" s="7"/>
      <c r="HF434" s="7"/>
      <c r="HG434" s="7"/>
      <c r="HH434" s="7"/>
      <c r="HI434" s="7"/>
      <c r="HJ434" s="7"/>
      <c r="HK434" s="7"/>
      <c r="HL434" s="7"/>
      <c r="HM434" s="7"/>
      <c r="HN434" s="7"/>
      <c r="HO434" s="7"/>
      <c r="HP434" s="7"/>
      <c r="HQ434" s="7"/>
      <c r="HR434" s="7"/>
      <c r="HS434" s="7"/>
      <c r="HT434" s="7"/>
      <c r="HU434" s="7"/>
      <c r="HV434" s="7"/>
      <c r="HW434" s="7"/>
      <c r="HX434" s="7"/>
      <c r="HY434" s="7"/>
      <c r="HZ434" s="7"/>
      <c r="IA434" s="7"/>
      <c r="IB434" s="7"/>
      <c r="IC434" s="7"/>
      <c r="ID434" s="7"/>
      <c r="IE434" s="7"/>
      <c r="IF434" s="7"/>
      <c r="IG434" s="7"/>
      <c r="IH434" s="7"/>
      <c r="II434" s="7"/>
      <c r="IJ434" s="7"/>
      <c r="IK434" s="7"/>
      <c r="IL434" s="7"/>
      <c r="IM434" s="7"/>
      <c r="IN434" s="7"/>
      <c r="IO434" s="7"/>
      <c r="IP434" s="7"/>
      <c r="IQ434" s="7"/>
      <c r="IR434" s="7"/>
      <c r="IS434" s="7"/>
      <c r="IT434" s="7"/>
      <c r="IU434" s="7"/>
      <c r="IV434" s="7"/>
      <c r="IW434" s="7"/>
      <c r="IX434" s="7"/>
      <c r="IY434" s="7"/>
      <c r="IZ434" s="7"/>
      <c r="JA434" s="7"/>
      <c r="JB434" s="7"/>
      <c r="JC434" s="7"/>
      <c r="JD434" s="7"/>
      <c r="JE434" s="7"/>
      <c r="JF434" s="7"/>
      <c r="JG434" s="7"/>
      <c r="JH434" s="7"/>
      <c r="JI434" s="7"/>
      <c r="JJ434" s="7"/>
      <c r="JK434" s="7"/>
      <c r="JL434" s="7"/>
      <c r="JM434" s="7"/>
      <c r="JN434" s="7"/>
      <c r="JO434" s="7"/>
      <c r="JP434" s="7"/>
      <c r="JQ434" s="7"/>
      <c r="JR434" s="7"/>
      <c r="JS434" s="7"/>
      <c r="JT434" s="7"/>
      <c r="JU434" s="7"/>
      <c r="JV434" s="7"/>
      <c r="JW434" s="7"/>
      <c r="JX434" s="7"/>
      <c r="JY434" s="7"/>
      <c r="JZ434" s="7"/>
      <c r="KA434" s="7"/>
      <c r="KB434" s="7"/>
      <c r="KC434" s="7"/>
      <c r="KD434" s="7"/>
      <c r="KE434" s="7"/>
      <c r="KF434" s="7"/>
      <c r="KG434" s="7"/>
      <c r="KH434" s="7"/>
      <c r="KI434" s="7"/>
      <c r="KJ434" s="7"/>
      <c r="KK434" s="7"/>
      <c r="KL434" s="7"/>
      <c r="KM434" s="7"/>
      <c r="KN434" s="7"/>
    </row>
    <row r="435">
      <c r="A435" s="6"/>
      <c r="B435" s="6" t="s">
        <v>435</v>
      </c>
      <c r="C435" s="3" t="str">
        <f t="shared" si="3"/>
        <v>bright gray</v>
      </c>
      <c r="D435" s="3" t="str">
        <f t="shared" si="17"/>
        <v>ZZZ</v>
      </c>
      <c r="E435" s="3" t="b">
        <f t="array" ref="E435">OR(ISNUMBER(SEARCH(D$2:D$30,$B435,5)))</f>
        <v>0</v>
      </c>
      <c r="G435" s="3" t="str">
        <f t="shared" si="4"/>
        <v>ZZZ</v>
      </c>
      <c r="H435" s="3" t="b">
        <f t="array" ref="H435">OR(ISNUMBER(SEARCH(G$2:G$30,$B435,5)))</f>
        <v>0</v>
      </c>
      <c r="J435" s="3" t="str">
        <f t="shared" si="5"/>
        <v>ZZZ</v>
      </c>
      <c r="K435" s="3" t="b">
        <f t="array" ref="K435">OR(ISNUMBER(SEARCH(J$2:J$30,$B435,5)))</f>
        <v>0</v>
      </c>
      <c r="M435" s="3" t="str">
        <f t="shared" si="6"/>
        <v>ZZZ</v>
      </c>
      <c r="N435" s="3" t="b">
        <f t="array" ref="N435">OR(ISNUMBER(SEARCH(M$2:M$30,$B435,5)))</f>
        <v>0</v>
      </c>
      <c r="P435" s="3" t="str">
        <f t="shared" si="7"/>
        <v>ZZZ</v>
      </c>
      <c r="Q435" s="3" t="b">
        <f t="array" ref="Q435">OR(ISNUMBER(SEARCH(P$2:P$50,$B435,5)))</f>
        <v>0</v>
      </c>
      <c r="S435" s="3" t="str">
        <f t="shared" si="8"/>
        <v>ZZZ</v>
      </c>
      <c r="T435" s="3" t="b">
        <f t="array" ref="T435">OR(ISNUMBER(SEARCH(S$2:S$100,$B435,5)))</f>
        <v>1</v>
      </c>
      <c r="V435" s="3" t="str">
        <f t="shared" si="9"/>
        <v>ZZZ</v>
      </c>
      <c r="W435" s="3" t="b">
        <f t="array" ref="W435">OR(ISNUMBER(SEARCH(V$2:V$100,$B435,5)))</f>
        <v>1</v>
      </c>
      <c r="Y435" s="3" t="str">
        <f t="shared" si="10"/>
        <v>ZZZ</v>
      </c>
      <c r="Z435" s="3" t="b">
        <f t="array" ref="Z435">OR(ISNUMBER(SEARCH(Y$2:Y$100,$B435,5)))</f>
        <v>0</v>
      </c>
      <c r="AB435" s="3" t="str">
        <f t="shared" si="11"/>
        <v>ZZZ</v>
      </c>
      <c r="AC435" s="3" t="b">
        <f t="array" ref="AC435">OR(ISNUMBER(SEARCH(AB$2:AB$100,$B435,5)))</f>
        <v>1</v>
      </c>
      <c r="AE435" s="3" t="str">
        <f t="shared" si="12"/>
        <v>ZZZ</v>
      </c>
      <c r="AF435" s="3" t="b">
        <f t="array" ref="AF435">OR(ISNUMBER(SEARCH(AE$2:AE$100,$B435,5)))</f>
        <v>0</v>
      </c>
      <c r="AH435" s="3" t="str">
        <f t="shared" si="13"/>
        <v>ZZZ</v>
      </c>
      <c r="AI435" s="3" t="b">
        <f t="array" ref="AI435">OR(ISNUMBER(SEARCH(AH$2:AH$100,$B435,5)))</f>
        <v>1</v>
      </c>
      <c r="AK435" s="3" t="str">
        <f t="shared" si="14"/>
        <v>ZZZ</v>
      </c>
      <c r="AL435" s="3" t="b">
        <f t="array" ref="AL435">OR(ISNUMBER(SEARCH(AK$2:AK$100,$B435,5)))</f>
        <v>0</v>
      </c>
      <c r="AU435" s="8"/>
      <c r="AV435" s="6"/>
      <c r="AW435" s="8"/>
      <c r="AX435" s="8"/>
      <c r="AY435" s="6"/>
      <c r="AZ435" s="8"/>
      <c r="BA435" s="8"/>
      <c r="BB435" s="6"/>
      <c r="BC435" s="8"/>
      <c r="BD435" s="8"/>
      <c r="BE435" s="6"/>
      <c r="BF435" s="8"/>
      <c r="BG435" s="8"/>
      <c r="BH435" s="6"/>
      <c r="BI435" s="8"/>
      <c r="BJ435" s="8"/>
      <c r="BK435" s="6"/>
      <c r="BL435" s="8"/>
      <c r="BM435" s="8"/>
      <c r="BN435" s="6"/>
      <c r="BO435" s="8"/>
      <c r="BP435" s="8"/>
      <c r="BQ435" s="6"/>
      <c r="BR435" s="8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  <c r="HM435" s="7"/>
      <c r="HN435" s="7"/>
      <c r="HO435" s="7"/>
      <c r="HP435" s="7"/>
      <c r="HQ435" s="7"/>
      <c r="HR435" s="7"/>
      <c r="HS435" s="7"/>
      <c r="HT435" s="7"/>
      <c r="HU435" s="7"/>
      <c r="HV435" s="7"/>
      <c r="HW435" s="7"/>
      <c r="HX435" s="7"/>
      <c r="HY435" s="7"/>
      <c r="HZ435" s="7"/>
      <c r="IA435" s="7"/>
      <c r="IB435" s="7"/>
      <c r="IC435" s="7"/>
      <c r="ID435" s="7"/>
      <c r="IE435" s="7"/>
      <c r="IF435" s="7"/>
      <c r="IG435" s="7"/>
      <c r="IH435" s="7"/>
      <c r="II435" s="7"/>
      <c r="IJ435" s="7"/>
      <c r="IK435" s="7"/>
      <c r="IL435" s="7"/>
      <c r="IM435" s="7"/>
      <c r="IN435" s="7"/>
      <c r="IO435" s="7"/>
      <c r="IP435" s="7"/>
      <c r="IQ435" s="7"/>
      <c r="IR435" s="7"/>
      <c r="IS435" s="7"/>
      <c r="IT435" s="7"/>
      <c r="IU435" s="7"/>
      <c r="IV435" s="7"/>
      <c r="IW435" s="7"/>
      <c r="IX435" s="7"/>
      <c r="IY435" s="7"/>
      <c r="IZ435" s="7"/>
      <c r="JA435" s="7"/>
      <c r="JB435" s="7"/>
      <c r="JC435" s="7"/>
      <c r="JD435" s="7"/>
      <c r="JE435" s="7"/>
      <c r="JF435" s="7"/>
      <c r="JG435" s="7"/>
      <c r="JH435" s="7"/>
      <c r="JI435" s="7"/>
      <c r="JJ435" s="7"/>
      <c r="JK435" s="7"/>
      <c r="JL435" s="7"/>
      <c r="JM435" s="7"/>
      <c r="JN435" s="7"/>
      <c r="JO435" s="7"/>
      <c r="JP435" s="7"/>
      <c r="JQ435" s="7"/>
      <c r="JR435" s="7"/>
      <c r="JS435" s="7"/>
      <c r="JT435" s="7"/>
      <c r="JU435" s="7"/>
      <c r="JV435" s="7"/>
      <c r="JW435" s="7"/>
      <c r="JX435" s="7"/>
      <c r="JY435" s="7"/>
      <c r="JZ435" s="7"/>
      <c r="KA435" s="7"/>
      <c r="KB435" s="7"/>
      <c r="KC435" s="7"/>
      <c r="KD435" s="7"/>
      <c r="KE435" s="7"/>
      <c r="KF435" s="7"/>
      <c r="KG435" s="7"/>
      <c r="KH435" s="7"/>
      <c r="KI435" s="7"/>
      <c r="KJ435" s="7"/>
      <c r="KK435" s="7"/>
      <c r="KL435" s="7"/>
      <c r="KM435" s="7"/>
      <c r="KN435" s="7"/>
    </row>
    <row r="436">
      <c r="A436" s="6"/>
      <c r="B436" s="6" t="s">
        <v>436</v>
      </c>
      <c r="C436" s="3" t="str">
        <f t="shared" si="3"/>
        <v>light indigo</v>
      </c>
      <c r="D436" s="3" t="str">
        <f t="shared" si="17"/>
        <v>ZZZ</v>
      </c>
      <c r="E436" s="3" t="b">
        <f t="array" ref="E436">OR(ISNUMBER(SEARCH(D$2:D$30,$B436,5)))</f>
        <v>0</v>
      </c>
      <c r="G436" s="3" t="str">
        <f t="shared" si="4"/>
        <v>ZZZ</v>
      </c>
      <c r="H436" s="3" t="b">
        <f t="array" ref="H436">OR(ISNUMBER(SEARCH(G$2:G$30,$B436,5)))</f>
        <v>0</v>
      </c>
      <c r="J436" s="3" t="str">
        <f t="shared" si="5"/>
        <v>ZZZ</v>
      </c>
      <c r="K436" s="3" t="b">
        <f t="array" ref="K436">OR(ISNUMBER(SEARCH(J$2:J$30,$B436,5)))</f>
        <v>0</v>
      </c>
      <c r="M436" s="3" t="str">
        <f t="shared" si="6"/>
        <v>ZZZ</v>
      </c>
      <c r="N436" s="3" t="b">
        <f t="array" ref="N436">OR(ISNUMBER(SEARCH(M$2:M$30,$B436,5)))</f>
        <v>0</v>
      </c>
      <c r="P436" s="3" t="str">
        <f t="shared" si="7"/>
        <v>ZZZ</v>
      </c>
      <c r="Q436" s="3" t="b">
        <f t="array" ref="Q436">OR(ISNUMBER(SEARCH(P$2:P$50,$B436,5)))</f>
        <v>0</v>
      </c>
      <c r="S436" s="3" t="str">
        <f t="shared" si="8"/>
        <v>ZZZ</v>
      </c>
      <c r="T436" s="3" t="b">
        <f t="array" ref="T436">OR(ISNUMBER(SEARCH(S$2:S$100,$B436,5)))</f>
        <v>0</v>
      </c>
      <c r="V436" s="3" t="str">
        <f t="shared" si="9"/>
        <v>ZZZ</v>
      </c>
      <c r="W436" s="3" t="b">
        <f t="array" ref="W436">OR(ISNUMBER(SEARCH(V$2:V$100,$B436,5)))</f>
        <v>0</v>
      </c>
      <c r="Y436" s="3" t="str">
        <f t="shared" si="10"/>
        <v>ZZZ</v>
      </c>
      <c r="Z436" s="3" t="b">
        <f t="array" ref="Z436">OR(ISNUMBER(SEARCH(Y$2:Y$100,$B436,5)))</f>
        <v>0</v>
      </c>
      <c r="AB436" s="3" t="str">
        <f t="shared" si="11"/>
        <v>ZZZ</v>
      </c>
      <c r="AC436" s="3" t="b">
        <f t="array" ref="AC436">OR(ISNUMBER(SEARCH(AB$2:AB$100,$B436,5)))</f>
        <v>0</v>
      </c>
      <c r="AE436" s="3" t="str">
        <f t="shared" si="12"/>
        <v>ZZZ</v>
      </c>
      <c r="AF436" s="3" t="b">
        <f t="array" ref="AF436">OR(ISNUMBER(SEARCH(AE$2:AE$100,$B436,5)))</f>
        <v>0</v>
      </c>
      <c r="AH436" s="3" t="str">
        <f t="shared" si="13"/>
        <v>ZZZ</v>
      </c>
      <c r="AI436" s="3" t="b">
        <f t="array" ref="AI436">OR(ISNUMBER(SEARCH(AH$2:AH$100,$B436,5)))</f>
        <v>0</v>
      </c>
      <c r="AK436" s="3" t="str">
        <f t="shared" si="14"/>
        <v>ZZZ</v>
      </c>
      <c r="AL436" s="3" t="b">
        <f t="array" ref="AL436">OR(ISNUMBER(SEARCH(AK$2:AK$100,$B436,5)))</f>
        <v>0</v>
      </c>
      <c r="AU436" s="8"/>
      <c r="AV436" s="6"/>
      <c r="AW436" s="8"/>
      <c r="AX436" s="8"/>
      <c r="AY436" s="6"/>
      <c r="AZ436" s="8"/>
      <c r="BA436" s="8"/>
      <c r="BB436" s="6"/>
      <c r="BC436" s="8"/>
      <c r="BD436" s="8"/>
      <c r="BE436" s="6"/>
      <c r="BF436" s="8"/>
      <c r="BG436" s="8"/>
      <c r="BH436" s="6"/>
      <c r="BI436" s="8"/>
      <c r="BJ436" s="8"/>
      <c r="BK436" s="6"/>
      <c r="BL436" s="8"/>
      <c r="BM436" s="8"/>
      <c r="BN436" s="6"/>
      <c r="BO436" s="8"/>
      <c r="BP436" s="8"/>
      <c r="BQ436" s="6"/>
      <c r="BR436" s="8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7"/>
      <c r="GV436" s="7"/>
      <c r="GW436" s="7"/>
      <c r="GX436" s="7"/>
      <c r="GY436" s="7"/>
      <c r="GZ436" s="7"/>
      <c r="HA436" s="7"/>
      <c r="HB436" s="7"/>
      <c r="HC436" s="7"/>
      <c r="HD436" s="7"/>
      <c r="HE436" s="7"/>
      <c r="HF436" s="7"/>
      <c r="HG436" s="7"/>
      <c r="HH436" s="7"/>
      <c r="HI436" s="7"/>
      <c r="HJ436" s="7"/>
      <c r="HK436" s="7"/>
      <c r="HL436" s="7"/>
      <c r="HM436" s="7"/>
      <c r="HN436" s="7"/>
      <c r="HO436" s="7"/>
      <c r="HP436" s="7"/>
      <c r="HQ436" s="7"/>
      <c r="HR436" s="7"/>
      <c r="HS436" s="7"/>
      <c r="HT436" s="7"/>
      <c r="HU436" s="7"/>
      <c r="HV436" s="7"/>
      <c r="HW436" s="7"/>
      <c r="HX436" s="7"/>
      <c r="HY436" s="7"/>
      <c r="HZ436" s="7"/>
      <c r="IA436" s="7"/>
      <c r="IB436" s="7"/>
      <c r="IC436" s="7"/>
      <c r="ID436" s="7"/>
      <c r="IE436" s="7"/>
      <c r="IF436" s="7"/>
      <c r="IG436" s="7"/>
      <c r="IH436" s="7"/>
      <c r="II436" s="7"/>
      <c r="IJ436" s="7"/>
      <c r="IK436" s="7"/>
      <c r="IL436" s="7"/>
      <c r="IM436" s="7"/>
      <c r="IN436" s="7"/>
      <c r="IO436" s="7"/>
      <c r="IP436" s="7"/>
      <c r="IQ436" s="7"/>
      <c r="IR436" s="7"/>
      <c r="IS436" s="7"/>
      <c r="IT436" s="7"/>
      <c r="IU436" s="7"/>
      <c r="IV436" s="7"/>
      <c r="IW436" s="7"/>
      <c r="IX436" s="7"/>
      <c r="IY436" s="7"/>
      <c r="IZ436" s="7"/>
      <c r="JA436" s="7"/>
      <c r="JB436" s="7"/>
      <c r="JC436" s="7"/>
      <c r="JD436" s="7"/>
      <c r="JE436" s="7"/>
      <c r="JF436" s="7"/>
      <c r="JG436" s="7"/>
      <c r="JH436" s="7"/>
      <c r="JI436" s="7"/>
      <c r="JJ436" s="7"/>
      <c r="JK436" s="7"/>
      <c r="JL436" s="7"/>
      <c r="JM436" s="7"/>
      <c r="JN436" s="7"/>
      <c r="JO436" s="7"/>
      <c r="JP436" s="7"/>
      <c r="JQ436" s="7"/>
      <c r="JR436" s="7"/>
      <c r="JS436" s="7"/>
      <c r="JT436" s="7"/>
      <c r="JU436" s="7"/>
      <c r="JV436" s="7"/>
      <c r="JW436" s="7"/>
      <c r="JX436" s="7"/>
      <c r="JY436" s="7"/>
      <c r="JZ436" s="7"/>
      <c r="KA436" s="7"/>
      <c r="KB436" s="7"/>
      <c r="KC436" s="7"/>
      <c r="KD436" s="7"/>
      <c r="KE436" s="7"/>
      <c r="KF436" s="7"/>
      <c r="KG436" s="7"/>
      <c r="KH436" s="7"/>
      <c r="KI436" s="7"/>
      <c r="KJ436" s="7"/>
      <c r="KK436" s="7"/>
      <c r="KL436" s="7"/>
      <c r="KM436" s="7"/>
      <c r="KN436" s="7"/>
    </row>
    <row r="437">
      <c r="A437" s="6"/>
      <c r="B437" s="6" t="s">
        <v>437</v>
      </c>
      <c r="C437" s="3" t="str">
        <f t="shared" si="3"/>
        <v>bright magenta</v>
      </c>
      <c r="D437" s="3" t="str">
        <f t="shared" si="17"/>
        <v>ZZZ</v>
      </c>
      <c r="E437" s="3" t="b">
        <f t="array" ref="E437">OR(ISNUMBER(SEARCH(D$2:D$30,$B437,5)))</f>
        <v>0</v>
      </c>
      <c r="G437" s="3" t="str">
        <f t="shared" si="4"/>
        <v>ZZZ</v>
      </c>
      <c r="H437" s="3" t="b">
        <f t="array" ref="H437">OR(ISNUMBER(SEARCH(G$2:G$30,$B437,5)))</f>
        <v>0</v>
      </c>
      <c r="J437" s="3" t="str">
        <f t="shared" si="5"/>
        <v>ZZZ</v>
      </c>
      <c r="K437" s="3" t="b">
        <f t="array" ref="K437">OR(ISNUMBER(SEARCH(J$2:J$30,$B437,5)))</f>
        <v>0</v>
      </c>
      <c r="M437" s="3" t="str">
        <f t="shared" si="6"/>
        <v>ZZZ</v>
      </c>
      <c r="N437" s="3" t="b">
        <f t="array" ref="N437">OR(ISNUMBER(SEARCH(M$2:M$30,$B437,5)))</f>
        <v>0</v>
      </c>
      <c r="P437" s="3" t="str">
        <f t="shared" si="7"/>
        <v>ZZZ</v>
      </c>
      <c r="Q437" s="3" t="b">
        <f t="array" ref="Q437">OR(ISNUMBER(SEARCH(P$2:P$50,$B437,5)))</f>
        <v>0</v>
      </c>
      <c r="S437" s="3" t="str">
        <f t="shared" si="8"/>
        <v>ZZZ</v>
      </c>
      <c r="T437" s="3" t="b">
        <f t="array" ref="T437">OR(ISNUMBER(SEARCH(S$2:S$100,$B437,5)))</f>
        <v>0</v>
      </c>
      <c r="V437" s="3" t="str">
        <f t="shared" si="9"/>
        <v>ZZZ</v>
      </c>
      <c r="W437" s="3" t="b">
        <f t="array" ref="W437">OR(ISNUMBER(SEARCH(V$2:V$100,$B437,5)))</f>
        <v>0</v>
      </c>
      <c r="Y437" s="3" t="str">
        <f t="shared" si="10"/>
        <v>ZZZ</v>
      </c>
      <c r="Z437" s="3" t="b">
        <f t="array" ref="Z437">OR(ISNUMBER(SEARCH(Y$2:Y$100,$B437,5)))</f>
        <v>0</v>
      </c>
      <c r="AB437" s="3" t="str">
        <f t="shared" si="11"/>
        <v>ZZZ</v>
      </c>
      <c r="AC437" s="3" t="b">
        <f t="array" ref="AC437">OR(ISNUMBER(SEARCH(AB$2:AB$100,$B437,5)))</f>
        <v>0</v>
      </c>
      <c r="AE437" s="3" t="str">
        <f t="shared" si="12"/>
        <v>ZZZ</v>
      </c>
      <c r="AF437" s="3" t="b">
        <f t="array" ref="AF437">OR(ISNUMBER(SEARCH(AE$2:AE$100,$B437,5)))</f>
        <v>0</v>
      </c>
      <c r="AH437" s="3" t="str">
        <f t="shared" si="13"/>
        <v>ZZZ</v>
      </c>
      <c r="AI437" s="3" t="b">
        <f t="array" ref="AI437">OR(ISNUMBER(SEARCH(AH$2:AH$100,$B437,5)))</f>
        <v>0</v>
      </c>
      <c r="AK437" s="3" t="str">
        <f t="shared" si="14"/>
        <v>ZZZ</v>
      </c>
      <c r="AL437" s="3" t="b">
        <f t="array" ref="AL437">OR(ISNUMBER(SEARCH(AK$2:AK$100,$B437,5)))</f>
        <v>0</v>
      </c>
      <c r="AU437" s="8"/>
      <c r="AV437" s="6"/>
      <c r="AW437" s="8"/>
      <c r="AX437" s="8"/>
      <c r="AY437" s="6"/>
      <c r="AZ437" s="8"/>
      <c r="BA437" s="8"/>
      <c r="BB437" s="6"/>
      <c r="BC437" s="8"/>
      <c r="BD437" s="8"/>
      <c r="BE437" s="6"/>
      <c r="BF437" s="8"/>
      <c r="BG437" s="8"/>
      <c r="BH437" s="6"/>
      <c r="BI437" s="8"/>
      <c r="BJ437" s="8"/>
      <c r="BK437" s="6"/>
      <c r="BL437" s="8"/>
      <c r="BM437" s="8"/>
      <c r="BN437" s="6"/>
      <c r="BO437" s="8"/>
      <c r="BP437" s="8"/>
      <c r="BQ437" s="6"/>
      <c r="BR437" s="8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7"/>
      <c r="GV437" s="7"/>
      <c r="GW437" s="7"/>
      <c r="GX437" s="7"/>
      <c r="GY437" s="7"/>
      <c r="GZ437" s="7"/>
      <c r="HA437" s="7"/>
      <c r="HB437" s="7"/>
      <c r="HC437" s="7"/>
      <c r="HD437" s="7"/>
      <c r="HE437" s="7"/>
      <c r="HF437" s="7"/>
      <c r="HG437" s="7"/>
      <c r="HH437" s="7"/>
      <c r="HI437" s="7"/>
      <c r="HJ437" s="7"/>
      <c r="HK437" s="7"/>
      <c r="HL437" s="7"/>
      <c r="HM437" s="7"/>
      <c r="HN437" s="7"/>
      <c r="HO437" s="7"/>
      <c r="HP437" s="7"/>
      <c r="HQ437" s="7"/>
      <c r="HR437" s="7"/>
      <c r="HS437" s="7"/>
      <c r="HT437" s="7"/>
      <c r="HU437" s="7"/>
      <c r="HV437" s="7"/>
      <c r="HW437" s="7"/>
      <c r="HX437" s="7"/>
      <c r="HY437" s="7"/>
      <c r="HZ437" s="7"/>
      <c r="IA437" s="7"/>
      <c r="IB437" s="7"/>
      <c r="IC437" s="7"/>
      <c r="ID437" s="7"/>
      <c r="IE437" s="7"/>
      <c r="IF437" s="7"/>
      <c r="IG437" s="7"/>
      <c r="IH437" s="7"/>
      <c r="II437" s="7"/>
      <c r="IJ437" s="7"/>
      <c r="IK437" s="7"/>
      <c r="IL437" s="7"/>
      <c r="IM437" s="7"/>
      <c r="IN437" s="7"/>
      <c r="IO437" s="7"/>
      <c r="IP437" s="7"/>
      <c r="IQ437" s="7"/>
      <c r="IR437" s="7"/>
      <c r="IS437" s="7"/>
      <c r="IT437" s="7"/>
      <c r="IU437" s="7"/>
      <c r="IV437" s="7"/>
      <c r="IW437" s="7"/>
      <c r="IX437" s="7"/>
      <c r="IY437" s="7"/>
      <c r="IZ437" s="7"/>
      <c r="JA437" s="7"/>
      <c r="JB437" s="7"/>
      <c r="JC437" s="7"/>
      <c r="JD437" s="7"/>
      <c r="JE437" s="7"/>
      <c r="JF437" s="7"/>
      <c r="JG437" s="7"/>
      <c r="JH437" s="7"/>
      <c r="JI437" s="7"/>
      <c r="JJ437" s="7"/>
      <c r="JK437" s="7"/>
      <c r="JL437" s="7"/>
      <c r="JM437" s="7"/>
      <c r="JN437" s="7"/>
      <c r="JO437" s="7"/>
      <c r="JP437" s="7"/>
      <c r="JQ437" s="7"/>
      <c r="JR437" s="7"/>
      <c r="JS437" s="7"/>
      <c r="JT437" s="7"/>
      <c r="JU437" s="7"/>
      <c r="JV437" s="7"/>
      <c r="JW437" s="7"/>
      <c r="JX437" s="7"/>
      <c r="JY437" s="7"/>
      <c r="JZ437" s="7"/>
      <c r="KA437" s="7"/>
      <c r="KB437" s="7"/>
      <c r="KC437" s="7"/>
      <c r="KD437" s="7"/>
      <c r="KE437" s="7"/>
      <c r="KF437" s="7"/>
      <c r="KG437" s="7"/>
      <c r="KH437" s="7"/>
      <c r="KI437" s="7"/>
      <c r="KJ437" s="7"/>
      <c r="KK437" s="7"/>
      <c r="KL437" s="7"/>
      <c r="KM437" s="7"/>
      <c r="KN437" s="7"/>
    </row>
    <row r="438">
      <c r="A438" s="6"/>
      <c r="B438" s="6" t="s">
        <v>438</v>
      </c>
      <c r="C438" s="3" t="str">
        <f t="shared" si="3"/>
        <v>posh crimson</v>
      </c>
      <c r="D438" s="3" t="str">
        <f t="shared" si="17"/>
        <v>ZZZ</v>
      </c>
      <c r="E438" s="3" t="b">
        <f t="array" ref="E438">OR(ISNUMBER(SEARCH(D$2:D$30,$B438,5)))</f>
        <v>0</v>
      </c>
      <c r="G438" s="3" t="str">
        <f t="shared" si="4"/>
        <v>ZZZ</v>
      </c>
      <c r="H438" s="3" t="b">
        <f t="array" ref="H438">OR(ISNUMBER(SEARCH(G$2:G$30,$B438,5)))</f>
        <v>0</v>
      </c>
      <c r="J438" s="3" t="str">
        <f t="shared" si="5"/>
        <v>ZZZ</v>
      </c>
      <c r="K438" s="3" t="b">
        <f t="array" ref="K438">OR(ISNUMBER(SEARCH(J$2:J$30,$B438,5)))</f>
        <v>0</v>
      </c>
      <c r="M438" s="3" t="str">
        <f t="shared" si="6"/>
        <v>ZZZ</v>
      </c>
      <c r="N438" s="3" t="b">
        <f t="array" ref="N438">OR(ISNUMBER(SEARCH(M$2:M$30,$B438,5)))</f>
        <v>0</v>
      </c>
      <c r="P438" s="3" t="str">
        <f t="shared" si="7"/>
        <v>ZZZ</v>
      </c>
      <c r="Q438" s="3" t="b">
        <f t="array" ref="Q438">OR(ISNUMBER(SEARCH(P$2:P$50,$B438,5)))</f>
        <v>1</v>
      </c>
      <c r="S438" s="3" t="str">
        <f t="shared" si="8"/>
        <v>ZZZ</v>
      </c>
      <c r="T438" s="3" t="b">
        <f t="array" ref="T438">OR(ISNUMBER(SEARCH(S$2:S$100,$B438,5)))</f>
        <v>0</v>
      </c>
      <c r="V438" s="3" t="str">
        <f t="shared" si="9"/>
        <v>ZZZ</v>
      </c>
      <c r="W438" s="3" t="b">
        <f t="array" ref="W438">OR(ISNUMBER(SEARCH(V$2:V$100,$B438,5)))</f>
        <v>1</v>
      </c>
      <c r="Y438" s="3" t="str">
        <f t="shared" si="10"/>
        <v>ZZZ</v>
      </c>
      <c r="Z438" s="3" t="b">
        <f t="array" ref="Z438">OR(ISNUMBER(SEARCH(Y$2:Y$100,$B438,5)))</f>
        <v>0</v>
      </c>
      <c r="AB438" s="3" t="str">
        <f t="shared" si="11"/>
        <v>ZZZ</v>
      </c>
      <c r="AC438" s="3" t="b">
        <f t="array" ref="AC438">OR(ISNUMBER(SEARCH(AB$2:AB$100,$B438,5)))</f>
        <v>0</v>
      </c>
      <c r="AE438" s="3" t="str">
        <f t="shared" si="12"/>
        <v>ZZZ</v>
      </c>
      <c r="AF438" s="3" t="b">
        <f t="array" ref="AF438">OR(ISNUMBER(SEARCH(AE$2:AE$100,$B438,5)))</f>
        <v>0</v>
      </c>
      <c r="AH438" s="3" t="str">
        <f t="shared" si="13"/>
        <v>ZZZ</v>
      </c>
      <c r="AI438" s="3" t="b">
        <f t="array" ref="AI438">OR(ISNUMBER(SEARCH(AH$2:AH$100,$B438,5)))</f>
        <v>0</v>
      </c>
      <c r="AK438" s="3" t="str">
        <f t="shared" si="14"/>
        <v>ZZZ</v>
      </c>
      <c r="AL438" s="3" t="b">
        <f t="array" ref="AL438">OR(ISNUMBER(SEARCH(AK$2:AK$100,$B438,5)))</f>
        <v>0</v>
      </c>
      <c r="AU438" s="8"/>
      <c r="AV438" s="6"/>
      <c r="AW438" s="8"/>
      <c r="AX438" s="8"/>
      <c r="AY438" s="6"/>
      <c r="AZ438" s="8"/>
      <c r="BA438" s="8"/>
      <c r="BB438" s="6"/>
      <c r="BC438" s="8"/>
      <c r="BD438" s="8"/>
      <c r="BE438" s="6"/>
      <c r="BF438" s="8"/>
      <c r="BG438" s="8"/>
      <c r="BH438" s="6"/>
      <c r="BI438" s="8"/>
      <c r="BJ438" s="8"/>
      <c r="BK438" s="6"/>
      <c r="BL438" s="8"/>
      <c r="BM438" s="8"/>
      <c r="BN438" s="6"/>
      <c r="BO438" s="8"/>
      <c r="BP438" s="8"/>
      <c r="BQ438" s="6"/>
      <c r="BR438" s="8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  <c r="HM438" s="7"/>
      <c r="HN438" s="7"/>
      <c r="HO438" s="7"/>
      <c r="HP438" s="7"/>
      <c r="HQ438" s="7"/>
      <c r="HR438" s="7"/>
      <c r="HS438" s="7"/>
      <c r="HT438" s="7"/>
      <c r="HU438" s="7"/>
      <c r="HV438" s="7"/>
      <c r="HW438" s="7"/>
      <c r="HX438" s="7"/>
      <c r="HY438" s="7"/>
      <c r="HZ438" s="7"/>
      <c r="IA438" s="7"/>
      <c r="IB438" s="7"/>
      <c r="IC438" s="7"/>
      <c r="ID438" s="7"/>
      <c r="IE438" s="7"/>
      <c r="IF438" s="7"/>
      <c r="IG438" s="7"/>
      <c r="IH438" s="7"/>
      <c r="II438" s="7"/>
      <c r="IJ438" s="7"/>
      <c r="IK438" s="7"/>
      <c r="IL438" s="7"/>
      <c r="IM438" s="7"/>
      <c r="IN438" s="7"/>
      <c r="IO438" s="7"/>
      <c r="IP438" s="7"/>
      <c r="IQ438" s="7"/>
      <c r="IR438" s="7"/>
      <c r="IS438" s="7"/>
      <c r="IT438" s="7"/>
      <c r="IU438" s="7"/>
      <c r="IV438" s="7"/>
      <c r="IW438" s="7"/>
      <c r="IX438" s="7"/>
      <c r="IY438" s="7"/>
      <c r="IZ438" s="7"/>
      <c r="JA438" s="7"/>
      <c r="JB438" s="7"/>
      <c r="JC438" s="7"/>
      <c r="JD438" s="7"/>
      <c r="JE438" s="7"/>
      <c r="JF438" s="7"/>
      <c r="JG438" s="7"/>
      <c r="JH438" s="7"/>
      <c r="JI438" s="7"/>
      <c r="JJ438" s="7"/>
      <c r="JK438" s="7"/>
      <c r="JL438" s="7"/>
      <c r="JM438" s="7"/>
      <c r="JN438" s="7"/>
      <c r="JO438" s="7"/>
      <c r="JP438" s="7"/>
      <c r="JQ438" s="7"/>
      <c r="JR438" s="7"/>
      <c r="JS438" s="7"/>
      <c r="JT438" s="7"/>
      <c r="JU438" s="7"/>
      <c r="JV438" s="7"/>
      <c r="JW438" s="7"/>
      <c r="JX438" s="7"/>
      <c r="JY438" s="7"/>
      <c r="JZ438" s="7"/>
      <c r="KA438" s="7"/>
      <c r="KB438" s="7"/>
      <c r="KC438" s="7"/>
      <c r="KD438" s="7"/>
      <c r="KE438" s="7"/>
      <c r="KF438" s="7"/>
      <c r="KG438" s="7"/>
      <c r="KH438" s="7"/>
      <c r="KI438" s="7"/>
      <c r="KJ438" s="7"/>
      <c r="KK438" s="7"/>
      <c r="KL438" s="7"/>
      <c r="KM438" s="7"/>
      <c r="KN438" s="7"/>
    </row>
    <row r="439">
      <c r="A439" s="6"/>
      <c r="B439" s="6" t="s">
        <v>439</v>
      </c>
      <c r="C439" s="3" t="str">
        <f t="shared" si="3"/>
        <v>vibrant plum</v>
      </c>
      <c r="D439" s="3" t="str">
        <f t="shared" si="17"/>
        <v>ZZZ</v>
      </c>
      <c r="E439" s="3" t="b">
        <f t="array" ref="E439">OR(ISNUMBER(SEARCH(D$2:D$30,$B439,5)))</f>
        <v>0</v>
      </c>
      <c r="G439" s="3" t="str">
        <f t="shared" si="4"/>
        <v>ZZZ</v>
      </c>
      <c r="H439" s="3" t="b">
        <f t="array" ref="H439">OR(ISNUMBER(SEARCH(G$2:G$30,$B439,5)))</f>
        <v>0</v>
      </c>
      <c r="J439" s="3" t="str">
        <f t="shared" si="5"/>
        <v>ZZZ</v>
      </c>
      <c r="K439" s="3" t="b">
        <f t="array" ref="K439">OR(ISNUMBER(SEARCH(J$2:J$30,$B439,5)))</f>
        <v>0</v>
      </c>
      <c r="M439" s="3" t="str">
        <f t="shared" si="6"/>
        <v>ZZZ</v>
      </c>
      <c r="N439" s="3" t="b">
        <f t="array" ref="N439">OR(ISNUMBER(SEARCH(M$2:M$30,$B439,5)))</f>
        <v>0</v>
      </c>
      <c r="P439" s="3" t="str">
        <f t="shared" si="7"/>
        <v>ZZZ</v>
      </c>
      <c r="Q439" s="3" t="b">
        <f t="array" ref="Q439">OR(ISNUMBER(SEARCH(P$2:P$50,$B439,5)))</f>
        <v>0</v>
      </c>
      <c r="S439" s="3" t="str">
        <f t="shared" si="8"/>
        <v>ZZZ</v>
      </c>
      <c r="T439" s="3" t="b">
        <f t="array" ref="T439">OR(ISNUMBER(SEARCH(S$2:S$100,$B439,5)))</f>
        <v>0</v>
      </c>
      <c r="V439" s="3" t="str">
        <f t="shared" si="9"/>
        <v>ZZZ</v>
      </c>
      <c r="W439" s="3" t="b">
        <f t="array" ref="W439">OR(ISNUMBER(SEARCH(V$2:V$100,$B439,5)))</f>
        <v>0</v>
      </c>
      <c r="Y439" s="3" t="str">
        <f t="shared" si="10"/>
        <v>ZZZ</v>
      </c>
      <c r="Z439" s="3" t="b">
        <f t="array" ref="Z439">OR(ISNUMBER(SEARCH(Y$2:Y$100,$B439,5)))</f>
        <v>0</v>
      </c>
      <c r="AB439" s="3" t="str">
        <f t="shared" si="11"/>
        <v>ZZZ</v>
      </c>
      <c r="AC439" s="3" t="b">
        <f t="array" ref="AC439">OR(ISNUMBER(SEARCH(AB$2:AB$100,$B439,5)))</f>
        <v>0</v>
      </c>
      <c r="AE439" s="3" t="str">
        <f t="shared" si="12"/>
        <v>ZZZ</v>
      </c>
      <c r="AF439" s="3" t="b">
        <f t="array" ref="AF439">OR(ISNUMBER(SEARCH(AE$2:AE$100,$B439,5)))</f>
        <v>0</v>
      </c>
      <c r="AH439" s="3" t="str">
        <f t="shared" si="13"/>
        <v>ZZZ</v>
      </c>
      <c r="AI439" s="3" t="b">
        <f t="array" ref="AI439">OR(ISNUMBER(SEARCH(AH$2:AH$100,$B439,5)))</f>
        <v>0</v>
      </c>
      <c r="AK439" s="3" t="str">
        <f t="shared" si="14"/>
        <v>ZZZ</v>
      </c>
      <c r="AL439" s="3" t="b">
        <f t="array" ref="AL439">OR(ISNUMBER(SEARCH(AK$2:AK$100,$B439,5)))</f>
        <v>0</v>
      </c>
      <c r="AU439" s="8"/>
      <c r="AV439" s="6"/>
      <c r="AW439" s="8"/>
      <c r="AX439" s="8"/>
      <c r="AY439" s="6"/>
      <c r="AZ439" s="8"/>
      <c r="BA439" s="8"/>
      <c r="BB439" s="6"/>
      <c r="BC439" s="8"/>
      <c r="BD439" s="8"/>
      <c r="BE439" s="6"/>
      <c r="BF439" s="8"/>
      <c r="BG439" s="8"/>
      <c r="BH439" s="6"/>
      <c r="BI439" s="8"/>
      <c r="BJ439" s="8"/>
      <c r="BK439" s="6"/>
      <c r="BL439" s="8"/>
      <c r="BM439" s="8"/>
      <c r="BN439" s="6"/>
      <c r="BO439" s="8"/>
      <c r="BP439" s="8"/>
      <c r="BQ439" s="6"/>
      <c r="BR439" s="8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7"/>
      <c r="GV439" s="7"/>
      <c r="GW439" s="7"/>
      <c r="GX439" s="7"/>
      <c r="GY439" s="7"/>
      <c r="GZ439" s="7"/>
      <c r="HA439" s="7"/>
      <c r="HB439" s="7"/>
      <c r="HC439" s="7"/>
      <c r="HD439" s="7"/>
      <c r="HE439" s="7"/>
      <c r="HF439" s="7"/>
      <c r="HG439" s="7"/>
      <c r="HH439" s="7"/>
      <c r="HI439" s="7"/>
      <c r="HJ439" s="7"/>
      <c r="HK439" s="7"/>
      <c r="HL439" s="7"/>
      <c r="HM439" s="7"/>
      <c r="HN439" s="7"/>
      <c r="HO439" s="7"/>
      <c r="HP439" s="7"/>
      <c r="HQ439" s="7"/>
      <c r="HR439" s="7"/>
      <c r="HS439" s="7"/>
      <c r="HT439" s="7"/>
      <c r="HU439" s="7"/>
      <c r="HV439" s="7"/>
      <c r="HW439" s="7"/>
      <c r="HX439" s="7"/>
      <c r="HY439" s="7"/>
      <c r="HZ439" s="7"/>
      <c r="IA439" s="7"/>
      <c r="IB439" s="7"/>
      <c r="IC439" s="7"/>
      <c r="ID439" s="7"/>
      <c r="IE439" s="7"/>
      <c r="IF439" s="7"/>
      <c r="IG439" s="7"/>
      <c r="IH439" s="7"/>
      <c r="II439" s="7"/>
      <c r="IJ439" s="7"/>
      <c r="IK439" s="7"/>
      <c r="IL439" s="7"/>
      <c r="IM439" s="7"/>
      <c r="IN439" s="7"/>
      <c r="IO439" s="7"/>
      <c r="IP439" s="7"/>
      <c r="IQ439" s="7"/>
      <c r="IR439" s="7"/>
      <c r="IS439" s="7"/>
      <c r="IT439" s="7"/>
      <c r="IU439" s="7"/>
      <c r="IV439" s="7"/>
      <c r="IW439" s="7"/>
      <c r="IX439" s="7"/>
      <c r="IY439" s="7"/>
      <c r="IZ439" s="7"/>
      <c r="JA439" s="7"/>
      <c r="JB439" s="7"/>
      <c r="JC439" s="7"/>
      <c r="JD439" s="7"/>
      <c r="JE439" s="7"/>
      <c r="JF439" s="7"/>
      <c r="JG439" s="7"/>
      <c r="JH439" s="7"/>
      <c r="JI439" s="7"/>
      <c r="JJ439" s="7"/>
      <c r="JK439" s="7"/>
      <c r="JL439" s="7"/>
      <c r="JM439" s="7"/>
      <c r="JN439" s="7"/>
      <c r="JO439" s="7"/>
      <c r="JP439" s="7"/>
      <c r="JQ439" s="7"/>
      <c r="JR439" s="7"/>
      <c r="JS439" s="7"/>
      <c r="JT439" s="7"/>
      <c r="JU439" s="7"/>
      <c r="JV439" s="7"/>
      <c r="JW439" s="7"/>
      <c r="JX439" s="7"/>
      <c r="JY439" s="7"/>
      <c r="JZ439" s="7"/>
      <c r="KA439" s="7"/>
      <c r="KB439" s="7"/>
      <c r="KC439" s="7"/>
      <c r="KD439" s="7"/>
      <c r="KE439" s="7"/>
      <c r="KF439" s="7"/>
      <c r="KG439" s="7"/>
      <c r="KH439" s="7"/>
      <c r="KI439" s="7"/>
      <c r="KJ439" s="7"/>
      <c r="KK439" s="7"/>
      <c r="KL439" s="7"/>
      <c r="KM439" s="7"/>
      <c r="KN439" s="7"/>
    </row>
    <row r="440">
      <c r="A440" s="6"/>
      <c r="B440" s="6" t="s">
        <v>440</v>
      </c>
      <c r="C440" s="3" t="str">
        <f t="shared" si="3"/>
        <v>wavy lime</v>
      </c>
      <c r="D440" s="3" t="str">
        <f t="shared" si="17"/>
        <v>ZZZ</v>
      </c>
      <c r="E440" s="3" t="b">
        <f t="array" ref="E440">OR(ISNUMBER(SEARCH(D$2:D$30,$B440,5)))</f>
        <v>0</v>
      </c>
      <c r="G440" s="3" t="str">
        <f t="shared" si="4"/>
        <v>ZZZ</v>
      </c>
      <c r="H440" s="3" t="b">
        <f t="array" ref="H440">OR(ISNUMBER(SEARCH(G$2:G$30,$B440,5)))</f>
        <v>0</v>
      </c>
      <c r="J440" s="3" t="str">
        <f t="shared" si="5"/>
        <v>ZZZ</v>
      </c>
      <c r="K440" s="3" t="b">
        <f t="array" ref="K440">OR(ISNUMBER(SEARCH(J$2:J$30,$B440,5)))</f>
        <v>0</v>
      </c>
      <c r="M440" s="3" t="str">
        <f t="shared" si="6"/>
        <v>ZZZ</v>
      </c>
      <c r="N440" s="3" t="b">
        <f t="array" ref="N440">OR(ISNUMBER(SEARCH(M$2:M$30,$B440,5)))</f>
        <v>0</v>
      </c>
      <c r="P440" s="3" t="str">
        <f t="shared" si="7"/>
        <v>ZZZ</v>
      </c>
      <c r="Q440" s="3" t="b">
        <f t="array" ref="Q440">OR(ISNUMBER(SEARCH(P$2:P$50,$B440,5)))</f>
        <v>0</v>
      </c>
      <c r="S440" s="3" t="str">
        <f t="shared" si="8"/>
        <v>ZZZ</v>
      </c>
      <c r="T440" s="3" t="b">
        <f t="array" ref="T440">OR(ISNUMBER(SEARCH(S$2:S$100,$B440,5)))</f>
        <v>0</v>
      </c>
      <c r="V440" s="3" t="str">
        <f t="shared" si="9"/>
        <v>ZZZ</v>
      </c>
      <c r="W440" s="3" t="b">
        <f t="array" ref="W440">OR(ISNUMBER(SEARCH(V$2:V$100,$B440,5)))</f>
        <v>0</v>
      </c>
      <c r="Y440" s="3" t="str">
        <f t="shared" si="10"/>
        <v>ZZZ</v>
      </c>
      <c r="Z440" s="3" t="b">
        <f t="array" ref="Z440">OR(ISNUMBER(SEARCH(Y$2:Y$100,$B440,5)))</f>
        <v>0</v>
      </c>
      <c r="AB440" s="3" t="str">
        <f t="shared" si="11"/>
        <v>ZZZ</v>
      </c>
      <c r="AC440" s="3" t="b">
        <f t="array" ref="AC440">OR(ISNUMBER(SEARCH(AB$2:AB$100,$B440,5)))</f>
        <v>1</v>
      </c>
      <c r="AE440" s="3" t="str">
        <f t="shared" si="12"/>
        <v>ZZZ</v>
      </c>
      <c r="AF440" s="3" t="b">
        <f t="array" ref="AF440">OR(ISNUMBER(SEARCH(AE$2:AE$100,$B440,5)))</f>
        <v>0</v>
      </c>
      <c r="AH440" s="3" t="str">
        <f t="shared" si="13"/>
        <v>ZZZ</v>
      </c>
      <c r="AI440" s="3" t="b">
        <f t="array" ref="AI440">OR(ISNUMBER(SEARCH(AH$2:AH$100,$B440,5)))</f>
        <v>0</v>
      </c>
      <c r="AK440" s="3" t="str">
        <f t="shared" si="14"/>
        <v>ZZZ</v>
      </c>
      <c r="AL440" s="3" t="b">
        <f t="array" ref="AL440">OR(ISNUMBER(SEARCH(AK$2:AK$100,$B440,5)))</f>
        <v>0</v>
      </c>
      <c r="AU440" s="8"/>
      <c r="AV440" s="6"/>
      <c r="AW440" s="8"/>
      <c r="AX440" s="8"/>
      <c r="AY440" s="6"/>
      <c r="AZ440" s="8"/>
      <c r="BA440" s="8"/>
      <c r="BB440" s="6"/>
      <c r="BC440" s="8"/>
      <c r="BD440" s="8"/>
      <c r="BE440" s="6"/>
      <c r="BF440" s="8"/>
      <c r="BG440" s="8"/>
      <c r="BH440" s="6"/>
      <c r="BI440" s="8"/>
      <c r="BJ440" s="8"/>
      <c r="BK440" s="6"/>
      <c r="BL440" s="8"/>
      <c r="BM440" s="8"/>
      <c r="BN440" s="6"/>
      <c r="BO440" s="8"/>
      <c r="BP440" s="8"/>
      <c r="BQ440" s="6"/>
      <c r="BR440" s="8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7"/>
      <c r="HO440" s="7"/>
      <c r="HP440" s="7"/>
      <c r="HQ440" s="7"/>
      <c r="HR440" s="7"/>
      <c r="HS440" s="7"/>
      <c r="HT440" s="7"/>
      <c r="HU440" s="7"/>
      <c r="HV440" s="7"/>
      <c r="HW440" s="7"/>
      <c r="HX440" s="7"/>
      <c r="HY440" s="7"/>
      <c r="HZ440" s="7"/>
      <c r="IA440" s="7"/>
      <c r="IB440" s="7"/>
      <c r="IC440" s="7"/>
      <c r="ID440" s="7"/>
      <c r="IE440" s="7"/>
      <c r="IF440" s="7"/>
      <c r="IG440" s="7"/>
      <c r="IH440" s="7"/>
      <c r="II440" s="7"/>
      <c r="IJ440" s="7"/>
      <c r="IK440" s="7"/>
      <c r="IL440" s="7"/>
      <c r="IM440" s="7"/>
      <c r="IN440" s="7"/>
      <c r="IO440" s="7"/>
      <c r="IP440" s="7"/>
      <c r="IQ440" s="7"/>
      <c r="IR440" s="7"/>
      <c r="IS440" s="7"/>
      <c r="IT440" s="7"/>
      <c r="IU440" s="7"/>
      <c r="IV440" s="7"/>
      <c r="IW440" s="7"/>
      <c r="IX440" s="7"/>
      <c r="IY440" s="7"/>
      <c r="IZ440" s="7"/>
      <c r="JA440" s="7"/>
      <c r="JB440" s="7"/>
      <c r="JC440" s="7"/>
      <c r="JD440" s="7"/>
      <c r="JE440" s="7"/>
      <c r="JF440" s="7"/>
      <c r="JG440" s="7"/>
      <c r="JH440" s="7"/>
      <c r="JI440" s="7"/>
      <c r="JJ440" s="7"/>
      <c r="JK440" s="7"/>
      <c r="JL440" s="7"/>
      <c r="JM440" s="7"/>
      <c r="JN440" s="7"/>
      <c r="JO440" s="7"/>
      <c r="JP440" s="7"/>
      <c r="JQ440" s="7"/>
      <c r="JR440" s="7"/>
      <c r="JS440" s="7"/>
      <c r="JT440" s="7"/>
      <c r="JU440" s="7"/>
      <c r="JV440" s="7"/>
      <c r="JW440" s="7"/>
      <c r="JX440" s="7"/>
      <c r="JY440" s="7"/>
      <c r="JZ440" s="7"/>
      <c r="KA440" s="7"/>
      <c r="KB440" s="7"/>
      <c r="KC440" s="7"/>
      <c r="KD440" s="7"/>
      <c r="KE440" s="7"/>
      <c r="KF440" s="7"/>
      <c r="KG440" s="7"/>
      <c r="KH440" s="7"/>
      <c r="KI440" s="7"/>
      <c r="KJ440" s="7"/>
      <c r="KK440" s="7"/>
      <c r="KL440" s="7"/>
      <c r="KM440" s="7"/>
      <c r="KN440" s="7"/>
    </row>
    <row r="441">
      <c r="A441" s="6"/>
      <c r="B441" s="6" t="s">
        <v>441</v>
      </c>
      <c r="C441" s="3" t="str">
        <f t="shared" si="3"/>
        <v>shiny silver</v>
      </c>
      <c r="D441" s="3" t="str">
        <f t="shared" si="17"/>
        <v>ZZZ</v>
      </c>
      <c r="E441" s="3" t="b">
        <f t="array" ref="E441">OR(ISNUMBER(SEARCH(D$2:D$30,$B441,5)))</f>
        <v>0</v>
      </c>
      <c r="G441" s="3" t="str">
        <f t="shared" si="4"/>
        <v>ZZZ</v>
      </c>
      <c r="H441" s="3" t="b">
        <f t="array" ref="H441">OR(ISNUMBER(SEARCH(G$2:G$30,$B441,5)))</f>
        <v>0</v>
      </c>
      <c r="J441" s="3" t="str">
        <f t="shared" si="5"/>
        <v>ZZZ</v>
      </c>
      <c r="K441" s="3" t="b">
        <f t="array" ref="K441">OR(ISNUMBER(SEARCH(J$2:J$30,$B441,5)))</f>
        <v>0</v>
      </c>
      <c r="M441" s="3" t="str">
        <f t="shared" si="6"/>
        <v>ZZZ</v>
      </c>
      <c r="N441" s="3" t="b">
        <f t="array" ref="N441">OR(ISNUMBER(SEARCH(M$2:M$30,$B441,5)))</f>
        <v>0</v>
      </c>
      <c r="P441" s="3" t="str">
        <f t="shared" si="7"/>
        <v>ZZZ</v>
      </c>
      <c r="Q441" s="3" t="b">
        <f t="array" ref="Q441">OR(ISNUMBER(SEARCH(P$2:P$50,$B441,5)))</f>
        <v>0</v>
      </c>
      <c r="S441" s="3" t="str">
        <f t="shared" si="8"/>
        <v>ZZZ</v>
      </c>
      <c r="T441" s="3" t="b">
        <f t="array" ref="T441">OR(ISNUMBER(SEARCH(S$2:S$100,$B441,5)))</f>
        <v>0</v>
      </c>
      <c r="V441" s="3" t="str">
        <f t="shared" si="9"/>
        <v>ZZZ</v>
      </c>
      <c r="W441" s="3" t="b">
        <f t="array" ref="W441">OR(ISNUMBER(SEARCH(V$2:V$100,$B441,5)))</f>
        <v>0</v>
      </c>
      <c r="Y441" s="3" t="str">
        <f t="shared" si="10"/>
        <v>ZZZ</v>
      </c>
      <c r="Z441" s="3" t="b">
        <f t="array" ref="Z441">OR(ISNUMBER(SEARCH(Y$2:Y$100,$B441,5)))</f>
        <v>0</v>
      </c>
      <c r="AB441" s="3" t="str">
        <f t="shared" si="11"/>
        <v>ZZZ</v>
      </c>
      <c r="AC441" s="3" t="b">
        <f t="array" ref="AC441">OR(ISNUMBER(SEARCH(AB$2:AB$100,$B441,5)))</f>
        <v>0</v>
      </c>
      <c r="AE441" s="3" t="str">
        <f t="shared" si="12"/>
        <v>ZZZ</v>
      </c>
      <c r="AF441" s="3" t="b">
        <f t="array" ref="AF441">OR(ISNUMBER(SEARCH(AE$2:AE$100,$B441,5)))</f>
        <v>0</v>
      </c>
      <c r="AH441" s="3" t="str">
        <f t="shared" si="13"/>
        <v>ZZZ</v>
      </c>
      <c r="AI441" s="3" t="b">
        <f t="array" ref="AI441">OR(ISNUMBER(SEARCH(AH$2:AH$100,$B441,5)))</f>
        <v>0</v>
      </c>
      <c r="AK441" s="3" t="str">
        <f t="shared" si="14"/>
        <v>ZZZ</v>
      </c>
      <c r="AL441" s="3" t="b">
        <f t="array" ref="AL441">OR(ISNUMBER(SEARCH(AK$2:AK$100,$B441,5)))</f>
        <v>0</v>
      </c>
      <c r="AU441" s="8"/>
      <c r="AV441" s="6"/>
      <c r="AW441" s="8"/>
      <c r="AX441" s="8"/>
      <c r="AY441" s="6"/>
      <c r="AZ441" s="8"/>
      <c r="BA441" s="8"/>
      <c r="BB441" s="6"/>
      <c r="BC441" s="8"/>
      <c r="BD441" s="8"/>
      <c r="BE441" s="6"/>
      <c r="BF441" s="8"/>
      <c r="BG441" s="8"/>
      <c r="BH441" s="6"/>
      <c r="BI441" s="8"/>
      <c r="BJ441" s="8"/>
      <c r="BK441" s="6"/>
      <c r="BL441" s="8"/>
      <c r="BM441" s="8"/>
      <c r="BN441" s="6"/>
      <c r="BO441" s="8"/>
      <c r="BP441" s="8"/>
      <c r="BQ441" s="6"/>
      <c r="BR441" s="8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  <c r="HQ441" s="7"/>
      <c r="HR441" s="7"/>
      <c r="HS441" s="7"/>
      <c r="HT441" s="7"/>
      <c r="HU441" s="7"/>
      <c r="HV441" s="7"/>
      <c r="HW441" s="7"/>
      <c r="HX441" s="7"/>
      <c r="HY441" s="7"/>
      <c r="HZ441" s="7"/>
      <c r="IA441" s="7"/>
      <c r="IB441" s="7"/>
      <c r="IC441" s="7"/>
      <c r="ID441" s="7"/>
      <c r="IE441" s="7"/>
      <c r="IF441" s="7"/>
      <c r="IG441" s="7"/>
      <c r="IH441" s="7"/>
      <c r="II441" s="7"/>
      <c r="IJ441" s="7"/>
      <c r="IK441" s="7"/>
      <c r="IL441" s="7"/>
      <c r="IM441" s="7"/>
      <c r="IN441" s="7"/>
      <c r="IO441" s="7"/>
      <c r="IP441" s="7"/>
      <c r="IQ441" s="7"/>
      <c r="IR441" s="7"/>
      <c r="IS441" s="7"/>
      <c r="IT441" s="7"/>
      <c r="IU441" s="7"/>
      <c r="IV441" s="7"/>
      <c r="IW441" s="7"/>
      <c r="IX441" s="7"/>
      <c r="IY441" s="7"/>
      <c r="IZ441" s="7"/>
      <c r="JA441" s="7"/>
      <c r="JB441" s="7"/>
      <c r="JC441" s="7"/>
      <c r="JD441" s="7"/>
      <c r="JE441" s="7"/>
      <c r="JF441" s="7"/>
      <c r="JG441" s="7"/>
      <c r="JH441" s="7"/>
      <c r="JI441" s="7"/>
      <c r="JJ441" s="7"/>
      <c r="JK441" s="7"/>
      <c r="JL441" s="7"/>
      <c r="JM441" s="7"/>
      <c r="JN441" s="7"/>
      <c r="JO441" s="7"/>
      <c r="JP441" s="7"/>
      <c r="JQ441" s="7"/>
      <c r="JR441" s="7"/>
      <c r="JS441" s="7"/>
      <c r="JT441" s="7"/>
      <c r="JU441" s="7"/>
      <c r="JV441" s="7"/>
      <c r="JW441" s="7"/>
      <c r="JX441" s="7"/>
      <c r="JY441" s="7"/>
      <c r="JZ441" s="7"/>
      <c r="KA441" s="7"/>
      <c r="KB441" s="7"/>
      <c r="KC441" s="7"/>
      <c r="KD441" s="7"/>
      <c r="KE441" s="7"/>
      <c r="KF441" s="7"/>
      <c r="KG441" s="7"/>
      <c r="KH441" s="7"/>
      <c r="KI441" s="7"/>
      <c r="KJ441" s="7"/>
      <c r="KK441" s="7"/>
      <c r="KL441" s="7"/>
      <c r="KM441" s="7"/>
      <c r="KN441" s="7"/>
    </row>
    <row r="442">
      <c r="A442" s="6"/>
      <c r="B442" s="6" t="s">
        <v>442</v>
      </c>
      <c r="C442" s="3" t="str">
        <f t="shared" si="3"/>
        <v>dark tan</v>
      </c>
      <c r="D442" s="3" t="str">
        <f t="shared" si="17"/>
        <v>ZZZ</v>
      </c>
      <c r="E442" s="3" t="b">
        <f t="array" ref="E442">OR(ISNUMBER(SEARCH(D$2:D$30,$B442,5)))</f>
        <v>0</v>
      </c>
      <c r="G442" s="3" t="str">
        <f t="shared" si="4"/>
        <v>ZZZ</v>
      </c>
      <c r="H442" s="3" t="b">
        <f t="array" ref="H442">OR(ISNUMBER(SEARCH(G$2:G$30,$B442,5)))</f>
        <v>0</v>
      </c>
      <c r="J442" s="3" t="str">
        <f t="shared" si="5"/>
        <v>ZZZ</v>
      </c>
      <c r="K442" s="3" t="b">
        <f t="array" ref="K442">OR(ISNUMBER(SEARCH(J$2:J$30,$B442,5)))</f>
        <v>0</v>
      </c>
      <c r="M442" s="3" t="str">
        <f t="shared" si="6"/>
        <v>ZZZ</v>
      </c>
      <c r="N442" s="3" t="b">
        <f t="array" ref="N442">OR(ISNUMBER(SEARCH(M$2:M$30,$B442,5)))</f>
        <v>0</v>
      </c>
      <c r="P442" s="3" t="str">
        <f t="shared" si="7"/>
        <v>ZZZ</v>
      </c>
      <c r="Q442" s="3" t="b">
        <f t="array" ref="Q442">OR(ISNUMBER(SEARCH(P$2:P$50,$B442,5)))</f>
        <v>0</v>
      </c>
      <c r="S442" s="3" t="str">
        <f t="shared" si="8"/>
        <v>ZZZ</v>
      </c>
      <c r="T442" s="3" t="b">
        <f t="array" ref="T442">OR(ISNUMBER(SEARCH(S$2:S$100,$B442,5)))</f>
        <v>0</v>
      </c>
      <c r="V442" s="3" t="str">
        <f t="shared" si="9"/>
        <v>ZZZ</v>
      </c>
      <c r="W442" s="3" t="b">
        <f t="array" ref="W442">OR(ISNUMBER(SEARCH(V$2:V$100,$B442,5)))</f>
        <v>0</v>
      </c>
      <c r="Y442" s="3" t="str">
        <f t="shared" si="10"/>
        <v>ZZZ</v>
      </c>
      <c r="Z442" s="3" t="b">
        <f t="array" ref="Z442">OR(ISNUMBER(SEARCH(Y$2:Y$100,$B442,5)))</f>
        <v>0</v>
      </c>
      <c r="AB442" s="3" t="str">
        <f t="shared" si="11"/>
        <v>ZZZ</v>
      </c>
      <c r="AC442" s="3" t="b">
        <f t="array" ref="AC442">OR(ISNUMBER(SEARCH(AB$2:AB$100,$B442,5)))</f>
        <v>0</v>
      </c>
      <c r="AE442" s="3" t="str">
        <f t="shared" si="12"/>
        <v>ZZZ</v>
      </c>
      <c r="AF442" s="3" t="b">
        <f t="array" ref="AF442">OR(ISNUMBER(SEARCH(AE$2:AE$100,$B442,5)))</f>
        <v>0</v>
      </c>
      <c r="AH442" s="3" t="str">
        <f t="shared" si="13"/>
        <v>ZZZ</v>
      </c>
      <c r="AI442" s="3" t="b">
        <f t="array" ref="AI442">OR(ISNUMBER(SEARCH(AH$2:AH$100,$B442,5)))</f>
        <v>0</v>
      </c>
      <c r="AK442" s="3" t="str">
        <f t="shared" si="14"/>
        <v>ZZZ</v>
      </c>
      <c r="AL442" s="3" t="b">
        <f t="array" ref="AL442">OR(ISNUMBER(SEARCH(AK$2:AK$100,$B442,5)))</f>
        <v>0</v>
      </c>
      <c r="AU442" s="8"/>
      <c r="AV442" s="6"/>
      <c r="AW442" s="8"/>
      <c r="AX442" s="8"/>
      <c r="AY442" s="6"/>
      <c r="AZ442" s="8"/>
      <c r="BA442" s="8"/>
      <c r="BB442" s="6"/>
      <c r="BC442" s="8"/>
      <c r="BD442" s="8"/>
      <c r="BE442" s="6"/>
      <c r="BF442" s="8"/>
      <c r="BG442" s="8"/>
      <c r="BH442" s="6"/>
      <c r="BI442" s="8"/>
      <c r="BJ442" s="8"/>
      <c r="BK442" s="6"/>
      <c r="BL442" s="8"/>
      <c r="BM442" s="8"/>
      <c r="BN442" s="6"/>
      <c r="BO442" s="8"/>
      <c r="BP442" s="8"/>
      <c r="BQ442" s="6"/>
      <c r="BR442" s="8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7"/>
      <c r="HO442" s="7"/>
      <c r="HP442" s="7"/>
      <c r="HQ442" s="7"/>
      <c r="HR442" s="7"/>
      <c r="HS442" s="7"/>
      <c r="HT442" s="7"/>
      <c r="HU442" s="7"/>
      <c r="HV442" s="7"/>
      <c r="HW442" s="7"/>
      <c r="HX442" s="7"/>
      <c r="HY442" s="7"/>
      <c r="HZ442" s="7"/>
      <c r="IA442" s="7"/>
      <c r="IB442" s="7"/>
      <c r="IC442" s="7"/>
      <c r="ID442" s="7"/>
      <c r="IE442" s="7"/>
      <c r="IF442" s="7"/>
      <c r="IG442" s="7"/>
      <c r="IH442" s="7"/>
      <c r="II442" s="7"/>
      <c r="IJ442" s="7"/>
      <c r="IK442" s="7"/>
      <c r="IL442" s="7"/>
      <c r="IM442" s="7"/>
      <c r="IN442" s="7"/>
      <c r="IO442" s="7"/>
      <c r="IP442" s="7"/>
      <c r="IQ442" s="7"/>
      <c r="IR442" s="7"/>
      <c r="IS442" s="7"/>
      <c r="IT442" s="7"/>
      <c r="IU442" s="7"/>
      <c r="IV442" s="7"/>
      <c r="IW442" s="7"/>
      <c r="IX442" s="7"/>
      <c r="IY442" s="7"/>
      <c r="IZ442" s="7"/>
      <c r="JA442" s="7"/>
      <c r="JB442" s="7"/>
      <c r="JC442" s="7"/>
      <c r="JD442" s="7"/>
      <c r="JE442" s="7"/>
      <c r="JF442" s="7"/>
      <c r="JG442" s="7"/>
      <c r="JH442" s="7"/>
      <c r="JI442" s="7"/>
      <c r="JJ442" s="7"/>
      <c r="JK442" s="7"/>
      <c r="JL442" s="7"/>
      <c r="JM442" s="7"/>
      <c r="JN442" s="7"/>
      <c r="JO442" s="7"/>
      <c r="JP442" s="7"/>
      <c r="JQ442" s="7"/>
      <c r="JR442" s="7"/>
      <c r="JS442" s="7"/>
      <c r="JT442" s="7"/>
      <c r="JU442" s="7"/>
      <c r="JV442" s="7"/>
      <c r="JW442" s="7"/>
      <c r="JX442" s="7"/>
      <c r="JY442" s="7"/>
      <c r="JZ442" s="7"/>
      <c r="KA442" s="7"/>
      <c r="KB442" s="7"/>
      <c r="KC442" s="7"/>
      <c r="KD442" s="7"/>
      <c r="KE442" s="7"/>
      <c r="KF442" s="7"/>
      <c r="KG442" s="7"/>
      <c r="KH442" s="7"/>
      <c r="KI442" s="7"/>
      <c r="KJ442" s="7"/>
      <c r="KK442" s="7"/>
      <c r="KL442" s="7"/>
      <c r="KM442" s="7"/>
      <c r="KN442" s="7"/>
    </row>
    <row r="443">
      <c r="A443" s="6"/>
      <c r="B443" s="6" t="s">
        <v>443</v>
      </c>
      <c r="C443" s="3" t="str">
        <f t="shared" si="3"/>
        <v>mirrored brown</v>
      </c>
      <c r="D443" s="3" t="str">
        <f t="shared" si="17"/>
        <v>ZZZ</v>
      </c>
      <c r="E443" s="3" t="b">
        <f t="array" ref="E443">OR(ISNUMBER(SEARCH(D$2:D$30,$B443,5)))</f>
        <v>0</v>
      </c>
      <c r="G443" s="3" t="str">
        <f t="shared" si="4"/>
        <v>ZZZ</v>
      </c>
      <c r="H443" s="3" t="b">
        <f t="array" ref="H443">OR(ISNUMBER(SEARCH(G$2:G$30,$B443,5)))</f>
        <v>0</v>
      </c>
      <c r="J443" s="3" t="str">
        <f t="shared" si="5"/>
        <v>ZZZ</v>
      </c>
      <c r="K443" s="3" t="b">
        <f t="array" ref="K443">OR(ISNUMBER(SEARCH(J$2:J$30,$B443,5)))</f>
        <v>0</v>
      </c>
      <c r="M443" s="3" t="str">
        <f t="shared" si="6"/>
        <v>ZZZ</v>
      </c>
      <c r="N443" s="3" t="b">
        <f t="array" ref="N443">OR(ISNUMBER(SEARCH(M$2:M$30,$B443,5)))</f>
        <v>0</v>
      </c>
      <c r="P443" s="3" t="str">
        <f t="shared" si="7"/>
        <v>ZZZ</v>
      </c>
      <c r="Q443" s="3" t="b">
        <f t="array" ref="Q443">OR(ISNUMBER(SEARCH(P$2:P$50,$B443,5)))</f>
        <v>0</v>
      </c>
      <c r="S443" s="3" t="str">
        <f t="shared" si="8"/>
        <v>ZZZ</v>
      </c>
      <c r="T443" s="3" t="b">
        <f t="array" ref="T443">OR(ISNUMBER(SEARCH(S$2:S$100,$B443,5)))</f>
        <v>0</v>
      </c>
      <c r="V443" s="3" t="str">
        <f t="shared" si="9"/>
        <v>ZZZ</v>
      </c>
      <c r="W443" s="3" t="b">
        <f t="array" ref="W443">OR(ISNUMBER(SEARCH(V$2:V$100,$B443,5)))</f>
        <v>0</v>
      </c>
      <c r="Y443" s="3" t="str">
        <f t="shared" si="10"/>
        <v>ZZZ</v>
      </c>
      <c r="Z443" s="3" t="b">
        <f t="array" ref="Z443">OR(ISNUMBER(SEARCH(Y$2:Y$100,$B443,5)))</f>
        <v>0</v>
      </c>
      <c r="AB443" s="3" t="str">
        <f t="shared" si="11"/>
        <v>ZZZ</v>
      </c>
      <c r="AC443" s="3" t="b">
        <f t="array" ref="AC443">OR(ISNUMBER(SEARCH(AB$2:AB$100,$B443,5)))</f>
        <v>0</v>
      </c>
      <c r="AE443" s="3" t="str">
        <f t="shared" si="12"/>
        <v>ZZZ</v>
      </c>
      <c r="AF443" s="3" t="b">
        <f t="array" ref="AF443">OR(ISNUMBER(SEARCH(AE$2:AE$100,$B443,5)))</f>
        <v>0</v>
      </c>
      <c r="AH443" s="3" t="str">
        <f t="shared" si="13"/>
        <v>ZZZ</v>
      </c>
      <c r="AI443" s="3" t="b">
        <f t="array" ref="AI443">OR(ISNUMBER(SEARCH(AH$2:AH$100,$B443,5)))</f>
        <v>0</v>
      </c>
      <c r="AK443" s="3" t="str">
        <f t="shared" si="14"/>
        <v>ZZZ</v>
      </c>
      <c r="AL443" s="3" t="b">
        <f t="array" ref="AL443">OR(ISNUMBER(SEARCH(AK$2:AK$100,$B443,5)))</f>
        <v>0</v>
      </c>
      <c r="AU443" s="8"/>
      <c r="AV443" s="6"/>
      <c r="AW443" s="8"/>
      <c r="AX443" s="8"/>
      <c r="AY443" s="6"/>
      <c r="AZ443" s="8"/>
      <c r="BA443" s="8"/>
      <c r="BB443" s="6"/>
      <c r="BC443" s="8"/>
      <c r="BD443" s="8"/>
      <c r="BE443" s="6"/>
      <c r="BF443" s="8"/>
      <c r="BG443" s="8"/>
      <c r="BH443" s="6"/>
      <c r="BI443" s="8"/>
      <c r="BJ443" s="8"/>
      <c r="BK443" s="6"/>
      <c r="BL443" s="8"/>
      <c r="BM443" s="8"/>
      <c r="BN443" s="6"/>
      <c r="BO443" s="8"/>
      <c r="BP443" s="8"/>
      <c r="BQ443" s="6"/>
      <c r="BR443" s="8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  <c r="HQ443" s="7"/>
      <c r="HR443" s="7"/>
      <c r="HS443" s="7"/>
      <c r="HT443" s="7"/>
      <c r="HU443" s="7"/>
      <c r="HV443" s="7"/>
      <c r="HW443" s="7"/>
      <c r="HX443" s="7"/>
      <c r="HY443" s="7"/>
      <c r="HZ443" s="7"/>
      <c r="IA443" s="7"/>
      <c r="IB443" s="7"/>
      <c r="IC443" s="7"/>
      <c r="ID443" s="7"/>
      <c r="IE443" s="7"/>
      <c r="IF443" s="7"/>
      <c r="IG443" s="7"/>
      <c r="IH443" s="7"/>
      <c r="II443" s="7"/>
      <c r="IJ443" s="7"/>
      <c r="IK443" s="7"/>
      <c r="IL443" s="7"/>
      <c r="IM443" s="7"/>
      <c r="IN443" s="7"/>
      <c r="IO443" s="7"/>
      <c r="IP443" s="7"/>
      <c r="IQ443" s="7"/>
      <c r="IR443" s="7"/>
      <c r="IS443" s="7"/>
      <c r="IT443" s="7"/>
      <c r="IU443" s="7"/>
      <c r="IV443" s="7"/>
      <c r="IW443" s="7"/>
      <c r="IX443" s="7"/>
      <c r="IY443" s="7"/>
      <c r="IZ443" s="7"/>
      <c r="JA443" s="7"/>
      <c r="JB443" s="7"/>
      <c r="JC443" s="7"/>
      <c r="JD443" s="7"/>
      <c r="JE443" s="7"/>
      <c r="JF443" s="7"/>
      <c r="JG443" s="7"/>
      <c r="JH443" s="7"/>
      <c r="JI443" s="7"/>
      <c r="JJ443" s="7"/>
      <c r="JK443" s="7"/>
      <c r="JL443" s="7"/>
      <c r="JM443" s="7"/>
      <c r="JN443" s="7"/>
      <c r="JO443" s="7"/>
      <c r="JP443" s="7"/>
      <c r="JQ443" s="7"/>
      <c r="JR443" s="7"/>
      <c r="JS443" s="7"/>
      <c r="JT443" s="7"/>
      <c r="JU443" s="7"/>
      <c r="JV443" s="7"/>
      <c r="JW443" s="7"/>
      <c r="JX443" s="7"/>
      <c r="JY443" s="7"/>
      <c r="JZ443" s="7"/>
      <c r="KA443" s="7"/>
      <c r="KB443" s="7"/>
      <c r="KC443" s="7"/>
      <c r="KD443" s="7"/>
      <c r="KE443" s="7"/>
      <c r="KF443" s="7"/>
      <c r="KG443" s="7"/>
      <c r="KH443" s="7"/>
      <c r="KI443" s="7"/>
      <c r="KJ443" s="7"/>
      <c r="KK443" s="7"/>
      <c r="KL443" s="7"/>
      <c r="KM443" s="7"/>
      <c r="KN443" s="7"/>
    </row>
    <row r="444">
      <c r="A444" s="6"/>
      <c r="B444" s="6" t="s">
        <v>444</v>
      </c>
      <c r="C444" s="3" t="str">
        <f t="shared" si="3"/>
        <v>muted brown</v>
      </c>
      <c r="D444" s="3" t="str">
        <f t="shared" si="17"/>
        <v>ZZZ</v>
      </c>
      <c r="E444" s="3" t="b">
        <f t="array" ref="E444">OR(ISNUMBER(SEARCH(D$2:D$30,$B444,5)))</f>
        <v>0</v>
      </c>
      <c r="G444" s="3" t="str">
        <f t="shared" si="4"/>
        <v>ZZZ</v>
      </c>
      <c r="H444" s="3" t="b">
        <f t="array" ref="H444">OR(ISNUMBER(SEARCH(G$2:G$30,$B444,5)))</f>
        <v>0</v>
      </c>
      <c r="J444" s="3" t="str">
        <f t="shared" si="5"/>
        <v>ZZZ</v>
      </c>
      <c r="K444" s="3" t="b">
        <f t="array" ref="K444">OR(ISNUMBER(SEARCH(J$2:J$30,$B444,5)))</f>
        <v>0</v>
      </c>
      <c r="M444" s="3" t="str">
        <f t="shared" si="6"/>
        <v>ZZZ</v>
      </c>
      <c r="N444" s="3" t="b">
        <f t="array" ref="N444">OR(ISNUMBER(SEARCH(M$2:M$30,$B444,5)))</f>
        <v>0</v>
      </c>
      <c r="P444" s="3" t="str">
        <f t="shared" si="7"/>
        <v>ZZZ</v>
      </c>
      <c r="Q444" s="3" t="b">
        <f t="array" ref="Q444">OR(ISNUMBER(SEARCH(P$2:P$50,$B444,5)))</f>
        <v>0</v>
      </c>
      <c r="S444" s="3" t="str">
        <f t="shared" si="8"/>
        <v>ZZZ</v>
      </c>
      <c r="T444" s="3" t="b">
        <f t="array" ref="T444">OR(ISNUMBER(SEARCH(S$2:S$100,$B444,5)))</f>
        <v>0</v>
      </c>
      <c r="V444" s="3" t="str">
        <f t="shared" si="9"/>
        <v>ZZZ</v>
      </c>
      <c r="W444" s="3" t="b">
        <f t="array" ref="W444">OR(ISNUMBER(SEARCH(V$2:V$100,$B444,5)))</f>
        <v>0</v>
      </c>
      <c r="Y444" s="3" t="str">
        <f t="shared" si="10"/>
        <v>ZZZ</v>
      </c>
      <c r="Z444" s="3" t="b">
        <f t="array" ref="Z444">OR(ISNUMBER(SEARCH(Y$2:Y$100,$B444,5)))</f>
        <v>0</v>
      </c>
      <c r="AB444" s="3" t="str">
        <f t="shared" si="11"/>
        <v>ZZZ</v>
      </c>
      <c r="AC444" s="3" t="b">
        <f t="array" ref="AC444">OR(ISNUMBER(SEARCH(AB$2:AB$100,$B444,5)))</f>
        <v>0</v>
      </c>
      <c r="AE444" s="3" t="str">
        <f t="shared" si="12"/>
        <v>ZZZ</v>
      </c>
      <c r="AF444" s="3" t="b">
        <f t="array" ref="AF444">OR(ISNUMBER(SEARCH(AE$2:AE$100,$B444,5)))</f>
        <v>0</v>
      </c>
      <c r="AH444" s="3" t="str">
        <f t="shared" si="13"/>
        <v>ZZZ</v>
      </c>
      <c r="AI444" s="3" t="b">
        <f t="array" ref="AI444">OR(ISNUMBER(SEARCH(AH$2:AH$100,$B444,5)))</f>
        <v>0</v>
      </c>
      <c r="AK444" s="3" t="str">
        <f t="shared" si="14"/>
        <v>ZZZ</v>
      </c>
      <c r="AL444" s="3" t="b">
        <f t="array" ref="AL444">OR(ISNUMBER(SEARCH(AK$2:AK$100,$B444,5)))</f>
        <v>0</v>
      </c>
      <c r="AU444" s="8"/>
      <c r="AV444" s="6"/>
      <c r="AW444" s="8"/>
      <c r="AX444" s="8"/>
      <c r="AY444" s="6"/>
      <c r="AZ444" s="8"/>
      <c r="BA444" s="8"/>
      <c r="BB444" s="6"/>
      <c r="BC444" s="8"/>
      <c r="BD444" s="8"/>
      <c r="BE444" s="6"/>
      <c r="BF444" s="8"/>
      <c r="BG444" s="8"/>
      <c r="BH444" s="6"/>
      <c r="BI444" s="8"/>
      <c r="BJ444" s="8"/>
      <c r="BK444" s="6"/>
      <c r="BL444" s="8"/>
      <c r="BM444" s="8"/>
      <c r="BN444" s="6"/>
      <c r="BO444" s="8"/>
      <c r="BP444" s="8"/>
      <c r="BQ444" s="6"/>
      <c r="BR444" s="8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7"/>
      <c r="HO444" s="7"/>
      <c r="HP444" s="7"/>
      <c r="HQ444" s="7"/>
      <c r="HR444" s="7"/>
      <c r="HS444" s="7"/>
      <c r="HT444" s="7"/>
      <c r="HU444" s="7"/>
      <c r="HV444" s="7"/>
      <c r="HW444" s="7"/>
      <c r="HX444" s="7"/>
      <c r="HY444" s="7"/>
      <c r="HZ444" s="7"/>
      <c r="IA444" s="7"/>
      <c r="IB444" s="7"/>
      <c r="IC444" s="7"/>
      <c r="ID444" s="7"/>
      <c r="IE444" s="7"/>
      <c r="IF444" s="7"/>
      <c r="IG444" s="7"/>
      <c r="IH444" s="7"/>
      <c r="II444" s="7"/>
      <c r="IJ444" s="7"/>
      <c r="IK444" s="7"/>
      <c r="IL444" s="7"/>
      <c r="IM444" s="7"/>
      <c r="IN444" s="7"/>
      <c r="IO444" s="7"/>
      <c r="IP444" s="7"/>
      <c r="IQ444" s="7"/>
      <c r="IR444" s="7"/>
      <c r="IS444" s="7"/>
      <c r="IT444" s="7"/>
      <c r="IU444" s="7"/>
      <c r="IV444" s="7"/>
      <c r="IW444" s="7"/>
      <c r="IX444" s="7"/>
      <c r="IY444" s="7"/>
      <c r="IZ444" s="7"/>
      <c r="JA444" s="7"/>
      <c r="JB444" s="7"/>
      <c r="JC444" s="7"/>
      <c r="JD444" s="7"/>
      <c r="JE444" s="7"/>
      <c r="JF444" s="7"/>
      <c r="JG444" s="7"/>
      <c r="JH444" s="7"/>
      <c r="JI444" s="7"/>
      <c r="JJ444" s="7"/>
      <c r="JK444" s="7"/>
      <c r="JL444" s="7"/>
      <c r="JM444" s="7"/>
      <c r="JN444" s="7"/>
      <c r="JO444" s="7"/>
      <c r="JP444" s="7"/>
      <c r="JQ444" s="7"/>
      <c r="JR444" s="7"/>
      <c r="JS444" s="7"/>
      <c r="JT444" s="7"/>
      <c r="JU444" s="7"/>
      <c r="JV444" s="7"/>
      <c r="JW444" s="7"/>
      <c r="JX444" s="7"/>
      <c r="JY444" s="7"/>
      <c r="JZ444" s="7"/>
      <c r="KA444" s="7"/>
      <c r="KB444" s="7"/>
      <c r="KC444" s="7"/>
      <c r="KD444" s="7"/>
      <c r="KE444" s="7"/>
      <c r="KF444" s="7"/>
      <c r="KG444" s="7"/>
      <c r="KH444" s="7"/>
      <c r="KI444" s="7"/>
      <c r="KJ444" s="7"/>
      <c r="KK444" s="7"/>
      <c r="KL444" s="7"/>
      <c r="KM444" s="7"/>
      <c r="KN444" s="7"/>
    </row>
    <row r="445">
      <c r="A445" s="6"/>
      <c r="B445" s="6" t="s">
        <v>445</v>
      </c>
      <c r="C445" s="3" t="str">
        <f t="shared" si="3"/>
        <v>posh black</v>
      </c>
      <c r="D445" s="3" t="str">
        <f t="shared" si="17"/>
        <v>ZZZ</v>
      </c>
      <c r="E445" s="3" t="b">
        <f t="array" ref="E445">OR(ISNUMBER(SEARCH(D$2:D$30,$B445,5)))</f>
        <v>0</v>
      </c>
      <c r="G445" s="3" t="str">
        <f t="shared" si="4"/>
        <v>ZZZ</v>
      </c>
      <c r="H445" s="3" t="b">
        <f t="array" ref="H445">OR(ISNUMBER(SEARCH(G$2:G$30,$B445,5)))</f>
        <v>0</v>
      </c>
      <c r="J445" s="3" t="str">
        <f t="shared" si="5"/>
        <v>ZZZ</v>
      </c>
      <c r="K445" s="3" t="b">
        <f t="array" ref="K445">OR(ISNUMBER(SEARCH(J$2:J$30,$B445,5)))</f>
        <v>0</v>
      </c>
      <c r="M445" s="3" t="str">
        <f t="shared" si="6"/>
        <v>ZZZ</v>
      </c>
      <c r="N445" s="3" t="b">
        <f t="array" ref="N445">OR(ISNUMBER(SEARCH(M$2:M$30,$B445,5)))</f>
        <v>0</v>
      </c>
      <c r="P445" s="3" t="str">
        <f t="shared" si="7"/>
        <v>ZZZ</v>
      </c>
      <c r="Q445" s="3" t="b">
        <f t="array" ref="Q445">OR(ISNUMBER(SEARCH(P$2:P$50,$B445,5)))</f>
        <v>0</v>
      </c>
      <c r="S445" s="3" t="str">
        <f t="shared" si="8"/>
        <v>ZZZ</v>
      </c>
      <c r="T445" s="3" t="b">
        <f t="array" ref="T445">OR(ISNUMBER(SEARCH(S$2:S$100,$B445,5)))</f>
        <v>0</v>
      </c>
      <c r="V445" s="3" t="str">
        <f t="shared" si="9"/>
        <v>ZZZ</v>
      </c>
      <c r="W445" s="3" t="b">
        <f t="array" ref="W445">OR(ISNUMBER(SEARCH(V$2:V$100,$B445,5)))</f>
        <v>1</v>
      </c>
      <c r="Y445" s="3" t="str">
        <f t="shared" si="10"/>
        <v>ZZZ</v>
      </c>
      <c r="Z445" s="3" t="b">
        <f t="array" ref="Z445">OR(ISNUMBER(SEARCH(Y$2:Y$100,$B445,5)))</f>
        <v>0</v>
      </c>
      <c r="AB445" s="3" t="str">
        <f t="shared" si="11"/>
        <v>ZZZ</v>
      </c>
      <c r="AC445" s="3" t="b">
        <f t="array" ref="AC445">OR(ISNUMBER(SEARCH(AB$2:AB$100,$B445,5)))</f>
        <v>0</v>
      </c>
      <c r="AE445" s="3" t="str">
        <f t="shared" si="12"/>
        <v>ZZZ</v>
      </c>
      <c r="AF445" s="3" t="b">
        <f t="array" ref="AF445">OR(ISNUMBER(SEARCH(AE$2:AE$100,$B445,5)))</f>
        <v>0</v>
      </c>
      <c r="AH445" s="3" t="str">
        <f t="shared" si="13"/>
        <v>ZZZ</v>
      </c>
      <c r="AI445" s="3" t="b">
        <f t="array" ref="AI445">OR(ISNUMBER(SEARCH(AH$2:AH$100,$B445,5)))</f>
        <v>0</v>
      </c>
      <c r="AK445" s="3" t="str">
        <f t="shared" si="14"/>
        <v>ZZZ</v>
      </c>
      <c r="AL445" s="3" t="b">
        <f t="array" ref="AL445">OR(ISNUMBER(SEARCH(AK$2:AK$100,$B445,5)))</f>
        <v>0</v>
      </c>
      <c r="AU445" s="8"/>
      <c r="AV445" s="6"/>
      <c r="AW445" s="8"/>
      <c r="AX445" s="8"/>
      <c r="AY445" s="6"/>
      <c r="AZ445" s="8"/>
      <c r="BA445" s="8"/>
      <c r="BB445" s="6"/>
      <c r="BC445" s="8"/>
      <c r="BD445" s="8"/>
      <c r="BE445" s="6"/>
      <c r="BF445" s="8"/>
      <c r="BG445" s="8"/>
      <c r="BH445" s="6"/>
      <c r="BI445" s="8"/>
      <c r="BJ445" s="8"/>
      <c r="BK445" s="6"/>
      <c r="BL445" s="8"/>
      <c r="BM445" s="8"/>
      <c r="BN445" s="6"/>
      <c r="BO445" s="8"/>
      <c r="BP445" s="8"/>
      <c r="BQ445" s="6"/>
      <c r="BR445" s="8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7"/>
      <c r="HO445" s="7"/>
      <c r="HP445" s="7"/>
      <c r="HQ445" s="7"/>
      <c r="HR445" s="7"/>
      <c r="HS445" s="7"/>
      <c r="HT445" s="7"/>
      <c r="HU445" s="7"/>
      <c r="HV445" s="7"/>
      <c r="HW445" s="7"/>
      <c r="HX445" s="7"/>
      <c r="HY445" s="7"/>
      <c r="HZ445" s="7"/>
      <c r="IA445" s="7"/>
      <c r="IB445" s="7"/>
      <c r="IC445" s="7"/>
      <c r="ID445" s="7"/>
      <c r="IE445" s="7"/>
      <c r="IF445" s="7"/>
      <c r="IG445" s="7"/>
      <c r="IH445" s="7"/>
      <c r="II445" s="7"/>
      <c r="IJ445" s="7"/>
      <c r="IK445" s="7"/>
      <c r="IL445" s="7"/>
      <c r="IM445" s="7"/>
      <c r="IN445" s="7"/>
      <c r="IO445" s="7"/>
      <c r="IP445" s="7"/>
      <c r="IQ445" s="7"/>
      <c r="IR445" s="7"/>
      <c r="IS445" s="7"/>
      <c r="IT445" s="7"/>
      <c r="IU445" s="7"/>
      <c r="IV445" s="7"/>
      <c r="IW445" s="7"/>
      <c r="IX445" s="7"/>
      <c r="IY445" s="7"/>
      <c r="IZ445" s="7"/>
      <c r="JA445" s="7"/>
      <c r="JB445" s="7"/>
      <c r="JC445" s="7"/>
      <c r="JD445" s="7"/>
      <c r="JE445" s="7"/>
      <c r="JF445" s="7"/>
      <c r="JG445" s="7"/>
      <c r="JH445" s="7"/>
      <c r="JI445" s="7"/>
      <c r="JJ445" s="7"/>
      <c r="JK445" s="7"/>
      <c r="JL445" s="7"/>
      <c r="JM445" s="7"/>
      <c r="JN445" s="7"/>
      <c r="JO445" s="7"/>
      <c r="JP445" s="7"/>
      <c r="JQ445" s="7"/>
      <c r="JR445" s="7"/>
      <c r="JS445" s="7"/>
      <c r="JT445" s="7"/>
      <c r="JU445" s="7"/>
      <c r="JV445" s="7"/>
      <c r="JW445" s="7"/>
      <c r="JX445" s="7"/>
      <c r="JY445" s="7"/>
      <c r="JZ445" s="7"/>
      <c r="KA445" s="7"/>
      <c r="KB445" s="7"/>
      <c r="KC445" s="7"/>
      <c r="KD445" s="7"/>
      <c r="KE445" s="7"/>
      <c r="KF445" s="7"/>
      <c r="KG445" s="7"/>
      <c r="KH445" s="7"/>
      <c r="KI445" s="7"/>
      <c r="KJ445" s="7"/>
      <c r="KK445" s="7"/>
      <c r="KL445" s="7"/>
      <c r="KM445" s="7"/>
      <c r="KN445" s="7"/>
    </row>
    <row r="446">
      <c r="A446" s="6"/>
      <c r="B446" s="6" t="s">
        <v>446</v>
      </c>
      <c r="C446" s="3" t="str">
        <f t="shared" si="3"/>
        <v>wavy aqua</v>
      </c>
      <c r="D446" s="3" t="str">
        <f t="shared" si="17"/>
        <v>ZZZ</v>
      </c>
      <c r="E446" s="3" t="b">
        <f t="array" ref="E446">OR(ISNUMBER(SEARCH(D$2:D$30,$B446,5)))</f>
        <v>0</v>
      </c>
      <c r="G446" s="3" t="str">
        <f t="shared" si="4"/>
        <v>ZZZ</v>
      </c>
      <c r="H446" s="3" t="b">
        <f t="array" ref="H446">OR(ISNUMBER(SEARCH(G$2:G$30,$B446,5)))</f>
        <v>0</v>
      </c>
      <c r="J446" s="3" t="str">
        <f t="shared" si="5"/>
        <v>ZZZ</v>
      </c>
      <c r="K446" s="3" t="b">
        <f t="array" ref="K446">OR(ISNUMBER(SEARCH(J$2:J$30,$B446,5)))</f>
        <v>0</v>
      </c>
      <c r="M446" s="3" t="str">
        <f t="shared" si="6"/>
        <v>ZZZ</v>
      </c>
      <c r="N446" s="3" t="b">
        <f t="array" ref="N446">OR(ISNUMBER(SEARCH(M$2:M$30,$B446,5)))</f>
        <v>0</v>
      </c>
      <c r="P446" s="3" t="str">
        <f t="shared" si="7"/>
        <v>ZZZ</v>
      </c>
      <c r="Q446" s="3" t="b">
        <f t="array" ref="Q446">OR(ISNUMBER(SEARCH(P$2:P$50,$B446,5)))</f>
        <v>0</v>
      </c>
      <c r="S446" s="3" t="str">
        <f t="shared" si="8"/>
        <v>ZZZ</v>
      </c>
      <c r="T446" s="3" t="b">
        <f t="array" ref="T446">OR(ISNUMBER(SEARCH(S$2:S$100,$B446,5)))</f>
        <v>0</v>
      </c>
      <c r="V446" s="3" t="str">
        <f t="shared" si="9"/>
        <v>ZZZ</v>
      </c>
      <c r="W446" s="3" t="b">
        <f t="array" ref="W446">OR(ISNUMBER(SEARCH(V$2:V$100,$B446,5)))</f>
        <v>0</v>
      </c>
      <c r="Y446" s="3" t="str">
        <f t="shared" si="10"/>
        <v>ZZZ</v>
      </c>
      <c r="Z446" s="3" t="b">
        <f t="array" ref="Z446">OR(ISNUMBER(SEARCH(Y$2:Y$100,$B446,5)))</f>
        <v>0</v>
      </c>
      <c r="AB446" s="3" t="str">
        <f t="shared" si="11"/>
        <v>ZZZ</v>
      </c>
      <c r="AC446" s="3" t="b">
        <f t="array" ref="AC446">OR(ISNUMBER(SEARCH(AB$2:AB$100,$B446,5)))</f>
        <v>0</v>
      </c>
      <c r="AE446" s="3" t="str">
        <f t="shared" si="12"/>
        <v>ZZZ</v>
      </c>
      <c r="AF446" s="3" t="b">
        <f t="array" ref="AF446">OR(ISNUMBER(SEARCH(AE$2:AE$100,$B446,5)))</f>
        <v>0</v>
      </c>
      <c r="AH446" s="3" t="str">
        <f t="shared" si="13"/>
        <v>ZZZ</v>
      </c>
      <c r="AI446" s="3" t="b">
        <f t="array" ref="AI446">OR(ISNUMBER(SEARCH(AH$2:AH$100,$B446,5)))</f>
        <v>0</v>
      </c>
      <c r="AK446" s="3" t="str">
        <f t="shared" si="14"/>
        <v>ZZZ</v>
      </c>
      <c r="AL446" s="3" t="b">
        <f t="array" ref="AL446">OR(ISNUMBER(SEARCH(AK$2:AK$100,$B446,5)))</f>
        <v>0</v>
      </c>
      <c r="AU446" s="8"/>
      <c r="AV446" s="6"/>
      <c r="AW446" s="8"/>
      <c r="AX446" s="8"/>
      <c r="AY446" s="6"/>
      <c r="AZ446" s="8"/>
      <c r="BA446" s="8"/>
      <c r="BB446" s="6"/>
      <c r="BC446" s="8"/>
      <c r="BD446" s="8"/>
      <c r="BE446" s="6"/>
      <c r="BF446" s="8"/>
      <c r="BG446" s="8"/>
      <c r="BH446" s="6"/>
      <c r="BI446" s="8"/>
      <c r="BJ446" s="8"/>
      <c r="BK446" s="6"/>
      <c r="BL446" s="8"/>
      <c r="BM446" s="8"/>
      <c r="BN446" s="6"/>
      <c r="BO446" s="8"/>
      <c r="BP446" s="8"/>
      <c r="BQ446" s="6"/>
      <c r="BR446" s="8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7"/>
      <c r="HO446" s="7"/>
      <c r="HP446" s="7"/>
      <c r="HQ446" s="7"/>
      <c r="HR446" s="7"/>
      <c r="HS446" s="7"/>
      <c r="HT446" s="7"/>
      <c r="HU446" s="7"/>
      <c r="HV446" s="7"/>
      <c r="HW446" s="7"/>
      <c r="HX446" s="7"/>
      <c r="HY446" s="7"/>
      <c r="HZ446" s="7"/>
      <c r="IA446" s="7"/>
      <c r="IB446" s="7"/>
      <c r="IC446" s="7"/>
      <c r="ID446" s="7"/>
      <c r="IE446" s="7"/>
      <c r="IF446" s="7"/>
      <c r="IG446" s="7"/>
      <c r="IH446" s="7"/>
      <c r="II446" s="7"/>
      <c r="IJ446" s="7"/>
      <c r="IK446" s="7"/>
      <c r="IL446" s="7"/>
      <c r="IM446" s="7"/>
      <c r="IN446" s="7"/>
      <c r="IO446" s="7"/>
      <c r="IP446" s="7"/>
      <c r="IQ446" s="7"/>
      <c r="IR446" s="7"/>
      <c r="IS446" s="7"/>
      <c r="IT446" s="7"/>
      <c r="IU446" s="7"/>
      <c r="IV446" s="7"/>
      <c r="IW446" s="7"/>
      <c r="IX446" s="7"/>
      <c r="IY446" s="7"/>
      <c r="IZ446" s="7"/>
      <c r="JA446" s="7"/>
      <c r="JB446" s="7"/>
      <c r="JC446" s="7"/>
      <c r="JD446" s="7"/>
      <c r="JE446" s="7"/>
      <c r="JF446" s="7"/>
      <c r="JG446" s="7"/>
      <c r="JH446" s="7"/>
      <c r="JI446" s="7"/>
      <c r="JJ446" s="7"/>
      <c r="JK446" s="7"/>
      <c r="JL446" s="7"/>
      <c r="JM446" s="7"/>
      <c r="JN446" s="7"/>
      <c r="JO446" s="7"/>
      <c r="JP446" s="7"/>
      <c r="JQ446" s="7"/>
      <c r="JR446" s="7"/>
      <c r="JS446" s="7"/>
      <c r="JT446" s="7"/>
      <c r="JU446" s="7"/>
      <c r="JV446" s="7"/>
      <c r="JW446" s="7"/>
      <c r="JX446" s="7"/>
      <c r="JY446" s="7"/>
      <c r="JZ446" s="7"/>
      <c r="KA446" s="7"/>
      <c r="KB446" s="7"/>
      <c r="KC446" s="7"/>
      <c r="KD446" s="7"/>
      <c r="KE446" s="7"/>
      <c r="KF446" s="7"/>
      <c r="KG446" s="7"/>
      <c r="KH446" s="7"/>
      <c r="KI446" s="7"/>
      <c r="KJ446" s="7"/>
      <c r="KK446" s="7"/>
      <c r="KL446" s="7"/>
      <c r="KM446" s="7"/>
      <c r="KN446" s="7"/>
    </row>
    <row r="447">
      <c r="A447" s="6"/>
      <c r="B447" s="6" t="s">
        <v>447</v>
      </c>
      <c r="C447" s="3" t="str">
        <f t="shared" si="3"/>
        <v>vibrant chartreuse</v>
      </c>
      <c r="D447" s="3" t="str">
        <f t="shared" si="17"/>
        <v>ZZZ</v>
      </c>
      <c r="E447" s="3" t="b">
        <f t="array" ref="E447">OR(ISNUMBER(SEARCH(D$2:D$30,$B447,5)))</f>
        <v>0</v>
      </c>
      <c r="G447" s="3" t="str">
        <f t="shared" si="4"/>
        <v>ZZZ</v>
      </c>
      <c r="H447" s="3" t="b">
        <f t="array" ref="H447">OR(ISNUMBER(SEARCH(G$2:G$30,$B447,5)))</f>
        <v>0</v>
      </c>
      <c r="J447" s="3" t="str">
        <f t="shared" si="5"/>
        <v>ZZZ</v>
      </c>
      <c r="K447" s="3" t="b">
        <f t="array" ref="K447">OR(ISNUMBER(SEARCH(J$2:J$30,$B447,5)))</f>
        <v>0</v>
      </c>
      <c r="M447" s="3" t="str">
        <f t="shared" si="6"/>
        <v>ZZZ</v>
      </c>
      <c r="N447" s="3" t="b">
        <f t="array" ref="N447">OR(ISNUMBER(SEARCH(M$2:M$30,$B447,5)))</f>
        <v>0</v>
      </c>
      <c r="P447" s="3" t="str">
        <f t="shared" si="7"/>
        <v>ZZZ</v>
      </c>
      <c r="Q447" s="3" t="b">
        <f t="array" ref="Q447">OR(ISNUMBER(SEARCH(P$2:P$50,$B447,5)))</f>
        <v>0</v>
      </c>
      <c r="S447" s="3" t="str">
        <f t="shared" si="8"/>
        <v>ZZZ</v>
      </c>
      <c r="T447" s="3" t="b">
        <f t="array" ref="T447">OR(ISNUMBER(SEARCH(S$2:S$100,$B447,5)))</f>
        <v>0</v>
      </c>
      <c r="V447" s="3" t="str">
        <f t="shared" si="9"/>
        <v>ZZZ</v>
      </c>
      <c r="W447" s="3" t="b">
        <f t="array" ref="W447">OR(ISNUMBER(SEARCH(V$2:V$100,$B447,5)))</f>
        <v>0</v>
      </c>
      <c r="Y447" s="3" t="str">
        <f t="shared" si="10"/>
        <v>ZZZ</v>
      </c>
      <c r="Z447" s="3" t="b">
        <f t="array" ref="Z447">OR(ISNUMBER(SEARCH(Y$2:Y$100,$B447,5)))</f>
        <v>0</v>
      </c>
      <c r="AB447" s="3" t="str">
        <f t="shared" si="11"/>
        <v>ZZZ</v>
      </c>
      <c r="AC447" s="3" t="b">
        <f t="array" ref="AC447">OR(ISNUMBER(SEARCH(AB$2:AB$100,$B447,5)))</f>
        <v>0</v>
      </c>
      <c r="AE447" s="3" t="str">
        <f t="shared" si="12"/>
        <v>ZZZ</v>
      </c>
      <c r="AF447" s="3" t="b">
        <f t="array" ref="AF447">OR(ISNUMBER(SEARCH(AE$2:AE$100,$B447,5)))</f>
        <v>0</v>
      </c>
      <c r="AH447" s="3" t="str">
        <f t="shared" si="13"/>
        <v>ZZZ</v>
      </c>
      <c r="AI447" s="3" t="b">
        <f t="array" ref="AI447">OR(ISNUMBER(SEARCH(AH$2:AH$100,$B447,5)))</f>
        <v>0</v>
      </c>
      <c r="AK447" s="3" t="str">
        <f t="shared" si="14"/>
        <v>ZZZ</v>
      </c>
      <c r="AL447" s="3" t="b">
        <f t="array" ref="AL447">OR(ISNUMBER(SEARCH(AK$2:AK$100,$B447,5)))</f>
        <v>0</v>
      </c>
      <c r="AU447" s="8"/>
      <c r="AV447" s="6"/>
      <c r="AW447" s="8"/>
      <c r="AX447" s="8"/>
      <c r="AY447" s="6"/>
      <c r="AZ447" s="8"/>
      <c r="BA447" s="8"/>
      <c r="BB447" s="6"/>
      <c r="BC447" s="8"/>
      <c r="BD447" s="8"/>
      <c r="BE447" s="6"/>
      <c r="BF447" s="8"/>
      <c r="BG447" s="8"/>
      <c r="BH447" s="6"/>
      <c r="BI447" s="8"/>
      <c r="BJ447" s="8"/>
      <c r="BK447" s="6"/>
      <c r="BL447" s="8"/>
      <c r="BM447" s="8"/>
      <c r="BN447" s="6"/>
      <c r="BO447" s="8"/>
      <c r="BP447" s="8"/>
      <c r="BQ447" s="6"/>
      <c r="BR447" s="8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7"/>
      <c r="HO447" s="7"/>
      <c r="HP447" s="7"/>
      <c r="HQ447" s="7"/>
      <c r="HR447" s="7"/>
      <c r="HS447" s="7"/>
      <c r="HT447" s="7"/>
      <c r="HU447" s="7"/>
      <c r="HV447" s="7"/>
      <c r="HW447" s="7"/>
      <c r="HX447" s="7"/>
      <c r="HY447" s="7"/>
      <c r="HZ447" s="7"/>
      <c r="IA447" s="7"/>
      <c r="IB447" s="7"/>
      <c r="IC447" s="7"/>
      <c r="ID447" s="7"/>
      <c r="IE447" s="7"/>
      <c r="IF447" s="7"/>
      <c r="IG447" s="7"/>
      <c r="IH447" s="7"/>
      <c r="II447" s="7"/>
      <c r="IJ447" s="7"/>
      <c r="IK447" s="7"/>
      <c r="IL447" s="7"/>
      <c r="IM447" s="7"/>
      <c r="IN447" s="7"/>
      <c r="IO447" s="7"/>
      <c r="IP447" s="7"/>
      <c r="IQ447" s="7"/>
      <c r="IR447" s="7"/>
      <c r="IS447" s="7"/>
      <c r="IT447" s="7"/>
      <c r="IU447" s="7"/>
      <c r="IV447" s="7"/>
      <c r="IW447" s="7"/>
      <c r="IX447" s="7"/>
      <c r="IY447" s="7"/>
      <c r="IZ447" s="7"/>
      <c r="JA447" s="7"/>
      <c r="JB447" s="7"/>
      <c r="JC447" s="7"/>
      <c r="JD447" s="7"/>
      <c r="JE447" s="7"/>
      <c r="JF447" s="7"/>
      <c r="JG447" s="7"/>
      <c r="JH447" s="7"/>
      <c r="JI447" s="7"/>
      <c r="JJ447" s="7"/>
      <c r="JK447" s="7"/>
      <c r="JL447" s="7"/>
      <c r="JM447" s="7"/>
      <c r="JN447" s="7"/>
      <c r="JO447" s="7"/>
      <c r="JP447" s="7"/>
      <c r="JQ447" s="7"/>
      <c r="JR447" s="7"/>
      <c r="JS447" s="7"/>
      <c r="JT447" s="7"/>
      <c r="JU447" s="7"/>
      <c r="JV447" s="7"/>
      <c r="JW447" s="7"/>
      <c r="JX447" s="7"/>
      <c r="JY447" s="7"/>
      <c r="JZ447" s="7"/>
      <c r="KA447" s="7"/>
      <c r="KB447" s="7"/>
      <c r="KC447" s="7"/>
      <c r="KD447" s="7"/>
      <c r="KE447" s="7"/>
      <c r="KF447" s="7"/>
      <c r="KG447" s="7"/>
      <c r="KH447" s="7"/>
      <c r="KI447" s="7"/>
      <c r="KJ447" s="7"/>
      <c r="KK447" s="7"/>
      <c r="KL447" s="7"/>
      <c r="KM447" s="7"/>
      <c r="KN447" s="7"/>
    </row>
    <row r="448">
      <c r="A448" s="6"/>
      <c r="B448" s="6" t="s">
        <v>448</v>
      </c>
      <c r="C448" s="3" t="str">
        <f t="shared" si="3"/>
        <v>wavy silver</v>
      </c>
      <c r="D448" s="3" t="str">
        <f t="shared" si="17"/>
        <v>ZZZ</v>
      </c>
      <c r="E448" s="3" t="b">
        <f t="array" ref="E448">OR(ISNUMBER(SEARCH(D$2:D$30,$B448,5)))</f>
        <v>0</v>
      </c>
      <c r="G448" s="3" t="str">
        <f t="shared" si="4"/>
        <v>ZZZ</v>
      </c>
      <c r="H448" s="3" t="b">
        <f t="array" ref="H448">OR(ISNUMBER(SEARCH(G$2:G$30,$B448,5)))</f>
        <v>0</v>
      </c>
      <c r="J448" s="3" t="str">
        <f t="shared" si="5"/>
        <v>ZZZ</v>
      </c>
      <c r="K448" s="3" t="b">
        <f t="array" ref="K448">OR(ISNUMBER(SEARCH(J$2:J$30,$B448,5)))</f>
        <v>0</v>
      </c>
      <c r="M448" s="3" t="str">
        <f t="shared" si="6"/>
        <v>ZZZ</v>
      </c>
      <c r="N448" s="3" t="b">
        <f t="array" ref="N448">OR(ISNUMBER(SEARCH(M$2:M$30,$B448,5)))</f>
        <v>0</v>
      </c>
      <c r="P448" s="3" t="str">
        <f t="shared" si="7"/>
        <v>ZZZ</v>
      </c>
      <c r="Q448" s="3" t="b">
        <f t="array" ref="Q448">OR(ISNUMBER(SEARCH(P$2:P$50,$B448,5)))</f>
        <v>0</v>
      </c>
      <c r="S448" s="3" t="str">
        <f t="shared" si="8"/>
        <v>ZZZ</v>
      </c>
      <c r="T448" s="3" t="b">
        <f t="array" ref="T448">OR(ISNUMBER(SEARCH(S$2:S$100,$B448,5)))</f>
        <v>1</v>
      </c>
      <c r="V448" s="3" t="str">
        <f t="shared" si="9"/>
        <v>ZZZ</v>
      </c>
      <c r="W448" s="3" t="b">
        <f t="array" ref="W448">OR(ISNUMBER(SEARCH(V$2:V$100,$B448,5)))</f>
        <v>0</v>
      </c>
      <c r="Y448" s="3" t="str">
        <f t="shared" si="10"/>
        <v>ZZZ</v>
      </c>
      <c r="Z448" s="3" t="b">
        <f t="array" ref="Z448">OR(ISNUMBER(SEARCH(Y$2:Y$100,$B448,5)))</f>
        <v>0</v>
      </c>
      <c r="AB448" s="3" t="str">
        <f t="shared" si="11"/>
        <v>ZZZ</v>
      </c>
      <c r="AC448" s="3" t="b">
        <f t="array" ref="AC448">OR(ISNUMBER(SEARCH(AB$2:AB$100,$B448,5)))</f>
        <v>0</v>
      </c>
      <c r="AE448" s="3" t="str">
        <f t="shared" si="12"/>
        <v>ZZZ</v>
      </c>
      <c r="AF448" s="3" t="b">
        <f t="array" ref="AF448">OR(ISNUMBER(SEARCH(AE$2:AE$100,$B448,5)))</f>
        <v>0</v>
      </c>
      <c r="AH448" s="3" t="str">
        <f t="shared" si="13"/>
        <v>ZZZ</v>
      </c>
      <c r="AI448" s="3" t="b">
        <f t="array" ref="AI448">OR(ISNUMBER(SEARCH(AH$2:AH$100,$B448,5)))</f>
        <v>0</v>
      </c>
      <c r="AK448" s="3" t="str">
        <f t="shared" si="14"/>
        <v>ZZZ</v>
      </c>
      <c r="AL448" s="3" t="b">
        <f t="array" ref="AL448">OR(ISNUMBER(SEARCH(AK$2:AK$100,$B448,5)))</f>
        <v>0</v>
      </c>
      <c r="AU448" s="8"/>
      <c r="AV448" s="6"/>
      <c r="AW448" s="8"/>
      <c r="AX448" s="8"/>
      <c r="AY448" s="6"/>
      <c r="AZ448" s="8"/>
      <c r="BA448" s="8"/>
      <c r="BB448" s="6"/>
      <c r="BC448" s="8"/>
      <c r="BD448" s="8"/>
      <c r="BE448" s="6"/>
      <c r="BF448" s="8"/>
      <c r="BG448" s="8"/>
      <c r="BH448" s="6"/>
      <c r="BI448" s="8"/>
      <c r="BJ448" s="8"/>
      <c r="BK448" s="6"/>
      <c r="BL448" s="8"/>
      <c r="BM448" s="8"/>
      <c r="BN448" s="6"/>
      <c r="BO448" s="8"/>
      <c r="BP448" s="8"/>
      <c r="BQ448" s="6"/>
      <c r="BR448" s="8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7"/>
      <c r="HO448" s="7"/>
      <c r="HP448" s="7"/>
      <c r="HQ448" s="7"/>
      <c r="HR448" s="7"/>
      <c r="HS448" s="7"/>
      <c r="HT448" s="7"/>
      <c r="HU448" s="7"/>
      <c r="HV448" s="7"/>
      <c r="HW448" s="7"/>
      <c r="HX448" s="7"/>
      <c r="HY448" s="7"/>
      <c r="HZ448" s="7"/>
      <c r="IA448" s="7"/>
      <c r="IB448" s="7"/>
      <c r="IC448" s="7"/>
      <c r="ID448" s="7"/>
      <c r="IE448" s="7"/>
      <c r="IF448" s="7"/>
      <c r="IG448" s="7"/>
      <c r="IH448" s="7"/>
      <c r="II448" s="7"/>
      <c r="IJ448" s="7"/>
      <c r="IK448" s="7"/>
      <c r="IL448" s="7"/>
      <c r="IM448" s="7"/>
      <c r="IN448" s="7"/>
      <c r="IO448" s="7"/>
      <c r="IP448" s="7"/>
      <c r="IQ448" s="7"/>
      <c r="IR448" s="7"/>
      <c r="IS448" s="7"/>
      <c r="IT448" s="7"/>
      <c r="IU448" s="7"/>
      <c r="IV448" s="7"/>
      <c r="IW448" s="7"/>
      <c r="IX448" s="7"/>
      <c r="IY448" s="7"/>
      <c r="IZ448" s="7"/>
      <c r="JA448" s="7"/>
      <c r="JB448" s="7"/>
      <c r="JC448" s="7"/>
      <c r="JD448" s="7"/>
      <c r="JE448" s="7"/>
      <c r="JF448" s="7"/>
      <c r="JG448" s="7"/>
      <c r="JH448" s="7"/>
      <c r="JI448" s="7"/>
      <c r="JJ448" s="7"/>
      <c r="JK448" s="7"/>
      <c r="JL448" s="7"/>
      <c r="JM448" s="7"/>
      <c r="JN448" s="7"/>
      <c r="JO448" s="7"/>
      <c r="JP448" s="7"/>
      <c r="JQ448" s="7"/>
      <c r="JR448" s="7"/>
      <c r="JS448" s="7"/>
      <c r="JT448" s="7"/>
      <c r="JU448" s="7"/>
      <c r="JV448" s="7"/>
      <c r="JW448" s="7"/>
      <c r="JX448" s="7"/>
      <c r="JY448" s="7"/>
      <c r="JZ448" s="7"/>
      <c r="KA448" s="7"/>
      <c r="KB448" s="7"/>
      <c r="KC448" s="7"/>
      <c r="KD448" s="7"/>
      <c r="KE448" s="7"/>
      <c r="KF448" s="7"/>
      <c r="KG448" s="7"/>
      <c r="KH448" s="7"/>
      <c r="KI448" s="7"/>
      <c r="KJ448" s="7"/>
      <c r="KK448" s="7"/>
      <c r="KL448" s="7"/>
      <c r="KM448" s="7"/>
      <c r="KN448" s="7"/>
    </row>
    <row r="449">
      <c r="A449" s="6"/>
      <c r="B449" s="6" t="s">
        <v>449</v>
      </c>
      <c r="C449" s="3" t="str">
        <f t="shared" si="3"/>
        <v>shiny salmon</v>
      </c>
      <c r="D449" s="3" t="str">
        <f t="shared" si="17"/>
        <v>ZZZ</v>
      </c>
      <c r="E449" s="3" t="b">
        <f t="array" ref="E449">OR(ISNUMBER(SEARCH(D$2:D$30,$B449,5)))</f>
        <v>0</v>
      </c>
      <c r="G449" s="3" t="str">
        <f t="shared" si="4"/>
        <v>ZZZ</v>
      </c>
      <c r="H449" s="3" t="b">
        <f t="array" ref="H449">OR(ISNUMBER(SEARCH(G$2:G$30,$B449,5)))</f>
        <v>0</v>
      </c>
      <c r="J449" s="3" t="str">
        <f t="shared" si="5"/>
        <v>ZZZ</v>
      </c>
      <c r="K449" s="3" t="b">
        <f t="array" ref="K449">OR(ISNUMBER(SEARCH(J$2:J$30,$B449,5)))</f>
        <v>0</v>
      </c>
      <c r="M449" s="3" t="str">
        <f t="shared" si="6"/>
        <v>ZZZ</v>
      </c>
      <c r="N449" s="3" t="b">
        <f t="array" ref="N449">OR(ISNUMBER(SEARCH(M$2:M$30,$B449,5)))</f>
        <v>0</v>
      </c>
      <c r="P449" s="3" t="str">
        <f t="shared" si="7"/>
        <v>ZZZ</v>
      </c>
      <c r="Q449" s="3" t="b">
        <f t="array" ref="Q449">OR(ISNUMBER(SEARCH(P$2:P$50,$B449,5)))</f>
        <v>0</v>
      </c>
      <c r="S449" s="3" t="str">
        <f t="shared" si="8"/>
        <v>ZZZ</v>
      </c>
      <c r="T449" s="3" t="b">
        <f t="array" ref="T449">OR(ISNUMBER(SEARCH(S$2:S$100,$B449,5)))</f>
        <v>0</v>
      </c>
      <c r="V449" s="3" t="str">
        <f t="shared" si="9"/>
        <v>ZZZ</v>
      </c>
      <c r="W449" s="3" t="b">
        <f t="array" ref="W449">OR(ISNUMBER(SEARCH(V$2:V$100,$B449,5)))</f>
        <v>0</v>
      </c>
      <c r="Y449" s="3" t="str">
        <f t="shared" si="10"/>
        <v>ZZZ</v>
      </c>
      <c r="Z449" s="3" t="b">
        <f t="array" ref="Z449">OR(ISNUMBER(SEARCH(Y$2:Y$100,$B449,5)))</f>
        <v>0</v>
      </c>
      <c r="AB449" s="3" t="str">
        <f t="shared" si="11"/>
        <v>ZZZ</v>
      </c>
      <c r="AC449" s="3" t="b">
        <f t="array" ref="AC449">OR(ISNUMBER(SEARCH(AB$2:AB$100,$B449,5)))</f>
        <v>0</v>
      </c>
      <c r="AE449" s="3" t="str">
        <f t="shared" si="12"/>
        <v>ZZZ</v>
      </c>
      <c r="AF449" s="3" t="b">
        <f t="array" ref="AF449">OR(ISNUMBER(SEARCH(AE$2:AE$100,$B449,5)))</f>
        <v>0</v>
      </c>
      <c r="AH449" s="3" t="str">
        <f t="shared" si="13"/>
        <v>ZZZ</v>
      </c>
      <c r="AI449" s="3" t="b">
        <f t="array" ref="AI449">OR(ISNUMBER(SEARCH(AH$2:AH$100,$B449,5)))</f>
        <v>0</v>
      </c>
      <c r="AK449" s="3" t="str">
        <f t="shared" si="14"/>
        <v>ZZZ</v>
      </c>
      <c r="AL449" s="3" t="b">
        <f t="array" ref="AL449">OR(ISNUMBER(SEARCH(AK$2:AK$100,$B449,5)))</f>
        <v>0</v>
      </c>
      <c r="AU449" s="8"/>
      <c r="AV449" s="6"/>
      <c r="AW449" s="8"/>
      <c r="AX449" s="8"/>
      <c r="AY449" s="6"/>
      <c r="AZ449" s="8"/>
      <c r="BA449" s="8"/>
      <c r="BB449" s="6"/>
      <c r="BC449" s="8"/>
      <c r="BD449" s="8"/>
      <c r="BE449" s="6"/>
      <c r="BF449" s="8"/>
      <c r="BG449" s="8"/>
      <c r="BH449" s="6"/>
      <c r="BI449" s="8"/>
      <c r="BJ449" s="8"/>
      <c r="BK449" s="6"/>
      <c r="BL449" s="8"/>
      <c r="BM449" s="8"/>
      <c r="BN449" s="6"/>
      <c r="BO449" s="8"/>
      <c r="BP449" s="8"/>
      <c r="BQ449" s="6"/>
      <c r="BR449" s="8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  <c r="HQ449" s="7"/>
      <c r="HR449" s="7"/>
      <c r="HS449" s="7"/>
      <c r="HT449" s="7"/>
      <c r="HU449" s="7"/>
      <c r="HV449" s="7"/>
      <c r="HW449" s="7"/>
      <c r="HX449" s="7"/>
      <c r="HY449" s="7"/>
      <c r="HZ449" s="7"/>
      <c r="IA449" s="7"/>
      <c r="IB449" s="7"/>
      <c r="IC449" s="7"/>
      <c r="ID449" s="7"/>
      <c r="IE449" s="7"/>
      <c r="IF449" s="7"/>
      <c r="IG449" s="7"/>
      <c r="IH449" s="7"/>
      <c r="II449" s="7"/>
      <c r="IJ449" s="7"/>
      <c r="IK449" s="7"/>
      <c r="IL449" s="7"/>
      <c r="IM449" s="7"/>
      <c r="IN449" s="7"/>
      <c r="IO449" s="7"/>
      <c r="IP449" s="7"/>
      <c r="IQ449" s="7"/>
      <c r="IR449" s="7"/>
      <c r="IS449" s="7"/>
      <c r="IT449" s="7"/>
      <c r="IU449" s="7"/>
      <c r="IV449" s="7"/>
      <c r="IW449" s="7"/>
      <c r="IX449" s="7"/>
      <c r="IY449" s="7"/>
      <c r="IZ449" s="7"/>
      <c r="JA449" s="7"/>
      <c r="JB449" s="7"/>
      <c r="JC449" s="7"/>
      <c r="JD449" s="7"/>
      <c r="JE449" s="7"/>
      <c r="JF449" s="7"/>
      <c r="JG449" s="7"/>
      <c r="JH449" s="7"/>
      <c r="JI449" s="7"/>
      <c r="JJ449" s="7"/>
      <c r="JK449" s="7"/>
      <c r="JL449" s="7"/>
      <c r="JM449" s="7"/>
      <c r="JN449" s="7"/>
      <c r="JO449" s="7"/>
      <c r="JP449" s="7"/>
      <c r="JQ449" s="7"/>
      <c r="JR449" s="7"/>
      <c r="JS449" s="7"/>
      <c r="JT449" s="7"/>
      <c r="JU449" s="7"/>
      <c r="JV449" s="7"/>
      <c r="JW449" s="7"/>
      <c r="JX449" s="7"/>
      <c r="JY449" s="7"/>
      <c r="JZ449" s="7"/>
      <c r="KA449" s="7"/>
      <c r="KB449" s="7"/>
      <c r="KC449" s="7"/>
      <c r="KD449" s="7"/>
      <c r="KE449" s="7"/>
      <c r="KF449" s="7"/>
      <c r="KG449" s="7"/>
      <c r="KH449" s="7"/>
      <c r="KI449" s="7"/>
      <c r="KJ449" s="7"/>
      <c r="KK449" s="7"/>
      <c r="KL449" s="7"/>
      <c r="KM449" s="7"/>
      <c r="KN449" s="7"/>
    </row>
    <row r="450">
      <c r="A450" s="6"/>
      <c r="B450" s="6" t="s">
        <v>450</v>
      </c>
      <c r="C450" s="3" t="str">
        <f t="shared" si="3"/>
        <v>clear purple</v>
      </c>
      <c r="D450" s="3" t="str">
        <f t="shared" si="17"/>
        <v>ZZZ</v>
      </c>
      <c r="E450" s="3" t="b">
        <f t="array" ref="E450">OR(ISNUMBER(SEARCH(D$2:D$30,$B450,5)))</f>
        <v>0</v>
      </c>
      <c r="G450" s="3" t="str">
        <f t="shared" si="4"/>
        <v>ZZZ</v>
      </c>
      <c r="H450" s="3" t="b">
        <f t="array" ref="H450">OR(ISNUMBER(SEARCH(G$2:G$30,$B450,5)))</f>
        <v>0</v>
      </c>
      <c r="J450" s="3" t="str">
        <f t="shared" si="5"/>
        <v>ZZZ</v>
      </c>
      <c r="K450" s="3" t="b">
        <f t="array" ref="K450">OR(ISNUMBER(SEARCH(J$2:J$30,$B450,5)))</f>
        <v>0</v>
      </c>
      <c r="M450" s="3" t="str">
        <f t="shared" si="6"/>
        <v>ZZZ</v>
      </c>
      <c r="N450" s="3" t="b">
        <f t="array" ref="N450">OR(ISNUMBER(SEARCH(M$2:M$30,$B450,5)))</f>
        <v>0</v>
      </c>
      <c r="P450" s="3" t="str">
        <f t="shared" si="7"/>
        <v>ZZZ</v>
      </c>
      <c r="Q450" s="3" t="b">
        <f t="array" ref="Q450">OR(ISNUMBER(SEARCH(P$2:P$50,$B450,5)))</f>
        <v>0</v>
      </c>
      <c r="S450" s="3" t="str">
        <f t="shared" si="8"/>
        <v>ZZZ</v>
      </c>
      <c r="T450" s="3" t="b">
        <f t="array" ref="T450">OR(ISNUMBER(SEARCH(S$2:S$100,$B450,5)))</f>
        <v>0</v>
      </c>
      <c r="V450" s="3" t="str">
        <f t="shared" si="9"/>
        <v>ZZZ</v>
      </c>
      <c r="W450" s="3" t="b">
        <f t="array" ref="W450">OR(ISNUMBER(SEARCH(V$2:V$100,$B450,5)))</f>
        <v>0</v>
      </c>
      <c r="Y450" s="3" t="str">
        <f t="shared" si="10"/>
        <v>ZZZ</v>
      </c>
      <c r="Z450" s="3" t="b">
        <f t="array" ref="Z450">OR(ISNUMBER(SEARCH(Y$2:Y$100,$B450,5)))</f>
        <v>0</v>
      </c>
      <c r="AB450" s="3" t="str">
        <f t="shared" si="11"/>
        <v>ZZZ</v>
      </c>
      <c r="AC450" s="3" t="b">
        <f t="array" ref="AC450">OR(ISNUMBER(SEARCH(AB$2:AB$100,$B450,5)))</f>
        <v>0</v>
      </c>
      <c r="AE450" s="3" t="str">
        <f t="shared" si="12"/>
        <v>ZZZ</v>
      </c>
      <c r="AF450" s="3" t="b">
        <f t="array" ref="AF450">OR(ISNUMBER(SEARCH(AE$2:AE$100,$B450,5)))</f>
        <v>0</v>
      </c>
      <c r="AH450" s="3" t="str">
        <f t="shared" si="13"/>
        <v>ZZZ</v>
      </c>
      <c r="AI450" s="3" t="b">
        <f t="array" ref="AI450">OR(ISNUMBER(SEARCH(AH$2:AH$100,$B450,5)))</f>
        <v>0</v>
      </c>
      <c r="AK450" s="3" t="str">
        <f t="shared" si="14"/>
        <v>ZZZ</v>
      </c>
      <c r="AL450" s="3" t="b">
        <f t="array" ref="AL450">OR(ISNUMBER(SEARCH(AK$2:AK$100,$B450,5)))</f>
        <v>0</v>
      </c>
      <c r="AU450" s="8"/>
      <c r="AV450" s="6"/>
      <c r="AW450" s="8"/>
      <c r="AX450" s="8"/>
      <c r="AY450" s="6"/>
      <c r="AZ450" s="8"/>
      <c r="BA450" s="8"/>
      <c r="BB450" s="6"/>
      <c r="BC450" s="8"/>
      <c r="BD450" s="8"/>
      <c r="BE450" s="6"/>
      <c r="BF450" s="8"/>
      <c r="BG450" s="8"/>
      <c r="BH450" s="6"/>
      <c r="BI450" s="8"/>
      <c r="BJ450" s="8"/>
      <c r="BK450" s="6"/>
      <c r="BL450" s="8"/>
      <c r="BM450" s="8"/>
      <c r="BN450" s="6"/>
      <c r="BO450" s="8"/>
      <c r="BP450" s="8"/>
      <c r="BQ450" s="6"/>
      <c r="BR450" s="8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  <c r="HQ450" s="7"/>
      <c r="HR450" s="7"/>
      <c r="HS450" s="7"/>
      <c r="HT450" s="7"/>
      <c r="HU450" s="7"/>
      <c r="HV450" s="7"/>
      <c r="HW450" s="7"/>
      <c r="HX450" s="7"/>
      <c r="HY450" s="7"/>
      <c r="HZ450" s="7"/>
      <c r="IA450" s="7"/>
      <c r="IB450" s="7"/>
      <c r="IC450" s="7"/>
      <c r="ID450" s="7"/>
      <c r="IE450" s="7"/>
      <c r="IF450" s="7"/>
      <c r="IG450" s="7"/>
      <c r="IH450" s="7"/>
      <c r="II450" s="7"/>
      <c r="IJ450" s="7"/>
      <c r="IK450" s="7"/>
      <c r="IL450" s="7"/>
      <c r="IM450" s="7"/>
      <c r="IN450" s="7"/>
      <c r="IO450" s="7"/>
      <c r="IP450" s="7"/>
      <c r="IQ450" s="7"/>
      <c r="IR450" s="7"/>
      <c r="IS450" s="7"/>
      <c r="IT450" s="7"/>
      <c r="IU450" s="7"/>
      <c r="IV450" s="7"/>
      <c r="IW450" s="7"/>
      <c r="IX450" s="7"/>
      <c r="IY450" s="7"/>
      <c r="IZ450" s="7"/>
      <c r="JA450" s="7"/>
      <c r="JB450" s="7"/>
      <c r="JC450" s="7"/>
      <c r="JD450" s="7"/>
      <c r="JE450" s="7"/>
      <c r="JF450" s="7"/>
      <c r="JG450" s="7"/>
      <c r="JH450" s="7"/>
      <c r="JI450" s="7"/>
      <c r="JJ450" s="7"/>
      <c r="JK450" s="7"/>
      <c r="JL450" s="7"/>
      <c r="JM450" s="7"/>
      <c r="JN450" s="7"/>
      <c r="JO450" s="7"/>
      <c r="JP450" s="7"/>
      <c r="JQ450" s="7"/>
      <c r="JR450" s="7"/>
      <c r="JS450" s="7"/>
      <c r="JT450" s="7"/>
      <c r="JU450" s="7"/>
      <c r="JV450" s="7"/>
      <c r="JW450" s="7"/>
      <c r="JX450" s="7"/>
      <c r="JY450" s="7"/>
      <c r="JZ450" s="7"/>
      <c r="KA450" s="7"/>
      <c r="KB450" s="7"/>
      <c r="KC450" s="7"/>
      <c r="KD450" s="7"/>
      <c r="KE450" s="7"/>
      <c r="KF450" s="7"/>
      <c r="KG450" s="7"/>
      <c r="KH450" s="7"/>
      <c r="KI450" s="7"/>
      <c r="KJ450" s="7"/>
      <c r="KK450" s="7"/>
      <c r="KL450" s="7"/>
      <c r="KM450" s="7"/>
      <c r="KN450" s="7"/>
    </row>
    <row r="451">
      <c r="A451" s="6"/>
      <c r="B451" s="6" t="s">
        <v>451</v>
      </c>
      <c r="C451" s="3" t="str">
        <f t="shared" si="3"/>
        <v>clear cyan</v>
      </c>
      <c r="D451" s="3" t="str">
        <f t="shared" si="17"/>
        <v>ZZZ</v>
      </c>
      <c r="E451" s="3" t="b">
        <f t="array" ref="E451">OR(ISNUMBER(SEARCH(D$2:D$30,$B451,5)))</f>
        <v>0</v>
      </c>
      <c r="G451" s="3" t="str">
        <f t="shared" si="4"/>
        <v>ZZZ</v>
      </c>
      <c r="H451" s="3" t="b">
        <f t="array" ref="H451">OR(ISNUMBER(SEARCH(G$2:G$30,$B451,5)))</f>
        <v>0</v>
      </c>
      <c r="J451" s="3" t="str">
        <f t="shared" si="5"/>
        <v>ZZZ</v>
      </c>
      <c r="K451" s="3" t="b">
        <f t="array" ref="K451">OR(ISNUMBER(SEARCH(J$2:J$30,$B451,5)))</f>
        <v>0</v>
      </c>
      <c r="M451" s="3" t="str">
        <f t="shared" si="6"/>
        <v>ZZZ</v>
      </c>
      <c r="N451" s="3" t="b">
        <f t="array" ref="N451">OR(ISNUMBER(SEARCH(M$2:M$30,$B451,5)))</f>
        <v>0</v>
      </c>
      <c r="P451" s="3" t="str">
        <f t="shared" si="7"/>
        <v>ZZZ</v>
      </c>
      <c r="Q451" s="3" t="b">
        <f t="array" ref="Q451">OR(ISNUMBER(SEARCH(P$2:P$50,$B451,5)))</f>
        <v>0</v>
      </c>
      <c r="S451" s="3" t="str">
        <f t="shared" si="8"/>
        <v>ZZZ</v>
      </c>
      <c r="T451" s="3" t="b">
        <f t="array" ref="T451">OR(ISNUMBER(SEARCH(S$2:S$100,$B451,5)))</f>
        <v>0</v>
      </c>
      <c r="V451" s="3" t="str">
        <f t="shared" si="9"/>
        <v>ZZZ</v>
      </c>
      <c r="W451" s="3" t="b">
        <f t="array" ref="W451">OR(ISNUMBER(SEARCH(V$2:V$100,$B451,5)))</f>
        <v>0</v>
      </c>
      <c r="Y451" s="3" t="str">
        <f t="shared" si="10"/>
        <v>ZZZ</v>
      </c>
      <c r="Z451" s="3" t="b">
        <f t="array" ref="Z451">OR(ISNUMBER(SEARCH(Y$2:Y$100,$B451,5)))</f>
        <v>0</v>
      </c>
      <c r="AB451" s="3" t="str">
        <f t="shared" si="11"/>
        <v>ZZZ</v>
      </c>
      <c r="AC451" s="3" t="b">
        <f t="array" ref="AC451">OR(ISNUMBER(SEARCH(AB$2:AB$100,$B451,5)))</f>
        <v>0</v>
      </c>
      <c r="AE451" s="3" t="str">
        <f t="shared" si="12"/>
        <v>ZZZ</v>
      </c>
      <c r="AF451" s="3" t="b">
        <f t="array" ref="AF451">OR(ISNUMBER(SEARCH(AE$2:AE$100,$B451,5)))</f>
        <v>0</v>
      </c>
      <c r="AH451" s="3" t="str">
        <f t="shared" si="13"/>
        <v>ZZZ</v>
      </c>
      <c r="AI451" s="3" t="b">
        <f t="array" ref="AI451">OR(ISNUMBER(SEARCH(AH$2:AH$100,$B451,5)))</f>
        <v>0</v>
      </c>
      <c r="AK451" s="3" t="str">
        <f t="shared" si="14"/>
        <v>ZZZ</v>
      </c>
      <c r="AL451" s="3" t="b">
        <f t="array" ref="AL451">OR(ISNUMBER(SEARCH(AK$2:AK$100,$B451,5)))</f>
        <v>0</v>
      </c>
      <c r="AU451" s="8"/>
      <c r="AV451" s="6"/>
      <c r="AW451" s="8"/>
      <c r="AX451" s="8"/>
      <c r="AY451" s="6"/>
      <c r="AZ451" s="8"/>
      <c r="BA451" s="8"/>
      <c r="BB451" s="6"/>
      <c r="BC451" s="8"/>
      <c r="BD451" s="8"/>
      <c r="BE451" s="6"/>
      <c r="BF451" s="8"/>
      <c r="BG451" s="8"/>
      <c r="BH451" s="6"/>
      <c r="BI451" s="8"/>
      <c r="BJ451" s="8"/>
      <c r="BK451" s="6"/>
      <c r="BL451" s="8"/>
      <c r="BM451" s="8"/>
      <c r="BN451" s="6"/>
      <c r="BO451" s="8"/>
      <c r="BP451" s="8"/>
      <c r="BQ451" s="6"/>
      <c r="BR451" s="8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7"/>
      <c r="HO451" s="7"/>
      <c r="HP451" s="7"/>
      <c r="HQ451" s="7"/>
      <c r="HR451" s="7"/>
      <c r="HS451" s="7"/>
      <c r="HT451" s="7"/>
      <c r="HU451" s="7"/>
      <c r="HV451" s="7"/>
      <c r="HW451" s="7"/>
      <c r="HX451" s="7"/>
      <c r="HY451" s="7"/>
      <c r="HZ451" s="7"/>
      <c r="IA451" s="7"/>
      <c r="IB451" s="7"/>
      <c r="IC451" s="7"/>
      <c r="ID451" s="7"/>
      <c r="IE451" s="7"/>
      <c r="IF451" s="7"/>
      <c r="IG451" s="7"/>
      <c r="IH451" s="7"/>
      <c r="II451" s="7"/>
      <c r="IJ451" s="7"/>
      <c r="IK451" s="7"/>
      <c r="IL451" s="7"/>
      <c r="IM451" s="7"/>
      <c r="IN451" s="7"/>
      <c r="IO451" s="7"/>
      <c r="IP451" s="7"/>
      <c r="IQ451" s="7"/>
      <c r="IR451" s="7"/>
      <c r="IS451" s="7"/>
      <c r="IT451" s="7"/>
      <c r="IU451" s="7"/>
      <c r="IV451" s="7"/>
      <c r="IW451" s="7"/>
      <c r="IX451" s="7"/>
      <c r="IY451" s="7"/>
      <c r="IZ451" s="7"/>
      <c r="JA451" s="7"/>
      <c r="JB451" s="7"/>
      <c r="JC451" s="7"/>
      <c r="JD451" s="7"/>
      <c r="JE451" s="7"/>
      <c r="JF451" s="7"/>
      <c r="JG451" s="7"/>
      <c r="JH451" s="7"/>
      <c r="JI451" s="7"/>
      <c r="JJ451" s="7"/>
      <c r="JK451" s="7"/>
      <c r="JL451" s="7"/>
      <c r="JM451" s="7"/>
      <c r="JN451" s="7"/>
      <c r="JO451" s="7"/>
      <c r="JP451" s="7"/>
      <c r="JQ451" s="7"/>
      <c r="JR451" s="7"/>
      <c r="JS451" s="7"/>
      <c r="JT451" s="7"/>
      <c r="JU451" s="7"/>
      <c r="JV451" s="7"/>
      <c r="JW451" s="7"/>
      <c r="JX451" s="7"/>
      <c r="JY451" s="7"/>
      <c r="JZ451" s="7"/>
      <c r="KA451" s="7"/>
      <c r="KB451" s="7"/>
      <c r="KC451" s="7"/>
      <c r="KD451" s="7"/>
      <c r="KE451" s="7"/>
      <c r="KF451" s="7"/>
      <c r="KG451" s="7"/>
      <c r="KH451" s="7"/>
      <c r="KI451" s="7"/>
      <c r="KJ451" s="7"/>
      <c r="KK451" s="7"/>
      <c r="KL451" s="7"/>
      <c r="KM451" s="7"/>
      <c r="KN451" s="7"/>
    </row>
    <row r="452">
      <c r="A452" s="6"/>
      <c r="B452" s="6" t="s">
        <v>452</v>
      </c>
      <c r="C452" s="3" t="str">
        <f t="shared" si="3"/>
        <v>wavy coral</v>
      </c>
      <c r="D452" s="3" t="str">
        <f t="shared" si="17"/>
        <v>ZZZ</v>
      </c>
      <c r="E452" s="3" t="b">
        <f t="array" ref="E452">OR(ISNUMBER(SEARCH(D$2:D$30,$B452,5)))</f>
        <v>0</v>
      </c>
      <c r="G452" s="3" t="str">
        <f t="shared" si="4"/>
        <v>ZZZ</v>
      </c>
      <c r="H452" s="3" t="b">
        <f t="array" ref="H452">OR(ISNUMBER(SEARCH(G$2:G$30,$B452,5)))</f>
        <v>0</v>
      </c>
      <c r="J452" s="3" t="str">
        <f t="shared" si="5"/>
        <v>ZZZ</v>
      </c>
      <c r="K452" s="3" t="b">
        <f t="array" ref="K452">OR(ISNUMBER(SEARCH(J$2:J$30,$B452,5)))</f>
        <v>0</v>
      </c>
      <c r="M452" s="3" t="str">
        <f t="shared" si="6"/>
        <v>ZZZ</v>
      </c>
      <c r="N452" s="3" t="b">
        <f t="array" ref="N452">OR(ISNUMBER(SEARCH(M$2:M$30,$B452,5)))</f>
        <v>0</v>
      </c>
      <c r="P452" s="3" t="str">
        <f t="shared" si="7"/>
        <v>ZZZ</v>
      </c>
      <c r="Q452" s="3" t="b">
        <f t="array" ref="Q452">OR(ISNUMBER(SEARCH(P$2:P$50,$B452,5)))</f>
        <v>0</v>
      </c>
      <c r="S452" s="3" t="str">
        <f t="shared" si="8"/>
        <v>ZZZ</v>
      </c>
      <c r="T452" s="3" t="b">
        <f t="array" ref="T452">OR(ISNUMBER(SEARCH(S$2:S$100,$B452,5)))</f>
        <v>0</v>
      </c>
      <c r="V452" s="3" t="str">
        <f t="shared" si="9"/>
        <v>ZZZ</v>
      </c>
      <c r="W452" s="3" t="b">
        <f t="array" ref="W452">OR(ISNUMBER(SEARCH(V$2:V$100,$B452,5)))</f>
        <v>0</v>
      </c>
      <c r="Y452" s="3" t="str">
        <f t="shared" si="10"/>
        <v>ZZZ</v>
      </c>
      <c r="Z452" s="3" t="b">
        <f t="array" ref="Z452">OR(ISNUMBER(SEARCH(Y$2:Y$100,$B452,5)))</f>
        <v>0</v>
      </c>
      <c r="AB452" s="3" t="str">
        <f t="shared" si="11"/>
        <v>ZZZ</v>
      </c>
      <c r="AC452" s="3" t="b">
        <f t="array" ref="AC452">OR(ISNUMBER(SEARCH(AB$2:AB$100,$B452,5)))</f>
        <v>0</v>
      </c>
      <c r="AE452" s="3" t="str">
        <f t="shared" si="12"/>
        <v>ZZZ</v>
      </c>
      <c r="AF452" s="3" t="b">
        <f t="array" ref="AF452">OR(ISNUMBER(SEARCH(AE$2:AE$100,$B452,5)))</f>
        <v>0</v>
      </c>
      <c r="AH452" s="3" t="str">
        <f t="shared" si="13"/>
        <v>ZZZ</v>
      </c>
      <c r="AI452" s="3" t="b">
        <f t="array" ref="AI452">OR(ISNUMBER(SEARCH(AH$2:AH$100,$B452,5)))</f>
        <v>0</v>
      </c>
      <c r="AK452" s="3" t="str">
        <f t="shared" si="14"/>
        <v>ZZZ</v>
      </c>
      <c r="AL452" s="3" t="b">
        <f t="array" ref="AL452">OR(ISNUMBER(SEARCH(AK$2:AK$100,$B452,5)))</f>
        <v>0</v>
      </c>
      <c r="AU452" s="8"/>
      <c r="AV452" s="6"/>
      <c r="AW452" s="8"/>
      <c r="AX452" s="8"/>
      <c r="AY452" s="6"/>
      <c r="AZ452" s="8"/>
      <c r="BA452" s="8"/>
      <c r="BB452" s="6"/>
      <c r="BC452" s="8"/>
      <c r="BD452" s="8"/>
      <c r="BE452" s="6"/>
      <c r="BF452" s="8"/>
      <c r="BG452" s="8"/>
      <c r="BH452" s="6"/>
      <c r="BI452" s="8"/>
      <c r="BJ452" s="8"/>
      <c r="BK452" s="6"/>
      <c r="BL452" s="8"/>
      <c r="BM452" s="8"/>
      <c r="BN452" s="6"/>
      <c r="BO452" s="8"/>
      <c r="BP452" s="8"/>
      <c r="BQ452" s="6"/>
      <c r="BR452" s="8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7"/>
      <c r="HO452" s="7"/>
      <c r="HP452" s="7"/>
      <c r="HQ452" s="7"/>
      <c r="HR452" s="7"/>
      <c r="HS452" s="7"/>
      <c r="HT452" s="7"/>
      <c r="HU452" s="7"/>
      <c r="HV452" s="7"/>
      <c r="HW452" s="7"/>
      <c r="HX452" s="7"/>
      <c r="HY452" s="7"/>
      <c r="HZ452" s="7"/>
      <c r="IA452" s="7"/>
      <c r="IB452" s="7"/>
      <c r="IC452" s="7"/>
      <c r="ID452" s="7"/>
      <c r="IE452" s="7"/>
      <c r="IF452" s="7"/>
      <c r="IG452" s="7"/>
      <c r="IH452" s="7"/>
      <c r="II452" s="7"/>
      <c r="IJ452" s="7"/>
      <c r="IK452" s="7"/>
      <c r="IL452" s="7"/>
      <c r="IM452" s="7"/>
      <c r="IN452" s="7"/>
      <c r="IO452" s="7"/>
      <c r="IP452" s="7"/>
      <c r="IQ452" s="7"/>
      <c r="IR452" s="7"/>
      <c r="IS452" s="7"/>
      <c r="IT452" s="7"/>
      <c r="IU452" s="7"/>
      <c r="IV452" s="7"/>
      <c r="IW452" s="7"/>
      <c r="IX452" s="7"/>
      <c r="IY452" s="7"/>
      <c r="IZ452" s="7"/>
      <c r="JA452" s="7"/>
      <c r="JB452" s="7"/>
      <c r="JC452" s="7"/>
      <c r="JD452" s="7"/>
      <c r="JE452" s="7"/>
      <c r="JF452" s="7"/>
      <c r="JG452" s="7"/>
      <c r="JH452" s="7"/>
      <c r="JI452" s="7"/>
      <c r="JJ452" s="7"/>
      <c r="JK452" s="7"/>
      <c r="JL452" s="7"/>
      <c r="JM452" s="7"/>
      <c r="JN452" s="7"/>
      <c r="JO452" s="7"/>
      <c r="JP452" s="7"/>
      <c r="JQ452" s="7"/>
      <c r="JR452" s="7"/>
      <c r="JS452" s="7"/>
      <c r="JT452" s="7"/>
      <c r="JU452" s="7"/>
      <c r="JV452" s="7"/>
      <c r="JW452" s="7"/>
      <c r="JX452" s="7"/>
      <c r="JY452" s="7"/>
      <c r="JZ452" s="7"/>
      <c r="KA452" s="7"/>
      <c r="KB452" s="7"/>
      <c r="KC452" s="7"/>
      <c r="KD452" s="7"/>
      <c r="KE452" s="7"/>
      <c r="KF452" s="7"/>
      <c r="KG452" s="7"/>
      <c r="KH452" s="7"/>
      <c r="KI452" s="7"/>
      <c r="KJ452" s="7"/>
      <c r="KK452" s="7"/>
      <c r="KL452" s="7"/>
      <c r="KM452" s="7"/>
      <c r="KN452" s="7"/>
    </row>
    <row r="453">
      <c r="A453" s="6"/>
      <c r="B453" s="6" t="s">
        <v>453</v>
      </c>
      <c r="C453" s="3" t="str">
        <f t="shared" si="3"/>
        <v>wavy green</v>
      </c>
      <c r="D453" s="3" t="str">
        <f t="shared" si="17"/>
        <v>ZZZ</v>
      </c>
      <c r="E453" s="3" t="b">
        <f t="array" ref="E453">OR(ISNUMBER(SEARCH(D$2:D$30,$B453,5)))</f>
        <v>0</v>
      </c>
      <c r="G453" s="3" t="str">
        <f t="shared" si="4"/>
        <v>ZZZ</v>
      </c>
      <c r="H453" s="3" t="b">
        <f t="array" ref="H453">OR(ISNUMBER(SEARCH(G$2:G$30,$B453,5)))</f>
        <v>0</v>
      </c>
      <c r="J453" s="3" t="str">
        <f t="shared" si="5"/>
        <v>ZZZ</v>
      </c>
      <c r="K453" s="3" t="b">
        <f t="array" ref="K453">OR(ISNUMBER(SEARCH(J$2:J$30,$B453,5)))</f>
        <v>0</v>
      </c>
      <c r="M453" s="3" t="str">
        <f t="shared" si="6"/>
        <v>ZZZ</v>
      </c>
      <c r="N453" s="3" t="b">
        <f t="array" ref="N453">OR(ISNUMBER(SEARCH(M$2:M$30,$B453,5)))</f>
        <v>0</v>
      </c>
      <c r="P453" s="3" t="str">
        <f t="shared" si="7"/>
        <v>ZZZ</v>
      </c>
      <c r="Q453" s="3" t="b">
        <f t="array" ref="Q453">OR(ISNUMBER(SEARCH(P$2:P$50,$B453,5)))</f>
        <v>0</v>
      </c>
      <c r="S453" s="3" t="str">
        <f t="shared" si="8"/>
        <v>ZZZ</v>
      </c>
      <c r="T453" s="3" t="b">
        <f t="array" ref="T453">OR(ISNUMBER(SEARCH(S$2:S$100,$B453,5)))</f>
        <v>0</v>
      </c>
      <c r="V453" s="3" t="str">
        <f t="shared" si="9"/>
        <v>ZZZ</v>
      </c>
      <c r="W453" s="3" t="b">
        <f t="array" ref="W453">OR(ISNUMBER(SEARCH(V$2:V$100,$B453,5)))</f>
        <v>0</v>
      </c>
      <c r="Y453" s="3" t="str">
        <f t="shared" si="10"/>
        <v>ZZZ</v>
      </c>
      <c r="Z453" s="3" t="b">
        <f t="array" ref="Z453">OR(ISNUMBER(SEARCH(Y$2:Y$100,$B453,5)))</f>
        <v>0</v>
      </c>
      <c r="AB453" s="3" t="str">
        <f t="shared" si="11"/>
        <v>ZZZ</v>
      </c>
      <c r="AC453" s="3" t="b">
        <f t="array" ref="AC453">OR(ISNUMBER(SEARCH(AB$2:AB$100,$B453,5)))</f>
        <v>0</v>
      </c>
      <c r="AE453" s="3" t="str">
        <f t="shared" si="12"/>
        <v>ZZZ</v>
      </c>
      <c r="AF453" s="3" t="b">
        <f t="array" ref="AF453">OR(ISNUMBER(SEARCH(AE$2:AE$100,$B453,5)))</f>
        <v>0</v>
      </c>
      <c r="AH453" s="3" t="str">
        <f t="shared" si="13"/>
        <v>ZZZ</v>
      </c>
      <c r="AI453" s="3" t="b">
        <f t="array" ref="AI453">OR(ISNUMBER(SEARCH(AH$2:AH$100,$B453,5)))</f>
        <v>0</v>
      </c>
      <c r="AK453" s="3" t="str">
        <f t="shared" si="14"/>
        <v>ZZZ</v>
      </c>
      <c r="AL453" s="3" t="b">
        <f t="array" ref="AL453">OR(ISNUMBER(SEARCH(AK$2:AK$100,$B453,5)))</f>
        <v>0</v>
      </c>
      <c r="AU453" s="8"/>
      <c r="AV453" s="6"/>
      <c r="AW453" s="8"/>
      <c r="AX453" s="8"/>
      <c r="AY453" s="6"/>
      <c r="AZ453" s="8"/>
      <c r="BA453" s="8"/>
      <c r="BB453" s="6"/>
      <c r="BC453" s="8"/>
      <c r="BD453" s="8"/>
      <c r="BE453" s="6"/>
      <c r="BF453" s="8"/>
      <c r="BG453" s="8"/>
      <c r="BH453" s="6"/>
      <c r="BI453" s="8"/>
      <c r="BJ453" s="8"/>
      <c r="BK453" s="6"/>
      <c r="BL453" s="8"/>
      <c r="BM453" s="8"/>
      <c r="BN453" s="6"/>
      <c r="BO453" s="8"/>
      <c r="BP453" s="8"/>
      <c r="BQ453" s="6"/>
      <c r="BR453" s="8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7"/>
      <c r="HO453" s="7"/>
      <c r="HP453" s="7"/>
      <c r="HQ453" s="7"/>
      <c r="HR453" s="7"/>
      <c r="HS453" s="7"/>
      <c r="HT453" s="7"/>
      <c r="HU453" s="7"/>
      <c r="HV453" s="7"/>
      <c r="HW453" s="7"/>
      <c r="HX453" s="7"/>
      <c r="HY453" s="7"/>
      <c r="HZ453" s="7"/>
      <c r="IA453" s="7"/>
      <c r="IB453" s="7"/>
      <c r="IC453" s="7"/>
      <c r="ID453" s="7"/>
      <c r="IE453" s="7"/>
      <c r="IF453" s="7"/>
      <c r="IG453" s="7"/>
      <c r="IH453" s="7"/>
      <c r="II453" s="7"/>
      <c r="IJ453" s="7"/>
      <c r="IK453" s="7"/>
      <c r="IL453" s="7"/>
      <c r="IM453" s="7"/>
      <c r="IN453" s="7"/>
      <c r="IO453" s="7"/>
      <c r="IP453" s="7"/>
      <c r="IQ453" s="7"/>
      <c r="IR453" s="7"/>
      <c r="IS453" s="7"/>
      <c r="IT453" s="7"/>
      <c r="IU453" s="7"/>
      <c r="IV453" s="7"/>
      <c r="IW453" s="7"/>
      <c r="IX453" s="7"/>
      <c r="IY453" s="7"/>
      <c r="IZ453" s="7"/>
      <c r="JA453" s="7"/>
      <c r="JB453" s="7"/>
      <c r="JC453" s="7"/>
      <c r="JD453" s="7"/>
      <c r="JE453" s="7"/>
      <c r="JF453" s="7"/>
      <c r="JG453" s="7"/>
      <c r="JH453" s="7"/>
      <c r="JI453" s="7"/>
      <c r="JJ453" s="7"/>
      <c r="JK453" s="7"/>
      <c r="JL453" s="7"/>
      <c r="JM453" s="7"/>
      <c r="JN453" s="7"/>
      <c r="JO453" s="7"/>
      <c r="JP453" s="7"/>
      <c r="JQ453" s="7"/>
      <c r="JR453" s="7"/>
      <c r="JS453" s="7"/>
      <c r="JT453" s="7"/>
      <c r="JU453" s="7"/>
      <c r="JV453" s="7"/>
      <c r="JW453" s="7"/>
      <c r="JX453" s="7"/>
      <c r="JY453" s="7"/>
      <c r="JZ453" s="7"/>
      <c r="KA453" s="7"/>
      <c r="KB453" s="7"/>
      <c r="KC453" s="7"/>
      <c r="KD453" s="7"/>
      <c r="KE453" s="7"/>
      <c r="KF453" s="7"/>
      <c r="KG453" s="7"/>
      <c r="KH453" s="7"/>
      <c r="KI453" s="7"/>
      <c r="KJ453" s="7"/>
      <c r="KK453" s="7"/>
      <c r="KL453" s="7"/>
      <c r="KM453" s="7"/>
      <c r="KN453" s="7"/>
    </row>
    <row r="454">
      <c r="A454" s="6"/>
      <c r="B454" s="6" t="s">
        <v>454</v>
      </c>
      <c r="C454" s="3" t="str">
        <f t="shared" si="3"/>
        <v>mirrored gold</v>
      </c>
      <c r="D454" s="3" t="str">
        <f t="shared" si="17"/>
        <v>ZZZ</v>
      </c>
      <c r="E454" s="3" t="b">
        <f t="array" ref="E454">OR(ISNUMBER(SEARCH(D$2:D$30,$B454,5)))</f>
        <v>0</v>
      </c>
      <c r="G454" s="3" t="str">
        <f t="shared" si="4"/>
        <v>ZZZ</v>
      </c>
      <c r="H454" s="3" t="b">
        <f t="array" ref="H454">OR(ISNUMBER(SEARCH(G$2:G$30,$B454,5)))</f>
        <v>0</v>
      </c>
      <c r="J454" s="3" t="str">
        <f t="shared" si="5"/>
        <v>ZZZ</v>
      </c>
      <c r="K454" s="3" t="b">
        <f t="array" ref="K454">OR(ISNUMBER(SEARCH(J$2:J$30,$B454,5)))</f>
        <v>0</v>
      </c>
      <c r="M454" s="3" t="str">
        <f t="shared" si="6"/>
        <v>ZZZ</v>
      </c>
      <c r="N454" s="3" t="b">
        <f t="array" ref="N454">OR(ISNUMBER(SEARCH(M$2:M$30,$B454,5)))</f>
        <v>0</v>
      </c>
      <c r="P454" s="3" t="str">
        <f t="shared" si="7"/>
        <v>ZZZ</v>
      </c>
      <c r="Q454" s="3" t="b">
        <f t="array" ref="Q454">OR(ISNUMBER(SEARCH(P$2:P$50,$B454,5)))</f>
        <v>0</v>
      </c>
      <c r="S454" s="3" t="str">
        <f t="shared" si="8"/>
        <v>ZZZ</v>
      </c>
      <c r="T454" s="3" t="b">
        <f t="array" ref="T454">OR(ISNUMBER(SEARCH(S$2:S$100,$B454,5)))</f>
        <v>0</v>
      </c>
      <c r="V454" s="3" t="str">
        <f t="shared" si="9"/>
        <v>ZZZ</v>
      </c>
      <c r="W454" s="3" t="b">
        <f t="array" ref="W454">OR(ISNUMBER(SEARCH(V$2:V$100,$B454,5)))</f>
        <v>0</v>
      </c>
      <c r="Y454" s="3" t="str">
        <f t="shared" si="10"/>
        <v>ZZZ</v>
      </c>
      <c r="Z454" s="3" t="b">
        <f t="array" ref="Z454">OR(ISNUMBER(SEARCH(Y$2:Y$100,$B454,5)))</f>
        <v>0</v>
      </c>
      <c r="AB454" s="3" t="str">
        <f t="shared" si="11"/>
        <v>ZZZ</v>
      </c>
      <c r="AC454" s="3" t="b">
        <f t="array" ref="AC454">OR(ISNUMBER(SEARCH(AB$2:AB$100,$B454,5)))</f>
        <v>0</v>
      </c>
      <c r="AE454" s="3" t="str">
        <f t="shared" si="12"/>
        <v>ZZZ</v>
      </c>
      <c r="AF454" s="3" t="b">
        <f t="array" ref="AF454">OR(ISNUMBER(SEARCH(AE$2:AE$100,$B454,5)))</f>
        <v>0</v>
      </c>
      <c r="AH454" s="3" t="str">
        <f t="shared" si="13"/>
        <v>ZZZ</v>
      </c>
      <c r="AI454" s="3" t="b">
        <f t="array" ref="AI454">OR(ISNUMBER(SEARCH(AH$2:AH$100,$B454,5)))</f>
        <v>0</v>
      </c>
      <c r="AK454" s="3" t="str">
        <f t="shared" si="14"/>
        <v>ZZZ</v>
      </c>
      <c r="AL454" s="3" t="b">
        <f t="array" ref="AL454">OR(ISNUMBER(SEARCH(AK$2:AK$100,$B454,5)))</f>
        <v>0</v>
      </c>
      <c r="AU454" s="8"/>
      <c r="AV454" s="6"/>
      <c r="AW454" s="8"/>
      <c r="AX454" s="8"/>
      <c r="AY454" s="6"/>
      <c r="AZ454" s="8"/>
      <c r="BA454" s="8"/>
      <c r="BB454" s="6"/>
      <c r="BC454" s="8"/>
      <c r="BD454" s="8"/>
      <c r="BE454" s="6"/>
      <c r="BF454" s="8"/>
      <c r="BG454" s="8"/>
      <c r="BH454" s="6"/>
      <c r="BI454" s="8"/>
      <c r="BJ454" s="8"/>
      <c r="BK454" s="6"/>
      <c r="BL454" s="8"/>
      <c r="BM454" s="8"/>
      <c r="BN454" s="6"/>
      <c r="BO454" s="8"/>
      <c r="BP454" s="8"/>
      <c r="BQ454" s="6"/>
      <c r="BR454" s="8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7"/>
      <c r="HO454" s="7"/>
      <c r="HP454" s="7"/>
      <c r="HQ454" s="7"/>
      <c r="HR454" s="7"/>
      <c r="HS454" s="7"/>
      <c r="HT454" s="7"/>
      <c r="HU454" s="7"/>
      <c r="HV454" s="7"/>
      <c r="HW454" s="7"/>
      <c r="HX454" s="7"/>
      <c r="HY454" s="7"/>
      <c r="HZ454" s="7"/>
      <c r="IA454" s="7"/>
      <c r="IB454" s="7"/>
      <c r="IC454" s="7"/>
      <c r="ID454" s="7"/>
      <c r="IE454" s="7"/>
      <c r="IF454" s="7"/>
      <c r="IG454" s="7"/>
      <c r="IH454" s="7"/>
      <c r="II454" s="7"/>
      <c r="IJ454" s="7"/>
      <c r="IK454" s="7"/>
      <c r="IL454" s="7"/>
      <c r="IM454" s="7"/>
      <c r="IN454" s="7"/>
      <c r="IO454" s="7"/>
      <c r="IP454" s="7"/>
      <c r="IQ454" s="7"/>
      <c r="IR454" s="7"/>
      <c r="IS454" s="7"/>
      <c r="IT454" s="7"/>
      <c r="IU454" s="7"/>
      <c r="IV454" s="7"/>
      <c r="IW454" s="7"/>
      <c r="IX454" s="7"/>
      <c r="IY454" s="7"/>
      <c r="IZ454" s="7"/>
      <c r="JA454" s="7"/>
      <c r="JB454" s="7"/>
      <c r="JC454" s="7"/>
      <c r="JD454" s="7"/>
      <c r="JE454" s="7"/>
      <c r="JF454" s="7"/>
      <c r="JG454" s="7"/>
      <c r="JH454" s="7"/>
      <c r="JI454" s="7"/>
      <c r="JJ454" s="7"/>
      <c r="JK454" s="7"/>
      <c r="JL454" s="7"/>
      <c r="JM454" s="7"/>
      <c r="JN454" s="7"/>
      <c r="JO454" s="7"/>
      <c r="JP454" s="7"/>
      <c r="JQ454" s="7"/>
      <c r="JR454" s="7"/>
      <c r="JS454" s="7"/>
      <c r="JT454" s="7"/>
      <c r="JU454" s="7"/>
      <c r="JV454" s="7"/>
      <c r="JW454" s="7"/>
      <c r="JX454" s="7"/>
      <c r="JY454" s="7"/>
      <c r="JZ454" s="7"/>
      <c r="KA454" s="7"/>
      <c r="KB454" s="7"/>
      <c r="KC454" s="7"/>
      <c r="KD454" s="7"/>
      <c r="KE454" s="7"/>
      <c r="KF454" s="7"/>
      <c r="KG454" s="7"/>
      <c r="KH454" s="7"/>
      <c r="KI454" s="7"/>
      <c r="KJ454" s="7"/>
      <c r="KK454" s="7"/>
      <c r="KL454" s="7"/>
      <c r="KM454" s="7"/>
      <c r="KN454" s="7"/>
    </row>
    <row r="455">
      <c r="A455" s="6"/>
      <c r="B455" s="6" t="s">
        <v>455</v>
      </c>
      <c r="C455" s="3" t="str">
        <f t="shared" si="3"/>
        <v>muted fuchsia</v>
      </c>
      <c r="D455" s="3" t="str">
        <f t="shared" si="17"/>
        <v>ZZZ</v>
      </c>
      <c r="E455" s="3" t="b">
        <f t="array" ref="E455">OR(ISNUMBER(SEARCH(D$2:D$30,$B455,5)))</f>
        <v>0</v>
      </c>
      <c r="G455" s="3" t="str">
        <f t="shared" si="4"/>
        <v>ZZZ</v>
      </c>
      <c r="H455" s="3" t="b">
        <f t="array" ref="H455">OR(ISNUMBER(SEARCH(G$2:G$30,$B455,5)))</f>
        <v>0</v>
      </c>
      <c r="J455" s="3" t="str">
        <f t="shared" si="5"/>
        <v>ZZZ</v>
      </c>
      <c r="K455" s="3" t="b">
        <f t="array" ref="K455">OR(ISNUMBER(SEARCH(J$2:J$30,$B455,5)))</f>
        <v>0</v>
      </c>
      <c r="M455" s="3" t="str">
        <f t="shared" si="6"/>
        <v>ZZZ</v>
      </c>
      <c r="N455" s="3" t="b">
        <f t="array" ref="N455">OR(ISNUMBER(SEARCH(M$2:M$30,$B455,5)))</f>
        <v>0</v>
      </c>
      <c r="P455" s="3" t="str">
        <f t="shared" si="7"/>
        <v>ZZZ</v>
      </c>
      <c r="Q455" s="3" t="b">
        <f t="array" ref="Q455">OR(ISNUMBER(SEARCH(P$2:P$50,$B455,5)))</f>
        <v>0</v>
      </c>
      <c r="S455" s="3" t="str">
        <f t="shared" si="8"/>
        <v>ZZZ</v>
      </c>
      <c r="T455" s="3" t="b">
        <f t="array" ref="T455">OR(ISNUMBER(SEARCH(S$2:S$100,$B455,5)))</f>
        <v>0</v>
      </c>
      <c r="V455" s="3" t="str">
        <f t="shared" si="9"/>
        <v>ZZZ</v>
      </c>
      <c r="W455" s="3" t="b">
        <f t="array" ref="W455">OR(ISNUMBER(SEARCH(V$2:V$100,$B455,5)))</f>
        <v>0</v>
      </c>
      <c r="Y455" s="3" t="str">
        <f t="shared" si="10"/>
        <v>ZZZ</v>
      </c>
      <c r="Z455" s="3" t="b">
        <f t="array" ref="Z455">OR(ISNUMBER(SEARCH(Y$2:Y$100,$B455,5)))</f>
        <v>0</v>
      </c>
      <c r="AB455" s="3" t="str">
        <f t="shared" si="11"/>
        <v>ZZZ</v>
      </c>
      <c r="AC455" s="3" t="b">
        <f t="array" ref="AC455">OR(ISNUMBER(SEARCH(AB$2:AB$100,$B455,5)))</f>
        <v>0</v>
      </c>
      <c r="AE455" s="3" t="str">
        <f t="shared" si="12"/>
        <v>ZZZ</v>
      </c>
      <c r="AF455" s="3" t="b">
        <f t="array" ref="AF455">OR(ISNUMBER(SEARCH(AE$2:AE$100,$B455,5)))</f>
        <v>0</v>
      </c>
      <c r="AH455" s="3" t="str">
        <f t="shared" si="13"/>
        <v>ZZZ</v>
      </c>
      <c r="AI455" s="3" t="b">
        <f t="array" ref="AI455">OR(ISNUMBER(SEARCH(AH$2:AH$100,$B455,5)))</f>
        <v>0</v>
      </c>
      <c r="AK455" s="3" t="str">
        <f t="shared" si="14"/>
        <v>ZZZ</v>
      </c>
      <c r="AL455" s="3" t="b">
        <f t="array" ref="AL455">OR(ISNUMBER(SEARCH(AK$2:AK$100,$B455,5)))</f>
        <v>0</v>
      </c>
      <c r="AU455" s="8"/>
      <c r="AV455" s="6"/>
      <c r="AW455" s="8"/>
      <c r="AX455" s="8"/>
      <c r="AY455" s="6"/>
      <c r="AZ455" s="8"/>
      <c r="BA455" s="8"/>
      <c r="BB455" s="6"/>
      <c r="BC455" s="8"/>
      <c r="BD455" s="8"/>
      <c r="BE455" s="6"/>
      <c r="BF455" s="8"/>
      <c r="BG455" s="8"/>
      <c r="BH455" s="6"/>
      <c r="BI455" s="8"/>
      <c r="BJ455" s="8"/>
      <c r="BK455" s="6"/>
      <c r="BL455" s="8"/>
      <c r="BM455" s="8"/>
      <c r="BN455" s="6"/>
      <c r="BO455" s="8"/>
      <c r="BP455" s="8"/>
      <c r="BQ455" s="6"/>
      <c r="BR455" s="8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7"/>
      <c r="HO455" s="7"/>
      <c r="HP455" s="7"/>
      <c r="HQ455" s="7"/>
      <c r="HR455" s="7"/>
      <c r="HS455" s="7"/>
      <c r="HT455" s="7"/>
      <c r="HU455" s="7"/>
      <c r="HV455" s="7"/>
      <c r="HW455" s="7"/>
      <c r="HX455" s="7"/>
      <c r="HY455" s="7"/>
      <c r="HZ455" s="7"/>
      <c r="IA455" s="7"/>
      <c r="IB455" s="7"/>
      <c r="IC455" s="7"/>
      <c r="ID455" s="7"/>
      <c r="IE455" s="7"/>
      <c r="IF455" s="7"/>
      <c r="IG455" s="7"/>
      <c r="IH455" s="7"/>
      <c r="II455" s="7"/>
      <c r="IJ455" s="7"/>
      <c r="IK455" s="7"/>
      <c r="IL455" s="7"/>
      <c r="IM455" s="7"/>
      <c r="IN455" s="7"/>
      <c r="IO455" s="7"/>
      <c r="IP455" s="7"/>
      <c r="IQ455" s="7"/>
      <c r="IR455" s="7"/>
      <c r="IS455" s="7"/>
      <c r="IT455" s="7"/>
      <c r="IU455" s="7"/>
      <c r="IV455" s="7"/>
      <c r="IW455" s="7"/>
      <c r="IX455" s="7"/>
      <c r="IY455" s="7"/>
      <c r="IZ455" s="7"/>
      <c r="JA455" s="7"/>
      <c r="JB455" s="7"/>
      <c r="JC455" s="7"/>
      <c r="JD455" s="7"/>
      <c r="JE455" s="7"/>
      <c r="JF455" s="7"/>
      <c r="JG455" s="7"/>
      <c r="JH455" s="7"/>
      <c r="JI455" s="7"/>
      <c r="JJ455" s="7"/>
      <c r="JK455" s="7"/>
      <c r="JL455" s="7"/>
      <c r="JM455" s="7"/>
      <c r="JN455" s="7"/>
      <c r="JO455" s="7"/>
      <c r="JP455" s="7"/>
      <c r="JQ455" s="7"/>
      <c r="JR455" s="7"/>
      <c r="JS455" s="7"/>
      <c r="JT455" s="7"/>
      <c r="JU455" s="7"/>
      <c r="JV455" s="7"/>
      <c r="JW455" s="7"/>
      <c r="JX455" s="7"/>
      <c r="JY455" s="7"/>
      <c r="JZ455" s="7"/>
      <c r="KA455" s="7"/>
      <c r="KB455" s="7"/>
      <c r="KC455" s="7"/>
      <c r="KD455" s="7"/>
      <c r="KE455" s="7"/>
      <c r="KF455" s="7"/>
      <c r="KG455" s="7"/>
      <c r="KH455" s="7"/>
      <c r="KI455" s="7"/>
      <c r="KJ455" s="7"/>
      <c r="KK455" s="7"/>
      <c r="KL455" s="7"/>
      <c r="KM455" s="7"/>
      <c r="KN455" s="7"/>
    </row>
    <row r="456">
      <c r="A456" s="6"/>
      <c r="B456" s="6" t="s">
        <v>456</v>
      </c>
      <c r="C456" s="3" t="str">
        <f t="shared" si="3"/>
        <v>clear maroon</v>
      </c>
      <c r="D456" s="3" t="str">
        <f t="shared" si="17"/>
        <v>ZZZ</v>
      </c>
      <c r="E456" s="3" t="b">
        <f t="array" ref="E456">OR(ISNUMBER(SEARCH(D$2:D$30,$B456,5)))</f>
        <v>0</v>
      </c>
      <c r="G456" s="3" t="str">
        <f t="shared" si="4"/>
        <v>ZZZ</v>
      </c>
      <c r="H456" s="3" t="b">
        <f t="array" ref="H456">OR(ISNUMBER(SEARCH(G$2:G$30,$B456,5)))</f>
        <v>0</v>
      </c>
      <c r="J456" s="3" t="str">
        <f t="shared" si="5"/>
        <v>ZZZ</v>
      </c>
      <c r="K456" s="3" t="b">
        <f t="array" ref="K456">OR(ISNUMBER(SEARCH(J$2:J$30,$B456,5)))</f>
        <v>0</v>
      </c>
      <c r="M456" s="3" t="str">
        <f t="shared" si="6"/>
        <v>ZZZ</v>
      </c>
      <c r="N456" s="3" t="b">
        <f t="array" ref="N456">OR(ISNUMBER(SEARCH(M$2:M$30,$B456,5)))</f>
        <v>0</v>
      </c>
      <c r="P456" s="3" t="str">
        <f t="shared" si="7"/>
        <v>ZZZ</v>
      </c>
      <c r="Q456" s="3" t="b">
        <f t="array" ref="Q456">OR(ISNUMBER(SEARCH(P$2:P$50,$B456,5)))</f>
        <v>0</v>
      </c>
      <c r="S456" s="3" t="str">
        <f t="shared" si="8"/>
        <v>ZZZ</v>
      </c>
      <c r="T456" s="3" t="b">
        <f t="array" ref="T456">OR(ISNUMBER(SEARCH(S$2:S$100,$B456,5)))</f>
        <v>0</v>
      </c>
      <c r="V456" s="3" t="str">
        <f t="shared" si="9"/>
        <v>ZZZ</v>
      </c>
      <c r="W456" s="3" t="b">
        <f t="array" ref="W456">OR(ISNUMBER(SEARCH(V$2:V$100,$B456,5)))</f>
        <v>0</v>
      </c>
      <c r="Y456" s="3" t="str">
        <f t="shared" si="10"/>
        <v>ZZZ</v>
      </c>
      <c r="Z456" s="3" t="b">
        <f t="array" ref="Z456">OR(ISNUMBER(SEARCH(Y$2:Y$100,$B456,5)))</f>
        <v>0</v>
      </c>
      <c r="AB456" s="3" t="str">
        <f t="shared" si="11"/>
        <v>ZZZ</v>
      </c>
      <c r="AC456" s="3" t="b">
        <f t="array" ref="AC456">OR(ISNUMBER(SEARCH(AB$2:AB$100,$B456,5)))</f>
        <v>0</v>
      </c>
      <c r="AE456" s="3" t="str">
        <f t="shared" si="12"/>
        <v>ZZZ</v>
      </c>
      <c r="AF456" s="3" t="b">
        <f t="array" ref="AF456">OR(ISNUMBER(SEARCH(AE$2:AE$100,$B456,5)))</f>
        <v>0</v>
      </c>
      <c r="AH456" s="3" t="str">
        <f t="shared" si="13"/>
        <v>ZZZ</v>
      </c>
      <c r="AI456" s="3" t="b">
        <f t="array" ref="AI456">OR(ISNUMBER(SEARCH(AH$2:AH$100,$B456,5)))</f>
        <v>0</v>
      </c>
      <c r="AK456" s="3" t="str">
        <f t="shared" si="14"/>
        <v>ZZZ</v>
      </c>
      <c r="AL456" s="3" t="b">
        <f t="array" ref="AL456">OR(ISNUMBER(SEARCH(AK$2:AK$100,$B456,5)))</f>
        <v>0</v>
      </c>
      <c r="AU456" s="8"/>
      <c r="AV456" s="6"/>
      <c r="AW456" s="8"/>
      <c r="AX456" s="8"/>
      <c r="AY456" s="6"/>
      <c r="AZ456" s="8"/>
      <c r="BA456" s="8"/>
      <c r="BB456" s="6"/>
      <c r="BC456" s="8"/>
      <c r="BD456" s="8"/>
      <c r="BE456" s="6"/>
      <c r="BF456" s="8"/>
      <c r="BG456" s="8"/>
      <c r="BH456" s="6"/>
      <c r="BI456" s="8"/>
      <c r="BJ456" s="8"/>
      <c r="BK456" s="6"/>
      <c r="BL456" s="8"/>
      <c r="BM456" s="8"/>
      <c r="BN456" s="6"/>
      <c r="BO456" s="8"/>
      <c r="BP456" s="8"/>
      <c r="BQ456" s="6"/>
      <c r="BR456" s="8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  <c r="HQ456" s="7"/>
      <c r="HR456" s="7"/>
      <c r="HS456" s="7"/>
      <c r="HT456" s="7"/>
      <c r="HU456" s="7"/>
      <c r="HV456" s="7"/>
      <c r="HW456" s="7"/>
      <c r="HX456" s="7"/>
      <c r="HY456" s="7"/>
      <c r="HZ456" s="7"/>
      <c r="IA456" s="7"/>
      <c r="IB456" s="7"/>
      <c r="IC456" s="7"/>
      <c r="ID456" s="7"/>
      <c r="IE456" s="7"/>
      <c r="IF456" s="7"/>
      <c r="IG456" s="7"/>
      <c r="IH456" s="7"/>
      <c r="II456" s="7"/>
      <c r="IJ456" s="7"/>
      <c r="IK456" s="7"/>
      <c r="IL456" s="7"/>
      <c r="IM456" s="7"/>
      <c r="IN456" s="7"/>
      <c r="IO456" s="7"/>
      <c r="IP456" s="7"/>
      <c r="IQ456" s="7"/>
      <c r="IR456" s="7"/>
      <c r="IS456" s="7"/>
      <c r="IT456" s="7"/>
      <c r="IU456" s="7"/>
      <c r="IV456" s="7"/>
      <c r="IW456" s="7"/>
      <c r="IX456" s="7"/>
      <c r="IY456" s="7"/>
      <c r="IZ456" s="7"/>
      <c r="JA456" s="7"/>
      <c r="JB456" s="7"/>
      <c r="JC456" s="7"/>
      <c r="JD456" s="7"/>
      <c r="JE456" s="7"/>
      <c r="JF456" s="7"/>
      <c r="JG456" s="7"/>
      <c r="JH456" s="7"/>
      <c r="JI456" s="7"/>
      <c r="JJ456" s="7"/>
      <c r="JK456" s="7"/>
      <c r="JL456" s="7"/>
      <c r="JM456" s="7"/>
      <c r="JN456" s="7"/>
      <c r="JO456" s="7"/>
      <c r="JP456" s="7"/>
      <c r="JQ456" s="7"/>
      <c r="JR456" s="7"/>
      <c r="JS456" s="7"/>
      <c r="JT456" s="7"/>
      <c r="JU456" s="7"/>
      <c r="JV456" s="7"/>
      <c r="JW456" s="7"/>
      <c r="JX456" s="7"/>
      <c r="JY456" s="7"/>
      <c r="JZ456" s="7"/>
      <c r="KA456" s="7"/>
      <c r="KB456" s="7"/>
      <c r="KC456" s="7"/>
      <c r="KD456" s="7"/>
      <c r="KE456" s="7"/>
      <c r="KF456" s="7"/>
      <c r="KG456" s="7"/>
      <c r="KH456" s="7"/>
      <c r="KI456" s="7"/>
      <c r="KJ456" s="7"/>
      <c r="KK456" s="7"/>
      <c r="KL456" s="7"/>
      <c r="KM456" s="7"/>
      <c r="KN456" s="7"/>
    </row>
    <row r="457">
      <c r="A457" s="6"/>
      <c r="B457" s="6" t="s">
        <v>457</v>
      </c>
      <c r="C457" s="3" t="str">
        <f t="shared" si="3"/>
        <v>faded salmon</v>
      </c>
      <c r="D457" s="3" t="str">
        <f t="shared" si="17"/>
        <v>ZZZ</v>
      </c>
      <c r="E457" s="3" t="b">
        <f t="array" ref="E457">OR(ISNUMBER(SEARCH(D$2:D$30,$B457,5)))</f>
        <v>0</v>
      </c>
      <c r="G457" s="3" t="str">
        <f t="shared" si="4"/>
        <v>ZZZ</v>
      </c>
      <c r="H457" s="3" t="b">
        <f t="array" ref="H457">OR(ISNUMBER(SEARCH(G$2:G$30,$B457,5)))</f>
        <v>0</v>
      </c>
      <c r="J457" s="3" t="str">
        <f t="shared" si="5"/>
        <v>ZZZ</v>
      </c>
      <c r="K457" s="3" t="b">
        <f t="array" ref="K457">OR(ISNUMBER(SEARCH(J$2:J$30,$B457,5)))</f>
        <v>0</v>
      </c>
      <c r="M457" s="3" t="str">
        <f t="shared" si="6"/>
        <v>ZZZ</v>
      </c>
      <c r="N457" s="3" t="b">
        <f t="array" ref="N457">OR(ISNUMBER(SEARCH(M$2:M$30,$B457,5)))</f>
        <v>0</v>
      </c>
      <c r="P457" s="3" t="str">
        <f t="shared" si="7"/>
        <v>ZZZ</v>
      </c>
      <c r="Q457" s="3" t="b">
        <f t="array" ref="Q457">OR(ISNUMBER(SEARCH(P$2:P$50,$B457,5)))</f>
        <v>0</v>
      </c>
      <c r="S457" s="3" t="str">
        <f t="shared" si="8"/>
        <v>ZZZ</v>
      </c>
      <c r="T457" s="3" t="b">
        <f t="array" ref="T457">OR(ISNUMBER(SEARCH(S$2:S$100,$B457,5)))</f>
        <v>0</v>
      </c>
      <c r="V457" s="3" t="str">
        <f t="shared" si="9"/>
        <v>ZZZ</v>
      </c>
      <c r="W457" s="3" t="b">
        <f t="array" ref="W457">OR(ISNUMBER(SEARCH(V$2:V$100,$B457,5)))</f>
        <v>0</v>
      </c>
      <c r="Y457" s="3" t="str">
        <f t="shared" si="10"/>
        <v>ZZZ</v>
      </c>
      <c r="Z457" s="3" t="b">
        <f t="array" ref="Z457">OR(ISNUMBER(SEARCH(Y$2:Y$100,$B457,5)))</f>
        <v>0</v>
      </c>
      <c r="AB457" s="3" t="str">
        <f t="shared" si="11"/>
        <v>ZZZ</v>
      </c>
      <c r="AC457" s="3" t="b">
        <f t="array" ref="AC457">OR(ISNUMBER(SEARCH(AB$2:AB$100,$B457,5)))</f>
        <v>0</v>
      </c>
      <c r="AE457" s="3" t="str">
        <f t="shared" si="12"/>
        <v>ZZZ</v>
      </c>
      <c r="AF457" s="3" t="b">
        <f t="array" ref="AF457">OR(ISNUMBER(SEARCH(AE$2:AE$100,$B457,5)))</f>
        <v>0</v>
      </c>
      <c r="AH457" s="3" t="str">
        <f t="shared" si="13"/>
        <v>ZZZ</v>
      </c>
      <c r="AI457" s="3" t="b">
        <f t="array" ref="AI457">OR(ISNUMBER(SEARCH(AH$2:AH$100,$B457,5)))</f>
        <v>0</v>
      </c>
      <c r="AK457" s="3" t="str">
        <f t="shared" si="14"/>
        <v>ZZZ</v>
      </c>
      <c r="AL457" s="3" t="b">
        <f t="array" ref="AL457">OR(ISNUMBER(SEARCH(AK$2:AK$100,$B457,5)))</f>
        <v>0</v>
      </c>
      <c r="AU457" s="8"/>
      <c r="AV457" s="6"/>
      <c r="AW457" s="8"/>
      <c r="AX457" s="8"/>
      <c r="AY457" s="6"/>
      <c r="AZ457" s="8"/>
      <c r="BA457" s="8"/>
      <c r="BB457" s="6"/>
      <c r="BC457" s="8"/>
      <c r="BD457" s="8"/>
      <c r="BE457" s="6"/>
      <c r="BF457" s="8"/>
      <c r="BG457" s="8"/>
      <c r="BH457" s="6"/>
      <c r="BI457" s="8"/>
      <c r="BJ457" s="8"/>
      <c r="BK457" s="6"/>
      <c r="BL457" s="8"/>
      <c r="BM457" s="8"/>
      <c r="BN457" s="6"/>
      <c r="BO457" s="8"/>
      <c r="BP457" s="8"/>
      <c r="BQ457" s="6"/>
      <c r="BR457" s="8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7"/>
      <c r="HP457" s="7"/>
      <c r="HQ457" s="7"/>
      <c r="HR457" s="7"/>
      <c r="HS457" s="7"/>
      <c r="HT457" s="7"/>
      <c r="HU457" s="7"/>
      <c r="HV457" s="7"/>
      <c r="HW457" s="7"/>
      <c r="HX457" s="7"/>
      <c r="HY457" s="7"/>
      <c r="HZ457" s="7"/>
      <c r="IA457" s="7"/>
      <c r="IB457" s="7"/>
      <c r="IC457" s="7"/>
      <c r="ID457" s="7"/>
      <c r="IE457" s="7"/>
      <c r="IF457" s="7"/>
      <c r="IG457" s="7"/>
      <c r="IH457" s="7"/>
      <c r="II457" s="7"/>
      <c r="IJ457" s="7"/>
      <c r="IK457" s="7"/>
      <c r="IL457" s="7"/>
      <c r="IM457" s="7"/>
      <c r="IN457" s="7"/>
      <c r="IO457" s="7"/>
      <c r="IP457" s="7"/>
      <c r="IQ457" s="7"/>
      <c r="IR457" s="7"/>
      <c r="IS457" s="7"/>
      <c r="IT457" s="7"/>
      <c r="IU457" s="7"/>
      <c r="IV457" s="7"/>
      <c r="IW457" s="7"/>
      <c r="IX457" s="7"/>
      <c r="IY457" s="7"/>
      <c r="IZ457" s="7"/>
      <c r="JA457" s="7"/>
      <c r="JB457" s="7"/>
      <c r="JC457" s="7"/>
      <c r="JD457" s="7"/>
      <c r="JE457" s="7"/>
      <c r="JF457" s="7"/>
      <c r="JG457" s="7"/>
      <c r="JH457" s="7"/>
      <c r="JI457" s="7"/>
      <c r="JJ457" s="7"/>
      <c r="JK457" s="7"/>
      <c r="JL457" s="7"/>
      <c r="JM457" s="7"/>
      <c r="JN457" s="7"/>
      <c r="JO457" s="7"/>
      <c r="JP457" s="7"/>
      <c r="JQ457" s="7"/>
      <c r="JR457" s="7"/>
      <c r="JS457" s="7"/>
      <c r="JT457" s="7"/>
      <c r="JU457" s="7"/>
      <c r="JV457" s="7"/>
      <c r="JW457" s="7"/>
      <c r="JX457" s="7"/>
      <c r="JY457" s="7"/>
      <c r="JZ457" s="7"/>
      <c r="KA457" s="7"/>
      <c r="KB457" s="7"/>
      <c r="KC457" s="7"/>
      <c r="KD457" s="7"/>
      <c r="KE457" s="7"/>
      <c r="KF457" s="7"/>
      <c r="KG457" s="7"/>
      <c r="KH457" s="7"/>
      <c r="KI457" s="7"/>
      <c r="KJ457" s="7"/>
      <c r="KK457" s="7"/>
      <c r="KL457" s="7"/>
      <c r="KM457" s="7"/>
      <c r="KN457" s="7"/>
    </row>
    <row r="458">
      <c r="A458" s="6"/>
      <c r="B458" s="6" t="s">
        <v>458</v>
      </c>
      <c r="C458" s="3" t="str">
        <f t="shared" si="3"/>
        <v>striped aqua</v>
      </c>
      <c r="D458" s="3" t="str">
        <f t="shared" si="17"/>
        <v>ZZZ</v>
      </c>
      <c r="E458" s="3" t="b">
        <f t="array" ref="E458">OR(ISNUMBER(SEARCH(D$2:D$30,$B458,5)))</f>
        <v>0</v>
      </c>
      <c r="G458" s="3" t="str">
        <f t="shared" si="4"/>
        <v>ZZZ</v>
      </c>
      <c r="H458" s="3" t="b">
        <f t="array" ref="H458">OR(ISNUMBER(SEARCH(G$2:G$30,$B458,5)))</f>
        <v>0</v>
      </c>
      <c r="J458" s="3" t="str">
        <f t="shared" si="5"/>
        <v>ZZZ</v>
      </c>
      <c r="K458" s="3" t="b">
        <f t="array" ref="K458">OR(ISNUMBER(SEARCH(J$2:J$30,$B458,5)))</f>
        <v>0</v>
      </c>
      <c r="M458" s="3" t="str">
        <f t="shared" si="6"/>
        <v>ZZZ</v>
      </c>
      <c r="N458" s="3" t="b">
        <f t="array" ref="N458">OR(ISNUMBER(SEARCH(M$2:M$30,$B458,5)))</f>
        <v>0</v>
      </c>
      <c r="P458" s="3" t="str">
        <f t="shared" si="7"/>
        <v>ZZZ</v>
      </c>
      <c r="Q458" s="3" t="b">
        <f t="array" ref="Q458">OR(ISNUMBER(SEARCH(P$2:P$50,$B458,5)))</f>
        <v>0</v>
      </c>
      <c r="S458" s="3" t="str">
        <f t="shared" si="8"/>
        <v>ZZZ</v>
      </c>
      <c r="T458" s="3" t="b">
        <f t="array" ref="T458">OR(ISNUMBER(SEARCH(S$2:S$100,$B458,5)))</f>
        <v>0</v>
      </c>
      <c r="V458" s="3" t="str">
        <f t="shared" si="9"/>
        <v>ZZZ</v>
      </c>
      <c r="W458" s="3" t="b">
        <f t="array" ref="W458">OR(ISNUMBER(SEARCH(V$2:V$100,$B458,5)))</f>
        <v>0</v>
      </c>
      <c r="Y458" s="3" t="str">
        <f t="shared" si="10"/>
        <v>ZZZ</v>
      </c>
      <c r="Z458" s="3" t="b">
        <f t="array" ref="Z458">OR(ISNUMBER(SEARCH(Y$2:Y$100,$B458,5)))</f>
        <v>0</v>
      </c>
      <c r="AB458" s="3" t="str">
        <f t="shared" si="11"/>
        <v>ZZZ</v>
      </c>
      <c r="AC458" s="3" t="b">
        <f t="array" ref="AC458">OR(ISNUMBER(SEARCH(AB$2:AB$100,$B458,5)))</f>
        <v>0</v>
      </c>
      <c r="AE458" s="3" t="str">
        <f t="shared" si="12"/>
        <v>ZZZ</v>
      </c>
      <c r="AF458" s="3" t="b">
        <f t="array" ref="AF458">OR(ISNUMBER(SEARCH(AE$2:AE$100,$B458,5)))</f>
        <v>0</v>
      </c>
      <c r="AH458" s="3" t="str">
        <f t="shared" si="13"/>
        <v>ZZZ</v>
      </c>
      <c r="AI458" s="3" t="b">
        <f t="array" ref="AI458">OR(ISNUMBER(SEARCH(AH$2:AH$100,$B458,5)))</f>
        <v>0</v>
      </c>
      <c r="AK458" s="3" t="str">
        <f t="shared" si="14"/>
        <v>ZZZ</v>
      </c>
      <c r="AL458" s="3" t="b">
        <f t="array" ref="AL458">OR(ISNUMBER(SEARCH(AK$2:AK$100,$B458,5)))</f>
        <v>0</v>
      </c>
      <c r="AU458" s="8"/>
      <c r="AV458" s="6"/>
      <c r="AW458" s="8"/>
      <c r="AX458" s="8"/>
      <c r="AY458" s="6"/>
      <c r="AZ458" s="8"/>
      <c r="BA458" s="8"/>
      <c r="BB458" s="6"/>
      <c r="BC458" s="8"/>
      <c r="BD458" s="8"/>
      <c r="BE458" s="6"/>
      <c r="BF458" s="8"/>
      <c r="BG458" s="8"/>
      <c r="BH458" s="6"/>
      <c r="BI458" s="8"/>
      <c r="BJ458" s="8"/>
      <c r="BK458" s="6"/>
      <c r="BL458" s="8"/>
      <c r="BM458" s="8"/>
      <c r="BN458" s="6"/>
      <c r="BO458" s="8"/>
      <c r="BP458" s="8"/>
      <c r="BQ458" s="6"/>
      <c r="BR458" s="8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7"/>
      <c r="HO458" s="7"/>
      <c r="HP458" s="7"/>
      <c r="HQ458" s="7"/>
      <c r="HR458" s="7"/>
      <c r="HS458" s="7"/>
      <c r="HT458" s="7"/>
      <c r="HU458" s="7"/>
      <c r="HV458" s="7"/>
      <c r="HW458" s="7"/>
      <c r="HX458" s="7"/>
      <c r="HY458" s="7"/>
      <c r="HZ458" s="7"/>
      <c r="IA458" s="7"/>
      <c r="IB458" s="7"/>
      <c r="IC458" s="7"/>
      <c r="ID458" s="7"/>
      <c r="IE458" s="7"/>
      <c r="IF458" s="7"/>
      <c r="IG458" s="7"/>
      <c r="IH458" s="7"/>
      <c r="II458" s="7"/>
      <c r="IJ458" s="7"/>
      <c r="IK458" s="7"/>
      <c r="IL458" s="7"/>
      <c r="IM458" s="7"/>
      <c r="IN458" s="7"/>
      <c r="IO458" s="7"/>
      <c r="IP458" s="7"/>
      <c r="IQ458" s="7"/>
      <c r="IR458" s="7"/>
      <c r="IS458" s="7"/>
      <c r="IT458" s="7"/>
      <c r="IU458" s="7"/>
      <c r="IV458" s="7"/>
      <c r="IW458" s="7"/>
      <c r="IX458" s="7"/>
      <c r="IY458" s="7"/>
      <c r="IZ458" s="7"/>
      <c r="JA458" s="7"/>
      <c r="JB458" s="7"/>
      <c r="JC458" s="7"/>
      <c r="JD458" s="7"/>
      <c r="JE458" s="7"/>
      <c r="JF458" s="7"/>
      <c r="JG458" s="7"/>
      <c r="JH458" s="7"/>
      <c r="JI458" s="7"/>
      <c r="JJ458" s="7"/>
      <c r="JK458" s="7"/>
      <c r="JL458" s="7"/>
      <c r="JM458" s="7"/>
      <c r="JN458" s="7"/>
      <c r="JO458" s="7"/>
      <c r="JP458" s="7"/>
      <c r="JQ458" s="7"/>
      <c r="JR458" s="7"/>
      <c r="JS458" s="7"/>
      <c r="JT458" s="7"/>
      <c r="JU458" s="7"/>
      <c r="JV458" s="7"/>
      <c r="JW458" s="7"/>
      <c r="JX458" s="7"/>
      <c r="JY458" s="7"/>
      <c r="JZ458" s="7"/>
      <c r="KA458" s="7"/>
      <c r="KB458" s="7"/>
      <c r="KC458" s="7"/>
      <c r="KD458" s="7"/>
      <c r="KE458" s="7"/>
      <c r="KF458" s="7"/>
      <c r="KG458" s="7"/>
      <c r="KH458" s="7"/>
      <c r="KI458" s="7"/>
      <c r="KJ458" s="7"/>
      <c r="KK458" s="7"/>
      <c r="KL458" s="7"/>
      <c r="KM458" s="7"/>
      <c r="KN458" s="7"/>
    </row>
    <row r="459">
      <c r="A459" s="6"/>
      <c r="B459" s="6" t="s">
        <v>459</v>
      </c>
      <c r="C459" s="3" t="str">
        <f t="shared" si="3"/>
        <v>plaid fuchsia</v>
      </c>
      <c r="D459" s="3" t="str">
        <f t="shared" si="17"/>
        <v>ZZZ</v>
      </c>
      <c r="E459" s="3" t="b">
        <f t="array" ref="E459">OR(ISNUMBER(SEARCH(D$2:D$30,$B459,5)))</f>
        <v>0</v>
      </c>
      <c r="G459" s="3" t="str">
        <f t="shared" si="4"/>
        <v>ZZZ</v>
      </c>
      <c r="H459" s="3" t="b">
        <f t="array" ref="H459">OR(ISNUMBER(SEARCH(G$2:G$30,$B459,5)))</f>
        <v>0</v>
      </c>
      <c r="J459" s="3" t="str">
        <f t="shared" si="5"/>
        <v>ZZZ</v>
      </c>
      <c r="K459" s="3" t="b">
        <f t="array" ref="K459">OR(ISNUMBER(SEARCH(J$2:J$30,$B459,5)))</f>
        <v>0</v>
      </c>
      <c r="M459" s="3" t="str">
        <f t="shared" si="6"/>
        <v>ZZZ</v>
      </c>
      <c r="N459" s="3" t="b">
        <f t="array" ref="N459">OR(ISNUMBER(SEARCH(M$2:M$30,$B459,5)))</f>
        <v>0</v>
      </c>
      <c r="P459" s="3" t="str">
        <f t="shared" si="7"/>
        <v>ZZZ</v>
      </c>
      <c r="Q459" s="3" t="b">
        <f t="array" ref="Q459">OR(ISNUMBER(SEARCH(P$2:P$50,$B459,5)))</f>
        <v>0</v>
      </c>
      <c r="S459" s="3" t="str">
        <f t="shared" si="8"/>
        <v>ZZZ</v>
      </c>
      <c r="T459" s="3" t="b">
        <f t="array" ref="T459">OR(ISNUMBER(SEARCH(S$2:S$100,$B459,5)))</f>
        <v>0</v>
      </c>
      <c r="V459" s="3" t="str">
        <f t="shared" si="9"/>
        <v>ZZZ</v>
      </c>
      <c r="W459" s="3" t="b">
        <f t="array" ref="W459">OR(ISNUMBER(SEARCH(V$2:V$100,$B459,5)))</f>
        <v>0</v>
      </c>
      <c r="Y459" s="3" t="str">
        <f t="shared" si="10"/>
        <v>ZZZ</v>
      </c>
      <c r="Z459" s="3" t="b">
        <f t="array" ref="Z459">OR(ISNUMBER(SEARCH(Y$2:Y$100,$B459,5)))</f>
        <v>0</v>
      </c>
      <c r="AB459" s="3" t="str">
        <f t="shared" si="11"/>
        <v>ZZZ</v>
      </c>
      <c r="AC459" s="3" t="b">
        <f t="array" ref="AC459">OR(ISNUMBER(SEARCH(AB$2:AB$100,$B459,5)))</f>
        <v>0</v>
      </c>
      <c r="AE459" s="3" t="str">
        <f t="shared" si="12"/>
        <v>ZZZ</v>
      </c>
      <c r="AF459" s="3" t="b">
        <f t="array" ref="AF459">OR(ISNUMBER(SEARCH(AE$2:AE$100,$B459,5)))</f>
        <v>0</v>
      </c>
      <c r="AH459" s="3" t="str">
        <f t="shared" si="13"/>
        <v>ZZZ</v>
      </c>
      <c r="AI459" s="3" t="b">
        <f t="array" ref="AI459">OR(ISNUMBER(SEARCH(AH$2:AH$100,$B459,5)))</f>
        <v>0</v>
      </c>
      <c r="AK459" s="3" t="str">
        <f t="shared" si="14"/>
        <v>ZZZ</v>
      </c>
      <c r="AL459" s="3" t="b">
        <f t="array" ref="AL459">OR(ISNUMBER(SEARCH(AK$2:AK$100,$B459,5)))</f>
        <v>0</v>
      </c>
      <c r="AU459" s="8"/>
      <c r="AV459" s="6"/>
      <c r="AW459" s="8"/>
      <c r="AX459" s="8"/>
      <c r="AY459" s="6"/>
      <c r="AZ459" s="8"/>
      <c r="BA459" s="8"/>
      <c r="BB459" s="6"/>
      <c r="BC459" s="8"/>
      <c r="BD459" s="8"/>
      <c r="BE459" s="6"/>
      <c r="BF459" s="8"/>
      <c r="BG459" s="8"/>
      <c r="BH459" s="6"/>
      <c r="BI459" s="8"/>
      <c r="BJ459" s="8"/>
      <c r="BK459" s="6"/>
      <c r="BL459" s="8"/>
      <c r="BM459" s="8"/>
      <c r="BN459" s="6"/>
      <c r="BO459" s="8"/>
      <c r="BP459" s="8"/>
      <c r="BQ459" s="6"/>
      <c r="BR459" s="8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7"/>
      <c r="HO459" s="7"/>
      <c r="HP459" s="7"/>
      <c r="HQ459" s="7"/>
      <c r="HR459" s="7"/>
      <c r="HS459" s="7"/>
      <c r="HT459" s="7"/>
      <c r="HU459" s="7"/>
      <c r="HV459" s="7"/>
      <c r="HW459" s="7"/>
      <c r="HX459" s="7"/>
      <c r="HY459" s="7"/>
      <c r="HZ459" s="7"/>
      <c r="IA459" s="7"/>
      <c r="IB459" s="7"/>
      <c r="IC459" s="7"/>
      <c r="ID459" s="7"/>
      <c r="IE459" s="7"/>
      <c r="IF459" s="7"/>
      <c r="IG459" s="7"/>
      <c r="IH459" s="7"/>
      <c r="II459" s="7"/>
      <c r="IJ459" s="7"/>
      <c r="IK459" s="7"/>
      <c r="IL459" s="7"/>
      <c r="IM459" s="7"/>
      <c r="IN459" s="7"/>
      <c r="IO459" s="7"/>
      <c r="IP459" s="7"/>
      <c r="IQ459" s="7"/>
      <c r="IR459" s="7"/>
      <c r="IS459" s="7"/>
      <c r="IT459" s="7"/>
      <c r="IU459" s="7"/>
      <c r="IV459" s="7"/>
      <c r="IW459" s="7"/>
      <c r="IX459" s="7"/>
      <c r="IY459" s="7"/>
      <c r="IZ459" s="7"/>
      <c r="JA459" s="7"/>
      <c r="JB459" s="7"/>
      <c r="JC459" s="7"/>
      <c r="JD459" s="7"/>
      <c r="JE459" s="7"/>
      <c r="JF459" s="7"/>
      <c r="JG459" s="7"/>
      <c r="JH459" s="7"/>
      <c r="JI459" s="7"/>
      <c r="JJ459" s="7"/>
      <c r="JK459" s="7"/>
      <c r="JL459" s="7"/>
      <c r="JM459" s="7"/>
      <c r="JN459" s="7"/>
      <c r="JO459" s="7"/>
      <c r="JP459" s="7"/>
      <c r="JQ459" s="7"/>
      <c r="JR459" s="7"/>
      <c r="JS459" s="7"/>
      <c r="JT459" s="7"/>
      <c r="JU459" s="7"/>
      <c r="JV459" s="7"/>
      <c r="JW459" s="7"/>
      <c r="JX459" s="7"/>
      <c r="JY459" s="7"/>
      <c r="JZ459" s="7"/>
      <c r="KA459" s="7"/>
      <c r="KB459" s="7"/>
      <c r="KC459" s="7"/>
      <c r="KD459" s="7"/>
      <c r="KE459" s="7"/>
      <c r="KF459" s="7"/>
      <c r="KG459" s="7"/>
      <c r="KH459" s="7"/>
      <c r="KI459" s="7"/>
      <c r="KJ459" s="7"/>
      <c r="KK459" s="7"/>
      <c r="KL459" s="7"/>
      <c r="KM459" s="7"/>
      <c r="KN459" s="7"/>
    </row>
    <row r="460">
      <c r="A460" s="6"/>
      <c r="B460" s="6" t="s">
        <v>460</v>
      </c>
      <c r="C460" s="3" t="str">
        <f t="shared" si="3"/>
        <v>pale chartreuse</v>
      </c>
      <c r="D460" s="3" t="str">
        <f t="shared" si="17"/>
        <v>ZZZ</v>
      </c>
      <c r="E460" s="3" t="b">
        <f t="array" ref="E460">OR(ISNUMBER(SEARCH(D$2:D$30,$B460,5)))</f>
        <v>0</v>
      </c>
      <c r="G460" s="3" t="str">
        <f t="shared" si="4"/>
        <v>ZZZ</v>
      </c>
      <c r="H460" s="3" t="b">
        <f t="array" ref="H460">OR(ISNUMBER(SEARCH(G$2:G$30,$B460,5)))</f>
        <v>0</v>
      </c>
      <c r="J460" s="3" t="str">
        <f t="shared" si="5"/>
        <v>ZZZ</v>
      </c>
      <c r="K460" s="3" t="b">
        <f t="array" ref="K460">OR(ISNUMBER(SEARCH(J$2:J$30,$B460,5)))</f>
        <v>0</v>
      </c>
      <c r="M460" s="3" t="str">
        <f t="shared" si="6"/>
        <v>ZZZ</v>
      </c>
      <c r="N460" s="3" t="b">
        <f t="array" ref="N460">OR(ISNUMBER(SEARCH(M$2:M$30,$B460,5)))</f>
        <v>1</v>
      </c>
      <c r="P460" s="3" t="str">
        <f t="shared" si="7"/>
        <v>ZZZ</v>
      </c>
      <c r="Q460" s="3" t="b">
        <f t="array" ref="Q460">OR(ISNUMBER(SEARCH(P$2:P$50,$B460,5)))</f>
        <v>0</v>
      </c>
      <c r="S460" s="3" t="str">
        <f t="shared" si="8"/>
        <v>ZZZ</v>
      </c>
      <c r="T460" s="3" t="b">
        <f t="array" ref="T460">OR(ISNUMBER(SEARCH(S$2:S$100,$B460,5)))</f>
        <v>0</v>
      </c>
      <c r="V460" s="3" t="str">
        <f t="shared" si="9"/>
        <v>ZZZ</v>
      </c>
      <c r="W460" s="3" t="b">
        <f t="array" ref="W460">OR(ISNUMBER(SEARCH(V$2:V$100,$B460,5)))</f>
        <v>0</v>
      </c>
      <c r="Y460" s="3" t="str">
        <f t="shared" si="10"/>
        <v>ZZZ</v>
      </c>
      <c r="Z460" s="3" t="b">
        <f t="array" ref="Z460">OR(ISNUMBER(SEARCH(Y$2:Y$100,$B460,5)))</f>
        <v>0</v>
      </c>
      <c r="AB460" s="3" t="str">
        <f t="shared" si="11"/>
        <v>ZZZ</v>
      </c>
      <c r="AC460" s="3" t="b">
        <f t="array" ref="AC460">OR(ISNUMBER(SEARCH(AB$2:AB$100,$B460,5)))</f>
        <v>0</v>
      </c>
      <c r="AE460" s="3" t="str">
        <f t="shared" si="12"/>
        <v>ZZZ</v>
      </c>
      <c r="AF460" s="3" t="b">
        <f t="array" ref="AF460">OR(ISNUMBER(SEARCH(AE$2:AE$100,$B460,5)))</f>
        <v>0</v>
      </c>
      <c r="AH460" s="3" t="str">
        <f t="shared" si="13"/>
        <v>ZZZ</v>
      </c>
      <c r="AI460" s="3" t="b">
        <f t="array" ref="AI460">OR(ISNUMBER(SEARCH(AH$2:AH$100,$B460,5)))</f>
        <v>0</v>
      </c>
      <c r="AK460" s="3" t="str">
        <f t="shared" si="14"/>
        <v>ZZZ</v>
      </c>
      <c r="AL460" s="3" t="b">
        <f t="array" ref="AL460">OR(ISNUMBER(SEARCH(AK$2:AK$100,$B460,5)))</f>
        <v>0</v>
      </c>
      <c r="AU460" s="8"/>
      <c r="AV460" s="6"/>
      <c r="AW460" s="8"/>
      <c r="AX460" s="8"/>
      <c r="AY460" s="6"/>
      <c r="AZ460" s="8"/>
      <c r="BA460" s="8"/>
      <c r="BB460" s="6"/>
      <c r="BC460" s="8"/>
      <c r="BD460" s="8"/>
      <c r="BE460" s="6"/>
      <c r="BF460" s="8"/>
      <c r="BG460" s="8"/>
      <c r="BH460" s="6"/>
      <c r="BI460" s="8"/>
      <c r="BJ460" s="8"/>
      <c r="BK460" s="6"/>
      <c r="BL460" s="8"/>
      <c r="BM460" s="8"/>
      <c r="BN460" s="6"/>
      <c r="BO460" s="8"/>
      <c r="BP460" s="8"/>
      <c r="BQ460" s="6"/>
      <c r="BR460" s="8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  <c r="HQ460" s="7"/>
      <c r="HR460" s="7"/>
      <c r="HS460" s="7"/>
      <c r="HT460" s="7"/>
      <c r="HU460" s="7"/>
      <c r="HV460" s="7"/>
      <c r="HW460" s="7"/>
      <c r="HX460" s="7"/>
      <c r="HY460" s="7"/>
      <c r="HZ460" s="7"/>
      <c r="IA460" s="7"/>
      <c r="IB460" s="7"/>
      <c r="IC460" s="7"/>
      <c r="ID460" s="7"/>
      <c r="IE460" s="7"/>
      <c r="IF460" s="7"/>
      <c r="IG460" s="7"/>
      <c r="IH460" s="7"/>
      <c r="II460" s="7"/>
      <c r="IJ460" s="7"/>
      <c r="IK460" s="7"/>
      <c r="IL460" s="7"/>
      <c r="IM460" s="7"/>
      <c r="IN460" s="7"/>
      <c r="IO460" s="7"/>
      <c r="IP460" s="7"/>
      <c r="IQ460" s="7"/>
      <c r="IR460" s="7"/>
      <c r="IS460" s="7"/>
      <c r="IT460" s="7"/>
      <c r="IU460" s="7"/>
      <c r="IV460" s="7"/>
      <c r="IW460" s="7"/>
      <c r="IX460" s="7"/>
      <c r="IY460" s="7"/>
      <c r="IZ460" s="7"/>
      <c r="JA460" s="7"/>
      <c r="JB460" s="7"/>
      <c r="JC460" s="7"/>
      <c r="JD460" s="7"/>
      <c r="JE460" s="7"/>
      <c r="JF460" s="7"/>
      <c r="JG460" s="7"/>
      <c r="JH460" s="7"/>
      <c r="JI460" s="7"/>
      <c r="JJ460" s="7"/>
      <c r="JK460" s="7"/>
      <c r="JL460" s="7"/>
      <c r="JM460" s="7"/>
      <c r="JN460" s="7"/>
      <c r="JO460" s="7"/>
      <c r="JP460" s="7"/>
      <c r="JQ460" s="7"/>
      <c r="JR460" s="7"/>
      <c r="JS460" s="7"/>
      <c r="JT460" s="7"/>
      <c r="JU460" s="7"/>
      <c r="JV460" s="7"/>
      <c r="JW460" s="7"/>
      <c r="JX460" s="7"/>
      <c r="JY460" s="7"/>
      <c r="JZ460" s="7"/>
      <c r="KA460" s="7"/>
      <c r="KB460" s="7"/>
      <c r="KC460" s="7"/>
      <c r="KD460" s="7"/>
      <c r="KE460" s="7"/>
      <c r="KF460" s="7"/>
      <c r="KG460" s="7"/>
      <c r="KH460" s="7"/>
      <c r="KI460" s="7"/>
      <c r="KJ460" s="7"/>
      <c r="KK460" s="7"/>
      <c r="KL460" s="7"/>
      <c r="KM460" s="7"/>
      <c r="KN460" s="7"/>
    </row>
    <row r="461">
      <c r="A461" s="6"/>
      <c r="B461" s="6" t="s">
        <v>461</v>
      </c>
      <c r="C461" s="3" t="str">
        <f t="shared" si="3"/>
        <v>shiny beige</v>
      </c>
      <c r="D461" s="3" t="str">
        <f t="shared" si="17"/>
        <v>ZZZ</v>
      </c>
      <c r="E461" s="3" t="b">
        <f t="array" ref="E461">OR(ISNUMBER(SEARCH(D$2:D$30,$B461,5)))</f>
        <v>0</v>
      </c>
      <c r="G461" s="3" t="str">
        <f t="shared" si="4"/>
        <v>ZZZ</v>
      </c>
      <c r="H461" s="3" t="b">
        <f t="array" ref="H461">OR(ISNUMBER(SEARCH(G$2:G$30,$B461,5)))</f>
        <v>0</v>
      </c>
      <c r="J461" s="3" t="str">
        <f t="shared" si="5"/>
        <v>ZZZ</v>
      </c>
      <c r="K461" s="3" t="b">
        <f t="array" ref="K461">OR(ISNUMBER(SEARCH(J$2:J$30,$B461,5)))</f>
        <v>0</v>
      </c>
      <c r="M461" s="3" t="str">
        <f t="shared" si="6"/>
        <v>ZZZ</v>
      </c>
      <c r="N461" s="3" t="b">
        <f t="array" ref="N461">OR(ISNUMBER(SEARCH(M$2:M$30,$B461,5)))</f>
        <v>0</v>
      </c>
      <c r="P461" s="3" t="str">
        <f t="shared" si="7"/>
        <v>ZZZ</v>
      </c>
      <c r="Q461" s="3" t="b">
        <f t="array" ref="Q461">OR(ISNUMBER(SEARCH(P$2:P$50,$B461,5)))</f>
        <v>0</v>
      </c>
      <c r="S461" s="3" t="str">
        <f t="shared" si="8"/>
        <v>ZZZ</v>
      </c>
      <c r="T461" s="3" t="b">
        <f t="array" ref="T461">OR(ISNUMBER(SEARCH(S$2:S$100,$B461,5)))</f>
        <v>0</v>
      </c>
      <c r="V461" s="3" t="str">
        <f t="shared" si="9"/>
        <v>ZZZ</v>
      </c>
      <c r="W461" s="3" t="b">
        <f t="array" ref="W461">OR(ISNUMBER(SEARCH(V$2:V$100,$B461,5)))</f>
        <v>0</v>
      </c>
      <c r="Y461" s="3" t="str">
        <f t="shared" si="10"/>
        <v>ZZZ</v>
      </c>
      <c r="Z461" s="3" t="b">
        <f t="array" ref="Z461">OR(ISNUMBER(SEARCH(Y$2:Y$100,$B461,5)))</f>
        <v>0</v>
      </c>
      <c r="AB461" s="3" t="str">
        <f t="shared" si="11"/>
        <v>ZZZ</v>
      </c>
      <c r="AC461" s="3" t="b">
        <f t="array" ref="AC461">OR(ISNUMBER(SEARCH(AB$2:AB$100,$B461,5)))</f>
        <v>0</v>
      </c>
      <c r="AE461" s="3" t="str">
        <f t="shared" si="12"/>
        <v>ZZZ</v>
      </c>
      <c r="AF461" s="3" t="b">
        <f t="array" ref="AF461">OR(ISNUMBER(SEARCH(AE$2:AE$100,$B461,5)))</f>
        <v>0</v>
      </c>
      <c r="AH461" s="3" t="str">
        <f t="shared" si="13"/>
        <v>ZZZ</v>
      </c>
      <c r="AI461" s="3" t="b">
        <f t="array" ref="AI461">OR(ISNUMBER(SEARCH(AH$2:AH$100,$B461,5)))</f>
        <v>0</v>
      </c>
      <c r="AK461" s="3" t="str">
        <f t="shared" si="14"/>
        <v>ZZZ</v>
      </c>
      <c r="AL461" s="3" t="b">
        <f t="array" ref="AL461">OR(ISNUMBER(SEARCH(AK$2:AK$100,$B461,5)))</f>
        <v>0</v>
      </c>
      <c r="AU461" s="8"/>
      <c r="AV461" s="6"/>
      <c r="AW461" s="8"/>
      <c r="AX461" s="8"/>
      <c r="AY461" s="6"/>
      <c r="AZ461" s="8"/>
      <c r="BA461" s="8"/>
      <c r="BB461" s="6"/>
      <c r="BC461" s="8"/>
      <c r="BD461" s="8"/>
      <c r="BE461" s="6"/>
      <c r="BF461" s="8"/>
      <c r="BG461" s="8"/>
      <c r="BH461" s="6"/>
      <c r="BI461" s="8"/>
      <c r="BJ461" s="8"/>
      <c r="BK461" s="6"/>
      <c r="BL461" s="8"/>
      <c r="BM461" s="8"/>
      <c r="BN461" s="6"/>
      <c r="BO461" s="8"/>
      <c r="BP461" s="8"/>
      <c r="BQ461" s="6"/>
      <c r="BR461" s="8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  <c r="HQ461" s="7"/>
      <c r="HR461" s="7"/>
      <c r="HS461" s="7"/>
      <c r="HT461" s="7"/>
      <c r="HU461" s="7"/>
      <c r="HV461" s="7"/>
      <c r="HW461" s="7"/>
      <c r="HX461" s="7"/>
      <c r="HY461" s="7"/>
      <c r="HZ461" s="7"/>
      <c r="IA461" s="7"/>
      <c r="IB461" s="7"/>
      <c r="IC461" s="7"/>
      <c r="ID461" s="7"/>
      <c r="IE461" s="7"/>
      <c r="IF461" s="7"/>
      <c r="IG461" s="7"/>
      <c r="IH461" s="7"/>
      <c r="II461" s="7"/>
      <c r="IJ461" s="7"/>
      <c r="IK461" s="7"/>
      <c r="IL461" s="7"/>
      <c r="IM461" s="7"/>
      <c r="IN461" s="7"/>
      <c r="IO461" s="7"/>
      <c r="IP461" s="7"/>
      <c r="IQ461" s="7"/>
      <c r="IR461" s="7"/>
      <c r="IS461" s="7"/>
      <c r="IT461" s="7"/>
      <c r="IU461" s="7"/>
      <c r="IV461" s="7"/>
      <c r="IW461" s="7"/>
      <c r="IX461" s="7"/>
      <c r="IY461" s="7"/>
      <c r="IZ461" s="7"/>
      <c r="JA461" s="7"/>
      <c r="JB461" s="7"/>
      <c r="JC461" s="7"/>
      <c r="JD461" s="7"/>
      <c r="JE461" s="7"/>
      <c r="JF461" s="7"/>
      <c r="JG461" s="7"/>
      <c r="JH461" s="7"/>
      <c r="JI461" s="7"/>
      <c r="JJ461" s="7"/>
      <c r="JK461" s="7"/>
      <c r="JL461" s="7"/>
      <c r="JM461" s="7"/>
      <c r="JN461" s="7"/>
      <c r="JO461" s="7"/>
      <c r="JP461" s="7"/>
      <c r="JQ461" s="7"/>
      <c r="JR461" s="7"/>
      <c r="JS461" s="7"/>
      <c r="JT461" s="7"/>
      <c r="JU461" s="7"/>
      <c r="JV461" s="7"/>
      <c r="JW461" s="7"/>
      <c r="JX461" s="7"/>
      <c r="JY461" s="7"/>
      <c r="JZ461" s="7"/>
      <c r="KA461" s="7"/>
      <c r="KB461" s="7"/>
      <c r="KC461" s="7"/>
      <c r="KD461" s="7"/>
      <c r="KE461" s="7"/>
      <c r="KF461" s="7"/>
      <c r="KG461" s="7"/>
      <c r="KH461" s="7"/>
      <c r="KI461" s="7"/>
      <c r="KJ461" s="7"/>
      <c r="KK461" s="7"/>
      <c r="KL461" s="7"/>
      <c r="KM461" s="7"/>
      <c r="KN461" s="7"/>
    </row>
    <row r="462">
      <c r="A462" s="6"/>
      <c r="B462" s="6" t="s">
        <v>462</v>
      </c>
      <c r="C462" s="3" t="str">
        <f t="shared" si="3"/>
        <v>posh aqua</v>
      </c>
      <c r="D462" s="3" t="str">
        <f t="shared" si="17"/>
        <v>ZZZ</v>
      </c>
      <c r="E462" s="3" t="b">
        <f t="array" ref="E462">OR(ISNUMBER(SEARCH(D$2:D$30,$B462,5)))</f>
        <v>0</v>
      </c>
      <c r="G462" s="3" t="str">
        <f t="shared" si="4"/>
        <v>ZZZ</v>
      </c>
      <c r="H462" s="3" t="b">
        <f t="array" ref="H462">OR(ISNUMBER(SEARCH(G$2:G$30,$B462,5)))</f>
        <v>0</v>
      </c>
      <c r="J462" s="3" t="str">
        <f t="shared" si="5"/>
        <v>ZZZ</v>
      </c>
      <c r="K462" s="3" t="b">
        <f t="array" ref="K462">OR(ISNUMBER(SEARCH(J$2:J$30,$B462,5)))</f>
        <v>0</v>
      </c>
      <c r="M462" s="3" t="str">
        <f t="shared" si="6"/>
        <v>ZZZ</v>
      </c>
      <c r="N462" s="3" t="b">
        <f t="array" ref="N462">OR(ISNUMBER(SEARCH(M$2:M$30,$B462,5)))</f>
        <v>0</v>
      </c>
      <c r="P462" s="3" t="str">
        <f t="shared" si="7"/>
        <v>ZZZ</v>
      </c>
      <c r="Q462" s="3" t="b">
        <f t="array" ref="Q462">OR(ISNUMBER(SEARCH(P$2:P$50,$B462,5)))</f>
        <v>0</v>
      </c>
      <c r="S462" s="3" t="str">
        <f t="shared" si="8"/>
        <v>ZZZ</v>
      </c>
      <c r="T462" s="3" t="b">
        <f t="array" ref="T462">OR(ISNUMBER(SEARCH(S$2:S$100,$B462,5)))</f>
        <v>1</v>
      </c>
      <c r="V462" s="3" t="str">
        <f t="shared" si="9"/>
        <v>ZZZ</v>
      </c>
      <c r="W462" s="3" t="b">
        <f t="array" ref="W462">OR(ISNUMBER(SEARCH(V$2:V$100,$B462,5)))</f>
        <v>0</v>
      </c>
      <c r="Y462" s="3" t="str">
        <f t="shared" si="10"/>
        <v>ZZZ</v>
      </c>
      <c r="Z462" s="3" t="b">
        <f t="array" ref="Z462">OR(ISNUMBER(SEARCH(Y$2:Y$100,$B462,5)))</f>
        <v>0</v>
      </c>
      <c r="AB462" s="3" t="str">
        <f t="shared" si="11"/>
        <v>ZZZ</v>
      </c>
      <c r="AC462" s="3" t="b">
        <f t="array" ref="AC462">OR(ISNUMBER(SEARCH(AB$2:AB$100,$B462,5)))</f>
        <v>0</v>
      </c>
      <c r="AE462" s="3" t="str">
        <f t="shared" si="12"/>
        <v>ZZZ</v>
      </c>
      <c r="AF462" s="3" t="b">
        <f t="array" ref="AF462">OR(ISNUMBER(SEARCH(AE$2:AE$100,$B462,5)))</f>
        <v>0</v>
      </c>
      <c r="AH462" s="3" t="str">
        <f t="shared" si="13"/>
        <v>ZZZ</v>
      </c>
      <c r="AI462" s="3" t="b">
        <f t="array" ref="AI462">OR(ISNUMBER(SEARCH(AH$2:AH$100,$B462,5)))</f>
        <v>0</v>
      </c>
      <c r="AK462" s="3" t="str">
        <f t="shared" si="14"/>
        <v>ZZZ</v>
      </c>
      <c r="AL462" s="3" t="b">
        <f t="array" ref="AL462">OR(ISNUMBER(SEARCH(AK$2:AK$100,$B462,5)))</f>
        <v>0</v>
      </c>
      <c r="AU462" s="8"/>
      <c r="AV462" s="6"/>
      <c r="AW462" s="8"/>
      <c r="AX462" s="8"/>
      <c r="AY462" s="6"/>
      <c r="AZ462" s="8"/>
      <c r="BA462" s="8"/>
      <c r="BB462" s="6"/>
      <c r="BC462" s="8"/>
      <c r="BD462" s="8"/>
      <c r="BE462" s="6"/>
      <c r="BF462" s="8"/>
      <c r="BG462" s="8"/>
      <c r="BH462" s="6"/>
      <c r="BI462" s="8"/>
      <c r="BJ462" s="8"/>
      <c r="BK462" s="6"/>
      <c r="BL462" s="8"/>
      <c r="BM462" s="8"/>
      <c r="BN462" s="6"/>
      <c r="BO462" s="8"/>
      <c r="BP462" s="8"/>
      <c r="BQ462" s="6"/>
      <c r="BR462" s="8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  <c r="HQ462" s="7"/>
      <c r="HR462" s="7"/>
      <c r="HS462" s="7"/>
      <c r="HT462" s="7"/>
      <c r="HU462" s="7"/>
      <c r="HV462" s="7"/>
      <c r="HW462" s="7"/>
      <c r="HX462" s="7"/>
      <c r="HY462" s="7"/>
      <c r="HZ462" s="7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7"/>
      <c r="IN462" s="7"/>
      <c r="IO462" s="7"/>
      <c r="IP462" s="7"/>
      <c r="IQ462" s="7"/>
      <c r="IR462" s="7"/>
      <c r="IS462" s="7"/>
      <c r="IT462" s="7"/>
      <c r="IU462" s="7"/>
      <c r="IV462" s="7"/>
      <c r="IW462" s="7"/>
      <c r="IX462" s="7"/>
      <c r="IY462" s="7"/>
      <c r="IZ462" s="7"/>
      <c r="JA462" s="7"/>
      <c r="JB462" s="7"/>
      <c r="JC462" s="7"/>
      <c r="JD462" s="7"/>
      <c r="JE462" s="7"/>
      <c r="JF462" s="7"/>
      <c r="JG462" s="7"/>
      <c r="JH462" s="7"/>
      <c r="JI462" s="7"/>
      <c r="JJ462" s="7"/>
      <c r="JK462" s="7"/>
      <c r="JL462" s="7"/>
      <c r="JM462" s="7"/>
      <c r="JN462" s="7"/>
      <c r="JO462" s="7"/>
      <c r="JP462" s="7"/>
      <c r="JQ462" s="7"/>
      <c r="JR462" s="7"/>
      <c r="JS462" s="7"/>
      <c r="JT462" s="7"/>
      <c r="JU462" s="7"/>
      <c r="JV462" s="7"/>
      <c r="JW462" s="7"/>
      <c r="JX462" s="7"/>
      <c r="JY462" s="7"/>
      <c r="JZ462" s="7"/>
      <c r="KA462" s="7"/>
      <c r="KB462" s="7"/>
      <c r="KC462" s="7"/>
      <c r="KD462" s="7"/>
      <c r="KE462" s="7"/>
      <c r="KF462" s="7"/>
      <c r="KG462" s="7"/>
      <c r="KH462" s="7"/>
      <c r="KI462" s="7"/>
      <c r="KJ462" s="7"/>
      <c r="KK462" s="7"/>
      <c r="KL462" s="7"/>
      <c r="KM462" s="7"/>
      <c r="KN462" s="7"/>
    </row>
    <row r="463">
      <c r="A463" s="6"/>
      <c r="B463" s="6" t="s">
        <v>463</v>
      </c>
      <c r="C463" s="3" t="str">
        <f t="shared" si="3"/>
        <v>dull magenta</v>
      </c>
      <c r="D463" s="3" t="str">
        <f t="shared" si="17"/>
        <v>ZZZ</v>
      </c>
      <c r="E463" s="3" t="b">
        <f t="array" ref="E463">OR(ISNUMBER(SEARCH(D$2:D$30,$B463,5)))</f>
        <v>0</v>
      </c>
      <c r="G463" s="3" t="str">
        <f t="shared" si="4"/>
        <v>ZZZ</v>
      </c>
      <c r="H463" s="3" t="b">
        <f t="array" ref="H463">OR(ISNUMBER(SEARCH(G$2:G$30,$B463,5)))</f>
        <v>0</v>
      </c>
      <c r="J463" s="3" t="str">
        <f t="shared" si="5"/>
        <v>ZZZ</v>
      </c>
      <c r="K463" s="3" t="b">
        <f t="array" ref="K463">OR(ISNUMBER(SEARCH(J$2:J$30,$B463,5)))</f>
        <v>0</v>
      </c>
      <c r="M463" s="3" t="str">
        <f t="shared" si="6"/>
        <v>ZZZ</v>
      </c>
      <c r="N463" s="3" t="b">
        <f t="array" ref="N463">OR(ISNUMBER(SEARCH(M$2:M$30,$B463,5)))</f>
        <v>0</v>
      </c>
      <c r="P463" s="3" t="str">
        <f t="shared" si="7"/>
        <v>ZZZ</v>
      </c>
      <c r="Q463" s="3" t="b">
        <f t="array" ref="Q463">OR(ISNUMBER(SEARCH(P$2:P$50,$B463,5)))</f>
        <v>0</v>
      </c>
      <c r="S463" s="3" t="str">
        <f t="shared" si="8"/>
        <v>ZZZ</v>
      </c>
      <c r="T463" s="3" t="b">
        <f t="array" ref="T463">OR(ISNUMBER(SEARCH(S$2:S$100,$B463,5)))</f>
        <v>0</v>
      </c>
      <c r="V463" s="3" t="str">
        <f t="shared" si="9"/>
        <v>ZZZ</v>
      </c>
      <c r="W463" s="3" t="b">
        <f t="array" ref="W463">OR(ISNUMBER(SEARCH(V$2:V$100,$B463,5)))</f>
        <v>0</v>
      </c>
      <c r="Y463" s="3" t="str">
        <f t="shared" si="10"/>
        <v>ZZZ</v>
      </c>
      <c r="Z463" s="3" t="b">
        <f t="array" ref="Z463">OR(ISNUMBER(SEARCH(Y$2:Y$100,$B463,5)))</f>
        <v>0</v>
      </c>
      <c r="AB463" s="3" t="str">
        <f t="shared" si="11"/>
        <v>ZZZ</v>
      </c>
      <c r="AC463" s="3" t="b">
        <f t="array" ref="AC463">OR(ISNUMBER(SEARCH(AB$2:AB$100,$B463,5)))</f>
        <v>1</v>
      </c>
      <c r="AE463" s="3" t="str">
        <f t="shared" si="12"/>
        <v>ZZZ</v>
      </c>
      <c r="AF463" s="3" t="b">
        <f t="array" ref="AF463">OR(ISNUMBER(SEARCH(AE$2:AE$100,$B463,5)))</f>
        <v>0</v>
      </c>
      <c r="AH463" s="3" t="str">
        <f t="shared" si="13"/>
        <v>ZZZ</v>
      </c>
      <c r="AI463" s="3" t="b">
        <f t="array" ref="AI463">OR(ISNUMBER(SEARCH(AH$2:AH$100,$B463,5)))</f>
        <v>0</v>
      </c>
      <c r="AK463" s="3" t="str">
        <f t="shared" si="14"/>
        <v>ZZZ</v>
      </c>
      <c r="AL463" s="3" t="b">
        <f t="array" ref="AL463">OR(ISNUMBER(SEARCH(AK$2:AK$100,$B463,5)))</f>
        <v>0</v>
      </c>
      <c r="AU463" s="8"/>
      <c r="AV463" s="6"/>
      <c r="AW463" s="8"/>
      <c r="AX463" s="8"/>
      <c r="AY463" s="6"/>
      <c r="AZ463" s="8"/>
      <c r="BA463" s="8"/>
      <c r="BB463" s="6"/>
      <c r="BC463" s="8"/>
      <c r="BD463" s="8"/>
      <c r="BE463" s="6"/>
      <c r="BF463" s="8"/>
      <c r="BG463" s="8"/>
      <c r="BH463" s="6"/>
      <c r="BI463" s="8"/>
      <c r="BJ463" s="8"/>
      <c r="BK463" s="6"/>
      <c r="BL463" s="8"/>
      <c r="BM463" s="8"/>
      <c r="BN463" s="6"/>
      <c r="BO463" s="8"/>
      <c r="BP463" s="8"/>
      <c r="BQ463" s="6"/>
      <c r="BR463" s="8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  <c r="HQ463" s="7"/>
      <c r="HR463" s="7"/>
      <c r="HS463" s="7"/>
      <c r="HT463" s="7"/>
      <c r="HU463" s="7"/>
      <c r="HV463" s="7"/>
      <c r="HW463" s="7"/>
      <c r="HX463" s="7"/>
      <c r="HY463" s="7"/>
      <c r="HZ463" s="7"/>
      <c r="IA463" s="7"/>
      <c r="IB463" s="7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7"/>
      <c r="IN463" s="7"/>
      <c r="IO463" s="7"/>
      <c r="IP463" s="7"/>
      <c r="IQ463" s="7"/>
      <c r="IR463" s="7"/>
      <c r="IS463" s="7"/>
      <c r="IT463" s="7"/>
      <c r="IU463" s="7"/>
      <c r="IV463" s="7"/>
      <c r="IW463" s="7"/>
      <c r="IX463" s="7"/>
      <c r="IY463" s="7"/>
      <c r="IZ463" s="7"/>
      <c r="JA463" s="7"/>
      <c r="JB463" s="7"/>
      <c r="JC463" s="7"/>
      <c r="JD463" s="7"/>
      <c r="JE463" s="7"/>
      <c r="JF463" s="7"/>
      <c r="JG463" s="7"/>
      <c r="JH463" s="7"/>
      <c r="JI463" s="7"/>
      <c r="JJ463" s="7"/>
      <c r="JK463" s="7"/>
      <c r="JL463" s="7"/>
      <c r="JM463" s="7"/>
      <c r="JN463" s="7"/>
      <c r="JO463" s="7"/>
      <c r="JP463" s="7"/>
      <c r="JQ463" s="7"/>
      <c r="JR463" s="7"/>
      <c r="JS463" s="7"/>
      <c r="JT463" s="7"/>
      <c r="JU463" s="7"/>
      <c r="JV463" s="7"/>
      <c r="JW463" s="7"/>
      <c r="JX463" s="7"/>
      <c r="JY463" s="7"/>
      <c r="JZ463" s="7"/>
      <c r="KA463" s="7"/>
      <c r="KB463" s="7"/>
      <c r="KC463" s="7"/>
      <c r="KD463" s="7"/>
      <c r="KE463" s="7"/>
      <c r="KF463" s="7"/>
      <c r="KG463" s="7"/>
      <c r="KH463" s="7"/>
      <c r="KI463" s="7"/>
      <c r="KJ463" s="7"/>
      <c r="KK463" s="7"/>
      <c r="KL463" s="7"/>
      <c r="KM463" s="7"/>
      <c r="KN463" s="7"/>
    </row>
    <row r="464">
      <c r="A464" s="6"/>
      <c r="B464" s="6" t="s">
        <v>464</v>
      </c>
      <c r="C464" s="3" t="str">
        <f t="shared" si="3"/>
        <v>posh tomato</v>
      </c>
      <c r="D464" s="3" t="str">
        <f t="shared" si="17"/>
        <v>ZZZ</v>
      </c>
      <c r="E464" s="3" t="b">
        <f t="array" ref="E464">OR(ISNUMBER(SEARCH(D$2:D$30,$B464,5)))</f>
        <v>0</v>
      </c>
      <c r="G464" s="3" t="str">
        <f t="shared" si="4"/>
        <v>ZZZ</v>
      </c>
      <c r="H464" s="3" t="b">
        <f t="array" ref="H464">OR(ISNUMBER(SEARCH(G$2:G$30,$B464,5)))</f>
        <v>0</v>
      </c>
      <c r="J464" s="3" t="str">
        <f t="shared" si="5"/>
        <v>ZZZ</v>
      </c>
      <c r="K464" s="3" t="b">
        <f t="array" ref="K464">OR(ISNUMBER(SEARCH(J$2:J$30,$B464,5)))</f>
        <v>0</v>
      </c>
      <c r="M464" s="3" t="str">
        <f t="shared" si="6"/>
        <v>ZZZ</v>
      </c>
      <c r="N464" s="3" t="b">
        <f t="array" ref="N464">OR(ISNUMBER(SEARCH(M$2:M$30,$B464,5)))</f>
        <v>0</v>
      </c>
      <c r="P464" s="3" t="str">
        <f t="shared" si="7"/>
        <v>ZZZ</v>
      </c>
      <c r="Q464" s="3" t="b">
        <f t="array" ref="Q464">OR(ISNUMBER(SEARCH(P$2:P$50,$B464,5)))</f>
        <v>0</v>
      </c>
      <c r="S464" s="3" t="str">
        <f t="shared" si="8"/>
        <v>ZZZ</v>
      </c>
      <c r="T464" s="3" t="b">
        <f t="array" ref="T464">OR(ISNUMBER(SEARCH(S$2:S$100,$B464,5)))</f>
        <v>0</v>
      </c>
      <c r="V464" s="3" t="str">
        <f t="shared" si="9"/>
        <v>ZZZ</v>
      </c>
      <c r="W464" s="3" t="b">
        <f t="array" ref="W464">OR(ISNUMBER(SEARCH(V$2:V$100,$B464,5)))</f>
        <v>0</v>
      </c>
      <c r="Y464" s="3" t="str">
        <f t="shared" si="10"/>
        <v>ZZZ</v>
      </c>
      <c r="Z464" s="3" t="b">
        <f t="array" ref="Z464">OR(ISNUMBER(SEARCH(Y$2:Y$100,$B464,5)))</f>
        <v>0</v>
      </c>
      <c r="AB464" s="3" t="str">
        <f t="shared" si="11"/>
        <v>ZZZ</v>
      </c>
      <c r="AC464" s="3" t="b">
        <f t="array" ref="AC464">OR(ISNUMBER(SEARCH(AB$2:AB$100,$B464,5)))</f>
        <v>0</v>
      </c>
      <c r="AE464" s="3" t="str">
        <f t="shared" si="12"/>
        <v>ZZZ</v>
      </c>
      <c r="AF464" s="3" t="b">
        <f t="array" ref="AF464">OR(ISNUMBER(SEARCH(AE$2:AE$100,$B464,5)))</f>
        <v>0</v>
      </c>
      <c r="AH464" s="3" t="str">
        <f t="shared" si="13"/>
        <v>ZZZ</v>
      </c>
      <c r="AI464" s="3" t="b">
        <f t="array" ref="AI464">OR(ISNUMBER(SEARCH(AH$2:AH$100,$B464,5)))</f>
        <v>0</v>
      </c>
      <c r="AK464" s="3" t="str">
        <f t="shared" si="14"/>
        <v>ZZZ</v>
      </c>
      <c r="AL464" s="3" t="b">
        <f t="array" ref="AL464">OR(ISNUMBER(SEARCH(AK$2:AK$100,$B464,5)))</f>
        <v>0</v>
      </c>
      <c r="AU464" s="8"/>
      <c r="AV464" s="6"/>
      <c r="AW464" s="8"/>
      <c r="AX464" s="8"/>
      <c r="AY464" s="6"/>
      <c r="AZ464" s="8"/>
      <c r="BA464" s="8"/>
      <c r="BB464" s="6"/>
      <c r="BC464" s="8"/>
      <c r="BD464" s="8"/>
      <c r="BE464" s="6"/>
      <c r="BF464" s="8"/>
      <c r="BG464" s="8"/>
      <c r="BH464" s="6"/>
      <c r="BI464" s="8"/>
      <c r="BJ464" s="8"/>
      <c r="BK464" s="6"/>
      <c r="BL464" s="8"/>
      <c r="BM464" s="8"/>
      <c r="BN464" s="6"/>
      <c r="BO464" s="8"/>
      <c r="BP464" s="8"/>
      <c r="BQ464" s="6"/>
      <c r="BR464" s="8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  <c r="HT464" s="7"/>
      <c r="HU464" s="7"/>
      <c r="HV464" s="7"/>
      <c r="HW464" s="7"/>
      <c r="HX464" s="7"/>
      <c r="HY464" s="7"/>
      <c r="HZ464" s="7"/>
      <c r="IA464" s="7"/>
      <c r="IB464" s="7"/>
      <c r="IC464" s="7"/>
      <c r="ID464" s="7"/>
      <c r="IE464" s="7"/>
      <c r="IF464" s="7"/>
      <c r="IG464" s="7"/>
      <c r="IH464" s="7"/>
      <c r="II464" s="7"/>
      <c r="IJ464" s="7"/>
      <c r="IK464" s="7"/>
      <c r="IL464" s="7"/>
      <c r="IM464" s="7"/>
      <c r="IN464" s="7"/>
      <c r="IO464" s="7"/>
      <c r="IP464" s="7"/>
      <c r="IQ464" s="7"/>
      <c r="IR464" s="7"/>
      <c r="IS464" s="7"/>
      <c r="IT464" s="7"/>
      <c r="IU464" s="7"/>
      <c r="IV464" s="7"/>
      <c r="IW464" s="7"/>
      <c r="IX464" s="7"/>
      <c r="IY464" s="7"/>
      <c r="IZ464" s="7"/>
      <c r="JA464" s="7"/>
      <c r="JB464" s="7"/>
      <c r="JC464" s="7"/>
      <c r="JD464" s="7"/>
      <c r="JE464" s="7"/>
      <c r="JF464" s="7"/>
      <c r="JG464" s="7"/>
      <c r="JH464" s="7"/>
      <c r="JI464" s="7"/>
      <c r="JJ464" s="7"/>
      <c r="JK464" s="7"/>
      <c r="JL464" s="7"/>
      <c r="JM464" s="7"/>
      <c r="JN464" s="7"/>
      <c r="JO464" s="7"/>
      <c r="JP464" s="7"/>
      <c r="JQ464" s="7"/>
      <c r="JR464" s="7"/>
      <c r="JS464" s="7"/>
      <c r="JT464" s="7"/>
      <c r="JU464" s="7"/>
      <c r="JV464" s="7"/>
      <c r="JW464" s="7"/>
      <c r="JX464" s="7"/>
      <c r="JY464" s="7"/>
      <c r="JZ464" s="7"/>
      <c r="KA464" s="7"/>
      <c r="KB464" s="7"/>
      <c r="KC464" s="7"/>
      <c r="KD464" s="7"/>
      <c r="KE464" s="7"/>
      <c r="KF464" s="7"/>
      <c r="KG464" s="7"/>
      <c r="KH464" s="7"/>
      <c r="KI464" s="7"/>
      <c r="KJ464" s="7"/>
      <c r="KK464" s="7"/>
      <c r="KL464" s="7"/>
      <c r="KM464" s="7"/>
      <c r="KN464" s="7"/>
    </row>
    <row r="465">
      <c r="A465" s="6"/>
      <c r="B465" s="6" t="s">
        <v>465</v>
      </c>
      <c r="C465" s="3" t="str">
        <f t="shared" si="3"/>
        <v>clear red</v>
      </c>
      <c r="D465" s="3" t="str">
        <f t="shared" si="17"/>
        <v>ZZZ</v>
      </c>
      <c r="E465" s="3" t="b">
        <f t="array" ref="E465">OR(ISNUMBER(SEARCH(D$2:D$30,$B465,5)))</f>
        <v>0</v>
      </c>
      <c r="G465" s="3" t="str">
        <f t="shared" si="4"/>
        <v>ZZZ</v>
      </c>
      <c r="H465" s="3" t="b">
        <f t="array" ref="H465">OR(ISNUMBER(SEARCH(G$2:G$30,$B465,5)))</f>
        <v>0</v>
      </c>
      <c r="J465" s="3" t="str">
        <f t="shared" si="5"/>
        <v>ZZZ</v>
      </c>
      <c r="K465" s="3" t="b">
        <f t="array" ref="K465">OR(ISNUMBER(SEARCH(J$2:J$30,$B465,5)))</f>
        <v>0</v>
      </c>
      <c r="M465" s="3" t="str">
        <f t="shared" si="6"/>
        <v>ZZZ</v>
      </c>
      <c r="N465" s="3" t="b">
        <f t="array" ref="N465">OR(ISNUMBER(SEARCH(M$2:M$30,$B465,5)))</f>
        <v>0</v>
      </c>
      <c r="P465" s="3" t="str">
        <f t="shared" si="7"/>
        <v>ZZZ</v>
      </c>
      <c r="Q465" s="3" t="b">
        <f t="array" ref="Q465">OR(ISNUMBER(SEARCH(P$2:P$50,$B465,5)))</f>
        <v>0</v>
      </c>
      <c r="S465" s="3" t="str">
        <f t="shared" si="8"/>
        <v>ZZZ</v>
      </c>
      <c r="T465" s="3" t="b">
        <f t="array" ref="T465">OR(ISNUMBER(SEARCH(S$2:S$100,$B465,5)))</f>
        <v>0</v>
      </c>
      <c r="V465" s="3" t="str">
        <f t="shared" si="9"/>
        <v>ZZZ</v>
      </c>
      <c r="W465" s="3" t="b">
        <f t="array" ref="W465">OR(ISNUMBER(SEARCH(V$2:V$100,$B465,5)))</f>
        <v>0</v>
      </c>
      <c r="Y465" s="3" t="str">
        <f t="shared" si="10"/>
        <v>ZZZ</v>
      </c>
      <c r="Z465" s="3" t="b">
        <f t="array" ref="Z465">OR(ISNUMBER(SEARCH(Y$2:Y$100,$B465,5)))</f>
        <v>0</v>
      </c>
      <c r="AB465" s="3" t="str">
        <f t="shared" si="11"/>
        <v>ZZZ</v>
      </c>
      <c r="AC465" s="3" t="b">
        <f t="array" ref="AC465">OR(ISNUMBER(SEARCH(AB$2:AB$100,$B465,5)))</f>
        <v>0</v>
      </c>
      <c r="AE465" s="3" t="str">
        <f t="shared" si="12"/>
        <v>ZZZ</v>
      </c>
      <c r="AF465" s="3" t="b">
        <f t="array" ref="AF465">OR(ISNUMBER(SEARCH(AE$2:AE$100,$B465,5)))</f>
        <v>0</v>
      </c>
      <c r="AH465" s="3" t="str">
        <f t="shared" si="13"/>
        <v>ZZZ</v>
      </c>
      <c r="AI465" s="3" t="b">
        <f t="array" ref="AI465">OR(ISNUMBER(SEARCH(AH$2:AH$100,$B465,5)))</f>
        <v>0</v>
      </c>
      <c r="AK465" s="3" t="str">
        <f t="shared" si="14"/>
        <v>ZZZ</v>
      </c>
      <c r="AL465" s="3" t="b">
        <f t="array" ref="AL465">OR(ISNUMBER(SEARCH(AK$2:AK$100,$B465,5)))</f>
        <v>0</v>
      </c>
      <c r="AU465" s="8"/>
      <c r="AV465" s="6"/>
      <c r="AW465" s="8"/>
      <c r="AX465" s="8"/>
      <c r="AY465" s="6"/>
      <c r="AZ465" s="8"/>
      <c r="BA465" s="8"/>
      <c r="BB465" s="6"/>
      <c r="BC465" s="8"/>
      <c r="BD465" s="8"/>
      <c r="BE465" s="6"/>
      <c r="BF465" s="8"/>
      <c r="BG465" s="8"/>
      <c r="BH465" s="6"/>
      <c r="BI465" s="8"/>
      <c r="BJ465" s="8"/>
      <c r="BK465" s="6"/>
      <c r="BL465" s="8"/>
      <c r="BM465" s="8"/>
      <c r="BN465" s="6"/>
      <c r="BO465" s="8"/>
      <c r="BP465" s="8"/>
      <c r="BQ465" s="6"/>
      <c r="BR465" s="8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  <c r="HT465" s="7"/>
      <c r="HU465" s="7"/>
      <c r="HV465" s="7"/>
      <c r="HW465" s="7"/>
      <c r="HX465" s="7"/>
      <c r="HY465" s="7"/>
      <c r="HZ465" s="7"/>
      <c r="IA465" s="7"/>
      <c r="IB465" s="7"/>
      <c r="IC465" s="7"/>
      <c r="ID465" s="7"/>
      <c r="IE465" s="7"/>
      <c r="IF465" s="7"/>
      <c r="IG465" s="7"/>
      <c r="IH465" s="7"/>
      <c r="II465" s="7"/>
      <c r="IJ465" s="7"/>
      <c r="IK465" s="7"/>
      <c r="IL465" s="7"/>
      <c r="IM465" s="7"/>
      <c r="IN465" s="7"/>
      <c r="IO465" s="7"/>
      <c r="IP465" s="7"/>
      <c r="IQ465" s="7"/>
      <c r="IR465" s="7"/>
      <c r="IS465" s="7"/>
      <c r="IT465" s="7"/>
      <c r="IU465" s="7"/>
      <c r="IV465" s="7"/>
      <c r="IW465" s="7"/>
      <c r="IX465" s="7"/>
      <c r="IY465" s="7"/>
      <c r="IZ465" s="7"/>
      <c r="JA465" s="7"/>
      <c r="JB465" s="7"/>
      <c r="JC465" s="7"/>
      <c r="JD465" s="7"/>
      <c r="JE465" s="7"/>
      <c r="JF465" s="7"/>
      <c r="JG465" s="7"/>
      <c r="JH465" s="7"/>
      <c r="JI465" s="7"/>
      <c r="JJ465" s="7"/>
      <c r="JK465" s="7"/>
      <c r="JL465" s="7"/>
      <c r="JM465" s="7"/>
      <c r="JN465" s="7"/>
      <c r="JO465" s="7"/>
      <c r="JP465" s="7"/>
      <c r="JQ465" s="7"/>
      <c r="JR465" s="7"/>
      <c r="JS465" s="7"/>
      <c r="JT465" s="7"/>
      <c r="JU465" s="7"/>
      <c r="JV465" s="7"/>
      <c r="JW465" s="7"/>
      <c r="JX465" s="7"/>
      <c r="JY465" s="7"/>
      <c r="JZ465" s="7"/>
      <c r="KA465" s="7"/>
      <c r="KB465" s="7"/>
      <c r="KC465" s="7"/>
      <c r="KD465" s="7"/>
      <c r="KE465" s="7"/>
      <c r="KF465" s="7"/>
      <c r="KG465" s="7"/>
      <c r="KH465" s="7"/>
      <c r="KI465" s="7"/>
      <c r="KJ465" s="7"/>
      <c r="KK465" s="7"/>
      <c r="KL465" s="7"/>
      <c r="KM465" s="7"/>
      <c r="KN465" s="7"/>
    </row>
    <row r="466">
      <c r="A466" s="6"/>
      <c r="B466" s="6" t="s">
        <v>466</v>
      </c>
      <c r="C466" s="3" t="str">
        <f t="shared" si="3"/>
        <v>dotted aqua</v>
      </c>
      <c r="D466" s="3" t="str">
        <f t="shared" si="17"/>
        <v>ZZZ</v>
      </c>
      <c r="E466" s="3" t="b">
        <f t="array" ref="E466">OR(ISNUMBER(SEARCH(D$2:D$30,$B466,5)))</f>
        <v>0</v>
      </c>
      <c r="G466" s="3" t="str">
        <f t="shared" si="4"/>
        <v>ZZZ</v>
      </c>
      <c r="H466" s="3" t="b">
        <f t="array" ref="H466">OR(ISNUMBER(SEARCH(G$2:G$30,$B466,5)))</f>
        <v>0</v>
      </c>
      <c r="J466" s="3" t="str">
        <f t="shared" si="5"/>
        <v>ZZZ</v>
      </c>
      <c r="K466" s="3" t="b">
        <f t="array" ref="K466">OR(ISNUMBER(SEARCH(J$2:J$30,$B466,5)))</f>
        <v>0</v>
      </c>
      <c r="M466" s="3" t="str">
        <f t="shared" si="6"/>
        <v>ZZZ</v>
      </c>
      <c r="N466" s="3" t="b">
        <f t="array" ref="N466">OR(ISNUMBER(SEARCH(M$2:M$30,$B466,5)))</f>
        <v>0</v>
      </c>
      <c r="P466" s="3" t="str">
        <f t="shared" si="7"/>
        <v>ZZZ</v>
      </c>
      <c r="Q466" s="3" t="b">
        <f t="array" ref="Q466">OR(ISNUMBER(SEARCH(P$2:P$50,$B466,5)))</f>
        <v>0</v>
      </c>
      <c r="S466" s="3" t="str">
        <f t="shared" si="8"/>
        <v>ZZZ</v>
      </c>
      <c r="T466" s="3" t="b">
        <f t="array" ref="T466">OR(ISNUMBER(SEARCH(S$2:S$100,$B466,5)))</f>
        <v>0</v>
      </c>
      <c r="V466" s="3" t="str">
        <f t="shared" si="9"/>
        <v>ZZZ</v>
      </c>
      <c r="W466" s="3" t="b">
        <f t="array" ref="W466">OR(ISNUMBER(SEARCH(V$2:V$100,$B466,5)))</f>
        <v>0</v>
      </c>
      <c r="Y466" s="3" t="str">
        <f t="shared" si="10"/>
        <v>ZZZ</v>
      </c>
      <c r="Z466" s="3" t="b">
        <f t="array" ref="Z466">OR(ISNUMBER(SEARCH(Y$2:Y$100,$B466,5)))</f>
        <v>0</v>
      </c>
      <c r="AB466" s="3" t="str">
        <f t="shared" si="11"/>
        <v>ZZZ</v>
      </c>
      <c r="AC466" s="3" t="b">
        <f t="array" ref="AC466">OR(ISNUMBER(SEARCH(AB$2:AB$100,$B466,5)))</f>
        <v>0</v>
      </c>
      <c r="AE466" s="3" t="str">
        <f t="shared" si="12"/>
        <v>ZZZ</v>
      </c>
      <c r="AF466" s="3" t="b">
        <f t="array" ref="AF466">OR(ISNUMBER(SEARCH(AE$2:AE$100,$B466,5)))</f>
        <v>0</v>
      </c>
      <c r="AH466" s="3" t="str">
        <f t="shared" si="13"/>
        <v>ZZZ</v>
      </c>
      <c r="AI466" s="3" t="b">
        <f t="array" ref="AI466">OR(ISNUMBER(SEARCH(AH$2:AH$100,$B466,5)))</f>
        <v>0</v>
      </c>
      <c r="AK466" s="3" t="str">
        <f t="shared" si="14"/>
        <v>ZZZ</v>
      </c>
      <c r="AL466" s="3" t="b">
        <f t="array" ref="AL466">OR(ISNUMBER(SEARCH(AK$2:AK$100,$B466,5)))</f>
        <v>0</v>
      </c>
      <c r="AU466" s="8"/>
      <c r="AV466" s="6"/>
      <c r="AW466" s="8"/>
      <c r="AX466" s="8"/>
      <c r="AY466" s="6"/>
      <c r="AZ466" s="8"/>
      <c r="BA466" s="8"/>
      <c r="BB466" s="6"/>
      <c r="BC466" s="8"/>
      <c r="BD466" s="8"/>
      <c r="BE466" s="6"/>
      <c r="BF466" s="8"/>
      <c r="BG466" s="8"/>
      <c r="BH466" s="6"/>
      <c r="BI466" s="8"/>
      <c r="BJ466" s="8"/>
      <c r="BK466" s="6"/>
      <c r="BL466" s="8"/>
      <c r="BM466" s="8"/>
      <c r="BN466" s="6"/>
      <c r="BO466" s="8"/>
      <c r="BP466" s="8"/>
      <c r="BQ466" s="6"/>
      <c r="BR466" s="8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  <c r="HT466" s="7"/>
      <c r="HU466" s="7"/>
      <c r="HV466" s="7"/>
      <c r="HW466" s="7"/>
      <c r="HX466" s="7"/>
      <c r="HY466" s="7"/>
      <c r="HZ466" s="7"/>
      <c r="IA466" s="7"/>
      <c r="IB466" s="7"/>
      <c r="IC466" s="7"/>
      <c r="ID466" s="7"/>
      <c r="IE466" s="7"/>
      <c r="IF466" s="7"/>
      <c r="IG466" s="7"/>
      <c r="IH466" s="7"/>
      <c r="II466" s="7"/>
      <c r="IJ466" s="7"/>
      <c r="IK466" s="7"/>
      <c r="IL466" s="7"/>
      <c r="IM466" s="7"/>
      <c r="IN466" s="7"/>
      <c r="IO466" s="7"/>
      <c r="IP466" s="7"/>
      <c r="IQ466" s="7"/>
      <c r="IR466" s="7"/>
      <c r="IS466" s="7"/>
      <c r="IT466" s="7"/>
      <c r="IU466" s="7"/>
      <c r="IV466" s="7"/>
      <c r="IW466" s="7"/>
      <c r="IX466" s="7"/>
      <c r="IY466" s="7"/>
      <c r="IZ466" s="7"/>
      <c r="JA466" s="7"/>
      <c r="JB466" s="7"/>
      <c r="JC466" s="7"/>
      <c r="JD466" s="7"/>
      <c r="JE466" s="7"/>
      <c r="JF466" s="7"/>
      <c r="JG466" s="7"/>
      <c r="JH466" s="7"/>
      <c r="JI466" s="7"/>
      <c r="JJ466" s="7"/>
      <c r="JK466" s="7"/>
      <c r="JL466" s="7"/>
      <c r="JM466" s="7"/>
      <c r="JN466" s="7"/>
      <c r="JO466" s="7"/>
      <c r="JP466" s="7"/>
      <c r="JQ466" s="7"/>
      <c r="JR466" s="7"/>
      <c r="JS466" s="7"/>
      <c r="JT466" s="7"/>
      <c r="JU466" s="7"/>
      <c r="JV466" s="7"/>
      <c r="JW466" s="7"/>
      <c r="JX466" s="7"/>
      <c r="JY466" s="7"/>
      <c r="JZ466" s="7"/>
      <c r="KA466" s="7"/>
      <c r="KB466" s="7"/>
      <c r="KC466" s="7"/>
      <c r="KD466" s="7"/>
      <c r="KE466" s="7"/>
      <c r="KF466" s="7"/>
      <c r="KG466" s="7"/>
      <c r="KH466" s="7"/>
      <c r="KI466" s="7"/>
      <c r="KJ466" s="7"/>
      <c r="KK466" s="7"/>
      <c r="KL466" s="7"/>
      <c r="KM466" s="7"/>
      <c r="KN466" s="7"/>
    </row>
    <row r="467">
      <c r="A467" s="6"/>
      <c r="B467" s="6" t="s">
        <v>467</v>
      </c>
      <c r="C467" s="3" t="str">
        <f t="shared" si="3"/>
        <v>clear olive</v>
      </c>
      <c r="D467" s="3" t="str">
        <f t="shared" si="17"/>
        <v>ZZZ</v>
      </c>
      <c r="E467" s="3" t="b">
        <f t="array" ref="E467">OR(ISNUMBER(SEARCH(D$2:D$30,$B467,5)))</f>
        <v>0</v>
      </c>
      <c r="G467" s="3" t="str">
        <f t="shared" si="4"/>
        <v>ZZZ</v>
      </c>
      <c r="H467" s="3" t="b">
        <f t="array" ref="H467">OR(ISNUMBER(SEARCH(G$2:G$30,$B467,5)))</f>
        <v>0</v>
      </c>
      <c r="J467" s="3" t="str">
        <f t="shared" si="5"/>
        <v>ZZZ</v>
      </c>
      <c r="K467" s="3" t="b">
        <f t="array" ref="K467">OR(ISNUMBER(SEARCH(J$2:J$30,$B467,5)))</f>
        <v>0</v>
      </c>
      <c r="M467" s="3" t="str">
        <f t="shared" si="6"/>
        <v>ZZZ</v>
      </c>
      <c r="N467" s="3" t="b">
        <f t="array" ref="N467">OR(ISNUMBER(SEARCH(M$2:M$30,$B467,5)))</f>
        <v>0</v>
      </c>
      <c r="P467" s="3" t="str">
        <f t="shared" si="7"/>
        <v>ZZZ</v>
      </c>
      <c r="Q467" s="3" t="b">
        <f t="array" ref="Q467">OR(ISNUMBER(SEARCH(P$2:P$50,$B467,5)))</f>
        <v>0</v>
      </c>
      <c r="S467" s="3" t="str">
        <f t="shared" si="8"/>
        <v>ZZZ</v>
      </c>
      <c r="T467" s="3" t="b">
        <f t="array" ref="T467">OR(ISNUMBER(SEARCH(S$2:S$100,$B467,5)))</f>
        <v>0</v>
      </c>
      <c r="V467" s="3" t="str">
        <f t="shared" si="9"/>
        <v>ZZZ</v>
      </c>
      <c r="W467" s="3" t="b">
        <f t="array" ref="W467">OR(ISNUMBER(SEARCH(V$2:V$100,$B467,5)))</f>
        <v>0</v>
      </c>
      <c r="Y467" s="3" t="str">
        <f t="shared" si="10"/>
        <v>ZZZ</v>
      </c>
      <c r="Z467" s="3" t="b">
        <f t="array" ref="Z467">OR(ISNUMBER(SEARCH(Y$2:Y$100,$B467,5)))</f>
        <v>0</v>
      </c>
      <c r="AB467" s="3" t="str">
        <f t="shared" si="11"/>
        <v>ZZZ</v>
      </c>
      <c r="AC467" s="3" t="b">
        <f t="array" ref="AC467">OR(ISNUMBER(SEARCH(AB$2:AB$100,$B467,5)))</f>
        <v>0</v>
      </c>
      <c r="AE467" s="3" t="str">
        <f t="shared" si="12"/>
        <v>ZZZ</v>
      </c>
      <c r="AF467" s="3" t="b">
        <f t="array" ref="AF467">OR(ISNUMBER(SEARCH(AE$2:AE$100,$B467,5)))</f>
        <v>0</v>
      </c>
      <c r="AH467" s="3" t="str">
        <f t="shared" si="13"/>
        <v>ZZZ</v>
      </c>
      <c r="AI467" s="3" t="b">
        <f t="array" ref="AI467">OR(ISNUMBER(SEARCH(AH$2:AH$100,$B467,5)))</f>
        <v>0</v>
      </c>
      <c r="AK467" s="3" t="str">
        <f t="shared" si="14"/>
        <v>ZZZ</v>
      </c>
      <c r="AL467" s="3" t="b">
        <f t="array" ref="AL467">OR(ISNUMBER(SEARCH(AK$2:AK$100,$B467,5)))</f>
        <v>0</v>
      </c>
      <c r="AU467" s="8"/>
      <c r="AV467" s="6"/>
      <c r="AW467" s="8"/>
      <c r="AX467" s="8"/>
      <c r="AY467" s="6"/>
      <c r="AZ467" s="8"/>
      <c r="BA467" s="8"/>
      <c r="BB467" s="6"/>
      <c r="BC467" s="8"/>
      <c r="BD467" s="8"/>
      <c r="BE467" s="6"/>
      <c r="BF467" s="8"/>
      <c r="BG467" s="8"/>
      <c r="BH467" s="6"/>
      <c r="BI467" s="8"/>
      <c r="BJ467" s="8"/>
      <c r="BK467" s="6"/>
      <c r="BL467" s="8"/>
      <c r="BM467" s="8"/>
      <c r="BN467" s="6"/>
      <c r="BO467" s="8"/>
      <c r="BP467" s="8"/>
      <c r="BQ467" s="6"/>
      <c r="BR467" s="8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  <c r="HQ467" s="7"/>
      <c r="HR467" s="7"/>
      <c r="HS467" s="7"/>
      <c r="HT467" s="7"/>
      <c r="HU467" s="7"/>
      <c r="HV467" s="7"/>
      <c r="HW467" s="7"/>
      <c r="HX467" s="7"/>
      <c r="HY467" s="7"/>
      <c r="HZ467" s="7"/>
      <c r="IA467" s="7"/>
      <c r="IB467" s="7"/>
      <c r="IC467" s="7"/>
      <c r="ID467" s="7"/>
      <c r="IE467" s="7"/>
      <c r="IF467" s="7"/>
      <c r="IG467" s="7"/>
      <c r="IH467" s="7"/>
      <c r="II467" s="7"/>
      <c r="IJ467" s="7"/>
      <c r="IK467" s="7"/>
      <c r="IL467" s="7"/>
      <c r="IM467" s="7"/>
      <c r="IN467" s="7"/>
      <c r="IO467" s="7"/>
      <c r="IP467" s="7"/>
      <c r="IQ467" s="7"/>
      <c r="IR467" s="7"/>
      <c r="IS467" s="7"/>
      <c r="IT467" s="7"/>
      <c r="IU467" s="7"/>
      <c r="IV467" s="7"/>
      <c r="IW467" s="7"/>
      <c r="IX467" s="7"/>
      <c r="IY467" s="7"/>
      <c r="IZ467" s="7"/>
      <c r="JA467" s="7"/>
      <c r="JB467" s="7"/>
      <c r="JC467" s="7"/>
      <c r="JD467" s="7"/>
      <c r="JE467" s="7"/>
      <c r="JF467" s="7"/>
      <c r="JG467" s="7"/>
      <c r="JH467" s="7"/>
      <c r="JI467" s="7"/>
      <c r="JJ467" s="7"/>
      <c r="JK467" s="7"/>
      <c r="JL467" s="7"/>
      <c r="JM467" s="7"/>
      <c r="JN467" s="7"/>
      <c r="JO467" s="7"/>
      <c r="JP467" s="7"/>
      <c r="JQ467" s="7"/>
      <c r="JR467" s="7"/>
      <c r="JS467" s="7"/>
      <c r="JT467" s="7"/>
      <c r="JU467" s="7"/>
      <c r="JV467" s="7"/>
      <c r="JW467" s="7"/>
      <c r="JX467" s="7"/>
      <c r="JY467" s="7"/>
      <c r="JZ467" s="7"/>
      <c r="KA467" s="7"/>
      <c r="KB467" s="7"/>
      <c r="KC467" s="7"/>
      <c r="KD467" s="7"/>
      <c r="KE467" s="7"/>
      <c r="KF467" s="7"/>
      <c r="KG467" s="7"/>
      <c r="KH467" s="7"/>
      <c r="KI467" s="7"/>
      <c r="KJ467" s="7"/>
      <c r="KK467" s="7"/>
      <c r="KL467" s="7"/>
      <c r="KM467" s="7"/>
      <c r="KN467" s="7"/>
    </row>
    <row r="468">
      <c r="A468" s="6"/>
      <c r="B468" s="6" t="s">
        <v>468</v>
      </c>
      <c r="C468" s="3" t="str">
        <f t="shared" si="3"/>
        <v>dotted green</v>
      </c>
      <c r="D468" s="3" t="str">
        <f t="shared" si="17"/>
        <v>ZZZ</v>
      </c>
      <c r="E468" s="3" t="b">
        <f t="array" ref="E468">OR(ISNUMBER(SEARCH(D$2:D$30,$B468,5)))</f>
        <v>0</v>
      </c>
      <c r="G468" s="3" t="str">
        <f t="shared" si="4"/>
        <v>ZZZ</v>
      </c>
      <c r="H468" s="3" t="b">
        <f t="array" ref="H468">OR(ISNUMBER(SEARCH(G$2:G$30,$B468,5)))</f>
        <v>0</v>
      </c>
      <c r="J468" s="3" t="str">
        <f t="shared" si="5"/>
        <v>ZZZ</v>
      </c>
      <c r="K468" s="3" t="b">
        <f t="array" ref="K468">OR(ISNUMBER(SEARCH(J$2:J$30,$B468,5)))</f>
        <v>0</v>
      </c>
      <c r="M468" s="3" t="str">
        <f t="shared" si="6"/>
        <v>ZZZ</v>
      </c>
      <c r="N468" s="3" t="b">
        <f t="array" ref="N468">OR(ISNUMBER(SEARCH(M$2:M$30,$B468,5)))</f>
        <v>0</v>
      </c>
      <c r="P468" s="3" t="str">
        <f t="shared" si="7"/>
        <v>ZZZ</v>
      </c>
      <c r="Q468" s="3" t="b">
        <f t="array" ref="Q468">OR(ISNUMBER(SEARCH(P$2:P$50,$B468,5)))</f>
        <v>1</v>
      </c>
      <c r="S468" s="3" t="str">
        <f t="shared" si="8"/>
        <v>ZZZ</v>
      </c>
      <c r="T468" s="3" t="b">
        <f t="array" ref="T468">OR(ISNUMBER(SEARCH(S$2:S$100,$B468,5)))</f>
        <v>1</v>
      </c>
      <c r="V468" s="3" t="str">
        <f t="shared" si="9"/>
        <v>ZZZ</v>
      </c>
      <c r="W468" s="3" t="b">
        <f t="array" ref="W468">OR(ISNUMBER(SEARCH(V$2:V$100,$B468,5)))</f>
        <v>0</v>
      </c>
      <c r="Y468" s="3" t="str">
        <f t="shared" si="10"/>
        <v>ZZZ</v>
      </c>
      <c r="Z468" s="3" t="b">
        <f t="array" ref="Z468">OR(ISNUMBER(SEARCH(Y$2:Y$100,$B468,5)))</f>
        <v>0</v>
      </c>
      <c r="AB468" s="3" t="str">
        <f t="shared" si="11"/>
        <v>ZZZ</v>
      </c>
      <c r="AC468" s="3" t="b">
        <f t="array" ref="AC468">OR(ISNUMBER(SEARCH(AB$2:AB$100,$B468,5)))</f>
        <v>0</v>
      </c>
      <c r="AE468" s="3" t="str">
        <f t="shared" si="12"/>
        <v>ZZZ</v>
      </c>
      <c r="AF468" s="3" t="b">
        <f t="array" ref="AF468">OR(ISNUMBER(SEARCH(AE$2:AE$100,$B468,5)))</f>
        <v>0</v>
      </c>
      <c r="AH468" s="3" t="str">
        <f t="shared" si="13"/>
        <v>ZZZ</v>
      </c>
      <c r="AI468" s="3" t="b">
        <f t="array" ref="AI468">OR(ISNUMBER(SEARCH(AH$2:AH$100,$B468,5)))</f>
        <v>0</v>
      </c>
      <c r="AK468" s="3" t="str">
        <f t="shared" si="14"/>
        <v>ZZZ</v>
      </c>
      <c r="AL468" s="3" t="b">
        <f t="array" ref="AL468">OR(ISNUMBER(SEARCH(AK$2:AK$100,$B468,5)))</f>
        <v>0</v>
      </c>
      <c r="AU468" s="8"/>
      <c r="AV468" s="6"/>
      <c r="AW468" s="8"/>
      <c r="AX468" s="8"/>
      <c r="AY468" s="6"/>
      <c r="AZ468" s="8"/>
      <c r="BA468" s="8"/>
      <c r="BB468" s="6"/>
      <c r="BC468" s="8"/>
      <c r="BD468" s="8"/>
      <c r="BE468" s="6"/>
      <c r="BF468" s="8"/>
      <c r="BG468" s="8"/>
      <c r="BH468" s="6"/>
      <c r="BI468" s="8"/>
      <c r="BJ468" s="8"/>
      <c r="BK468" s="6"/>
      <c r="BL468" s="8"/>
      <c r="BM468" s="8"/>
      <c r="BN468" s="6"/>
      <c r="BO468" s="8"/>
      <c r="BP468" s="8"/>
      <c r="BQ468" s="6"/>
      <c r="BR468" s="8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  <c r="HT468" s="7"/>
      <c r="HU468" s="7"/>
      <c r="HV468" s="7"/>
      <c r="HW468" s="7"/>
      <c r="HX468" s="7"/>
      <c r="HY468" s="7"/>
      <c r="HZ468" s="7"/>
      <c r="IA468" s="7"/>
      <c r="IB468" s="7"/>
      <c r="IC468" s="7"/>
      <c r="ID468" s="7"/>
      <c r="IE468" s="7"/>
      <c r="IF468" s="7"/>
      <c r="IG468" s="7"/>
      <c r="IH468" s="7"/>
      <c r="II468" s="7"/>
      <c r="IJ468" s="7"/>
      <c r="IK468" s="7"/>
      <c r="IL468" s="7"/>
      <c r="IM468" s="7"/>
      <c r="IN468" s="7"/>
      <c r="IO468" s="7"/>
      <c r="IP468" s="7"/>
      <c r="IQ468" s="7"/>
      <c r="IR468" s="7"/>
      <c r="IS468" s="7"/>
      <c r="IT468" s="7"/>
      <c r="IU468" s="7"/>
      <c r="IV468" s="7"/>
      <c r="IW468" s="7"/>
      <c r="IX468" s="7"/>
      <c r="IY468" s="7"/>
      <c r="IZ468" s="7"/>
      <c r="JA468" s="7"/>
      <c r="JB468" s="7"/>
      <c r="JC468" s="7"/>
      <c r="JD468" s="7"/>
      <c r="JE468" s="7"/>
      <c r="JF468" s="7"/>
      <c r="JG468" s="7"/>
      <c r="JH468" s="7"/>
      <c r="JI468" s="7"/>
      <c r="JJ468" s="7"/>
      <c r="JK468" s="7"/>
      <c r="JL468" s="7"/>
      <c r="JM468" s="7"/>
      <c r="JN468" s="7"/>
      <c r="JO468" s="7"/>
      <c r="JP468" s="7"/>
      <c r="JQ468" s="7"/>
      <c r="JR468" s="7"/>
      <c r="JS468" s="7"/>
      <c r="JT468" s="7"/>
      <c r="JU468" s="7"/>
      <c r="JV468" s="7"/>
      <c r="JW468" s="7"/>
      <c r="JX468" s="7"/>
      <c r="JY468" s="7"/>
      <c r="JZ468" s="7"/>
      <c r="KA468" s="7"/>
      <c r="KB468" s="7"/>
      <c r="KC468" s="7"/>
      <c r="KD468" s="7"/>
      <c r="KE468" s="7"/>
      <c r="KF468" s="7"/>
      <c r="KG468" s="7"/>
      <c r="KH468" s="7"/>
      <c r="KI468" s="7"/>
      <c r="KJ468" s="7"/>
      <c r="KK468" s="7"/>
      <c r="KL468" s="7"/>
      <c r="KM468" s="7"/>
      <c r="KN468" s="7"/>
    </row>
    <row r="469">
      <c r="A469" s="6"/>
      <c r="B469" s="6" t="s">
        <v>469</v>
      </c>
      <c r="C469" s="3" t="str">
        <f t="shared" si="3"/>
        <v>clear teal</v>
      </c>
      <c r="D469" s="3" t="str">
        <f t="shared" si="17"/>
        <v>ZZZ</v>
      </c>
      <c r="E469" s="3" t="b">
        <f t="array" ref="E469">OR(ISNUMBER(SEARCH(D$2:D$30,$B469,5)))</f>
        <v>0</v>
      </c>
      <c r="G469" s="3" t="str">
        <f t="shared" si="4"/>
        <v>ZZZ</v>
      </c>
      <c r="H469" s="3" t="b">
        <f t="array" ref="H469">OR(ISNUMBER(SEARCH(G$2:G$30,$B469,5)))</f>
        <v>0</v>
      </c>
      <c r="J469" s="3" t="str">
        <f t="shared" si="5"/>
        <v>ZZZ</v>
      </c>
      <c r="K469" s="3" t="b">
        <f t="array" ref="K469">OR(ISNUMBER(SEARCH(J$2:J$30,$B469,5)))</f>
        <v>0</v>
      </c>
      <c r="M469" s="3" t="str">
        <f t="shared" si="6"/>
        <v>ZZZ</v>
      </c>
      <c r="N469" s="3" t="b">
        <f t="array" ref="N469">OR(ISNUMBER(SEARCH(M$2:M$30,$B469,5)))</f>
        <v>0</v>
      </c>
      <c r="P469" s="3" t="str">
        <f t="shared" si="7"/>
        <v>ZZZ</v>
      </c>
      <c r="Q469" s="3" t="b">
        <f t="array" ref="Q469">OR(ISNUMBER(SEARCH(P$2:P$50,$B469,5)))</f>
        <v>0</v>
      </c>
      <c r="S469" s="3" t="str">
        <f t="shared" si="8"/>
        <v>ZZZ</v>
      </c>
      <c r="T469" s="3" t="b">
        <f t="array" ref="T469">OR(ISNUMBER(SEARCH(S$2:S$100,$B469,5)))</f>
        <v>0</v>
      </c>
      <c r="V469" s="3" t="str">
        <f t="shared" si="9"/>
        <v>ZZZ</v>
      </c>
      <c r="W469" s="3" t="b">
        <f t="array" ref="W469">OR(ISNUMBER(SEARCH(V$2:V$100,$B469,5)))</f>
        <v>0</v>
      </c>
      <c r="Y469" s="3" t="str">
        <f t="shared" si="10"/>
        <v>ZZZ</v>
      </c>
      <c r="Z469" s="3" t="b">
        <f t="array" ref="Z469">OR(ISNUMBER(SEARCH(Y$2:Y$100,$B469,5)))</f>
        <v>0</v>
      </c>
      <c r="AB469" s="3" t="str">
        <f t="shared" si="11"/>
        <v>ZZZ</v>
      </c>
      <c r="AC469" s="3" t="b">
        <f t="array" ref="AC469">OR(ISNUMBER(SEARCH(AB$2:AB$100,$B469,5)))</f>
        <v>0</v>
      </c>
      <c r="AE469" s="3" t="str">
        <f t="shared" si="12"/>
        <v>ZZZ</v>
      </c>
      <c r="AF469" s="3" t="b">
        <f t="array" ref="AF469">OR(ISNUMBER(SEARCH(AE$2:AE$100,$B469,5)))</f>
        <v>0</v>
      </c>
      <c r="AH469" s="3" t="str">
        <f t="shared" si="13"/>
        <v>ZZZ</v>
      </c>
      <c r="AI469" s="3" t="b">
        <f t="array" ref="AI469">OR(ISNUMBER(SEARCH(AH$2:AH$100,$B469,5)))</f>
        <v>0</v>
      </c>
      <c r="AK469" s="3" t="str">
        <f t="shared" si="14"/>
        <v>ZZZ</v>
      </c>
      <c r="AL469" s="3" t="b">
        <f t="array" ref="AL469">OR(ISNUMBER(SEARCH(AK$2:AK$100,$B469,5)))</f>
        <v>0</v>
      </c>
      <c r="AU469" s="8"/>
      <c r="AV469" s="6"/>
      <c r="AW469" s="8"/>
      <c r="AX469" s="8"/>
      <c r="AY469" s="6"/>
      <c r="AZ469" s="8"/>
      <c r="BA469" s="8"/>
      <c r="BB469" s="6"/>
      <c r="BC469" s="8"/>
      <c r="BD469" s="8"/>
      <c r="BE469" s="6"/>
      <c r="BF469" s="8"/>
      <c r="BG469" s="8"/>
      <c r="BH469" s="6"/>
      <c r="BI469" s="8"/>
      <c r="BJ469" s="8"/>
      <c r="BK469" s="6"/>
      <c r="BL469" s="8"/>
      <c r="BM469" s="8"/>
      <c r="BN469" s="6"/>
      <c r="BO469" s="8"/>
      <c r="BP469" s="8"/>
      <c r="BQ469" s="6"/>
      <c r="BR469" s="8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  <c r="HQ469" s="7"/>
      <c r="HR469" s="7"/>
      <c r="HS469" s="7"/>
      <c r="HT469" s="7"/>
      <c r="HU469" s="7"/>
      <c r="HV469" s="7"/>
      <c r="HW469" s="7"/>
      <c r="HX469" s="7"/>
      <c r="HY469" s="7"/>
      <c r="HZ469" s="7"/>
      <c r="IA469" s="7"/>
      <c r="IB469" s="7"/>
      <c r="IC469" s="7"/>
      <c r="ID469" s="7"/>
      <c r="IE469" s="7"/>
      <c r="IF469" s="7"/>
      <c r="IG469" s="7"/>
      <c r="IH469" s="7"/>
      <c r="II469" s="7"/>
      <c r="IJ469" s="7"/>
      <c r="IK469" s="7"/>
      <c r="IL469" s="7"/>
      <c r="IM469" s="7"/>
      <c r="IN469" s="7"/>
      <c r="IO469" s="7"/>
      <c r="IP469" s="7"/>
      <c r="IQ469" s="7"/>
      <c r="IR469" s="7"/>
      <c r="IS469" s="7"/>
      <c r="IT469" s="7"/>
      <c r="IU469" s="7"/>
      <c r="IV469" s="7"/>
      <c r="IW469" s="7"/>
      <c r="IX469" s="7"/>
      <c r="IY469" s="7"/>
      <c r="IZ469" s="7"/>
      <c r="JA469" s="7"/>
      <c r="JB469" s="7"/>
      <c r="JC469" s="7"/>
      <c r="JD469" s="7"/>
      <c r="JE469" s="7"/>
      <c r="JF469" s="7"/>
      <c r="JG469" s="7"/>
      <c r="JH469" s="7"/>
      <c r="JI469" s="7"/>
      <c r="JJ469" s="7"/>
      <c r="JK469" s="7"/>
      <c r="JL469" s="7"/>
      <c r="JM469" s="7"/>
      <c r="JN469" s="7"/>
      <c r="JO469" s="7"/>
      <c r="JP469" s="7"/>
      <c r="JQ469" s="7"/>
      <c r="JR469" s="7"/>
      <c r="JS469" s="7"/>
      <c r="JT469" s="7"/>
      <c r="JU469" s="7"/>
      <c r="JV469" s="7"/>
      <c r="JW469" s="7"/>
      <c r="JX469" s="7"/>
      <c r="JY469" s="7"/>
      <c r="JZ469" s="7"/>
      <c r="KA469" s="7"/>
      <c r="KB469" s="7"/>
      <c r="KC469" s="7"/>
      <c r="KD469" s="7"/>
      <c r="KE469" s="7"/>
      <c r="KF469" s="7"/>
      <c r="KG469" s="7"/>
      <c r="KH469" s="7"/>
      <c r="KI469" s="7"/>
      <c r="KJ469" s="7"/>
      <c r="KK469" s="7"/>
      <c r="KL469" s="7"/>
      <c r="KM469" s="7"/>
      <c r="KN469" s="7"/>
    </row>
    <row r="470">
      <c r="A470" s="6"/>
      <c r="B470" s="6" t="s">
        <v>470</v>
      </c>
      <c r="C470" s="3" t="str">
        <f t="shared" si="3"/>
        <v>plaid orange</v>
      </c>
      <c r="D470" s="3" t="str">
        <f t="shared" si="17"/>
        <v>ZZZ</v>
      </c>
      <c r="E470" s="3" t="b">
        <f t="array" ref="E470">OR(ISNUMBER(SEARCH(D$2:D$30,$B470,5)))</f>
        <v>0</v>
      </c>
      <c r="G470" s="3" t="str">
        <f t="shared" si="4"/>
        <v>ZZZ</v>
      </c>
      <c r="H470" s="3" t="b">
        <f t="array" ref="H470">OR(ISNUMBER(SEARCH(G$2:G$30,$B470,5)))</f>
        <v>0</v>
      </c>
      <c r="J470" s="3" t="str">
        <f t="shared" si="5"/>
        <v>ZZZ</v>
      </c>
      <c r="K470" s="3" t="b">
        <f t="array" ref="K470">OR(ISNUMBER(SEARCH(J$2:J$30,$B470,5)))</f>
        <v>0</v>
      </c>
      <c r="M470" s="3" t="str">
        <f t="shared" si="6"/>
        <v>ZZZ</v>
      </c>
      <c r="N470" s="3" t="b">
        <f t="array" ref="N470">OR(ISNUMBER(SEARCH(M$2:M$30,$B470,5)))</f>
        <v>0</v>
      </c>
      <c r="P470" s="3" t="str">
        <f t="shared" si="7"/>
        <v>ZZZ</v>
      </c>
      <c r="Q470" s="3" t="b">
        <f t="array" ref="Q470">OR(ISNUMBER(SEARCH(P$2:P$50,$B470,5)))</f>
        <v>1</v>
      </c>
      <c r="S470" s="3" t="str">
        <f t="shared" si="8"/>
        <v>ZZZ</v>
      </c>
      <c r="T470" s="3" t="b">
        <f t="array" ref="T470">OR(ISNUMBER(SEARCH(S$2:S$100,$B470,5)))</f>
        <v>1</v>
      </c>
      <c r="V470" s="3" t="str">
        <f t="shared" si="9"/>
        <v>ZZZ</v>
      </c>
      <c r="W470" s="3" t="b">
        <f t="array" ref="W470">OR(ISNUMBER(SEARCH(V$2:V$100,$B470,5)))</f>
        <v>1</v>
      </c>
      <c r="Y470" s="3" t="str">
        <f t="shared" si="10"/>
        <v>ZZZ</v>
      </c>
      <c r="Z470" s="3" t="b">
        <f t="array" ref="Z470">OR(ISNUMBER(SEARCH(Y$2:Y$100,$B470,5)))</f>
        <v>0</v>
      </c>
      <c r="AB470" s="3" t="str">
        <f t="shared" si="11"/>
        <v>ZZZ</v>
      </c>
      <c r="AC470" s="3" t="b">
        <f t="array" ref="AC470">OR(ISNUMBER(SEARCH(AB$2:AB$100,$B470,5)))</f>
        <v>1</v>
      </c>
      <c r="AE470" s="3" t="str">
        <f t="shared" si="12"/>
        <v>ZZZ</v>
      </c>
      <c r="AF470" s="3" t="b">
        <f t="array" ref="AF470">OR(ISNUMBER(SEARCH(AE$2:AE$100,$B470,5)))</f>
        <v>0</v>
      </c>
      <c r="AH470" s="3" t="str">
        <f t="shared" si="13"/>
        <v>ZZZ</v>
      </c>
      <c r="AI470" s="3" t="b">
        <f t="array" ref="AI470">OR(ISNUMBER(SEARCH(AH$2:AH$100,$B470,5)))</f>
        <v>0</v>
      </c>
      <c r="AK470" s="3" t="str">
        <f t="shared" si="14"/>
        <v>ZZZ</v>
      </c>
      <c r="AL470" s="3" t="b">
        <f t="array" ref="AL470">OR(ISNUMBER(SEARCH(AK$2:AK$100,$B470,5)))</f>
        <v>0</v>
      </c>
      <c r="AU470" s="8"/>
      <c r="AV470" s="6"/>
      <c r="AW470" s="8"/>
      <c r="AX470" s="8"/>
      <c r="AY470" s="6"/>
      <c r="AZ470" s="8"/>
      <c r="BA470" s="8"/>
      <c r="BB470" s="6"/>
      <c r="BC470" s="8"/>
      <c r="BD470" s="8"/>
      <c r="BE470" s="6"/>
      <c r="BF470" s="8"/>
      <c r="BG470" s="8"/>
      <c r="BH470" s="6"/>
      <c r="BI470" s="8"/>
      <c r="BJ470" s="8"/>
      <c r="BK470" s="6"/>
      <c r="BL470" s="8"/>
      <c r="BM470" s="8"/>
      <c r="BN470" s="6"/>
      <c r="BO470" s="8"/>
      <c r="BP470" s="8"/>
      <c r="BQ470" s="6"/>
      <c r="BR470" s="8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  <c r="HQ470" s="7"/>
      <c r="HR470" s="7"/>
      <c r="HS470" s="7"/>
      <c r="HT470" s="7"/>
      <c r="HU470" s="7"/>
      <c r="HV470" s="7"/>
      <c r="HW470" s="7"/>
      <c r="HX470" s="7"/>
      <c r="HY470" s="7"/>
      <c r="HZ470" s="7"/>
      <c r="IA470" s="7"/>
      <c r="IB470" s="7"/>
      <c r="IC470" s="7"/>
      <c r="ID470" s="7"/>
      <c r="IE470" s="7"/>
      <c r="IF470" s="7"/>
      <c r="IG470" s="7"/>
      <c r="IH470" s="7"/>
      <c r="II470" s="7"/>
      <c r="IJ470" s="7"/>
      <c r="IK470" s="7"/>
      <c r="IL470" s="7"/>
      <c r="IM470" s="7"/>
      <c r="IN470" s="7"/>
      <c r="IO470" s="7"/>
      <c r="IP470" s="7"/>
      <c r="IQ470" s="7"/>
      <c r="IR470" s="7"/>
      <c r="IS470" s="7"/>
      <c r="IT470" s="7"/>
      <c r="IU470" s="7"/>
      <c r="IV470" s="7"/>
      <c r="IW470" s="7"/>
      <c r="IX470" s="7"/>
      <c r="IY470" s="7"/>
      <c r="IZ470" s="7"/>
      <c r="JA470" s="7"/>
      <c r="JB470" s="7"/>
      <c r="JC470" s="7"/>
      <c r="JD470" s="7"/>
      <c r="JE470" s="7"/>
      <c r="JF470" s="7"/>
      <c r="JG470" s="7"/>
      <c r="JH470" s="7"/>
      <c r="JI470" s="7"/>
      <c r="JJ470" s="7"/>
      <c r="JK470" s="7"/>
      <c r="JL470" s="7"/>
      <c r="JM470" s="7"/>
      <c r="JN470" s="7"/>
      <c r="JO470" s="7"/>
      <c r="JP470" s="7"/>
      <c r="JQ470" s="7"/>
      <c r="JR470" s="7"/>
      <c r="JS470" s="7"/>
      <c r="JT470" s="7"/>
      <c r="JU470" s="7"/>
      <c r="JV470" s="7"/>
      <c r="JW470" s="7"/>
      <c r="JX470" s="7"/>
      <c r="JY470" s="7"/>
      <c r="JZ470" s="7"/>
      <c r="KA470" s="7"/>
      <c r="KB470" s="7"/>
      <c r="KC470" s="7"/>
      <c r="KD470" s="7"/>
      <c r="KE470" s="7"/>
      <c r="KF470" s="7"/>
      <c r="KG470" s="7"/>
      <c r="KH470" s="7"/>
      <c r="KI470" s="7"/>
      <c r="KJ470" s="7"/>
      <c r="KK470" s="7"/>
      <c r="KL470" s="7"/>
      <c r="KM470" s="7"/>
      <c r="KN470" s="7"/>
    </row>
    <row r="471">
      <c r="A471" s="6"/>
      <c r="B471" s="6" t="s">
        <v>471</v>
      </c>
      <c r="C471" s="3" t="str">
        <f t="shared" si="3"/>
        <v>pale teal</v>
      </c>
      <c r="D471" s="3" t="str">
        <f t="shared" si="17"/>
        <v>ZZZ</v>
      </c>
      <c r="E471" s="3" t="b">
        <f t="array" ref="E471">OR(ISNUMBER(SEARCH(D$2:D$30,$B471,5)))</f>
        <v>0</v>
      </c>
      <c r="G471" s="3" t="str">
        <f t="shared" si="4"/>
        <v>ZZZ</v>
      </c>
      <c r="H471" s="3" t="b">
        <f t="array" ref="H471">OR(ISNUMBER(SEARCH(G$2:G$30,$B471,5)))</f>
        <v>0</v>
      </c>
      <c r="J471" s="3" t="str">
        <f t="shared" si="5"/>
        <v>ZZZ</v>
      </c>
      <c r="K471" s="3" t="b">
        <f t="array" ref="K471">OR(ISNUMBER(SEARCH(J$2:J$30,$B471,5)))</f>
        <v>0</v>
      </c>
      <c r="M471" s="3" t="str">
        <f t="shared" si="6"/>
        <v>ZZZ</v>
      </c>
      <c r="N471" s="3" t="b">
        <f t="array" ref="N471">OR(ISNUMBER(SEARCH(M$2:M$30,$B471,5)))</f>
        <v>1</v>
      </c>
      <c r="P471" s="3" t="str">
        <f t="shared" si="7"/>
        <v>ZZZ</v>
      </c>
      <c r="Q471" s="3" t="b">
        <f t="array" ref="Q471">OR(ISNUMBER(SEARCH(P$2:P$50,$B471,5)))</f>
        <v>0</v>
      </c>
      <c r="S471" s="3" t="str">
        <f t="shared" si="8"/>
        <v>ZZZ</v>
      </c>
      <c r="T471" s="3" t="b">
        <f t="array" ref="T471">OR(ISNUMBER(SEARCH(S$2:S$100,$B471,5)))</f>
        <v>0</v>
      </c>
      <c r="V471" s="3" t="str">
        <f t="shared" si="9"/>
        <v>ZZZ</v>
      </c>
      <c r="W471" s="3" t="b">
        <f t="array" ref="W471">OR(ISNUMBER(SEARCH(V$2:V$100,$B471,5)))</f>
        <v>0</v>
      </c>
      <c r="Y471" s="3" t="str">
        <f t="shared" si="10"/>
        <v>ZZZ</v>
      </c>
      <c r="Z471" s="3" t="b">
        <f t="array" ref="Z471">OR(ISNUMBER(SEARCH(Y$2:Y$100,$B471,5)))</f>
        <v>0</v>
      </c>
      <c r="AB471" s="3" t="str">
        <f t="shared" si="11"/>
        <v>ZZZ</v>
      </c>
      <c r="AC471" s="3" t="b">
        <f t="array" ref="AC471">OR(ISNUMBER(SEARCH(AB$2:AB$100,$B471,5)))</f>
        <v>0</v>
      </c>
      <c r="AE471" s="3" t="str">
        <f t="shared" si="12"/>
        <v>ZZZ</v>
      </c>
      <c r="AF471" s="3" t="b">
        <f t="array" ref="AF471">OR(ISNUMBER(SEARCH(AE$2:AE$100,$B471,5)))</f>
        <v>0</v>
      </c>
      <c r="AH471" s="3" t="str">
        <f t="shared" si="13"/>
        <v>ZZZ</v>
      </c>
      <c r="AI471" s="3" t="b">
        <f t="array" ref="AI471">OR(ISNUMBER(SEARCH(AH$2:AH$100,$B471,5)))</f>
        <v>0</v>
      </c>
      <c r="AK471" s="3" t="str">
        <f t="shared" si="14"/>
        <v>ZZZ</v>
      </c>
      <c r="AL471" s="3" t="b">
        <f t="array" ref="AL471">OR(ISNUMBER(SEARCH(AK$2:AK$100,$B471,5)))</f>
        <v>0</v>
      </c>
      <c r="AU471" s="8"/>
      <c r="AV471" s="6"/>
      <c r="AW471" s="8"/>
      <c r="AX471" s="8"/>
      <c r="AY471" s="6"/>
      <c r="AZ471" s="8"/>
      <c r="BA471" s="8"/>
      <c r="BB471" s="6"/>
      <c r="BC471" s="8"/>
      <c r="BD471" s="8"/>
      <c r="BE471" s="6"/>
      <c r="BF471" s="8"/>
      <c r="BG471" s="8"/>
      <c r="BH471" s="6"/>
      <c r="BI471" s="8"/>
      <c r="BJ471" s="8"/>
      <c r="BK471" s="6"/>
      <c r="BL471" s="8"/>
      <c r="BM471" s="8"/>
      <c r="BN471" s="6"/>
      <c r="BO471" s="8"/>
      <c r="BP471" s="8"/>
      <c r="BQ471" s="6"/>
      <c r="BR471" s="8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  <c r="HU471" s="7"/>
      <c r="HV471" s="7"/>
      <c r="HW471" s="7"/>
      <c r="HX471" s="7"/>
      <c r="HY471" s="7"/>
      <c r="HZ471" s="7"/>
      <c r="IA471" s="7"/>
      <c r="IB471" s="7"/>
      <c r="IC471" s="7"/>
      <c r="ID471" s="7"/>
      <c r="IE471" s="7"/>
      <c r="IF471" s="7"/>
      <c r="IG471" s="7"/>
      <c r="IH471" s="7"/>
      <c r="II471" s="7"/>
      <c r="IJ471" s="7"/>
      <c r="IK471" s="7"/>
      <c r="IL471" s="7"/>
      <c r="IM471" s="7"/>
      <c r="IN471" s="7"/>
      <c r="IO471" s="7"/>
      <c r="IP471" s="7"/>
      <c r="IQ471" s="7"/>
      <c r="IR471" s="7"/>
      <c r="IS471" s="7"/>
      <c r="IT471" s="7"/>
      <c r="IU471" s="7"/>
      <c r="IV471" s="7"/>
      <c r="IW471" s="7"/>
      <c r="IX471" s="7"/>
      <c r="IY471" s="7"/>
      <c r="IZ471" s="7"/>
      <c r="JA471" s="7"/>
      <c r="JB471" s="7"/>
      <c r="JC471" s="7"/>
      <c r="JD471" s="7"/>
      <c r="JE471" s="7"/>
      <c r="JF471" s="7"/>
      <c r="JG471" s="7"/>
      <c r="JH471" s="7"/>
      <c r="JI471" s="7"/>
      <c r="JJ471" s="7"/>
      <c r="JK471" s="7"/>
      <c r="JL471" s="7"/>
      <c r="JM471" s="7"/>
      <c r="JN471" s="7"/>
      <c r="JO471" s="7"/>
      <c r="JP471" s="7"/>
      <c r="JQ471" s="7"/>
      <c r="JR471" s="7"/>
      <c r="JS471" s="7"/>
      <c r="JT471" s="7"/>
      <c r="JU471" s="7"/>
      <c r="JV471" s="7"/>
      <c r="JW471" s="7"/>
      <c r="JX471" s="7"/>
      <c r="JY471" s="7"/>
      <c r="JZ471" s="7"/>
      <c r="KA471" s="7"/>
      <c r="KB471" s="7"/>
      <c r="KC471" s="7"/>
      <c r="KD471" s="7"/>
      <c r="KE471" s="7"/>
      <c r="KF471" s="7"/>
      <c r="KG471" s="7"/>
      <c r="KH471" s="7"/>
      <c r="KI471" s="7"/>
      <c r="KJ471" s="7"/>
      <c r="KK471" s="7"/>
      <c r="KL471" s="7"/>
      <c r="KM471" s="7"/>
      <c r="KN471" s="7"/>
    </row>
    <row r="472">
      <c r="A472" s="6"/>
      <c r="B472" s="6" t="s">
        <v>472</v>
      </c>
      <c r="C472" s="3" t="str">
        <f t="shared" si="3"/>
        <v>posh chartreuse</v>
      </c>
      <c r="D472" s="3" t="str">
        <f t="shared" si="17"/>
        <v>ZZZ</v>
      </c>
      <c r="E472" s="3" t="b">
        <f t="array" ref="E472">OR(ISNUMBER(SEARCH(D$2:D$30,$B472,5)))</f>
        <v>0</v>
      </c>
      <c r="G472" s="3" t="str">
        <f t="shared" si="4"/>
        <v>ZZZ</v>
      </c>
      <c r="H472" s="3" t="b">
        <f t="array" ref="H472">OR(ISNUMBER(SEARCH(G$2:G$30,$B472,5)))</f>
        <v>0</v>
      </c>
      <c r="J472" s="3" t="str">
        <f t="shared" si="5"/>
        <v>ZZZ</v>
      </c>
      <c r="K472" s="3" t="b">
        <f t="array" ref="K472">OR(ISNUMBER(SEARCH(J$2:J$30,$B472,5)))</f>
        <v>0</v>
      </c>
      <c r="M472" s="3" t="str">
        <f t="shared" si="6"/>
        <v>ZZZ</v>
      </c>
      <c r="N472" s="3" t="b">
        <f t="array" ref="N472">OR(ISNUMBER(SEARCH(M$2:M$30,$B472,5)))</f>
        <v>0</v>
      </c>
      <c r="P472" s="3" t="str">
        <f t="shared" si="7"/>
        <v>ZZZ</v>
      </c>
      <c r="Q472" s="3" t="b">
        <f t="array" ref="Q472">OR(ISNUMBER(SEARCH(P$2:P$50,$B472,5)))</f>
        <v>0</v>
      </c>
      <c r="S472" s="3" t="str">
        <f t="shared" si="8"/>
        <v>ZZZ</v>
      </c>
      <c r="T472" s="3" t="b">
        <f t="array" ref="T472">OR(ISNUMBER(SEARCH(S$2:S$100,$B472,5)))</f>
        <v>0</v>
      </c>
      <c r="V472" s="3" t="str">
        <f t="shared" si="9"/>
        <v>ZZZ</v>
      </c>
      <c r="W472" s="3" t="b">
        <f t="array" ref="W472">OR(ISNUMBER(SEARCH(V$2:V$100,$B472,5)))</f>
        <v>0</v>
      </c>
      <c r="Y472" s="3" t="str">
        <f t="shared" si="10"/>
        <v>ZZZ</v>
      </c>
      <c r="Z472" s="3" t="b">
        <f t="array" ref="Z472">OR(ISNUMBER(SEARCH(Y$2:Y$100,$B472,5)))</f>
        <v>0</v>
      </c>
      <c r="AB472" s="3" t="str">
        <f t="shared" si="11"/>
        <v>ZZZ</v>
      </c>
      <c r="AC472" s="3" t="b">
        <f t="array" ref="AC472">OR(ISNUMBER(SEARCH(AB$2:AB$100,$B472,5)))</f>
        <v>0</v>
      </c>
      <c r="AE472" s="3" t="str">
        <f t="shared" si="12"/>
        <v>ZZZ</v>
      </c>
      <c r="AF472" s="3" t="b">
        <f t="array" ref="AF472">OR(ISNUMBER(SEARCH(AE$2:AE$100,$B472,5)))</f>
        <v>0</v>
      </c>
      <c r="AH472" s="3" t="str">
        <f t="shared" si="13"/>
        <v>ZZZ</v>
      </c>
      <c r="AI472" s="3" t="b">
        <f t="array" ref="AI472">OR(ISNUMBER(SEARCH(AH$2:AH$100,$B472,5)))</f>
        <v>0</v>
      </c>
      <c r="AK472" s="3" t="str">
        <f t="shared" si="14"/>
        <v>ZZZ</v>
      </c>
      <c r="AL472" s="3" t="b">
        <f t="array" ref="AL472">OR(ISNUMBER(SEARCH(AK$2:AK$100,$B472,5)))</f>
        <v>0</v>
      </c>
      <c r="AU472" s="8"/>
      <c r="AV472" s="6"/>
      <c r="AW472" s="8"/>
      <c r="AX472" s="8"/>
      <c r="AY472" s="6"/>
      <c r="AZ472" s="8"/>
      <c r="BA472" s="8"/>
      <c r="BB472" s="6"/>
      <c r="BC472" s="8"/>
      <c r="BD472" s="8"/>
      <c r="BE472" s="6"/>
      <c r="BF472" s="8"/>
      <c r="BG472" s="8"/>
      <c r="BH472" s="6"/>
      <c r="BI472" s="8"/>
      <c r="BJ472" s="8"/>
      <c r="BK472" s="6"/>
      <c r="BL472" s="8"/>
      <c r="BM472" s="8"/>
      <c r="BN472" s="6"/>
      <c r="BO472" s="8"/>
      <c r="BP472" s="8"/>
      <c r="BQ472" s="6"/>
      <c r="BR472" s="8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  <c r="HU472" s="7"/>
      <c r="HV472" s="7"/>
      <c r="HW472" s="7"/>
      <c r="HX472" s="7"/>
      <c r="HY472" s="7"/>
      <c r="HZ472" s="7"/>
      <c r="IA472" s="7"/>
      <c r="IB472" s="7"/>
      <c r="IC472" s="7"/>
      <c r="ID472" s="7"/>
      <c r="IE472" s="7"/>
      <c r="IF472" s="7"/>
      <c r="IG472" s="7"/>
      <c r="IH472" s="7"/>
      <c r="II472" s="7"/>
      <c r="IJ472" s="7"/>
      <c r="IK472" s="7"/>
      <c r="IL472" s="7"/>
      <c r="IM472" s="7"/>
      <c r="IN472" s="7"/>
      <c r="IO472" s="7"/>
      <c r="IP472" s="7"/>
      <c r="IQ472" s="7"/>
      <c r="IR472" s="7"/>
      <c r="IS472" s="7"/>
      <c r="IT472" s="7"/>
      <c r="IU472" s="7"/>
      <c r="IV472" s="7"/>
      <c r="IW472" s="7"/>
      <c r="IX472" s="7"/>
      <c r="IY472" s="7"/>
      <c r="IZ472" s="7"/>
      <c r="JA472" s="7"/>
      <c r="JB472" s="7"/>
      <c r="JC472" s="7"/>
      <c r="JD472" s="7"/>
      <c r="JE472" s="7"/>
      <c r="JF472" s="7"/>
      <c r="JG472" s="7"/>
      <c r="JH472" s="7"/>
      <c r="JI472" s="7"/>
      <c r="JJ472" s="7"/>
      <c r="JK472" s="7"/>
      <c r="JL472" s="7"/>
      <c r="JM472" s="7"/>
      <c r="JN472" s="7"/>
      <c r="JO472" s="7"/>
      <c r="JP472" s="7"/>
      <c r="JQ472" s="7"/>
      <c r="JR472" s="7"/>
      <c r="JS472" s="7"/>
      <c r="JT472" s="7"/>
      <c r="JU472" s="7"/>
      <c r="JV472" s="7"/>
      <c r="JW472" s="7"/>
      <c r="JX472" s="7"/>
      <c r="JY472" s="7"/>
      <c r="JZ472" s="7"/>
      <c r="KA472" s="7"/>
      <c r="KB472" s="7"/>
      <c r="KC472" s="7"/>
      <c r="KD472" s="7"/>
      <c r="KE472" s="7"/>
      <c r="KF472" s="7"/>
      <c r="KG472" s="7"/>
      <c r="KH472" s="7"/>
      <c r="KI472" s="7"/>
      <c r="KJ472" s="7"/>
      <c r="KK472" s="7"/>
      <c r="KL472" s="7"/>
      <c r="KM472" s="7"/>
      <c r="KN472" s="7"/>
    </row>
    <row r="473">
      <c r="A473" s="6"/>
      <c r="B473" s="6" t="s">
        <v>473</v>
      </c>
      <c r="C473" s="3" t="str">
        <f t="shared" si="3"/>
        <v>pale red</v>
      </c>
      <c r="D473" s="3" t="str">
        <f t="shared" si="17"/>
        <v>ZZZ</v>
      </c>
      <c r="E473" s="3" t="b">
        <f t="array" ref="E473">OR(ISNUMBER(SEARCH(D$2:D$30,$B473,5)))</f>
        <v>0</v>
      </c>
      <c r="G473" s="3" t="str">
        <f t="shared" si="4"/>
        <v>ZZZ</v>
      </c>
      <c r="H473" s="3" t="b">
        <f t="array" ref="H473">OR(ISNUMBER(SEARCH(G$2:G$30,$B473,5)))</f>
        <v>0</v>
      </c>
      <c r="J473" s="3" t="str">
        <f t="shared" si="5"/>
        <v>ZZZ</v>
      </c>
      <c r="K473" s="3" t="b">
        <f t="array" ref="K473">OR(ISNUMBER(SEARCH(J$2:J$30,$B473,5)))</f>
        <v>0</v>
      </c>
      <c r="M473" s="3" t="str">
        <f t="shared" si="6"/>
        <v>ZZZ</v>
      </c>
      <c r="N473" s="3" t="b">
        <f t="array" ref="N473">OR(ISNUMBER(SEARCH(M$2:M$30,$B473,5)))</f>
        <v>0</v>
      </c>
      <c r="P473" s="3" t="str">
        <f t="shared" si="7"/>
        <v>ZZZ</v>
      </c>
      <c r="Q473" s="3" t="b">
        <f t="array" ref="Q473">OR(ISNUMBER(SEARCH(P$2:P$50,$B473,5)))</f>
        <v>0</v>
      </c>
      <c r="S473" s="3" t="str">
        <f t="shared" si="8"/>
        <v>ZZZ</v>
      </c>
      <c r="T473" s="3" t="b">
        <f t="array" ref="T473">OR(ISNUMBER(SEARCH(S$2:S$100,$B473,5)))</f>
        <v>0</v>
      </c>
      <c r="V473" s="3" t="str">
        <f t="shared" si="9"/>
        <v>ZZZ</v>
      </c>
      <c r="W473" s="3" t="b">
        <f t="array" ref="W473">OR(ISNUMBER(SEARCH(V$2:V$100,$B473,5)))</f>
        <v>0</v>
      </c>
      <c r="Y473" s="3" t="str">
        <f t="shared" si="10"/>
        <v>ZZZ</v>
      </c>
      <c r="Z473" s="3" t="b">
        <f t="array" ref="Z473">OR(ISNUMBER(SEARCH(Y$2:Y$100,$B473,5)))</f>
        <v>0</v>
      </c>
      <c r="AB473" s="3" t="str">
        <f t="shared" si="11"/>
        <v>ZZZ</v>
      </c>
      <c r="AC473" s="3" t="b">
        <f t="array" ref="AC473">OR(ISNUMBER(SEARCH(AB$2:AB$100,$B473,5)))</f>
        <v>0</v>
      </c>
      <c r="AE473" s="3" t="str">
        <f t="shared" si="12"/>
        <v>ZZZ</v>
      </c>
      <c r="AF473" s="3" t="b">
        <f t="array" ref="AF473">OR(ISNUMBER(SEARCH(AE$2:AE$100,$B473,5)))</f>
        <v>0</v>
      </c>
      <c r="AH473" s="3" t="str">
        <f t="shared" si="13"/>
        <v>ZZZ</v>
      </c>
      <c r="AI473" s="3" t="b">
        <f t="array" ref="AI473">OR(ISNUMBER(SEARCH(AH$2:AH$100,$B473,5)))</f>
        <v>0</v>
      </c>
      <c r="AK473" s="3" t="str">
        <f t="shared" si="14"/>
        <v>ZZZ</v>
      </c>
      <c r="AL473" s="3" t="b">
        <f t="array" ref="AL473">OR(ISNUMBER(SEARCH(AK$2:AK$100,$B473,5)))</f>
        <v>0</v>
      </c>
      <c r="AU473" s="8"/>
      <c r="AV473" s="6"/>
      <c r="AW473" s="8"/>
      <c r="AX473" s="8"/>
      <c r="AY473" s="6"/>
      <c r="AZ473" s="8"/>
      <c r="BA473" s="8"/>
      <c r="BB473" s="6"/>
      <c r="BC473" s="8"/>
      <c r="BD473" s="8"/>
      <c r="BE473" s="6"/>
      <c r="BF473" s="8"/>
      <c r="BG473" s="8"/>
      <c r="BH473" s="6"/>
      <c r="BI473" s="8"/>
      <c r="BJ473" s="8"/>
      <c r="BK473" s="6"/>
      <c r="BL473" s="8"/>
      <c r="BM473" s="8"/>
      <c r="BN473" s="6"/>
      <c r="BO473" s="8"/>
      <c r="BP473" s="8"/>
      <c r="BQ473" s="6"/>
      <c r="BR473" s="8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  <c r="HQ473" s="7"/>
      <c r="HR473" s="7"/>
      <c r="HS473" s="7"/>
      <c r="HT473" s="7"/>
      <c r="HU473" s="7"/>
      <c r="HV473" s="7"/>
      <c r="HW473" s="7"/>
      <c r="HX473" s="7"/>
      <c r="HY473" s="7"/>
      <c r="HZ473" s="7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7"/>
      <c r="IQ473" s="7"/>
      <c r="IR473" s="7"/>
      <c r="IS473" s="7"/>
      <c r="IT473" s="7"/>
      <c r="IU473" s="7"/>
      <c r="IV473" s="7"/>
      <c r="IW473" s="7"/>
      <c r="IX473" s="7"/>
      <c r="IY473" s="7"/>
      <c r="IZ473" s="7"/>
      <c r="JA473" s="7"/>
      <c r="JB473" s="7"/>
      <c r="JC473" s="7"/>
      <c r="JD473" s="7"/>
      <c r="JE473" s="7"/>
      <c r="JF473" s="7"/>
      <c r="JG473" s="7"/>
      <c r="JH473" s="7"/>
      <c r="JI473" s="7"/>
      <c r="JJ473" s="7"/>
      <c r="JK473" s="7"/>
      <c r="JL473" s="7"/>
      <c r="JM473" s="7"/>
      <c r="JN473" s="7"/>
      <c r="JO473" s="7"/>
      <c r="JP473" s="7"/>
      <c r="JQ473" s="7"/>
      <c r="JR473" s="7"/>
      <c r="JS473" s="7"/>
      <c r="JT473" s="7"/>
      <c r="JU473" s="7"/>
      <c r="JV473" s="7"/>
      <c r="JW473" s="7"/>
      <c r="JX473" s="7"/>
      <c r="JY473" s="7"/>
      <c r="JZ473" s="7"/>
      <c r="KA473" s="7"/>
      <c r="KB473" s="7"/>
      <c r="KC473" s="7"/>
      <c r="KD473" s="7"/>
      <c r="KE473" s="7"/>
      <c r="KF473" s="7"/>
      <c r="KG473" s="7"/>
      <c r="KH473" s="7"/>
      <c r="KI473" s="7"/>
      <c r="KJ473" s="7"/>
      <c r="KK473" s="7"/>
      <c r="KL473" s="7"/>
      <c r="KM473" s="7"/>
      <c r="KN473" s="7"/>
    </row>
    <row r="474">
      <c r="A474" s="6"/>
      <c r="B474" s="6" t="s">
        <v>474</v>
      </c>
      <c r="C474" s="3" t="str">
        <f t="shared" si="3"/>
        <v>faded violet</v>
      </c>
      <c r="D474" s="3" t="str">
        <f t="shared" si="17"/>
        <v>ZZZ</v>
      </c>
      <c r="E474" s="3" t="b">
        <f t="array" ref="E474">OR(ISNUMBER(SEARCH(D$2:D$30,$B474,5)))</f>
        <v>0</v>
      </c>
      <c r="G474" s="3" t="str">
        <f t="shared" si="4"/>
        <v>ZZZ</v>
      </c>
      <c r="H474" s="3" t="b">
        <f t="array" ref="H474">OR(ISNUMBER(SEARCH(G$2:G$30,$B474,5)))</f>
        <v>0</v>
      </c>
      <c r="J474" s="3" t="str">
        <f t="shared" si="5"/>
        <v>ZZZ</v>
      </c>
      <c r="K474" s="3" t="b">
        <f t="array" ref="K474">OR(ISNUMBER(SEARCH(J$2:J$30,$B474,5)))</f>
        <v>0</v>
      </c>
      <c r="M474" s="3" t="str">
        <f t="shared" si="6"/>
        <v>ZZZ</v>
      </c>
      <c r="N474" s="3" t="b">
        <f t="array" ref="N474">OR(ISNUMBER(SEARCH(M$2:M$30,$B474,5)))</f>
        <v>0</v>
      </c>
      <c r="P474" s="3" t="str">
        <f t="shared" si="7"/>
        <v>ZZZ</v>
      </c>
      <c r="Q474" s="3" t="b">
        <f t="array" ref="Q474">OR(ISNUMBER(SEARCH(P$2:P$50,$B474,5)))</f>
        <v>0</v>
      </c>
      <c r="S474" s="3" t="str">
        <f t="shared" si="8"/>
        <v>ZZZ</v>
      </c>
      <c r="T474" s="3" t="b">
        <f t="array" ref="T474">OR(ISNUMBER(SEARCH(S$2:S$100,$B474,5)))</f>
        <v>0</v>
      </c>
      <c r="V474" s="3" t="str">
        <f t="shared" si="9"/>
        <v>ZZZ</v>
      </c>
      <c r="W474" s="3" t="b">
        <f t="array" ref="W474">OR(ISNUMBER(SEARCH(V$2:V$100,$B474,5)))</f>
        <v>0</v>
      </c>
      <c r="Y474" s="3" t="str">
        <f t="shared" si="10"/>
        <v>ZZZ</v>
      </c>
      <c r="Z474" s="3" t="b">
        <f t="array" ref="Z474">OR(ISNUMBER(SEARCH(Y$2:Y$100,$B474,5)))</f>
        <v>0</v>
      </c>
      <c r="AB474" s="3" t="str">
        <f t="shared" si="11"/>
        <v>ZZZ</v>
      </c>
      <c r="AC474" s="3" t="b">
        <f t="array" ref="AC474">OR(ISNUMBER(SEARCH(AB$2:AB$100,$B474,5)))</f>
        <v>0</v>
      </c>
      <c r="AE474" s="3" t="str">
        <f t="shared" si="12"/>
        <v>ZZZ</v>
      </c>
      <c r="AF474" s="3" t="b">
        <f t="array" ref="AF474">OR(ISNUMBER(SEARCH(AE$2:AE$100,$B474,5)))</f>
        <v>0</v>
      </c>
      <c r="AH474" s="3" t="str">
        <f t="shared" si="13"/>
        <v>ZZZ</v>
      </c>
      <c r="AI474" s="3" t="b">
        <f t="array" ref="AI474">OR(ISNUMBER(SEARCH(AH$2:AH$100,$B474,5)))</f>
        <v>0</v>
      </c>
      <c r="AK474" s="3" t="str">
        <f t="shared" si="14"/>
        <v>ZZZ</v>
      </c>
      <c r="AL474" s="3" t="b">
        <f t="array" ref="AL474">OR(ISNUMBER(SEARCH(AK$2:AK$100,$B474,5)))</f>
        <v>0</v>
      </c>
      <c r="AU474" s="8"/>
      <c r="AV474" s="6"/>
      <c r="AW474" s="8"/>
      <c r="AX474" s="8"/>
      <c r="AY474" s="6"/>
      <c r="AZ474" s="8"/>
      <c r="BA474" s="8"/>
      <c r="BB474" s="6"/>
      <c r="BC474" s="8"/>
      <c r="BD474" s="8"/>
      <c r="BE474" s="6"/>
      <c r="BF474" s="8"/>
      <c r="BG474" s="8"/>
      <c r="BH474" s="6"/>
      <c r="BI474" s="8"/>
      <c r="BJ474" s="8"/>
      <c r="BK474" s="6"/>
      <c r="BL474" s="8"/>
      <c r="BM474" s="8"/>
      <c r="BN474" s="6"/>
      <c r="BO474" s="8"/>
      <c r="BP474" s="8"/>
      <c r="BQ474" s="6"/>
      <c r="BR474" s="8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  <c r="HQ474" s="7"/>
      <c r="HR474" s="7"/>
      <c r="HS474" s="7"/>
      <c r="HT474" s="7"/>
      <c r="HU474" s="7"/>
      <c r="HV474" s="7"/>
      <c r="HW474" s="7"/>
      <c r="HX474" s="7"/>
      <c r="HY474" s="7"/>
      <c r="HZ474" s="7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7"/>
      <c r="IP474" s="7"/>
      <c r="IQ474" s="7"/>
      <c r="IR474" s="7"/>
      <c r="IS474" s="7"/>
      <c r="IT474" s="7"/>
      <c r="IU474" s="7"/>
      <c r="IV474" s="7"/>
      <c r="IW474" s="7"/>
      <c r="IX474" s="7"/>
      <c r="IY474" s="7"/>
      <c r="IZ474" s="7"/>
      <c r="JA474" s="7"/>
      <c r="JB474" s="7"/>
      <c r="JC474" s="7"/>
      <c r="JD474" s="7"/>
      <c r="JE474" s="7"/>
      <c r="JF474" s="7"/>
      <c r="JG474" s="7"/>
      <c r="JH474" s="7"/>
      <c r="JI474" s="7"/>
      <c r="JJ474" s="7"/>
      <c r="JK474" s="7"/>
      <c r="JL474" s="7"/>
      <c r="JM474" s="7"/>
      <c r="JN474" s="7"/>
      <c r="JO474" s="7"/>
      <c r="JP474" s="7"/>
      <c r="JQ474" s="7"/>
      <c r="JR474" s="7"/>
      <c r="JS474" s="7"/>
      <c r="JT474" s="7"/>
      <c r="JU474" s="7"/>
      <c r="JV474" s="7"/>
      <c r="JW474" s="7"/>
      <c r="JX474" s="7"/>
      <c r="JY474" s="7"/>
      <c r="JZ474" s="7"/>
      <c r="KA474" s="7"/>
      <c r="KB474" s="7"/>
      <c r="KC474" s="7"/>
      <c r="KD474" s="7"/>
      <c r="KE474" s="7"/>
      <c r="KF474" s="7"/>
      <c r="KG474" s="7"/>
      <c r="KH474" s="7"/>
      <c r="KI474" s="7"/>
      <c r="KJ474" s="7"/>
      <c r="KK474" s="7"/>
      <c r="KL474" s="7"/>
      <c r="KM474" s="7"/>
      <c r="KN474" s="7"/>
    </row>
    <row r="475">
      <c r="A475" s="6"/>
      <c r="B475" s="6" t="s">
        <v>475</v>
      </c>
      <c r="C475" s="3" t="str">
        <f t="shared" si="3"/>
        <v>faded fuchsia</v>
      </c>
      <c r="D475" s="3" t="str">
        <f t="shared" si="17"/>
        <v>ZZZ</v>
      </c>
      <c r="E475" s="3" t="b">
        <f t="array" ref="E475">OR(ISNUMBER(SEARCH(D$2:D$30,$B475,5)))</f>
        <v>0</v>
      </c>
      <c r="G475" s="3" t="str">
        <f t="shared" si="4"/>
        <v>ZZZ</v>
      </c>
      <c r="H475" s="3" t="b">
        <f t="array" ref="H475">OR(ISNUMBER(SEARCH(G$2:G$30,$B475,5)))</f>
        <v>0</v>
      </c>
      <c r="J475" s="3" t="str">
        <f t="shared" si="5"/>
        <v>ZZZ</v>
      </c>
      <c r="K475" s="3" t="b">
        <f t="array" ref="K475">OR(ISNUMBER(SEARCH(J$2:J$30,$B475,5)))</f>
        <v>0</v>
      </c>
      <c r="M475" s="3" t="str">
        <f t="shared" si="6"/>
        <v>ZZZ</v>
      </c>
      <c r="N475" s="3" t="b">
        <f t="array" ref="N475">OR(ISNUMBER(SEARCH(M$2:M$30,$B475,5)))</f>
        <v>0</v>
      </c>
      <c r="P475" s="3" t="str">
        <f t="shared" si="7"/>
        <v>ZZZ</v>
      </c>
      <c r="Q475" s="3" t="b">
        <f t="array" ref="Q475">OR(ISNUMBER(SEARCH(P$2:P$50,$B475,5)))</f>
        <v>0</v>
      </c>
      <c r="S475" s="3" t="str">
        <f t="shared" si="8"/>
        <v>ZZZ</v>
      </c>
      <c r="T475" s="3" t="b">
        <f t="array" ref="T475">OR(ISNUMBER(SEARCH(S$2:S$100,$B475,5)))</f>
        <v>0</v>
      </c>
      <c r="V475" s="3" t="str">
        <f t="shared" si="9"/>
        <v>ZZZ</v>
      </c>
      <c r="W475" s="3" t="b">
        <f t="array" ref="W475">OR(ISNUMBER(SEARCH(V$2:V$100,$B475,5)))</f>
        <v>0</v>
      </c>
      <c r="Y475" s="3" t="str">
        <f t="shared" si="10"/>
        <v>ZZZ</v>
      </c>
      <c r="Z475" s="3" t="b">
        <f t="array" ref="Z475">OR(ISNUMBER(SEARCH(Y$2:Y$100,$B475,5)))</f>
        <v>0</v>
      </c>
      <c r="AB475" s="3" t="str">
        <f t="shared" si="11"/>
        <v>ZZZ</v>
      </c>
      <c r="AC475" s="3" t="b">
        <f t="array" ref="AC475">OR(ISNUMBER(SEARCH(AB$2:AB$100,$B475,5)))</f>
        <v>0</v>
      </c>
      <c r="AE475" s="3" t="str">
        <f t="shared" si="12"/>
        <v>ZZZ</v>
      </c>
      <c r="AF475" s="3" t="b">
        <f t="array" ref="AF475">OR(ISNUMBER(SEARCH(AE$2:AE$100,$B475,5)))</f>
        <v>0</v>
      </c>
      <c r="AH475" s="3" t="str">
        <f t="shared" si="13"/>
        <v>ZZZ</v>
      </c>
      <c r="AI475" s="3" t="b">
        <f t="array" ref="AI475">OR(ISNUMBER(SEARCH(AH$2:AH$100,$B475,5)))</f>
        <v>0</v>
      </c>
      <c r="AK475" s="3" t="str">
        <f t="shared" si="14"/>
        <v>ZZZ</v>
      </c>
      <c r="AL475" s="3" t="b">
        <f t="array" ref="AL475">OR(ISNUMBER(SEARCH(AK$2:AK$100,$B475,5)))</f>
        <v>0</v>
      </c>
      <c r="AU475" s="8"/>
      <c r="AV475" s="6"/>
      <c r="AW475" s="8"/>
      <c r="AX475" s="8"/>
      <c r="AY475" s="6"/>
      <c r="AZ475" s="8"/>
      <c r="BA475" s="8"/>
      <c r="BB475" s="6"/>
      <c r="BC475" s="8"/>
      <c r="BD475" s="8"/>
      <c r="BE475" s="6"/>
      <c r="BF475" s="8"/>
      <c r="BG475" s="8"/>
      <c r="BH475" s="6"/>
      <c r="BI475" s="8"/>
      <c r="BJ475" s="8"/>
      <c r="BK475" s="6"/>
      <c r="BL475" s="8"/>
      <c r="BM475" s="8"/>
      <c r="BN475" s="6"/>
      <c r="BO475" s="8"/>
      <c r="BP475" s="8"/>
      <c r="BQ475" s="6"/>
      <c r="BR475" s="8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  <c r="HQ475" s="7"/>
      <c r="HR475" s="7"/>
      <c r="HS475" s="7"/>
      <c r="HT475" s="7"/>
      <c r="HU475" s="7"/>
      <c r="HV475" s="7"/>
      <c r="HW475" s="7"/>
      <c r="HX475" s="7"/>
      <c r="HY475" s="7"/>
      <c r="HZ475" s="7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7"/>
      <c r="IQ475" s="7"/>
      <c r="IR475" s="7"/>
      <c r="IS475" s="7"/>
      <c r="IT475" s="7"/>
      <c r="IU475" s="7"/>
      <c r="IV475" s="7"/>
      <c r="IW475" s="7"/>
      <c r="IX475" s="7"/>
      <c r="IY475" s="7"/>
      <c r="IZ475" s="7"/>
      <c r="JA475" s="7"/>
      <c r="JB475" s="7"/>
      <c r="JC475" s="7"/>
      <c r="JD475" s="7"/>
      <c r="JE475" s="7"/>
      <c r="JF475" s="7"/>
      <c r="JG475" s="7"/>
      <c r="JH475" s="7"/>
      <c r="JI475" s="7"/>
      <c r="JJ475" s="7"/>
      <c r="JK475" s="7"/>
      <c r="JL475" s="7"/>
      <c r="JM475" s="7"/>
      <c r="JN475" s="7"/>
      <c r="JO475" s="7"/>
      <c r="JP475" s="7"/>
      <c r="JQ475" s="7"/>
      <c r="JR475" s="7"/>
      <c r="JS475" s="7"/>
      <c r="JT475" s="7"/>
      <c r="JU475" s="7"/>
      <c r="JV475" s="7"/>
      <c r="JW475" s="7"/>
      <c r="JX475" s="7"/>
      <c r="JY475" s="7"/>
      <c r="JZ475" s="7"/>
      <c r="KA475" s="7"/>
      <c r="KB475" s="7"/>
      <c r="KC475" s="7"/>
      <c r="KD475" s="7"/>
      <c r="KE475" s="7"/>
      <c r="KF475" s="7"/>
      <c r="KG475" s="7"/>
      <c r="KH475" s="7"/>
      <c r="KI475" s="7"/>
      <c r="KJ475" s="7"/>
      <c r="KK475" s="7"/>
      <c r="KL475" s="7"/>
      <c r="KM475" s="7"/>
      <c r="KN475" s="7"/>
    </row>
    <row r="476">
      <c r="A476" s="6"/>
      <c r="B476" s="6" t="s">
        <v>476</v>
      </c>
      <c r="C476" s="3" t="str">
        <f t="shared" si="3"/>
        <v>dotted brown</v>
      </c>
      <c r="D476" s="3" t="str">
        <f t="shared" si="17"/>
        <v>ZZZ</v>
      </c>
      <c r="E476" s="3" t="b">
        <f t="array" ref="E476">OR(ISNUMBER(SEARCH(D$2:D$30,$B476,5)))</f>
        <v>0</v>
      </c>
      <c r="G476" s="3" t="str">
        <f t="shared" si="4"/>
        <v>ZZZ</v>
      </c>
      <c r="H476" s="3" t="b">
        <f t="array" ref="H476">OR(ISNUMBER(SEARCH(G$2:G$30,$B476,5)))</f>
        <v>0</v>
      </c>
      <c r="J476" s="3" t="str">
        <f t="shared" si="5"/>
        <v>ZZZ</v>
      </c>
      <c r="K476" s="3" t="b">
        <f t="array" ref="K476">OR(ISNUMBER(SEARCH(J$2:J$30,$B476,5)))</f>
        <v>0</v>
      </c>
      <c r="M476" s="3" t="str">
        <f t="shared" si="6"/>
        <v>ZZZ</v>
      </c>
      <c r="N476" s="3" t="b">
        <f t="array" ref="N476">OR(ISNUMBER(SEARCH(M$2:M$30,$B476,5)))</f>
        <v>0</v>
      </c>
      <c r="P476" s="3" t="str">
        <f t="shared" si="7"/>
        <v>ZZZ</v>
      </c>
      <c r="Q476" s="3" t="b">
        <f t="array" ref="Q476">OR(ISNUMBER(SEARCH(P$2:P$50,$B476,5)))</f>
        <v>0</v>
      </c>
      <c r="S476" s="3" t="str">
        <f t="shared" si="8"/>
        <v>ZZZ</v>
      </c>
      <c r="T476" s="3" t="b">
        <f t="array" ref="T476">OR(ISNUMBER(SEARCH(S$2:S$100,$B476,5)))</f>
        <v>0</v>
      </c>
      <c r="V476" s="3" t="str">
        <f t="shared" si="9"/>
        <v>ZZZ</v>
      </c>
      <c r="W476" s="3" t="b">
        <f t="array" ref="W476">OR(ISNUMBER(SEARCH(V$2:V$100,$B476,5)))</f>
        <v>0</v>
      </c>
      <c r="Y476" s="3" t="str">
        <f t="shared" si="10"/>
        <v>ZZZ</v>
      </c>
      <c r="Z476" s="3" t="b">
        <f t="array" ref="Z476">OR(ISNUMBER(SEARCH(Y$2:Y$100,$B476,5)))</f>
        <v>0</v>
      </c>
      <c r="AB476" s="3" t="str">
        <f t="shared" si="11"/>
        <v>ZZZ</v>
      </c>
      <c r="AC476" s="3" t="b">
        <f t="array" ref="AC476">OR(ISNUMBER(SEARCH(AB$2:AB$100,$B476,5)))</f>
        <v>0</v>
      </c>
      <c r="AE476" s="3" t="str">
        <f t="shared" si="12"/>
        <v>ZZZ</v>
      </c>
      <c r="AF476" s="3" t="b">
        <f t="array" ref="AF476">OR(ISNUMBER(SEARCH(AE$2:AE$100,$B476,5)))</f>
        <v>0</v>
      </c>
      <c r="AH476" s="3" t="str">
        <f t="shared" si="13"/>
        <v>ZZZ</v>
      </c>
      <c r="AI476" s="3" t="b">
        <f t="array" ref="AI476">OR(ISNUMBER(SEARCH(AH$2:AH$100,$B476,5)))</f>
        <v>0</v>
      </c>
      <c r="AK476" s="3" t="str">
        <f t="shared" si="14"/>
        <v>ZZZ</v>
      </c>
      <c r="AL476" s="3" t="b">
        <f t="array" ref="AL476">OR(ISNUMBER(SEARCH(AK$2:AK$100,$B476,5)))</f>
        <v>0</v>
      </c>
      <c r="AU476" s="8"/>
      <c r="AV476" s="6"/>
      <c r="AW476" s="8"/>
      <c r="AX476" s="8"/>
      <c r="AY476" s="6"/>
      <c r="AZ476" s="8"/>
      <c r="BA476" s="8"/>
      <c r="BB476" s="6"/>
      <c r="BC476" s="8"/>
      <c r="BD476" s="8"/>
      <c r="BE476" s="6"/>
      <c r="BF476" s="8"/>
      <c r="BG476" s="8"/>
      <c r="BH476" s="6"/>
      <c r="BI476" s="8"/>
      <c r="BJ476" s="8"/>
      <c r="BK476" s="6"/>
      <c r="BL476" s="8"/>
      <c r="BM476" s="8"/>
      <c r="BN476" s="6"/>
      <c r="BO476" s="8"/>
      <c r="BP476" s="8"/>
      <c r="BQ476" s="6"/>
      <c r="BR476" s="8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  <c r="HU476" s="7"/>
      <c r="HV476" s="7"/>
      <c r="HW476" s="7"/>
      <c r="HX476" s="7"/>
      <c r="HY476" s="7"/>
      <c r="HZ476" s="7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7"/>
      <c r="IQ476" s="7"/>
      <c r="IR476" s="7"/>
      <c r="IS476" s="7"/>
      <c r="IT476" s="7"/>
      <c r="IU476" s="7"/>
      <c r="IV476" s="7"/>
      <c r="IW476" s="7"/>
      <c r="IX476" s="7"/>
      <c r="IY476" s="7"/>
      <c r="IZ476" s="7"/>
      <c r="JA476" s="7"/>
      <c r="JB476" s="7"/>
      <c r="JC476" s="7"/>
      <c r="JD476" s="7"/>
      <c r="JE476" s="7"/>
      <c r="JF476" s="7"/>
      <c r="JG476" s="7"/>
      <c r="JH476" s="7"/>
      <c r="JI476" s="7"/>
      <c r="JJ476" s="7"/>
      <c r="JK476" s="7"/>
      <c r="JL476" s="7"/>
      <c r="JM476" s="7"/>
      <c r="JN476" s="7"/>
      <c r="JO476" s="7"/>
      <c r="JP476" s="7"/>
      <c r="JQ476" s="7"/>
      <c r="JR476" s="7"/>
      <c r="JS476" s="7"/>
      <c r="JT476" s="7"/>
      <c r="JU476" s="7"/>
      <c r="JV476" s="7"/>
      <c r="JW476" s="7"/>
      <c r="JX476" s="7"/>
      <c r="JY476" s="7"/>
      <c r="JZ476" s="7"/>
      <c r="KA476" s="7"/>
      <c r="KB476" s="7"/>
      <c r="KC476" s="7"/>
      <c r="KD476" s="7"/>
      <c r="KE476" s="7"/>
      <c r="KF476" s="7"/>
      <c r="KG476" s="7"/>
      <c r="KH476" s="7"/>
      <c r="KI476" s="7"/>
      <c r="KJ476" s="7"/>
      <c r="KK476" s="7"/>
      <c r="KL476" s="7"/>
      <c r="KM476" s="7"/>
      <c r="KN476" s="7"/>
    </row>
    <row r="477">
      <c r="A477" s="6"/>
      <c r="B477" s="6" t="s">
        <v>477</v>
      </c>
      <c r="C477" s="3" t="str">
        <f t="shared" si="3"/>
        <v>dark teal</v>
      </c>
      <c r="D477" s="3" t="str">
        <f t="shared" si="17"/>
        <v>ZZZ</v>
      </c>
      <c r="E477" s="3" t="b">
        <f t="array" ref="E477">OR(ISNUMBER(SEARCH(D$2:D$30,$B477,5)))</f>
        <v>0</v>
      </c>
      <c r="G477" s="3" t="str">
        <f t="shared" si="4"/>
        <v>ZZZ</v>
      </c>
      <c r="H477" s="3" t="b">
        <f t="array" ref="H477">OR(ISNUMBER(SEARCH(G$2:G$30,$B477,5)))</f>
        <v>0</v>
      </c>
      <c r="J477" s="3" t="str">
        <f t="shared" si="5"/>
        <v>ZZZ</v>
      </c>
      <c r="K477" s="3" t="b">
        <f t="array" ref="K477">OR(ISNUMBER(SEARCH(J$2:J$30,$B477,5)))</f>
        <v>0</v>
      </c>
      <c r="M477" s="3" t="str">
        <f t="shared" si="6"/>
        <v>ZZZ</v>
      </c>
      <c r="N477" s="3" t="b">
        <f t="array" ref="N477">OR(ISNUMBER(SEARCH(M$2:M$30,$B477,5)))</f>
        <v>0</v>
      </c>
      <c r="P477" s="3" t="str">
        <f t="shared" si="7"/>
        <v>ZZZ</v>
      </c>
      <c r="Q477" s="3" t="b">
        <f t="array" ref="Q477">OR(ISNUMBER(SEARCH(P$2:P$50,$B477,5)))</f>
        <v>0</v>
      </c>
      <c r="S477" s="3" t="str">
        <f t="shared" si="8"/>
        <v>ZZZ</v>
      </c>
      <c r="T477" s="3" t="b">
        <f t="array" ref="T477">OR(ISNUMBER(SEARCH(S$2:S$100,$B477,5)))</f>
        <v>0</v>
      </c>
      <c r="V477" s="3" t="str">
        <f t="shared" si="9"/>
        <v>ZZZ</v>
      </c>
      <c r="W477" s="3" t="b">
        <f t="array" ref="W477">OR(ISNUMBER(SEARCH(V$2:V$100,$B477,5)))</f>
        <v>0</v>
      </c>
      <c r="Y477" s="3" t="str">
        <f t="shared" si="10"/>
        <v>ZZZ</v>
      </c>
      <c r="Z477" s="3" t="b">
        <f t="array" ref="Z477">OR(ISNUMBER(SEARCH(Y$2:Y$100,$B477,5)))</f>
        <v>0</v>
      </c>
      <c r="AB477" s="3" t="str">
        <f t="shared" si="11"/>
        <v>ZZZ</v>
      </c>
      <c r="AC477" s="3" t="b">
        <f t="array" ref="AC477">OR(ISNUMBER(SEARCH(AB$2:AB$100,$B477,5)))</f>
        <v>0</v>
      </c>
      <c r="AE477" s="3" t="str">
        <f t="shared" si="12"/>
        <v>ZZZ</v>
      </c>
      <c r="AF477" s="3" t="b">
        <f t="array" ref="AF477">OR(ISNUMBER(SEARCH(AE$2:AE$100,$B477,5)))</f>
        <v>0</v>
      </c>
      <c r="AH477" s="3" t="str">
        <f t="shared" si="13"/>
        <v>ZZZ</v>
      </c>
      <c r="AI477" s="3" t="b">
        <f t="array" ref="AI477">OR(ISNUMBER(SEARCH(AH$2:AH$100,$B477,5)))</f>
        <v>0</v>
      </c>
      <c r="AK477" s="3" t="str">
        <f t="shared" si="14"/>
        <v>ZZZ</v>
      </c>
      <c r="AL477" s="3" t="b">
        <f t="array" ref="AL477">OR(ISNUMBER(SEARCH(AK$2:AK$100,$B477,5)))</f>
        <v>0</v>
      </c>
      <c r="AU477" s="8"/>
      <c r="AV477" s="6"/>
      <c r="AW477" s="8"/>
      <c r="AX477" s="8"/>
      <c r="AY477" s="6"/>
      <c r="AZ477" s="8"/>
      <c r="BA477" s="8"/>
      <c r="BB477" s="6"/>
      <c r="BC477" s="8"/>
      <c r="BD477" s="8"/>
      <c r="BE477" s="6"/>
      <c r="BF477" s="8"/>
      <c r="BG477" s="8"/>
      <c r="BH477" s="6"/>
      <c r="BI477" s="8"/>
      <c r="BJ477" s="8"/>
      <c r="BK477" s="6"/>
      <c r="BL477" s="8"/>
      <c r="BM477" s="8"/>
      <c r="BN477" s="6"/>
      <c r="BO477" s="8"/>
      <c r="BP477" s="8"/>
      <c r="BQ477" s="6"/>
      <c r="BR477" s="8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  <c r="HU477" s="7"/>
      <c r="HV477" s="7"/>
      <c r="HW477" s="7"/>
      <c r="HX477" s="7"/>
      <c r="HY477" s="7"/>
      <c r="HZ477" s="7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7"/>
      <c r="IQ477" s="7"/>
      <c r="IR477" s="7"/>
      <c r="IS477" s="7"/>
      <c r="IT477" s="7"/>
      <c r="IU477" s="7"/>
      <c r="IV477" s="7"/>
      <c r="IW477" s="7"/>
      <c r="IX477" s="7"/>
      <c r="IY477" s="7"/>
      <c r="IZ477" s="7"/>
      <c r="JA477" s="7"/>
      <c r="JB477" s="7"/>
      <c r="JC477" s="7"/>
      <c r="JD477" s="7"/>
      <c r="JE477" s="7"/>
      <c r="JF477" s="7"/>
      <c r="JG477" s="7"/>
      <c r="JH477" s="7"/>
      <c r="JI477" s="7"/>
      <c r="JJ477" s="7"/>
      <c r="JK477" s="7"/>
      <c r="JL477" s="7"/>
      <c r="JM477" s="7"/>
      <c r="JN477" s="7"/>
      <c r="JO477" s="7"/>
      <c r="JP477" s="7"/>
      <c r="JQ477" s="7"/>
      <c r="JR477" s="7"/>
      <c r="JS477" s="7"/>
      <c r="JT477" s="7"/>
      <c r="JU477" s="7"/>
      <c r="JV477" s="7"/>
      <c r="JW477" s="7"/>
      <c r="JX477" s="7"/>
      <c r="JY477" s="7"/>
      <c r="JZ477" s="7"/>
      <c r="KA477" s="7"/>
      <c r="KB477" s="7"/>
      <c r="KC477" s="7"/>
      <c r="KD477" s="7"/>
      <c r="KE477" s="7"/>
      <c r="KF477" s="7"/>
      <c r="KG477" s="7"/>
      <c r="KH477" s="7"/>
      <c r="KI477" s="7"/>
      <c r="KJ477" s="7"/>
      <c r="KK477" s="7"/>
      <c r="KL477" s="7"/>
      <c r="KM477" s="7"/>
      <c r="KN477" s="7"/>
    </row>
    <row r="478">
      <c r="A478" s="6"/>
      <c r="B478" s="6" t="s">
        <v>478</v>
      </c>
      <c r="C478" s="3" t="str">
        <f t="shared" si="3"/>
        <v>bright salmon</v>
      </c>
      <c r="D478" s="3" t="str">
        <f t="shared" si="17"/>
        <v>ZZZ</v>
      </c>
      <c r="E478" s="3" t="b">
        <f t="array" ref="E478">OR(ISNUMBER(SEARCH(D$2:D$30,$B478,5)))</f>
        <v>0</v>
      </c>
      <c r="G478" s="3" t="str">
        <f t="shared" si="4"/>
        <v>ZZZ</v>
      </c>
      <c r="H478" s="3" t="b">
        <f t="array" ref="H478">OR(ISNUMBER(SEARCH(G$2:G$30,$B478,5)))</f>
        <v>0</v>
      </c>
      <c r="J478" s="3" t="str">
        <f t="shared" si="5"/>
        <v>ZZZ</v>
      </c>
      <c r="K478" s="3" t="b">
        <f t="array" ref="K478">OR(ISNUMBER(SEARCH(J$2:J$30,$B478,5)))</f>
        <v>0</v>
      </c>
      <c r="M478" s="3" t="str">
        <f t="shared" si="6"/>
        <v>ZZZ</v>
      </c>
      <c r="N478" s="3" t="b">
        <f t="array" ref="N478">OR(ISNUMBER(SEARCH(M$2:M$30,$B478,5)))</f>
        <v>0</v>
      </c>
      <c r="P478" s="3" t="str">
        <f t="shared" si="7"/>
        <v>ZZZ</v>
      </c>
      <c r="Q478" s="3" t="b">
        <f t="array" ref="Q478">OR(ISNUMBER(SEARCH(P$2:P$50,$B478,5)))</f>
        <v>0</v>
      </c>
      <c r="S478" s="3" t="str">
        <f t="shared" si="8"/>
        <v>ZZZ</v>
      </c>
      <c r="T478" s="3" t="b">
        <f t="array" ref="T478">OR(ISNUMBER(SEARCH(S$2:S$100,$B478,5)))</f>
        <v>0</v>
      </c>
      <c r="V478" s="3" t="str">
        <f t="shared" si="9"/>
        <v>ZZZ</v>
      </c>
      <c r="W478" s="3" t="b">
        <f t="array" ref="W478">OR(ISNUMBER(SEARCH(V$2:V$100,$B478,5)))</f>
        <v>0</v>
      </c>
      <c r="Y478" s="3" t="str">
        <f t="shared" si="10"/>
        <v>ZZZ</v>
      </c>
      <c r="Z478" s="3" t="b">
        <f t="array" ref="Z478">OR(ISNUMBER(SEARCH(Y$2:Y$100,$B478,5)))</f>
        <v>0</v>
      </c>
      <c r="AB478" s="3" t="str">
        <f t="shared" si="11"/>
        <v>ZZZ</v>
      </c>
      <c r="AC478" s="3" t="b">
        <f t="array" ref="AC478">OR(ISNUMBER(SEARCH(AB$2:AB$100,$B478,5)))</f>
        <v>0</v>
      </c>
      <c r="AE478" s="3" t="str">
        <f t="shared" si="12"/>
        <v>ZZZ</v>
      </c>
      <c r="AF478" s="3" t="b">
        <f t="array" ref="AF478">OR(ISNUMBER(SEARCH(AE$2:AE$100,$B478,5)))</f>
        <v>0</v>
      </c>
      <c r="AH478" s="3" t="str">
        <f t="shared" si="13"/>
        <v>ZZZ</v>
      </c>
      <c r="AI478" s="3" t="b">
        <f t="array" ref="AI478">OR(ISNUMBER(SEARCH(AH$2:AH$100,$B478,5)))</f>
        <v>0</v>
      </c>
      <c r="AK478" s="3" t="str">
        <f t="shared" si="14"/>
        <v>ZZZ</v>
      </c>
      <c r="AL478" s="3" t="b">
        <f t="array" ref="AL478">OR(ISNUMBER(SEARCH(AK$2:AK$100,$B478,5)))</f>
        <v>0</v>
      </c>
      <c r="AU478" s="8"/>
      <c r="AV478" s="6"/>
      <c r="AW478" s="8"/>
      <c r="AX478" s="8"/>
      <c r="AY478" s="6"/>
      <c r="AZ478" s="8"/>
      <c r="BA478" s="8"/>
      <c r="BB478" s="6"/>
      <c r="BC478" s="8"/>
      <c r="BD478" s="8"/>
      <c r="BE478" s="6"/>
      <c r="BF478" s="8"/>
      <c r="BG478" s="8"/>
      <c r="BH478" s="6"/>
      <c r="BI478" s="8"/>
      <c r="BJ478" s="8"/>
      <c r="BK478" s="6"/>
      <c r="BL478" s="8"/>
      <c r="BM478" s="8"/>
      <c r="BN478" s="6"/>
      <c r="BO478" s="8"/>
      <c r="BP478" s="8"/>
      <c r="BQ478" s="6"/>
      <c r="BR478" s="8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7"/>
      <c r="HO478" s="7"/>
      <c r="HP478" s="7"/>
      <c r="HQ478" s="7"/>
      <c r="HR478" s="7"/>
      <c r="HS478" s="7"/>
      <c r="HT478" s="7"/>
      <c r="HU478" s="7"/>
      <c r="HV478" s="7"/>
      <c r="HW478" s="7"/>
      <c r="HX478" s="7"/>
      <c r="HY478" s="7"/>
      <c r="HZ478" s="7"/>
      <c r="IA478" s="7"/>
      <c r="IB478" s="7"/>
      <c r="IC478" s="7"/>
      <c r="ID478" s="7"/>
      <c r="IE478" s="7"/>
      <c r="IF478" s="7"/>
      <c r="IG478" s="7"/>
      <c r="IH478" s="7"/>
      <c r="II478" s="7"/>
      <c r="IJ478" s="7"/>
      <c r="IK478" s="7"/>
      <c r="IL478" s="7"/>
      <c r="IM478" s="7"/>
      <c r="IN478" s="7"/>
      <c r="IO478" s="7"/>
      <c r="IP478" s="7"/>
      <c r="IQ478" s="7"/>
      <c r="IR478" s="7"/>
      <c r="IS478" s="7"/>
      <c r="IT478" s="7"/>
      <c r="IU478" s="7"/>
      <c r="IV478" s="7"/>
      <c r="IW478" s="7"/>
      <c r="IX478" s="7"/>
      <c r="IY478" s="7"/>
      <c r="IZ478" s="7"/>
      <c r="JA478" s="7"/>
      <c r="JB478" s="7"/>
      <c r="JC478" s="7"/>
      <c r="JD478" s="7"/>
      <c r="JE478" s="7"/>
      <c r="JF478" s="7"/>
      <c r="JG478" s="7"/>
      <c r="JH478" s="7"/>
      <c r="JI478" s="7"/>
      <c r="JJ478" s="7"/>
      <c r="JK478" s="7"/>
      <c r="JL478" s="7"/>
      <c r="JM478" s="7"/>
      <c r="JN478" s="7"/>
      <c r="JO478" s="7"/>
      <c r="JP478" s="7"/>
      <c r="JQ478" s="7"/>
      <c r="JR478" s="7"/>
      <c r="JS478" s="7"/>
      <c r="JT478" s="7"/>
      <c r="JU478" s="7"/>
      <c r="JV478" s="7"/>
      <c r="JW478" s="7"/>
      <c r="JX478" s="7"/>
      <c r="JY478" s="7"/>
      <c r="JZ478" s="7"/>
      <c r="KA478" s="7"/>
      <c r="KB478" s="7"/>
      <c r="KC478" s="7"/>
      <c r="KD478" s="7"/>
      <c r="KE478" s="7"/>
      <c r="KF478" s="7"/>
      <c r="KG478" s="7"/>
      <c r="KH478" s="7"/>
      <c r="KI478" s="7"/>
      <c r="KJ478" s="7"/>
      <c r="KK478" s="7"/>
      <c r="KL478" s="7"/>
      <c r="KM478" s="7"/>
      <c r="KN478" s="7"/>
    </row>
    <row r="479">
      <c r="A479" s="6"/>
      <c r="B479" s="6" t="s">
        <v>479</v>
      </c>
      <c r="C479" s="3" t="str">
        <f t="shared" si="3"/>
        <v>pale blue</v>
      </c>
      <c r="D479" s="3" t="str">
        <f t="shared" si="17"/>
        <v>ZZZ</v>
      </c>
      <c r="E479" s="3" t="b">
        <f t="array" ref="E479">OR(ISNUMBER(SEARCH(D$2:D$30,$B479,5)))</f>
        <v>1</v>
      </c>
      <c r="G479" s="3" t="str">
        <f t="shared" si="4"/>
        <v>ZZZ</v>
      </c>
      <c r="H479" s="3" t="b">
        <f t="array" ref="H479">OR(ISNUMBER(SEARCH(G$2:G$30,$B479,5)))</f>
        <v>0</v>
      </c>
      <c r="J479" s="3" t="str">
        <f t="shared" si="5"/>
        <v>ZZZ</v>
      </c>
      <c r="K479" s="3" t="b">
        <f t="array" ref="K479">OR(ISNUMBER(SEARCH(J$2:J$30,$B479,5)))</f>
        <v>0</v>
      </c>
      <c r="M479" s="3" t="str">
        <f t="shared" si="6"/>
        <v>ZZZ</v>
      </c>
      <c r="N479" s="3" t="b">
        <f t="array" ref="N479">OR(ISNUMBER(SEARCH(M$2:M$30,$B479,5)))</f>
        <v>0</v>
      </c>
      <c r="P479" s="3" t="str">
        <f t="shared" si="7"/>
        <v>ZZZ</v>
      </c>
      <c r="Q479" s="3" t="b">
        <f t="array" ref="Q479">OR(ISNUMBER(SEARCH(P$2:P$50,$B479,5)))</f>
        <v>0</v>
      </c>
      <c r="S479" s="3" t="str">
        <f t="shared" si="8"/>
        <v>ZZZ</v>
      </c>
      <c r="T479" s="3" t="b">
        <f t="array" ref="T479">OR(ISNUMBER(SEARCH(S$2:S$100,$B479,5)))</f>
        <v>0</v>
      </c>
      <c r="V479" s="3" t="str">
        <f t="shared" si="9"/>
        <v>ZZZ</v>
      </c>
      <c r="W479" s="3" t="b">
        <f t="array" ref="W479">OR(ISNUMBER(SEARCH(V$2:V$100,$B479,5)))</f>
        <v>0</v>
      </c>
      <c r="Y479" s="3" t="str">
        <f t="shared" si="10"/>
        <v>ZZZ</v>
      </c>
      <c r="Z479" s="3" t="b">
        <f t="array" ref="Z479">OR(ISNUMBER(SEARCH(Y$2:Y$100,$B479,5)))</f>
        <v>0</v>
      </c>
      <c r="AB479" s="3" t="str">
        <f t="shared" si="11"/>
        <v>ZZZ</v>
      </c>
      <c r="AC479" s="3" t="b">
        <f t="array" ref="AC479">OR(ISNUMBER(SEARCH(AB$2:AB$100,$B479,5)))</f>
        <v>0</v>
      </c>
      <c r="AE479" s="3" t="str">
        <f t="shared" si="12"/>
        <v>ZZZ</v>
      </c>
      <c r="AF479" s="3" t="b">
        <f t="array" ref="AF479">OR(ISNUMBER(SEARCH(AE$2:AE$100,$B479,5)))</f>
        <v>0</v>
      </c>
      <c r="AH479" s="3" t="str">
        <f t="shared" si="13"/>
        <v>ZZZ</v>
      </c>
      <c r="AI479" s="3" t="b">
        <f t="array" ref="AI479">OR(ISNUMBER(SEARCH(AH$2:AH$100,$B479,5)))</f>
        <v>0</v>
      </c>
      <c r="AK479" s="3" t="str">
        <f t="shared" si="14"/>
        <v>ZZZ</v>
      </c>
      <c r="AL479" s="3" t="b">
        <f t="array" ref="AL479">OR(ISNUMBER(SEARCH(AK$2:AK$100,$B479,5)))</f>
        <v>0</v>
      </c>
      <c r="AU479" s="8"/>
      <c r="AV479" s="6"/>
      <c r="AW479" s="8"/>
      <c r="AX479" s="8"/>
      <c r="AY479" s="6"/>
      <c r="AZ479" s="8"/>
      <c r="BA479" s="8"/>
      <c r="BB479" s="6"/>
      <c r="BC479" s="8"/>
      <c r="BD479" s="8"/>
      <c r="BE479" s="6"/>
      <c r="BF479" s="8"/>
      <c r="BG479" s="8"/>
      <c r="BH479" s="6"/>
      <c r="BI479" s="8"/>
      <c r="BJ479" s="8"/>
      <c r="BK479" s="6"/>
      <c r="BL479" s="8"/>
      <c r="BM479" s="8"/>
      <c r="BN479" s="6"/>
      <c r="BO479" s="8"/>
      <c r="BP479" s="8"/>
      <c r="BQ479" s="6"/>
      <c r="BR479" s="8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7"/>
      <c r="HO479" s="7"/>
      <c r="HP479" s="7"/>
      <c r="HQ479" s="7"/>
      <c r="HR479" s="7"/>
      <c r="HS479" s="7"/>
      <c r="HT479" s="7"/>
      <c r="HU479" s="7"/>
      <c r="HV479" s="7"/>
      <c r="HW479" s="7"/>
      <c r="HX479" s="7"/>
      <c r="HY479" s="7"/>
      <c r="HZ479" s="7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7"/>
      <c r="IN479" s="7"/>
      <c r="IO479" s="7"/>
      <c r="IP479" s="7"/>
      <c r="IQ479" s="7"/>
      <c r="IR479" s="7"/>
      <c r="IS479" s="7"/>
      <c r="IT479" s="7"/>
      <c r="IU479" s="7"/>
      <c r="IV479" s="7"/>
      <c r="IW479" s="7"/>
      <c r="IX479" s="7"/>
      <c r="IY479" s="7"/>
      <c r="IZ479" s="7"/>
      <c r="JA479" s="7"/>
      <c r="JB479" s="7"/>
      <c r="JC479" s="7"/>
      <c r="JD479" s="7"/>
      <c r="JE479" s="7"/>
      <c r="JF479" s="7"/>
      <c r="JG479" s="7"/>
      <c r="JH479" s="7"/>
      <c r="JI479" s="7"/>
      <c r="JJ479" s="7"/>
      <c r="JK479" s="7"/>
      <c r="JL479" s="7"/>
      <c r="JM479" s="7"/>
      <c r="JN479" s="7"/>
      <c r="JO479" s="7"/>
      <c r="JP479" s="7"/>
      <c r="JQ479" s="7"/>
      <c r="JR479" s="7"/>
      <c r="JS479" s="7"/>
      <c r="JT479" s="7"/>
      <c r="JU479" s="7"/>
      <c r="JV479" s="7"/>
      <c r="JW479" s="7"/>
      <c r="JX479" s="7"/>
      <c r="JY479" s="7"/>
      <c r="JZ479" s="7"/>
      <c r="KA479" s="7"/>
      <c r="KB479" s="7"/>
      <c r="KC479" s="7"/>
      <c r="KD479" s="7"/>
      <c r="KE479" s="7"/>
      <c r="KF479" s="7"/>
      <c r="KG479" s="7"/>
      <c r="KH479" s="7"/>
      <c r="KI479" s="7"/>
      <c r="KJ479" s="7"/>
      <c r="KK479" s="7"/>
      <c r="KL479" s="7"/>
      <c r="KM479" s="7"/>
      <c r="KN479" s="7"/>
    </row>
    <row r="480">
      <c r="A480" s="6"/>
      <c r="B480" s="6" t="s">
        <v>480</v>
      </c>
      <c r="C480" s="3" t="str">
        <f t="shared" si="3"/>
        <v>dim tan</v>
      </c>
      <c r="D480" s="3" t="str">
        <f t="shared" si="17"/>
        <v>ZZZ</v>
      </c>
      <c r="E480" s="3" t="b">
        <f t="array" ref="E480">OR(ISNUMBER(SEARCH(D$2:D$30,$B480,5)))</f>
        <v>0</v>
      </c>
      <c r="G480" s="3" t="str">
        <f t="shared" si="4"/>
        <v>ZZZ</v>
      </c>
      <c r="H480" s="3" t="b">
        <f t="array" ref="H480">OR(ISNUMBER(SEARCH(G$2:G$30,$B480,5)))</f>
        <v>0</v>
      </c>
      <c r="J480" s="3" t="str">
        <f t="shared" si="5"/>
        <v>ZZZ</v>
      </c>
      <c r="K480" s="3" t="b">
        <f t="array" ref="K480">OR(ISNUMBER(SEARCH(J$2:J$30,$B480,5)))</f>
        <v>0</v>
      </c>
      <c r="M480" s="3" t="str">
        <f t="shared" si="6"/>
        <v>ZZZ</v>
      </c>
      <c r="N480" s="3" t="b">
        <f t="array" ref="N480">OR(ISNUMBER(SEARCH(M$2:M$30,$B480,5)))</f>
        <v>1</v>
      </c>
      <c r="P480" s="3" t="str">
        <f t="shared" si="7"/>
        <v>ZZZ</v>
      </c>
      <c r="Q480" s="3" t="b">
        <f t="array" ref="Q480">OR(ISNUMBER(SEARCH(P$2:P$50,$B480,5)))</f>
        <v>0</v>
      </c>
      <c r="S480" s="3" t="str">
        <f t="shared" si="8"/>
        <v>ZZZ</v>
      </c>
      <c r="T480" s="3" t="b">
        <f t="array" ref="T480">OR(ISNUMBER(SEARCH(S$2:S$100,$B480,5)))</f>
        <v>0</v>
      </c>
      <c r="V480" s="3" t="str">
        <f t="shared" si="9"/>
        <v>ZZZ</v>
      </c>
      <c r="W480" s="3" t="b">
        <f t="array" ref="W480">OR(ISNUMBER(SEARCH(V$2:V$100,$B480,5)))</f>
        <v>0</v>
      </c>
      <c r="Y480" s="3" t="str">
        <f t="shared" si="10"/>
        <v>ZZZ</v>
      </c>
      <c r="Z480" s="3" t="b">
        <f t="array" ref="Z480">OR(ISNUMBER(SEARCH(Y$2:Y$100,$B480,5)))</f>
        <v>0</v>
      </c>
      <c r="AB480" s="3" t="str">
        <f t="shared" si="11"/>
        <v>ZZZ</v>
      </c>
      <c r="AC480" s="3" t="b">
        <f t="array" ref="AC480">OR(ISNUMBER(SEARCH(AB$2:AB$100,$B480,5)))</f>
        <v>0</v>
      </c>
      <c r="AE480" s="3" t="str">
        <f t="shared" si="12"/>
        <v>ZZZ</v>
      </c>
      <c r="AF480" s="3" t="b">
        <f t="array" ref="AF480">OR(ISNUMBER(SEARCH(AE$2:AE$100,$B480,5)))</f>
        <v>0</v>
      </c>
      <c r="AH480" s="3" t="str">
        <f t="shared" si="13"/>
        <v>ZZZ</v>
      </c>
      <c r="AI480" s="3" t="b">
        <f t="array" ref="AI480">OR(ISNUMBER(SEARCH(AH$2:AH$100,$B480,5)))</f>
        <v>0</v>
      </c>
      <c r="AK480" s="3" t="str">
        <f t="shared" si="14"/>
        <v>ZZZ</v>
      </c>
      <c r="AL480" s="3" t="b">
        <f t="array" ref="AL480">OR(ISNUMBER(SEARCH(AK$2:AK$100,$B480,5)))</f>
        <v>0</v>
      </c>
      <c r="AU480" s="8"/>
      <c r="AV480" s="6"/>
      <c r="AW480" s="8"/>
      <c r="AX480" s="8"/>
      <c r="AY480" s="6"/>
      <c r="AZ480" s="8"/>
      <c r="BA480" s="8"/>
      <c r="BB480" s="6"/>
      <c r="BC480" s="8"/>
      <c r="BD480" s="8"/>
      <c r="BE480" s="6"/>
      <c r="BF480" s="8"/>
      <c r="BG480" s="8"/>
      <c r="BH480" s="6"/>
      <c r="BI480" s="8"/>
      <c r="BJ480" s="8"/>
      <c r="BK480" s="6"/>
      <c r="BL480" s="8"/>
      <c r="BM480" s="8"/>
      <c r="BN480" s="6"/>
      <c r="BO480" s="8"/>
      <c r="BP480" s="8"/>
      <c r="BQ480" s="6"/>
      <c r="BR480" s="8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  <c r="HQ480" s="7"/>
      <c r="HR480" s="7"/>
      <c r="HS480" s="7"/>
      <c r="HT480" s="7"/>
      <c r="HU480" s="7"/>
      <c r="HV480" s="7"/>
      <c r="HW480" s="7"/>
      <c r="HX480" s="7"/>
      <c r="HY480" s="7"/>
      <c r="HZ480" s="7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7"/>
      <c r="IN480" s="7"/>
      <c r="IO480" s="7"/>
      <c r="IP480" s="7"/>
      <c r="IQ480" s="7"/>
      <c r="IR480" s="7"/>
      <c r="IS480" s="7"/>
      <c r="IT480" s="7"/>
      <c r="IU480" s="7"/>
      <c r="IV480" s="7"/>
      <c r="IW480" s="7"/>
      <c r="IX480" s="7"/>
      <c r="IY480" s="7"/>
      <c r="IZ480" s="7"/>
      <c r="JA480" s="7"/>
      <c r="JB480" s="7"/>
      <c r="JC480" s="7"/>
      <c r="JD480" s="7"/>
      <c r="JE480" s="7"/>
      <c r="JF480" s="7"/>
      <c r="JG480" s="7"/>
      <c r="JH480" s="7"/>
      <c r="JI480" s="7"/>
      <c r="JJ480" s="7"/>
      <c r="JK480" s="7"/>
      <c r="JL480" s="7"/>
      <c r="JM480" s="7"/>
      <c r="JN480" s="7"/>
      <c r="JO480" s="7"/>
      <c r="JP480" s="7"/>
      <c r="JQ480" s="7"/>
      <c r="JR480" s="7"/>
      <c r="JS480" s="7"/>
      <c r="JT480" s="7"/>
      <c r="JU480" s="7"/>
      <c r="JV480" s="7"/>
      <c r="JW480" s="7"/>
      <c r="JX480" s="7"/>
      <c r="JY480" s="7"/>
      <c r="JZ480" s="7"/>
      <c r="KA480" s="7"/>
      <c r="KB480" s="7"/>
      <c r="KC480" s="7"/>
      <c r="KD480" s="7"/>
      <c r="KE480" s="7"/>
      <c r="KF480" s="7"/>
      <c r="KG480" s="7"/>
      <c r="KH480" s="7"/>
      <c r="KI480" s="7"/>
      <c r="KJ480" s="7"/>
      <c r="KK480" s="7"/>
      <c r="KL480" s="7"/>
      <c r="KM480" s="7"/>
      <c r="KN480" s="7"/>
    </row>
    <row r="481">
      <c r="A481" s="6"/>
      <c r="B481" s="6" t="s">
        <v>481</v>
      </c>
      <c r="C481" s="3" t="str">
        <f t="shared" si="3"/>
        <v>dull beige</v>
      </c>
      <c r="D481" s="3" t="str">
        <f t="shared" si="17"/>
        <v>ZZZ</v>
      </c>
      <c r="E481" s="3" t="b">
        <f t="array" ref="E481">OR(ISNUMBER(SEARCH(D$2:D$30,$B481,5)))</f>
        <v>0</v>
      </c>
      <c r="G481" s="3" t="str">
        <f t="shared" si="4"/>
        <v>ZZZ</v>
      </c>
      <c r="H481" s="3" t="b">
        <f t="array" ref="H481">OR(ISNUMBER(SEARCH(G$2:G$30,$B481,5)))</f>
        <v>0</v>
      </c>
      <c r="J481" s="3" t="str">
        <f t="shared" si="5"/>
        <v>ZZZ</v>
      </c>
      <c r="K481" s="3" t="b">
        <f t="array" ref="K481">OR(ISNUMBER(SEARCH(J$2:J$30,$B481,5)))</f>
        <v>0</v>
      </c>
      <c r="M481" s="3" t="str">
        <f t="shared" si="6"/>
        <v>ZZZ</v>
      </c>
      <c r="N481" s="3" t="b">
        <f t="array" ref="N481">OR(ISNUMBER(SEARCH(M$2:M$30,$B481,5)))</f>
        <v>0</v>
      </c>
      <c r="P481" s="3" t="str">
        <f t="shared" si="7"/>
        <v>ZZZ</v>
      </c>
      <c r="Q481" s="3" t="b">
        <f t="array" ref="Q481">OR(ISNUMBER(SEARCH(P$2:P$50,$B481,5)))</f>
        <v>0</v>
      </c>
      <c r="S481" s="3" t="str">
        <f t="shared" si="8"/>
        <v>ZZZ</v>
      </c>
      <c r="T481" s="3" t="b">
        <f t="array" ref="T481">OR(ISNUMBER(SEARCH(S$2:S$100,$B481,5)))</f>
        <v>0</v>
      </c>
      <c r="V481" s="3" t="str">
        <f t="shared" si="9"/>
        <v>ZZZ</v>
      </c>
      <c r="W481" s="3" t="b">
        <f t="array" ref="W481">OR(ISNUMBER(SEARCH(V$2:V$100,$B481,5)))</f>
        <v>0</v>
      </c>
      <c r="Y481" s="3" t="str">
        <f t="shared" si="10"/>
        <v>ZZZ</v>
      </c>
      <c r="Z481" s="3" t="b">
        <f t="array" ref="Z481">OR(ISNUMBER(SEARCH(Y$2:Y$100,$B481,5)))</f>
        <v>0</v>
      </c>
      <c r="AB481" s="3" t="str">
        <f t="shared" si="11"/>
        <v>ZZZ</v>
      </c>
      <c r="AC481" s="3" t="b">
        <f t="array" ref="AC481">OR(ISNUMBER(SEARCH(AB$2:AB$100,$B481,5)))</f>
        <v>0</v>
      </c>
      <c r="AE481" s="3" t="str">
        <f t="shared" si="12"/>
        <v>ZZZ</v>
      </c>
      <c r="AF481" s="3" t="b">
        <f t="array" ref="AF481">OR(ISNUMBER(SEARCH(AE$2:AE$100,$B481,5)))</f>
        <v>0</v>
      </c>
      <c r="AH481" s="3" t="str">
        <f t="shared" si="13"/>
        <v>ZZZ</v>
      </c>
      <c r="AI481" s="3" t="b">
        <f t="array" ref="AI481">OR(ISNUMBER(SEARCH(AH$2:AH$100,$B481,5)))</f>
        <v>0</v>
      </c>
      <c r="AK481" s="3" t="str">
        <f t="shared" si="14"/>
        <v>ZZZ</v>
      </c>
      <c r="AL481" s="3" t="b">
        <f t="array" ref="AL481">OR(ISNUMBER(SEARCH(AK$2:AK$100,$B481,5)))</f>
        <v>0</v>
      </c>
      <c r="AU481" s="8"/>
      <c r="AV481" s="6"/>
      <c r="AW481" s="8"/>
      <c r="AX481" s="8"/>
      <c r="AY481" s="6"/>
      <c r="AZ481" s="8"/>
      <c r="BA481" s="8"/>
      <c r="BB481" s="6"/>
      <c r="BC481" s="8"/>
      <c r="BD481" s="8"/>
      <c r="BE481" s="6"/>
      <c r="BF481" s="8"/>
      <c r="BG481" s="8"/>
      <c r="BH481" s="6"/>
      <c r="BI481" s="8"/>
      <c r="BJ481" s="8"/>
      <c r="BK481" s="6"/>
      <c r="BL481" s="8"/>
      <c r="BM481" s="8"/>
      <c r="BN481" s="6"/>
      <c r="BO481" s="8"/>
      <c r="BP481" s="8"/>
      <c r="BQ481" s="6"/>
      <c r="BR481" s="8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  <c r="HQ481" s="7"/>
      <c r="HR481" s="7"/>
      <c r="HS481" s="7"/>
      <c r="HT481" s="7"/>
      <c r="HU481" s="7"/>
      <c r="HV481" s="7"/>
      <c r="HW481" s="7"/>
      <c r="HX481" s="7"/>
      <c r="HY481" s="7"/>
      <c r="HZ481" s="7"/>
      <c r="IA481" s="7"/>
      <c r="IB481" s="7"/>
      <c r="IC481" s="7"/>
      <c r="ID481" s="7"/>
      <c r="IE481" s="7"/>
      <c r="IF481" s="7"/>
      <c r="IG481" s="7"/>
      <c r="IH481" s="7"/>
      <c r="II481" s="7"/>
      <c r="IJ481" s="7"/>
      <c r="IK481" s="7"/>
      <c r="IL481" s="7"/>
      <c r="IM481" s="7"/>
      <c r="IN481" s="7"/>
      <c r="IO481" s="7"/>
      <c r="IP481" s="7"/>
      <c r="IQ481" s="7"/>
      <c r="IR481" s="7"/>
      <c r="IS481" s="7"/>
      <c r="IT481" s="7"/>
      <c r="IU481" s="7"/>
      <c r="IV481" s="7"/>
      <c r="IW481" s="7"/>
      <c r="IX481" s="7"/>
      <c r="IY481" s="7"/>
      <c r="IZ481" s="7"/>
      <c r="JA481" s="7"/>
      <c r="JB481" s="7"/>
      <c r="JC481" s="7"/>
      <c r="JD481" s="7"/>
      <c r="JE481" s="7"/>
      <c r="JF481" s="7"/>
      <c r="JG481" s="7"/>
      <c r="JH481" s="7"/>
      <c r="JI481" s="7"/>
      <c r="JJ481" s="7"/>
      <c r="JK481" s="7"/>
      <c r="JL481" s="7"/>
      <c r="JM481" s="7"/>
      <c r="JN481" s="7"/>
      <c r="JO481" s="7"/>
      <c r="JP481" s="7"/>
      <c r="JQ481" s="7"/>
      <c r="JR481" s="7"/>
      <c r="JS481" s="7"/>
      <c r="JT481" s="7"/>
      <c r="JU481" s="7"/>
      <c r="JV481" s="7"/>
      <c r="JW481" s="7"/>
      <c r="JX481" s="7"/>
      <c r="JY481" s="7"/>
      <c r="JZ481" s="7"/>
      <c r="KA481" s="7"/>
      <c r="KB481" s="7"/>
      <c r="KC481" s="7"/>
      <c r="KD481" s="7"/>
      <c r="KE481" s="7"/>
      <c r="KF481" s="7"/>
      <c r="KG481" s="7"/>
      <c r="KH481" s="7"/>
      <c r="KI481" s="7"/>
      <c r="KJ481" s="7"/>
      <c r="KK481" s="7"/>
      <c r="KL481" s="7"/>
      <c r="KM481" s="7"/>
      <c r="KN481" s="7"/>
    </row>
    <row r="482">
      <c r="A482" s="6"/>
      <c r="B482" s="6" t="s">
        <v>482</v>
      </c>
      <c r="C482" s="3" t="str">
        <f t="shared" si="3"/>
        <v>clear magenta</v>
      </c>
      <c r="D482" s="3" t="str">
        <f t="shared" si="17"/>
        <v>ZZZ</v>
      </c>
      <c r="E482" s="3" t="b">
        <f t="array" ref="E482">OR(ISNUMBER(SEARCH(D$2:D$30,$B482,5)))</f>
        <v>0</v>
      </c>
      <c r="G482" s="3" t="str">
        <f t="shared" si="4"/>
        <v>ZZZ</v>
      </c>
      <c r="H482" s="3" t="b">
        <f t="array" ref="H482">OR(ISNUMBER(SEARCH(G$2:G$30,$B482,5)))</f>
        <v>0</v>
      </c>
      <c r="J482" s="3" t="str">
        <f t="shared" si="5"/>
        <v>ZZZ</v>
      </c>
      <c r="K482" s="3" t="b">
        <f t="array" ref="K482">OR(ISNUMBER(SEARCH(J$2:J$30,$B482,5)))</f>
        <v>0</v>
      </c>
      <c r="M482" s="3" t="str">
        <f t="shared" si="6"/>
        <v>ZZZ</v>
      </c>
      <c r="N482" s="3" t="b">
        <f t="array" ref="N482">OR(ISNUMBER(SEARCH(M$2:M$30,$B482,5)))</f>
        <v>0</v>
      </c>
      <c r="P482" s="3" t="str">
        <f t="shared" si="7"/>
        <v>ZZZ</v>
      </c>
      <c r="Q482" s="3" t="b">
        <f t="array" ref="Q482">OR(ISNUMBER(SEARCH(P$2:P$50,$B482,5)))</f>
        <v>0</v>
      </c>
      <c r="S482" s="3" t="str">
        <f t="shared" si="8"/>
        <v>ZZZ</v>
      </c>
      <c r="T482" s="3" t="b">
        <f t="array" ref="T482">OR(ISNUMBER(SEARCH(S$2:S$100,$B482,5)))</f>
        <v>0</v>
      </c>
      <c r="V482" s="3" t="str">
        <f t="shared" si="9"/>
        <v>ZZZ</v>
      </c>
      <c r="W482" s="3" t="b">
        <f t="array" ref="W482">OR(ISNUMBER(SEARCH(V$2:V$100,$B482,5)))</f>
        <v>0</v>
      </c>
      <c r="Y482" s="3" t="str">
        <f t="shared" si="10"/>
        <v>ZZZ</v>
      </c>
      <c r="Z482" s="3" t="b">
        <f t="array" ref="Z482">OR(ISNUMBER(SEARCH(Y$2:Y$100,$B482,5)))</f>
        <v>0</v>
      </c>
      <c r="AB482" s="3" t="str">
        <f t="shared" si="11"/>
        <v>ZZZ</v>
      </c>
      <c r="AC482" s="3" t="b">
        <f t="array" ref="AC482">OR(ISNUMBER(SEARCH(AB$2:AB$100,$B482,5)))</f>
        <v>0</v>
      </c>
      <c r="AE482" s="3" t="str">
        <f t="shared" si="12"/>
        <v>ZZZ</v>
      </c>
      <c r="AF482" s="3" t="b">
        <f t="array" ref="AF482">OR(ISNUMBER(SEARCH(AE$2:AE$100,$B482,5)))</f>
        <v>0</v>
      </c>
      <c r="AH482" s="3" t="str">
        <f t="shared" si="13"/>
        <v>ZZZ</v>
      </c>
      <c r="AI482" s="3" t="b">
        <f t="array" ref="AI482">OR(ISNUMBER(SEARCH(AH$2:AH$100,$B482,5)))</f>
        <v>0</v>
      </c>
      <c r="AK482" s="3" t="str">
        <f t="shared" si="14"/>
        <v>ZZZ</v>
      </c>
      <c r="AL482" s="3" t="b">
        <f t="array" ref="AL482">OR(ISNUMBER(SEARCH(AK$2:AK$100,$B482,5)))</f>
        <v>0</v>
      </c>
      <c r="AU482" s="8"/>
      <c r="AV482" s="6"/>
      <c r="AW482" s="8"/>
      <c r="AX482" s="8"/>
      <c r="AY482" s="6"/>
      <c r="AZ482" s="8"/>
      <c r="BA482" s="8"/>
      <c r="BB482" s="6"/>
      <c r="BC482" s="8"/>
      <c r="BD482" s="8"/>
      <c r="BE482" s="6"/>
      <c r="BF482" s="8"/>
      <c r="BG482" s="8"/>
      <c r="BH482" s="6"/>
      <c r="BI482" s="8"/>
      <c r="BJ482" s="8"/>
      <c r="BK482" s="6"/>
      <c r="BL482" s="8"/>
      <c r="BM482" s="8"/>
      <c r="BN482" s="6"/>
      <c r="BO482" s="8"/>
      <c r="BP482" s="8"/>
      <c r="BQ482" s="6"/>
      <c r="BR482" s="8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7"/>
      <c r="HO482" s="7"/>
      <c r="HP482" s="7"/>
      <c r="HQ482" s="7"/>
      <c r="HR482" s="7"/>
      <c r="HS482" s="7"/>
      <c r="HT482" s="7"/>
      <c r="HU482" s="7"/>
      <c r="HV482" s="7"/>
      <c r="HW482" s="7"/>
      <c r="HX482" s="7"/>
      <c r="HY482" s="7"/>
      <c r="HZ482" s="7"/>
      <c r="IA482" s="7"/>
      <c r="IB482" s="7"/>
      <c r="IC482" s="7"/>
      <c r="ID482" s="7"/>
      <c r="IE482" s="7"/>
      <c r="IF482" s="7"/>
      <c r="IG482" s="7"/>
      <c r="IH482" s="7"/>
      <c r="II482" s="7"/>
      <c r="IJ482" s="7"/>
      <c r="IK482" s="7"/>
      <c r="IL482" s="7"/>
      <c r="IM482" s="7"/>
      <c r="IN482" s="7"/>
      <c r="IO482" s="7"/>
      <c r="IP482" s="7"/>
      <c r="IQ482" s="7"/>
      <c r="IR482" s="7"/>
      <c r="IS482" s="7"/>
      <c r="IT482" s="7"/>
      <c r="IU482" s="7"/>
      <c r="IV482" s="7"/>
      <c r="IW482" s="7"/>
      <c r="IX482" s="7"/>
      <c r="IY482" s="7"/>
      <c r="IZ482" s="7"/>
      <c r="JA482" s="7"/>
      <c r="JB482" s="7"/>
      <c r="JC482" s="7"/>
      <c r="JD482" s="7"/>
      <c r="JE482" s="7"/>
      <c r="JF482" s="7"/>
      <c r="JG482" s="7"/>
      <c r="JH482" s="7"/>
      <c r="JI482" s="7"/>
      <c r="JJ482" s="7"/>
      <c r="JK482" s="7"/>
      <c r="JL482" s="7"/>
      <c r="JM482" s="7"/>
      <c r="JN482" s="7"/>
      <c r="JO482" s="7"/>
      <c r="JP482" s="7"/>
      <c r="JQ482" s="7"/>
      <c r="JR482" s="7"/>
      <c r="JS482" s="7"/>
      <c r="JT482" s="7"/>
      <c r="JU482" s="7"/>
      <c r="JV482" s="7"/>
      <c r="JW482" s="7"/>
      <c r="JX482" s="7"/>
      <c r="JY482" s="7"/>
      <c r="JZ482" s="7"/>
      <c r="KA482" s="7"/>
      <c r="KB482" s="7"/>
      <c r="KC482" s="7"/>
      <c r="KD482" s="7"/>
      <c r="KE482" s="7"/>
      <c r="KF482" s="7"/>
      <c r="KG482" s="7"/>
      <c r="KH482" s="7"/>
      <c r="KI482" s="7"/>
      <c r="KJ482" s="7"/>
      <c r="KK482" s="7"/>
      <c r="KL482" s="7"/>
      <c r="KM482" s="7"/>
      <c r="KN482" s="7"/>
    </row>
    <row r="483">
      <c r="A483" s="6"/>
      <c r="B483" s="6" t="s">
        <v>483</v>
      </c>
      <c r="C483" s="3" t="str">
        <f t="shared" si="3"/>
        <v>bright black</v>
      </c>
      <c r="D483" s="3" t="str">
        <f t="shared" si="17"/>
        <v>ZZZ</v>
      </c>
      <c r="E483" s="3" t="b">
        <f t="array" ref="E483">OR(ISNUMBER(SEARCH(D$2:D$30,$B483,5)))</f>
        <v>0</v>
      </c>
      <c r="G483" s="3" t="str">
        <f t="shared" si="4"/>
        <v>ZZZ</v>
      </c>
      <c r="H483" s="3" t="b">
        <f t="array" ref="H483">OR(ISNUMBER(SEARCH(G$2:G$30,$B483,5)))</f>
        <v>0</v>
      </c>
      <c r="J483" s="3" t="str">
        <f t="shared" si="5"/>
        <v>ZZZ</v>
      </c>
      <c r="K483" s="3" t="b">
        <f t="array" ref="K483">OR(ISNUMBER(SEARCH(J$2:J$30,$B483,5)))</f>
        <v>0</v>
      </c>
      <c r="M483" s="3" t="str">
        <f t="shared" si="6"/>
        <v>ZZZ</v>
      </c>
      <c r="N483" s="3" t="b">
        <f t="array" ref="N483">OR(ISNUMBER(SEARCH(M$2:M$30,$B483,5)))</f>
        <v>0</v>
      </c>
      <c r="P483" s="3" t="str">
        <f t="shared" si="7"/>
        <v>ZZZ</v>
      </c>
      <c r="Q483" s="3" t="b">
        <f t="array" ref="Q483">OR(ISNUMBER(SEARCH(P$2:P$50,$B483,5)))</f>
        <v>0</v>
      </c>
      <c r="S483" s="3" t="str">
        <f t="shared" si="8"/>
        <v>ZZZ</v>
      </c>
      <c r="T483" s="3" t="b">
        <f t="array" ref="T483">OR(ISNUMBER(SEARCH(S$2:S$100,$B483,5)))</f>
        <v>0</v>
      </c>
      <c r="V483" s="3" t="str">
        <f t="shared" si="9"/>
        <v>ZZZ</v>
      </c>
      <c r="W483" s="3" t="b">
        <f t="array" ref="W483">OR(ISNUMBER(SEARCH(V$2:V$100,$B483,5)))</f>
        <v>0</v>
      </c>
      <c r="Y483" s="3" t="str">
        <f t="shared" si="10"/>
        <v>ZZZ</v>
      </c>
      <c r="Z483" s="3" t="b">
        <f t="array" ref="Z483">OR(ISNUMBER(SEARCH(Y$2:Y$100,$B483,5)))</f>
        <v>0</v>
      </c>
      <c r="AB483" s="3" t="str">
        <f t="shared" si="11"/>
        <v>ZZZ</v>
      </c>
      <c r="AC483" s="3" t="b">
        <f t="array" ref="AC483">OR(ISNUMBER(SEARCH(AB$2:AB$100,$B483,5)))</f>
        <v>0</v>
      </c>
      <c r="AE483" s="3" t="str">
        <f t="shared" si="12"/>
        <v>ZZZ</v>
      </c>
      <c r="AF483" s="3" t="b">
        <f t="array" ref="AF483">OR(ISNUMBER(SEARCH(AE$2:AE$100,$B483,5)))</f>
        <v>0</v>
      </c>
      <c r="AH483" s="3" t="str">
        <f t="shared" si="13"/>
        <v>ZZZ</v>
      </c>
      <c r="AI483" s="3" t="b">
        <f t="array" ref="AI483">OR(ISNUMBER(SEARCH(AH$2:AH$100,$B483,5)))</f>
        <v>0</v>
      </c>
      <c r="AK483" s="3" t="str">
        <f t="shared" si="14"/>
        <v>ZZZ</v>
      </c>
      <c r="AL483" s="3" t="b">
        <f t="array" ref="AL483">OR(ISNUMBER(SEARCH(AK$2:AK$100,$B483,5)))</f>
        <v>0</v>
      </c>
      <c r="AU483" s="8"/>
      <c r="AV483" s="6"/>
      <c r="AW483" s="8"/>
      <c r="AX483" s="8"/>
      <c r="AY483" s="6"/>
      <c r="AZ483" s="8"/>
      <c r="BA483" s="8"/>
      <c r="BB483" s="6"/>
      <c r="BC483" s="8"/>
      <c r="BD483" s="8"/>
      <c r="BE483" s="6"/>
      <c r="BF483" s="8"/>
      <c r="BG483" s="8"/>
      <c r="BH483" s="6"/>
      <c r="BI483" s="8"/>
      <c r="BJ483" s="8"/>
      <c r="BK483" s="6"/>
      <c r="BL483" s="8"/>
      <c r="BM483" s="8"/>
      <c r="BN483" s="6"/>
      <c r="BO483" s="8"/>
      <c r="BP483" s="8"/>
      <c r="BQ483" s="6"/>
      <c r="BR483" s="8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  <c r="HQ483" s="7"/>
      <c r="HR483" s="7"/>
      <c r="HS483" s="7"/>
      <c r="HT483" s="7"/>
      <c r="HU483" s="7"/>
      <c r="HV483" s="7"/>
      <c r="HW483" s="7"/>
      <c r="HX483" s="7"/>
      <c r="HY483" s="7"/>
      <c r="HZ483" s="7"/>
      <c r="IA483" s="7"/>
      <c r="IB483" s="7"/>
      <c r="IC483" s="7"/>
      <c r="ID483" s="7"/>
      <c r="IE483" s="7"/>
      <c r="IF483" s="7"/>
      <c r="IG483" s="7"/>
      <c r="IH483" s="7"/>
      <c r="II483" s="7"/>
      <c r="IJ483" s="7"/>
      <c r="IK483" s="7"/>
      <c r="IL483" s="7"/>
      <c r="IM483" s="7"/>
      <c r="IN483" s="7"/>
      <c r="IO483" s="7"/>
      <c r="IP483" s="7"/>
      <c r="IQ483" s="7"/>
      <c r="IR483" s="7"/>
      <c r="IS483" s="7"/>
      <c r="IT483" s="7"/>
      <c r="IU483" s="7"/>
      <c r="IV483" s="7"/>
      <c r="IW483" s="7"/>
      <c r="IX483" s="7"/>
      <c r="IY483" s="7"/>
      <c r="IZ483" s="7"/>
      <c r="JA483" s="7"/>
      <c r="JB483" s="7"/>
      <c r="JC483" s="7"/>
      <c r="JD483" s="7"/>
      <c r="JE483" s="7"/>
      <c r="JF483" s="7"/>
      <c r="JG483" s="7"/>
      <c r="JH483" s="7"/>
      <c r="JI483" s="7"/>
      <c r="JJ483" s="7"/>
      <c r="JK483" s="7"/>
      <c r="JL483" s="7"/>
      <c r="JM483" s="7"/>
      <c r="JN483" s="7"/>
      <c r="JO483" s="7"/>
      <c r="JP483" s="7"/>
      <c r="JQ483" s="7"/>
      <c r="JR483" s="7"/>
      <c r="JS483" s="7"/>
      <c r="JT483" s="7"/>
      <c r="JU483" s="7"/>
      <c r="JV483" s="7"/>
      <c r="JW483" s="7"/>
      <c r="JX483" s="7"/>
      <c r="JY483" s="7"/>
      <c r="JZ483" s="7"/>
      <c r="KA483" s="7"/>
      <c r="KB483" s="7"/>
      <c r="KC483" s="7"/>
      <c r="KD483" s="7"/>
      <c r="KE483" s="7"/>
      <c r="KF483" s="7"/>
      <c r="KG483" s="7"/>
      <c r="KH483" s="7"/>
      <c r="KI483" s="7"/>
      <c r="KJ483" s="7"/>
      <c r="KK483" s="7"/>
      <c r="KL483" s="7"/>
      <c r="KM483" s="7"/>
      <c r="KN483" s="7"/>
    </row>
    <row r="484">
      <c r="A484" s="6"/>
      <c r="B484" s="6" t="s">
        <v>484</v>
      </c>
      <c r="C484" s="3" t="str">
        <f t="shared" si="3"/>
        <v>muted aqua</v>
      </c>
      <c r="D484" s="3" t="str">
        <f t="shared" si="17"/>
        <v>ZZZ</v>
      </c>
      <c r="E484" s="3" t="b">
        <f t="array" ref="E484">OR(ISNUMBER(SEARCH(D$2:D$30,$B484,5)))</f>
        <v>0</v>
      </c>
      <c r="G484" s="3" t="str">
        <f t="shared" si="4"/>
        <v>ZZZ</v>
      </c>
      <c r="H484" s="3" t="b">
        <f t="array" ref="H484">OR(ISNUMBER(SEARCH(G$2:G$30,$B484,5)))</f>
        <v>0</v>
      </c>
      <c r="J484" s="3" t="str">
        <f t="shared" si="5"/>
        <v>ZZZ</v>
      </c>
      <c r="K484" s="3" t="b">
        <f t="array" ref="K484">OR(ISNUMBER(SEARCH(J$2:J$30,$B484,5)))</f>
        <v>0</v>
      </c>
      <c r="M484" s="3" t="str">
        <f t="shared" si="6"/>
        <v>ZZZ</v>
      </c>
      <c r="N484" s="3" t="b">
        <f t="array" ref="N484">OR(ISNUMBER(SEARCH(M$2:M$30,$B484,5)))</f>
        <v>0</v>
      </c>
      <c r="P484" s="3" t="str">
        <f t="shared" si="7"/>
        <v>ZZZ</v>
      </c>
      <c r="Q484" s="3" t="b">
        <f t="array" ref="Q484">OR(ISNUMBER(SEARCH(P$2:P$50,$B484,5)))</f>
        <v>0</v>
      </c>
      <c r="S484" s="3" t="str">
        <f t="shared" si="8"/>
        <v>ZZZ</v>
      </c>
      <c r="T484" s="3" t="b">
        <f t="array" ref="T484">OR(ISNUMBER(SEARCH(S$2:S$100,$B484,5)))</f>
        <v>0</v>
      </c>
      <c r="V484" s="3" t="str">
        <f t="shared" si="9"/>
        <v>ZZZ</v>
      </c>
      <c r="W484" s="3" t="b">
        <f t="array" ref="W484">OR(ISNUMBER(SEARCH(V$2:V$100,$B484,5)))</f>
        <v>0</v>
      </c>
      <c r="Y484" s="3" t="str">
        <f t="shared" si="10"/>
        <v>ZZZ</v>
      </c>
      <c r="Z484" s="3" t="b">
        <f t="array" ref="Z484">OR(ISNUMBER(SEARCH(Y$2:Y$100,$B484,5)))</f>
        <v>0</v>
      </c>
      <c r="AB484" s="3" t="str">
        <f t="shared" si="11"/>
        <v>ZZZ</v>
      </c>
      <c r="AC484" s="3" t="b">
        <f t="array" ref="AC484">OR(ISNUMBER(SEARCH(AB$2:AB$100,$B484,5)))</f>
        <v>0</v>
      </c>
      <c r="AE484" s="3" t="str">
        <f t="shared" si="12"/>
        <v>ZZZ</v>
      </c>
      <c r="AF484" s="3" t="b">
        <f t="array" ref="AF484">OR(ISNUMBER(SEARCH(AE$2:AE$100,$B484,5)))</f>
        <v>0</v>
      </c>
      <c r="AH484" s="3" t="str">
        <f t="shared" si="13"/>
        <v>ZZZ</v>
      </c>
      <c r="AI484" s="3" t="b">
        <f t="array" ref="AI484">OR(ISNUMBER(SEARCH(AH$2:AH$100,$B484,5)))</f>
        <v>0</v>
      </c>
      <c r="AK484" s="3" t="str">
        <f t="shared" si="14"/>
        <v>ZZZ</v>
      </c>
      <c r="AL484" s="3" t="b">
        <f t="array" ref="AL484">OR(ISNUMBER(SEARCH(AK$2:AK$100,$B484,5)))</f>
        <v>0</v>
      </c>
      <c r="AU484" s="8"/>
      <c r="AV484" s="6"/>
      <c r="AW484" s="8"/>
      <c r="AX484" s="8"/>
      <c r="AY484" s="6"/>
      <c r="AZ484" s="8"/>
      <c r="BA484" s="8"/>
      <c r="BB484" s="6"/>
      <c r="BC484" s="8"/>
      <c r="BD484" s="8"/>
      <c r="BE484" s="6"/>
      <c r="BF484" s="8"/>
      <c r="BG484" s="8"/>
      <c r="BH484" s="6"/>
      <c r="BI484" s="8"/>
      <c r="BJ484" s="8"/>
      <c r="BK484" s="6"/>
      <c r="BL484" s="8"/>
      <c r="BM484" s="8"/>
      <c r="BN484" s="6"/>
      <c r="BO484" s="8"/>
      <c r="BP484" s="8"/>
      <c r="BQ484" s="6"/>
      <c r="BR484" s="8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  <c r="HT484" s="7"/>
      <c r="HU484" s="7"/>
      <c r="HV484" s="7"/>
      <c r="HW484" s="7"/>
      <c r="HX484" s="7"/>
      <c r="HY484" s="7"/>
      <c r="HZ484" s="7"/>
      <c r="IA484" s="7"/>
      <c r="IB484" s="7"/>
      <c r="IC484" s="7"/>
      <c r="ID484" s="7"/>
      <c r="IE484" s="7"/>
      <c r="IF484" s="7"/>
      <c r="IG484" s="7"/>
      <c r="IH484" s="7"/>
      <c r="II484" s="7"/>
      <c r="IJ484" s="7"/>
      <c r="IK484" s="7"/>
      <c r="IL484" s="7"/>
      <c r="IM484" s="7"/>
      <c r="IN484" s="7"/>
      <c r="IO484" s="7"/>
      <c r="IP484" s="7"/>
      <c r="IQ484" s="7"/>
      <c r="IR484" s="7"/>
      <c r="IS484" s="7"/>
      <c r="IT484" s="7"/>
      <c r="IU484" s="7"/>
      <c r="IV484" s="7"/>
      <c r="IW484" s="7"/>
      <c r="IX484" s="7"/>
      <c r="IY484" s="7"/>
      <c r="IZ484" s="7"/>
      <c r="JA484" s="7"/>
      <c r="JB484" s="7"/>
      <c r="JC484" s="7"/>
      <c r="JD484" s="7"/>
      <c r="JE484" s="7"/>
      <c r="JF484" s="7"/>
      <c r="JG484" s="7"/>
      <c r="JH484" s="7"/>
      <c r="JI484" s="7"/>
      <c r="JJ484" s="7"/>
      <c r="JK484" s="7"/>
      <c r="JL484" s="7"/>
      <c r="JM484" s="7"/>
      <c r="JN484" s="7"/>
      <c r="JO484" s="7"/>
      <c r="JP484" s="7"/>
      <c r="JQ484" s="7"/>
      <c r="JR484" s="7"/>
      <c r="JS484" s="7"/>
      <c r="JT484" s="7"/>
      <c r="JU484" s="7"/>
      <c r="JV484" s="7"/>
      <c r="JW484" s="7"/>
      <c r="JX484" s="7"/>
      <c r="JY484" s="7"/>
      <c r="JZ484" s="7"/>
      <c r="KA484" s="7"/>
      <c r="KB484" s="7"/>
      <c r="KC484" s="7"/>
      <c r="KD484" s="7"/>
      <c r="KE484" s="7"/>
      <c r="KF484" s="7"/>
      <c r="KG484" s="7"/>
      <c r="KH484" s="7"/>
      <c r="KI484" s="7"/>
      <c r="KJ484" s="7"/>
      <c r="KK484" s="7"/>
      <c r="KL484" s="7"/>
      <c r="KM484" s="7"/>
      <c r="KN484" s="7"/>
    </row>
    <row r="485">
      <c r="A485" s="6"/>
      <c r="B485" s="6" t="s">
        <v>485</v>
      </c>
      <c r="C485" s="3" t="str">
        <f t="shared" si="3"/>
        <v>faded blue</v>
      </c>
      <c r="D485" s="3" t="str">
        <f t="shared" si="17"/>
        <v>ZZZ</v>
      </c>
      <c r="E485" s="3" t="b">
        <f t="array" ref="E485">OR(ISNUMBER(SEARCH(D$2:D$30,$B485,5)))</f>
        <v>0</v>
      </c>
      <c r="G485" s="3" t="str">
        <f t="shared" si="4"/>
        <v>ZZZ</v>
      </c>
      <c r="H485" s="3" t="b">
        <f t="array" ref="H485">OR(ISNUMBER(SEARCH(G$2:G$30,$B485,5)))</f>
        <v>0</v>
      </c>
      <c r="J485" s="3" t="str">
        <f t="shared" si="5"/>
        <v>ZZZ</v>
      </c>
      <c r="K485" s="3" t="b">
        <f t="array" ref="K485">OR(ISNUMBER(SEARCH(J$2:J$30,$B485,5)))</f>
        <v>0</v>
      </c>
      <c r="M485" s="3" t="str">
        <f t="shared" si="6"/>
        <v>ZZZ</v>
      </c>
      <c r="N485" s="3" t="b">
        <f t="array" ref="N485">OR(ISNUMBER(SEARCH(M$2:M$30,$B485,5)))</f>
        <v>1</v>
      </c>
      <c r="P485" s="3" t="str">
        <f t="shared" si="7"/>
        <v>ZZZ</v>
      </c>
      <c r="Q485" s="3" t="b">
        <f t="array" ref="Q485">OR(ISNUMBER(SEARCH(P$2:P$50,$B485,5)))</f>
        <v>0</v>
      </c>
      <c r="S485" s="3" t="str">
        <f t="shared" si="8"/>
        <v>ZZZ</v>
      </c>
      <c r="T485" s="3" t="b">
        <f t="array" ref="T485">OR(ISNUMBER(SEARCH(S$2:S$100,$B485,5)))</f>
        <v>0</v>
      </c>
      <c r="V485" s="3" t="str">
        <f t="shared" si="9"/>
        <v>ZZZ</v>
      </c>
      <c r="W485" s="3" t="b">
        <f t="array" ref="W485">OR(ISNUMBER(SEARCH(V$2:V$100,$B485,5)))</f>
        <v>0</v>
      </c>
      <c r="Y485" s="3" t="str">
        <f t="shared" si="10"/>
        <v>ZZZ</v>
      </c>
      <c r="Z485" s="3" t="b">
        <f t="array" ref="Z485">OR(ISNUMBER(SEARCH(Y$2:Y$100,$B485,5)))</f>
        <v>0</v>
      </c>
      <c r="AB485" s="3" t="str">
        <f t="shared" si="11"/>
        <v>ZZZ</v>
      </c>
      <c r="AC485" s="3" t="b">
        <f t="array" ref="AC485">OR(ISNUMBER(SEARCH(AB$2:AB$100,$B485,5)))</f>
        <v>0</v>
      </c>
      <c r="AE485" s="3" t="str">
        <f t="shared" si="12"/>
        <v>ZZZ</v>
      </c>
      <c r="AF485" s="3" t="b">
        <f t="array" ref="AF485">OR(ISNUMBER(SEARCH(AE$2:AE$100,$B485,5)))</f>
        <v>0</v>
      </c>
      <c r="AH485" s="3" t="str">
        <f t="shared" si="13"/>
        <v>ZZZ</v>
      </c>
      <c r="AI485" s="3" t="b">
        <f t="array" ref="AI485">OR(ISNUMBER(SEARCH(AH$2:AH$100,$B485,5)))</f>
        <v>0</v>
      </c>
      <c r="AK485" s="3" t="str">
        <f t="shared" si="14"/>
        <v>ZZZ</v>
      </c>
      <c r="AL485" s="3" t="b">
        <f t="array" ref="AL485">OR(ISNUMBER(SEARCH(AK$2:AK$100,$B485,5)))</f>
        <v>0</v>
      </c>
      <c r="AU485" s="8"/>
      <c r="AV485" s="6"/>
      <c r="AW485" s="8"/>
      <c r="AX485" s="8"/>
      <c r="AY485" s="6"/>
      <c r="AZ485" s="8"/>
      <c r="BA485" s="8"/>
      <c r="BB485" s="6"/>
      <c r="BC485" s="8"/>
      <c r="BD485" s="8"/>
      <c r="BE485" s="6"/>
      <c r="BF485" s="8"/>
      <c r="BG485" s="8"/>
      <c r="BH485" s="6"/>
      <c r="BI485" s="8"/>
      <c r="BJ485" s="8"/>
      <c r="BK485" s="6"/>
      <c r="BL485" s="8"/>
      <c r="BM485" s="8"/>
      <c r="BN485" s="6"/>
      <c r="BO485" s="8"/>
      <c r="BP485" s="8"/>
      <c r="BQ485" s="6"/>
      <c r="BR485" s="8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  <c r="HQ485" s="7"/>
      <c r="HR485" s="7"/>
      <c r="HS485" s="7"/>
      <c r="HT485" s="7"/>
      <c r="HU485" s="7"/>
      <c r="HV485" s="7"/>
      <c r="HW485" s="7"/>
      <c r="HX485" s="7"/>
      <c r="HY485" s="7"/>
      <c r="HZ485" s="7"/>
      <c r="IA485" s="7"/>
      <c r="IB485" s="7"/>
      <c r="IC485" s="7"/>
      <c r="ID485" s="7"/>
      <c r="IE485" s="7"/>
      <c r="IF485" s="7"/>
      <c r="IG485" s="7"/>
      <c r="IH485" s="7"/>
      <c r="II485" s="7"/>
      <c r="IJ485" s="7"/>
      <c r="IK485" s="7"/>
      <c r="IL485" s="7"/>
      <c r="IM485" s="7"/>
      <c r="IN485" s="7"/>
      <c r="IO485" s="7"/>
      <c r="IP485" s="7"/>
      <c r="IQ485" s="7"/>
      <c r="IR485" s="7"/>
      <c r="IS485" s="7"/>
      <c r="IT485" s="7"/>
      <c r="IU485" s="7"/>
      <c r="IV485" s="7"/>
      <c r="IW485" s="7"/>
      <c r="IX485" s="7"/>
      <c r="IY485" s="7"/>
      <c r="IZ485" s="7"/>
      <c r="JA485" s="7"/>
      <c r="JB485" s="7"/>
      <c r="JC485" s="7"/>
      <c r="JD485" s="7"/>
      <c r="JE485" s="7"/>
      <c r="JF485" s="7"/>
      <c r="JG485" s="7"/>
      <c r="JH485" s="7"/>
      <c r="JI485" s="7"/>
      <c r="JJ485" s="7"/>
      <c r="JK485" s="7"/>
      <c r="JL485" s="7"/>
      <c r="JM485" s="7"/>
      <c r="JN485" s="7"/>
      <c r="JO485" s="7"/>
      <c r="JP485" s="7"/>
      <c r="JQ485" s="7"/>
      <c r="JR485" s="7"/>
      <c r="JS485" s="7"/>
      <c r="JT485" s="7"/>
      <c r="JU485" s="7"/>
      <c r="JV485" s="7"/>
      <c r="JW485" s="7"/>
      <c r="JX485" s="7"/>
      <c r="JY485" s="7"/>
      <c r="JZ485" s="7"/>
      <c r="KA485" s="7"/>
      <c r="KB485" s="7"/>
      <c r="KC485" s="7"/>
      <c r="KD485" s="7"/>
      <c r="KE485" s="7"/>
      <c r="KF485" s="7"/>
      <c r="KG485" s="7"/>
      <c r="KH485" s="7"/>
      <c r="KI485" s="7"/>
      <c r="KJ485" s="7"/>
      <c r="KK485" s="7"/>
      <c r="KL485" s="7"/>
      <c r="KM485" s="7"/>
      <c r="KN485" s="7"/>
    </row>
    <row r="486">
      <c r="A486" s="6"/>
      <c r="B486" s="6" t="s">
        <v>486</v>
      </c>
      <c r="C486" s="3" t="str">
        <f t="shared" si="3"/>
        <v>dotted indigo</v>
      </c>
      <c r="D486" s="3" t="str">
        <f t="shared" si="17"/>
        <v>ZZZ</v>
      </c>
      <c r="E486" s="3" t="b">
        <f t="array" ref="E486">OR(ISNUMBER(SEARCH(D$2:D$30,$B486,5)))</f>
        <v>0</v>
      </c>
      <c r="G486" s="3" t="str">
        <f t="shared" si="4"/>
        <v>ZZZ</v>
      </c>
      <c r="H486" s="3" t="b">
        <f t="array" ref="H486">OR(ISNUMBER(SEARCH(G$2:G$30,$B486,5)))</f>
        <v>0</v>
      </c>
      <c r="J486" s="3" t="str">
        <f t="shared" si="5"/>
        <v>ZZZ</v>
      </c>
      <c r="K486" s="3" t="b">
        <f t="array" ref="K486">OR(ISNUMBER(SEARCH(J$2:J$30,$B486,5)))</f>
        <v>0</v>
      </c>
      <c r="M486" s="3" t="str">
        <f t="shared" si="6"/>
        <v>ZZZ</v>
      </c>
      <c r="N486" s="3" t="b">
        <f t="array" ref="N486">OR(ISNUMBER(SEARCH(M$2:M$30,$B486,5)))</f>
        <v>0</v>
      </c>
      <c r="P486" s="3" t="str">
        <f t="shared" si="7"/>
        <v>ZZZ</v>
      </c>
      <c r="Q486" s="3" t="b">
        <f t="array" ref="Q486">OR(ISNUMBER(SEARCH(P$2:P$50,$B486,5)))</f>
        <v>0</v>
      </c>
      <c r="S486" s="3" t="str">
        <f t="shared" si="8"/>
        <v>ZZZ</v>
      </c>
      <c r="T486" s="3" t="b">
        <f t="array" ref="T486">OR(ISNUMBER(SEARCH(S$2:S$100,$B486,5)))</f>
        <v>0</v>
      </c>
      <c r="V486" s="3" t="str">
        <f t="shared" si="9"/>
        <v>ZZZ</v>
      </c>
      <c r="W486" s="3" t="b">
        <f t="array" ref="W486">OR(ISNUMBER(SEARCH(V$2:V$100,$B486,5)))</f>
        <v>0</v>
      </c>
      <c r="Y486" s="3" t="str">
        <f t="shared" si="10"/>
        <v>ZZZ</v>
      </c>
      <c r="Z486" s="3" t="b">
        <f t="array" ref="Z486">OR(ISNUMBER(SEARCH(Y$2:Y$100,$B486,5)))</f>
        <v>0</v>
      </c>
      <c r="AB486" s="3" t="str">
        <f t="shared" si="11"/>
        <v>ZZZ</v>
      </c>
      <c r="AC486" s="3" t="b">
        <f t="array" ref="AC486">OR(ISNUMBER(SEARCH(AB$2:AB$100,$B486,5)))</f>
        <v>0</v>
      </c>
      <c r="AE486" s="3" t="str">
        <f t="shared" si="12"/>
        <v>ZZZ</v>
      </c>
      <c r="AF486" s="3" t="b">
        <f t="array" ref="AF486">OR(ISNUMBER(SEARCH(AE$2:AE$100,$B486,5)))</f>
        <v>0</v>
      </c>
      <c r="AH486" s="3" t="str">
        <f t="shared" si="13"/>
        <v>ZZZ</v>
      </c>
      <c r="AI486" s="3" t="b">
        <f t="array" ref="AI486">OR(ISNUMBER(SEARCH(AH$2:AH$100,$B486,5)))</f>
        <v>0</v>
      </c>
      <c r="AK486" s="3" t="str">
        <f t="shared" si="14"/>
        <v>ZZZ</v>
      </c>
      <c r="AL486" s="3" t="b">
        <f t="array" ref="AL486">OR(ISNUMBER(SEARCH(AK$2:AK$100,$B486,5)))</f>
        <v>0</v>
      </c>
      <c r="AU486" s="8"/>
      <c r="AV486" s="6"/>
      <c r="AW486" s="8"/>
      <c r="AX486" s="8"/>
      <c r="AY486" s="6"/>
      <c r="AZ486" s="8"/>
      <c r="BA486" s="8"/>
      <c r="BB486" s="6"/>
      <c r="BC486" s="8"/>
      <c r="BD486" s="8"/>
      <c r="BE486" s="6"/>
      <c r="BF486" s="8"/>
      <c r="BG486" s="8"/>
      <c r="BH486" s="6"/>
      <c r="BI486" s="8"/>
      <c r="BJ486" s="8"/>
      <c r="BK486" s="6"/>
      <c r="BL486" s="8"/>
      <c r="BM486" s="8"/>
      <c r="BN486" s="6"/>
      <c r="BO486" s="8"/>
      <c r="BP486" s="8"/>
      <c r="BQ486" s="6"/>
      <c r="BR486" s="8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7"/>
      <c r="HO486" s="7"/>
      <c r="HP486" s="7"/>
      <c r="HQ486" s="7"/>
      <c r="HR486" s="7"/>
      <c r="HS486" s="7"/>
      <c r="HT486" s="7"/>
      <c r="HU486" s="7"/>
      <c r="HV486" s="7"/>
      <c r="HW486" s="7"/>
      <c r="HX486" s="7"/>
      <c r="HY486" s="7"/>
      <c r="HZ486" s="7"/>
      <c r="IA486" s="7"/>
      <c r="IB486" s="7"/>
      <c r="IC486" s="7"/>
      <c r="ID486" s="7"/>
      <c r="IE486" s="7"/>
      <c r="IF486" s="7"/>
      <c r="IG486" s="7"/>
      <c r="IH486" s="7"/>
      <c r="II486" s="7"/>
      <c r="IJ486" s="7"/>
      <c r="IK486" s="7"/>
      <c r="IL486" s="7"/>
      <c r="IM486" s="7"/>
      <c r="IN486" s="7"/>
      <c r="IO486" s="7"/>
      <c r="IP486" s="7"/>
      <c r="IQ486" s="7"/>
      <c r="IR486" s="7"/>
      <c r="IS486" s="7"/>
      <c r="IT486" s="7"/>
      <c r="IU486" s="7"/>
      <c r="IV486" s="7"/>
      <c r="IW486" s="7"/>
      <c r="IX486" s="7"/>
      <c r="IY486" s="7"/>
      <c r="IZ486" s="7"/>
      <c r="JA486" s="7"/>
      <c r="JB486" s="7"/>
      <c r="JC486" s="7"/>
      <c r="JD486" s="7"/>
      <c r="JE486" s="7"/>
      <c r="JF486" s="7"/>
      <c r="JG486" s="7"/>
      <c r="JH486" s="7"/>
      <c r="JI486" s="7"/>
      <c r="JJ486" s="7"/>
      <c r="JK486" s="7"/>
      <c r="JL486" s="7"/>
      <c r="JM486" s="7"/>
      <c r="JN486" s="7"/>
      <c r="JO486" s="7"/>
      <c r="JP486" s="7"/>
      <c r="JQ486" s="7"/>
      <c r="JR486" s="7"/>
      <c r="JS486" s="7"/>
      <c r="JT486" s="7"/>
      <c r="JU486" s="7"/>
      <c r="JV486" s="7"/>
      <c r="JW486" s="7"/>
      <c r="JX486" s="7"/>
      <c r="JY486" s="7"/>
      <c r="JZ486" s="7"/>
      <c r="KA486" s="7"/>
      <c r="KB486" s="7"/>
      <c r="KC486" s="7"/>
      <c r="KD486" s="7"/>
      <c r="KE486" s="7"/>
      <c r="KF486" s="7"/>
      <c r="KG486" s="7"/>
      <c r="KH486" s="7"/>
      <c r="KI486" s="7"/>
      <c r="KJ486" s="7"/>
      <c r="KK486" s="7"/>
      <c r="KL486" s="7"/>
      <c r="KM486" s="7"/>
      <c r="KN486" s="7"/>
    </row>
    <row r="487">
      <c r="A487" s="6"/>
      <c r="B487" s="6" t="s">
        <v>487</v>
      </c>
      <c r="C487" s="3" t="str">
        <f t="shared" si="3"/>
        <v>striped chartreuse</v>
      </c>
      <c r="D487" s="3" t="str">
        <f t="shared" si="17"/>
        <v>ZZZ</v>
      </c>
      <c r="E487" s="3" t="b">
        <f t="array" ref="E487">OR(ISNUMBER(SEARCH(D$2:D$30,$B487,5)))</f>
        <v>0</v>
      </c>
      <c r="G487" s="3" t="str">
        <f t="shared" si="4"/>
        <v>ZZZ</v>
      </c>
      <c r="H487" s="3" t="b">
        <f t="array" ref="H487">OR(ISNUMBER(SEARCH(G$2:G$30,$B487,5)))</f>
        <v>0</v>
      </c>
      <c r="J487" s="3" t="str">
        <f t="shared" si="5"/>
        <v>ZZZ</v>
      </c>
      <c r="K487" s="3" t="b">
        <f t="array" ref="K487">OR(ISNUMBER(SEARCH(J$2:J$30,$B487,5)))</f>
        <v>0</v>
      </c>
      <c r="M487" s="3" t="str">
        <f t="shared" si="6"/>
        <v>ZZZ</v>
      </c>
      <c r="N487" s="3" t="b">
        <f t="array" ref="N487">OR(ISNUMBER(SEARCH(M$2:M$30,$B487,5)))</f>
        <v>0</v>
      </c>
      <c r="P487" s="3" t="str">
        <f t="shared" si="7"/>
        <v>ZZZ</v>
      </c>
      <c r="Q487" s="3" t="b">
        <f t="array" ref="Q487">OR(ISNUMBER(SEARCH(P$2:P$50,$B487,5)))</f>
        <v>0</v>
      </c>
      <c r="S487" s="3" t="str">
        <f t="shared" si="8"/>
        <v>ZZZ</v>
      </c>
      <c r="T487" s="3" t="b">
        <f t="array" ref="T487">OR(ISNUMBER(SEARCH(S$2:S$100,$B487,5)))</f>
        <v>0</v>
      </c>
      <c r="V487" s="3" t="str">
        <f t="shared" si="9"/>
        <v>ZZZ</v>
      </c>
      <c r="W487" s="3" t="b">
        <f t="array" ref="W487">OR(ISNUMBER(SEARCH(V$2:V$100,$B487,5)))</f>
        <v>0</v>
      </c>
      <c r="Y487" s="3" t="str">
        <f t="shared" si="10"/>
        <v>ZZZ</v>
      </c>
      <c r="Z487" s="3" t="b">
        <f t="array" ref="Z487">OR(ISNUMBER(SEARCH(Y$2:Y$100,$B487,5)))</f>
        <v>0</v>
      </c>
      <c r="AB487" s="3" t="str">
        <f t="shared" si="11"/>
        <v>ZZZ</v>
      </c>
      <c r="AC487" s="3" t="b">
        <f t="array" ref="AC487">OR(ISNUMBER(SEARCH(AB$2:AB$100,$B487,5)))</f>
        <v>0</v>
      </c>
      <c r="AE487" s="3" t="str">
        <f t="shared" si="12"/>
        <v>ZZZ</v>
      </c>
      <c r="AF487" s="3" t="b">
        <f t="array" ref="AF487">OR(ISNUMBER(SEARCH(AE$2:AE$100,$B487,5)))</f>
        <v>0</v>
      </c>
      <c r="AH487" s="3" t="str">
        <f t="shared" si="13"/>
        <v>ZZZ</v>
      </c>
      <c r="AI487" s="3" t="b">
        <f t="array" ref="AI487">OR(ISNUMBER(SEARCH(AH$2:AH$100,$B487,5)))</f>
        <v>0</v>
      </c>
      <c r="AK487" s="3" t="str">
        <f t="shared" si="14"/>
        <v>ZZZ</v>
      </c>
      <c r="AL487" s="3" t="b">
        <f t="array" ref="AL487">OR(ISNUMBER(SEARCH(AK$2:AK$100,$B487,5)))</f>
        <v>0</v>
      </c>
      <c r="AU487" s="8"/>
      <c r="AV487" s="6"/>
      <c r="AW487" s="8"/>
      <c r="AX487" s="8"/>
      <c r="AY487" s="6"/>
      <c r="AZ487" s="8"/>
      <c r="BA487" s="8"/>
      <c r="BB487" s="6"/>
      <c r="BC487" s="8"/>
      <c r="BD487" s="8"/>
      <c r="BE487" s="6"/>
      <c r="BF487" s="8"/>
      <c r="BG487" s="8"/>
      <c r="BH487" s="6"/>
      <c r="BI487" s="8"/>
      <c r="BJ487" s="8"/>
      <c r="BK487" s="6"/>
      <c r="BL487" s="8"/>
      <c r="BM487" s="8"/>
      <c r="BN487" s="6"/>
      <c r="BO487" s="8"/>
      <c r="BP487" s="8"/>
      <c r="BQ487" s="6"/>
      <c r="BR487" s="8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7"/>
      <c r="GV487" s="7"/>
      <c r="GW487" s="7"/>
      <c r="GX487" s="7"/>
      <c r="GY487" s="7"/>
      <c r="GZ487" s="7"/>
      <c r="HA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7"/>
      <c r="HO487" s="7"/>
      <c r="HP487" s="7"/>
      <c r="HQ487" s="7"/>
      <c r="HR487" s="7"/>
      <c r="HS487" s="7"/>
      <c r="HT487" s="7"/>
      <c r="HU487" s="7"/>
      <c r="HV487" s="7"/>
      <c r="HW487" s="7"/>
      <c r="HX487" s="7"/>
      <c r="HY487" s="7"/>
      <c r="HZ487" s="7"/>
      <c r="IA487" s="7"/>
      <c r="IB487" s="7"/>
      <c r="IC487" s="7"/>
      <c r="ID487" s="7"/>
      <c r="IE487" s="7"/>
      <c r="IF487" s="7"/>
      <c r="IG487" s="7"/>
      <c r="IH487" s="7"/>
      <c r="II487" s="7"/>
      <c r="IJ487" s="7"/>
      <c r="IK487" s="7"/>
      <c r="IL487" s="7"/>
      <c r="IM487" s="7"/>
      <c r="IN487" s="7"/>
      <c r="IO487" s="7"/>
      <c r="IP487" s="7"/>
      <c r="IQ487" s="7"/>
      <c r="IR487" s="7"/>
      <c r="IS487" s="7"/>
      <c r="IT487" s="7"/>
      <c r="IU487" s="7"/>
      <c r="IV487" s="7"/>
      <c r="IW487" s="7"/>
      <c r="IX487" s="7"/>
      <c r="IY487" s="7"/>
      <c r="IZ487" s="7"/>
      <c r="JA487" s="7"/>
      <c r="JB487" s="7"/>
      <c r="JC487" s="7"/>
      <c r="JD487" s="7"/>
      <c r="JE487" s="7"/>
      <c r="JF487" s="7"/>
      <c r="JG487" s="7"/>
      <c r="JH487" s="7"/>
      <c r="JI487" s="7"/>
      <c r="JJ487" s="7"/>
      <c r="JK487" s="7"/>
      <c r="JL487" s="7"/>
      <c r="JM487" s="7"/>
      <c r="JN487" s="7"/>
      <c r="JO487" s="7"/>
      <c r="JP487" s="7"/>
      <c r="JQ487" s="7"/>
      <c r="JR487" s="7"/>
      <c r="JS487" s="7"/>
      <c r="JT487" s="7"/>
      <c r="JU487" s="7"/>
      <c r="JV487" s="7"/>
      <c r="JW487" s="7"/>
      <c r="JX487" s="7"/>
      <c r="JY487" s="7"/>
      <c r="JZ487" s="7"/>
      <c r="KA487" s="7"/>
      <c r="KB487" s="7"/>
      <c r="KC487" s="7"/>
      <c r="KD487" s="7"/>
      <c r="KE487" s="7"/>
      <c r="KF487" s="7"/>
      <c r="KG487" s="7"/>
      <c r="KH487" s="7"/>
      <c r="KI487" s="7"/>
      <c r="KJ487" s="7"/>
      <c r="KK487" s="7"/>
      <c r="KL487" s="7"/>
      <c r="KM487" s="7"/>
      <c r="KN487" s="7"/>
    </row>
    <row r="488">
      <c r="A488" s="6"/>
      <c r="B488" s="6" t="s">
        <v>488</v>
      </c>
      <c r="C488" s="3" t="str">
        <f t="shared" si="3"/>
        <v>dim indigo</v>
      </c>
      <c r="D488" s="3" t="str">
        <f t="shared" si="17"/>
        <v>ZZZ</v>
      </c>
      <c r="E488" s="3" t="b">
        <f t="array" ref="E488">OR(ISNUMBER(SEARCH(D$2:D$30,$B488,5)))</f>
        <v>0</v>
      </c>
      <c r="G488" s="3" t="str">
        <f t="shared" si="4"/>
        <v>ZZZ</v>
      </c>
      <c r="H488" s="3" t="b">
        <f t="array" ref="H488">OR(ISNUMBER(SEARCH(G$2:G$30,$B488,5)))</f>
        <v>0</v>
      </c>
      <c r="J488" s="3" t="str">
        <f t="shared" si="5"/>
        <v>ZZZ</v>
      </c>
      <c r="K488" s="3" t="b">
        <f t="array" ref="K488">OR(ISNUMBER(SEARCH(J$2:J$30,$B488,5)))</f>
        <v>0</v>
      </c>
      <c r="M488" s="3" t="str">
        <f t="shared" si="6"/>
        <v>ZZZ</v>
      </c>
      <c r="N488" s="3" t="b">
        <f t="array" ref="N488">OR(ISNUMBER(SEARCH(M$2:M$30,$B488,5)))</f>
        <v>0</v>
      </c>
      <c r="P488" s="3" t="str">
        <f t="shared" si="7"/>
        <v>ZZZ</v>
      </c>
      <c r="Q488" s="3" t="b">
        <f t="array" ref="Q488">OR(ISNUMBER(SEARCH(P$2:P$50,$B488,5)))</f>
        <v>0</v>
      </c>
      <c r="S488" s="3" t="str">
        <f t="shared" si="8"/>
        <v>ZZZ</v>
      </c>
      <c r="T488" s="3" t="b">
        <f t="array" ref="T488">OR(ISNUMBER(SEARCH(S$2:S$100,$B488,5)))</f>
        <v>0</v>
      </c>
      <c r="V488" s="3" t="str">
        <f t="shared" si="9"/>
        <v>ZZZ</v>
      </c>
      <c r="W488" s="3" t="b">
        <f t="array" ref="W488">OR(ISNUMBER(SEARCH(V$2:V$100,$B488,5)))</f>
        <v>0</v>
      </c>
      <c r="Y488" s="3" t="str">
        <f t="shared" si="10"/>
        <v>ZZZ</v>
      </c>
      <c r="Z488" s="3" t="b">
        <f t="array" ref="Z488">OR(ISNUMBER(SEARCH(Y$2:Y$100,$B488,5)))</f>
        <v>0</v>
      </c>
      <c r="AB488" s="3" t="str">
        <f t="shared" si="11"/>
        <v>ZZZ</v>
      </c>
      <c r="AC488" s="3" t="b">
        <f t="array" ref="AC488">OR(ISNUMBER(SEARCH(AB$2:AB$100,$B488,5)))</f>
        <v>0</v>
      </c>
      <c r="AE488" s="3" t="str">
        <f t="shared" si="12"/>
        <v>ZZZ</v>
      </c>
      <c r="AF488" s="3" t="b">
        <f t="array" ref="AF488">OR(ISNUMBER(SEARCH(AE$2:AE$100,$B488,5)))</f>
        <v>0</v>
      </c>
      <c r="AH488" s="3" t="str">
        <f t="shared" si="13"/>
        <v>ZZZ</v>
      </c>
      <c r="AI488" s="3" t="b">
        <f t="array" ref="AI488">OR(ISNUMBER(SEARCH(AH$2:AH$100,$B488,5)))</f>
        <v>0</v>
      </c>
      <c r="AK488" s="3" t="str">
        <f t="shared" si="14"/>
        <v>ZZZ</v>
      </c>
      <c r="AL488" s="3" t="b">
        <f t="array" ref="AL488">OR(ISNUMBER(SEARCH(AK$2:AK$100,$B488,5)))</f>
        <v>0</v>
      </c>
      <c r="AU488" s="8"/>
      <c r="AV488" s="6"/>
      <c r="AW488" s="8"/>
      <c r="AX488" s="8"/>
      <c r="AY488" s="6"/>
      <c r="AZ488" s="8"/>
      <c r="BA488" s="8"/>
      <c r="BB488" s="6"/>
      <c r="BC488" s="8"/>
      <c r="BD488" s="8"/>
      <c r="BE488" s="6"/>
      <c r="BF488" s="8"/>
      <c r="BG488" s="8"/>
      <c r="BH488" s="6"/>
      <c r="BI488" s="8"/>
      <c r="BJ488" s="8"/>
      <c r="BK488" s="6"/>
      <c r="BL488" s="8"/>
      <c r="BM488" s="8"/>
      <c r="BN488" s="6"/>
      <c r="BO488" s="8"/>
      <c r="BP488" s="8"/>
      <c r="BQ488" s="6"/>
      <c r="BR488" s="8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7"/>
      <c r="GV488" s="7"/>
      <c r="GW488" s="7"/>
      <c r="GX488" s="7"/>
      <c r="GY488" s="7"/>
      <c r="GZ488" s="7"/>
      <c r="HA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7"/>
      <c r="HO488" s="7"/>
      <c r="HP488" s="7"/>
      <c r="HQ488" s="7"/>
      <c r="HR488" s="7"/>
      <c r="HS488" s="7"/>
      <c r="HT488" s="7"/>
      <c r="HU488" s="7"/>
      <c r="HV488" s="7"/>
      <c r="HW488" s="7"/>
      <c r="HX488" s="7"/>
      <c r="HY488" s="7"/>
      <c r="HZ488" s="7"/>
      <c r="IA488" s="7"/>
      <c r="IB488" s="7"/>
      <c r="IC488" s="7"/>
      <c r="ID488" s="7"/>
      <c r="IE488" s="7"/>
      <c r="IF488" s="7"/>
      <c r="IG488" s="7"/>
      <c r="IH488" s="7"/>
      <c r="II488" s="7"/>
      <c r="IJ488" s="7"/>
      <c r="IK488" s="7"/>
      <c r="IL488" s="7"/>
      <c r="IM488" s="7"/>
      <c r="IN488" s="7"/>
      <c r="IO488" s="7"/>
      <c r="IP488" s="7"/>
      <c r="IQ488" s="7"/>
      <c r="IR488" s="7"/>
      <c r="IS488" s="7"/>
      <c r="IT488" s="7"/>
      <c r="IU488" s="7"/>
      <c r="IV488" s="7"/>
      <c r="IW488" s="7"/>
      <c r="IX488" s="7"/>
      <c r="IY488" s="7"/>
      <c r="IZ488" s="7"/>
      <c r="JA488" s="7"/>
      <c r="JB488" s="7"/>
      <c r="JC488" s="7"/>
      <c r="JD488" s="7"/>
      <c r="JE488" s="7"/>
      <c r="JF488" s="7"/>
      <c r="JG488" s="7"/>
      <c r="JH488" s="7"/>
      <c r="JI488" s="7"/>
      <c r="JJ488" s="7"/>
      <c r="JK488" s="7"/>
      <c r="JL488" s="7"/>
      <c r="JM488" s="7"/>
      <c r="JN488" s="7"/>
      <c r="JO488" s="7"/>
      <c r="JP488" s="7"/>
      <c r="JQ488" s="7"/>
      <c r="JR488" s="7"/>
      <c r="JS488" s="7"/>
      <c r="JT488" s="7"/>
      <c r="JU488" s="7"/>
      <c r="JV488" s="7"/>
      <c r="JW488" s="7"/>
      <c r="JX488" s="7"/>
      <c r="JY488" s="7"/>
      <c r="JZ488" s="7"/>
      <c r="KA488" s="7"/>
      <c r="KB488" s="7"/>
      <c r="KC488" s="7"/>
      <c r="KD488" s="7"/>
      <c r="KE488" s="7"/>
      <c r="KF488" s="7"/>
      <c r="KG488" s="7"/>
      <c r="KH488" s="7"/>
      <c r="KI488" s="7"/>
      <c r="KJ488" s="7"/>
      <c r="KK488" s="7"/>
      <c r="KL488" s="7"/>
      <c r="KM488" s="7"/>
      <c r="KN488" s="7"/>
    </row>
    <row r="489">
      <c r="A489" s="6"/>
      <c r="B489" s="6" t="s">
        <v>489</v>
      </c>
      <c r="C489" s="3" t="str">
        <f t="shared" si="3"/>
        <v>dotted purple</v>
      </c>
      <c r="D489" s="3" t="str">
        <f t="shared" si="17"/>
        <v>ZZZ</v>
      </c>
      <c r="E489" s="3" t="b">
        <f t="array" ref="E489">OR(ISNUMBER(SEARCH(D$2:D$30,$B489,5)))</f>
        <v>0</v>
      </c>
      <c r="G489" s="3" t="str">
        <f t="shared" si="4"/>
        <v>ZZZ</v>
      </c>
      <c r="H489" s="3" t="b">
        <f t="array" ref="H489">OR(ISNUMBER(SEARCH(G$2:G$30,$B489,5)))</f>
        <v>0</v>
      </c>
      <c r="J489" s="3" t="str">
        <f t="shared" si="5"/>
        <v>ZZZ</v>
      </c>
      <c r="K489" s="3" t="b">
        <f t="array" ref="K489">OR(ISNUMBER(SEARCH(J$2:J$30,$B489,5)))</f>
        <v>0</v>
      </c>
      <c r="M489" s="3" t="str">
        <f t="shared" si="6"/>
        <v>ZZZ</v>
      </c>
      <c r="N489" s="3" t="b">
        <f t="array" ref="N489">OR(ISNUMBER(SEARCH(M$2:M$30,$B489,5)))</f>
        <v>0</v>
      </c>
      <c r="P489" s="3" t="str">
        <f t="shared" si="7"/>
        <v>ZZZ</v>
      </c>
      <c r="Q489" s="3" t="b">
        <f t="array" ref="Q489">OR(ISNUMBER(SEARCH(P$2:P$50,$B489,5)))</f>
        <v>0</v>
      </c>
      <c r="S489" s="3" t="str">
        <f t="shared" si="8"/>
        <v>ZZZ</v>
      </c>
      <c r="T489" s="3" t="b">
        <f t="array" ref="T489">OR(ISNUMBER(SEARCH(S$2:S$100,$B489,5)))</f>
        <v>0</v>
      </c>
      <c r="V489" s="3" t="str">
        <f t="shared" si="9"/>
        <v>ZZZ</v>
      </c>
      <c r="W489" s="3" t="b">
        <f t="array" ref="W489">OR(ISNUMBER(SEARCH(V$2:V$100,$B489,5)))</f>
        <v>0</v>
      </c>
      <c r="Y489" s="3" t="str">
        <f t="shared" si="10"/>
        <v>ZZZ</v>
      </c>
      <c r="Z489" s="3" t="b">
        <f t="array" ref="Z489">OR(ISNUMBER(SEARCH(Y$2:Y$100,$B489,5)))</f>
        <v>0</v>
      </c>
      <c r="AB489" s="3" t="str">
        <f t="shared" si="11"/>
        <v>ZZZ</v>
      </c>
      <c r="AC489" s="3" t="b">
        <f t="array" ref="AC489">OR(ISNUMBER(SEARCH(AB$2:AB$100,$B489,5)))</f>
        <v>0</v>
      </c>
      <c r="AE489" s="3" t="str">
        <f t="shared" si="12"/>
        <v>ZZZ</v>
      </c>
      <c r="AF489" s="3" t="b">
        <f t="array" ref="AF489">OR(ISNUMBER(SEARCH(AE$2:AE$100,$B489,5)))</f>
        <v>0</v>
      </c>
      <c r="AH489" s="3" t="str">
        <f t="shared" si="13"/>
        <v>ZZZ</v>
      </c>
      <c r="AI489" s="3" t="b">
        <f t="array" ref="AI489">OR(ISNUMBER(SEARCH(AH$2:AH$100,$B489,5)))</f>
        <v>0</v>
      </c>
      <c r="AK489" s="3" t="str">
        <f t="shared" si="14"/>
        <v>ZZZ</v>
      </c>
      <c r="AL489" s="3" t="b">
        <f t="array" ref="AL489">OR(ISNUMBER(SEARCH(AK$2:AK$100,$B489,5)))</f>
        <v>0</v>
      </c>
      <c r="AU489" s="8"/>
      <c r="AV489" s="6"/>
      <c r="AW489" s="8"/>
      <c r="AX489" s="8"/>
      <c r="AY489" s="6"/>
      <c r="AZ489" s="8"/>
      <c r="BA489" s="8"/>
      <c r="BB489" s="6"/>
      <c r="BC489" s="8"/>
      <c r="BD489" s="8"/>
      <c r="BE489" s="6"/>
      <c r="BF489" s="8"/>
      <c r="BG489" s="8"/>
      <c r="BH489" s="6"/>
      <c r="BI489" s="8"/>
      <c r="BJ489" s="8"/>
      <c r="BK489" s="6"/>
      <c r="BL489" s="8"/>
      <c r="BM489" s="8"/>
      <c r="BN489" s="6"/>
      <c r="BO489" s="8"/>
      <c r="BP489" s="8"/>
      <c r="BQ489" s="6"/>
      <c r="BR489" s="8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7"/>
      <c r="GV489" s="7"/>
      <c r="GW489" s="7"/>
      <c r="GX489" s="7"/>
      <c r="GY489" s="7"/>
      <c r="GZ489" s="7"/>
      <c r="HA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7"/>
      <c r="HO489" s="7"/>
      <c r="HP489" s="7"/>
      <c r="HQ489" s="7"/>
      <c r="HR489" s="7"/>
      <c r="HS489" s="7"/>
      <c r="HT489" s="7"/>
      <c r="HU489" s="7"/>
      <c r="HV489" s="7"/>
      <c r="HW489" s="7"/>
      <c r="HX489" s="7"/>
      <c r="HY489" s="7"/>
      <c r="HZ489" s="7"/>
      <c r="IA489" s="7"/>
      <c r="IB489" s="7"/>
      <c r="IC489" s="7"/>
      <c r="ID489" s="7"/>
      <c r="IE489" s="7"/>
      <c r="IF489" s="7"/>
      <c r="IG489" s="7"/>
      <c r="IH489" s="7"/>
      <c r="II489" s="7"/>
      <c r="IJ489" s="7"/>
      <c r="IK489" s="7"/>
      <c r="IL489" s="7"/>
      <c r="IM489" s="7"/>
      <c r="IN489" s="7"/>
      <c r="IO489" s="7"/>
      <c r="IP489" s="7"/>
      <c r="IQ489" s="7"/>
      <c r="IR489" s="7"/>
      <c r="IS489" s="7"/>
      <c r="IT489" s="7"/>
      <c r="IU489" s="7"/>
      <c r="IV489" s="7"/>
      <c r="IW489" s="7"/>
      <c r="IX489" s="7"/>
      <c r="IY489" s="7"/>
      <c r="IZ489" s="7"/>
      <c r="JA489" s="7"/>
      <c r="JB489" s="7"/>
      <c r="JC489" s="7"/>
      <c r="JD489" s="7"/>
      <c r="JE489" s="7"/>
      <c r="JF489" s="7"/>
      <c r="JG489" s="7"/>
      <c r="JH489" s="7"/>
      <c r="JI489" s="7"/>
      <c r="JJ489" s="7"/>
      <c r="JK489" s="7"/>
      <c r="JL489" s="7"/>
      <c r="JM489" s="7"/>
      <c r="JN489" s="7"/>
      <c r="JO489" s="7"/>
      <c r="JP489" s="7"/>
      <c r="JQ489" s="7"/>
      <c r="JR489" s="7"/>
      <c r="JS489" s="7"/>
      <c r="JT489" s="7"/>
      <c r="JU489" s="7"/>
      <c r="JV489" s="7"/>
      <c r="JW489" s="7"/>
      <c r="JX489" s="7"/>
      <c r="JY489" s="7"/>
      <c r="JZ489" s="7"/>
      <c r="KA489" s="7"/>
      <c r="KB489" s="7"/>
      <c r="KC489" s="7"/>
      <c r="KD489" s="7"/>
      <c r="KE489" s="7"/>
      <c r="KF489" s="7"/>
      <c r="KG489" s="7"/>
      <c r="KH489" s="7"/>
      <c r="KI489" s="7"/>
      <c r="KJ489" s="7"/>
      <c r="KK489" s="7"/>
      <c r="KL489" s="7"/>
      <c r="KM489" s="7"/>
      <c r="KN489" s="7"/>
    </row>
    <row r="490">
      <c r="A490" s="6"/>
      <c r="B490" s="6" t="s">
        <v>490</v>
      </c>
      <c r="C490" s="3" t="str">
        <f t="shared" si="3"/>
        <v>muted chartreuse</v>
      </c>
      <c r="D490" s="3" t="str">
        <f t="shared" si="17"/>
        <v>ZZZ</v>
      </c>
      <c r="E490" s="3" t="b">
        <f t="array" ref="E490">OR(ISNUMBER(SEARCH(D$2:D$30,$B490,5)))</f>
        <v>0</v>
      </c>
      <c r="G490" s="3" t="str">
        <f t="shared" si="4"/>
        <v>ZZZ</v>
      </c>
      <c r="H490" s="3" t="b">
        <f t="array" ref="H490">OR(ISNUMBER(SEARCH(G$2:G$30,$B490,5)))</f>
        <v>0</v>
      </c>
      <c r="J490" s="3" t="str">
        <f t="shared" si="5"/>
        <v>ZZZ</v>
      </c>
      <c r="K490" s="3" t="b">
        <f t="array" ref="K490">OR(ISNUMBER(SEARCH(J$2:J$30,$B490,5)))</f>
        <v>0</v>
      </c>
      <c r="M490" s="3" t="str">
        <f t="shared" si="6"/>
        <v>ZZZ</v>
      </c>
      <c r="N490" s="3" t="b">
        <f t="array" ref="N490">OR(ISNUMBER(SEARCH(M$2:M$30,$B490,5)))</f>
        <v>0</v>
      </c>
      <c r="P490" s="3" t="str">
        <f t="shared" si="7"/>
        <v>ZZZ</v>
      </c>
      <c r="Q490" s="3" t="b">
        <f t="array" ref="Q490">OR(ISNUMBER(SEARCH(P$2:P$50,$B490,5)))</f>
        <v>0</v>
      </c>
      <c r="S490" s="3" t="str">
        <f t="shared" si="8"/>
        <v>ZZZ</v>
      </c>
      <c r="T490" s="3" t="b">
        <f t="array" ref="T490">OR(ISNUMBER(SEARCH(S$2:S$100,$B490,5)))</f>
        <v>0</v>
      </c>
      <c r="V490" s="3" t="str">
        <f t="shared" si="9"/>
        <v>ZZZ</v>
      </c>
      <c r="W490" s="3" t="b">
        <f t="array" ref="W490">OR(ISNUMBER(SEARCH(V$2:V$100,$B490,5)))</f>
        <v>0</v>
      </c>
      <c r="Y490" s="3" t="str">
        <f t="shared" si="10"/>
        <v>ZZZ</v>
      </c>
      <c r="Z490" s="3" t="b">
        <f t="array" ref="Z490">OR(ISNUMBER(SEARCH(Y$2:Y$100,$B490,5)))</f>
        <v>0</v>
      </c>
      <c r="AB490" s="3" t="str">
        <f t="shared" si="11"/>
        <v>ZZZ</v>
      </c>
      <c r="AC490" s="3" t="b">
        <f t="array" ref="AC490">OR(ISNUMBER(SEARCH(AB$2:AB$100,$B490,5)))</f>
        <v>0</v>
      </c>
      <c r="AE490" s="3" t="str">
        <f t="shared" si="12"/>
        <v>ZZZ</v>
      </c>
      <c r="AF490" s="3" t="b">
        <f t="array" ref="AF490">OR(ISNUMBER(SEARCH(AE$2:AE$100,$B490,5)))</f>
        <v>0</v>
      </c>
      <c r="AH490" s="3" t="str">
        <f t="shared" si="13"/>
        <v>ZZZ</v>
      </c>
      <c r="AI490" s="3" t="b">
        <f t="array" ref="AI490">OR(ISNUMBER(SEARCH(AH$2:AH$100,$B490,5)))</f>
        <v>0</v>
      </c>
      <c r="AK490" s="3" t="str">
        <f t="shared" si="14"/>
        <v>ZZZ</v>
      </c>
      <c r="AL490" s="3" t="b">
        <f t="array" ref="AL490">OR(ISNUMBER(SEARCH(AK$2:AK$100,$B490,5)))</f>
        <v>0</v>
      </c>
      <c r="AU490" s="8"/>
      <c r="AV490" s="6"/>
      <c r="AW490" s="8"/>
      <c r="AX490" s="8"/>
      <c r="AY490" s="6"/>
      <c r="AZ490" s="8"/>
      <c r="BA490" s="8"/>
      <c r="BB490" s="6"/>
      <c r="BC490" s="8"/>
      <c r="BD490" s="8"/>
      <c r="BE490" s="6"/>
      <c r="BF490" s="8"/>
      <c r="BG490" s="8"/>
      <c r="BH490" s="6"/>
      <c r="BI490" s="8"/>
      <c r="BJ490" s="8"/>
      <c r="BK490" s="6"/>
      <c r="BL490" s="8"/>
      <c r="BM490" s="8"/>
      <c r="BN490" s="6"/>
      <c r="BO490" s="8"/>
      <c r="BP490" s="8"/>
      <c r="BQ490" s="6"/>
      <c r="BR490" s="8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7"/>
      <c r="GV490" s="7"/>
      <c r="GW490" s="7"/>
      <c r="GX490" s="7"/>
      <c r="GY490" s="7"/>
      <c r="GZ490" s="7"/>
      <c r="HA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  <c r="HM490" s="7"/>
      <c r="HN490" s="7"/>
      <c r="HO490" s="7"/>
      <c r="HP490" s="7"/>
      <c r="HQ490" s="7"/>
      <c r="HR490" s="7"/>
      <c r="HS490" s="7"/>
      <c r="HT490" s="7"/>
      <c r="HU490" s="7"/>
      <c r="HV490" s="7"/>
      <c r="HW490" s="7"/>
      <c r="HX490" s="7"/>
      <c r="HY490" s="7"/>
      <c r="HZ490" s="7"/>
      <c r="IA490" s="7"/>
      <c r="IB490" s="7"/>
      <c r="IC490" s="7"/>
      <c r="ID490" s="7"/>
      <c r="IE490" s="7"/>
      <c r="IF490" s="7"/>
      <c r="IG490" s="7"/>
      <c r="IH490" s="7"/>
      <c r="II490" s="7"/>
      <c r="IJ490" s="7"/>
      <c r="IK490" s="7"/>
      <c r="IL490" s="7"/>
      <c r="IM490" s="7"/>
      <c r="IN490" s="7"/>
      <c r="IO490" s="7"/>
      <c r="IP490" s="7"/>
      <c r="IQ490" s="7"/>
      <c r="IR490" s="7"/>
      <c r="IS490" s="7"/>
      <c r="IT490" s="7"/>
      <c r="IU490" s="7"/>
      <c r="IV490" s="7"/>
      <c r="IW490" s="7"/>
      <c r="IX490" s="7"/>
      <c r="IY490" s="7"/>
      <c r="IZ490" s="7"/>
      <c r="JA490" s="7"/>
      <c r="JB490" s="7"/>
      <c r="JC490" s="7"/>
      <c r="JD490" s="7"/>
      <c r="JE490" s="7"/>
      <c r="JF490" s="7"/>
      <c r="JG490" s="7"/>
      <c r="JH490" s="7"/>
      <c r="JI490" s="7"/>
      <c r="JJ490" s="7"/>
      <c r="JK490" s="7"/>
      <c r="JL490" s="7"/>
      <c r="JM490" s="7"/>
      <c r="JN490" s="7"/>
      <c r="JO490" s="7"/>
      <c r="JP490" s="7"/>
      <c r="JQ490" s="7"/>
      <c r="JR490" s="7"/>
      <c r="JS490" s="7"/>
      <c r="JT490" s="7"/>
      <c r="JU490" s="7"/>
      <c r="JV490" s="7"/>
      <c r="JW490" s="7"/>
      <c r="JX490" s="7"/>
      <c r="JY490" s="7"/>
      <c r="JZ490" s="7"/>
      <c r="KA490" s="7"/>
      <c r="KB490" s="7"/>
      <c r="KC490" s="7"/>
      <c r="KD490" s="7"/>
      <c r="KE490" s="7"/>
      <c r="KF490" s="7"/>
      <c r="KG490" s="7"/>
      <c r="KH490" s="7"/>
      <c r="KI490" s="7"/>
      <c r="KJ490" s="7"/>
      <c r="KK490" s="7"/>
      <c r="KL490" s="7"/>
      <c r="KM490" s="7"/>
      <c r="KN490" s="7"/>
    </row>
    <row r="491">
      <c r="A491" s="6"/>
      <c r="B491" s="6" t="s">
        <v>491</v>
      </c>
      <c r="C491" s="3" t="str">
        <f t="shared" si="3"/>
        <v>shiny purple</v>
      </c>
      <c r="D491" s="3" t="str">
        <f t="shared" si="17"/>
        <v>ZZZ</v>
      </c>
      <c r="E491" s="3" t="b">
        <f t="array" ref="E491">OR(ISNUMBER(SEARCH(D$2:D$30,$B491,5)))</f>
        <v>0</v>
      </c>
      <c r="G491" s="3" t="str">
        <f t="shared" si="4"/>
        <v>ZZZ</v>
      </c>
      <c r="H491" s="3" t="b">
        <f t="array" ref="H491">OR(ISNUMBER(SEARCH(G$2:G$30,$B491,5)))</f>
        <v>0</v>
      </c>
      <c r="J491" s="3" t="str">
        <f t="shared" si="5"/>
        <v>ZZZ</v>
      </c>
      <c r="K491" s="3" t="b">
        <f t="array" ref="K491">OR(ISNUMBER(SEARCH(J$2:J$30,$B491,5)))</f>
        <v>0</v>
      </c>
      <c r="M491" s="3" t="str">
        <f t="shared" si="6"/>
        <v>ZZZ</v>
      </c>
      <c r="N491" s="3" t="b">
        <f t="array" ref="N491">OR(ISNUMBER(SEARCH(M$2:M$30,$B491,5)))</f>
        <v>0</v>
      </c>
      <c r="P491" s="3" t="str">
        <f t="shared" si="7"/>
        <v>ZZZ</v>
      </c>
      <c r="Q491" s="3" t="b">
        <f t="array" ref="Q491">OR(ISNUMBER(SEARCH(P$2:P$50,$B491,5)))</f>
        <v>0</v>
      </c>
      <c r="S491" s="3" t="str">
        <f t="shared" si="8"/>
        <v>ZZZ</v>
      </c>
      <c r="T491" s="3" t="b">
        <f t="array" ref="T491">OR(ISNUMBER(SEARCH(S$2:S$100,$B491,5)))</f>
        <v>0</v>
      </c>
      <c r="V491" s="3" t="str">
        <f t="shared" si="9"/>
        <v>ZZZ</v>
      </c>
      <c r="W491" s="3" t="b">
        <f t="array" ref="W491">OR(ISNUMBER(SEARCH(V$2:V$100,$B491,5)))</f>
        <v>0</v>
      </c>
      <c r="Y491" s="3" t="str">
        <f t="shared" si="10"/>
        <v>ZZZ</v>
      </c>
      <c r="Z491" s="3" t="b">
        <f t="array" ref="Z491">OR(ISNUMBER(SEARCH(Y$2:Y$100,$B491,5)))</f>
        <v>0</v>
      </c>
      <c r="AB491" s="3" t="str">
        <f t="shared" si="11"/>
        <v>ZZZ</v>
      </c>
      <c r="AC491" s="3" t="b">
        <f t="array" ref="AC491">OR(ISNUMBER(SEARCH(AB$2:AB$100,$B491,5)))</f>
        <v>0</v>
      </c>
      <c r="AE491" s="3" t="str">
        <f t="shared" si="12"/>
        <v>ZZZ</v>
      </c>
      <c r="AF491" s="3" t="b">
        <f t="array" ref="AF491">OR(ISNUMBER(SEARCH(AE$2:AE$100,$B491,5)))</f>
        <v>0</v>
      </c>
      <c r="AH491" s="3" t="str">
        <f t="shared" si="13"/>
        <v>ZZZ</v>
      </c>
      <c r="AI491" s="3" t="b">
        <f t="array" ref="AI491">OR(ISNUMBER(SEARCH(AH$2:AH$100,$B491,5)))</f>
        <v>0</v>
      </c>
      <c r="AK491" s="3" t="str">
        <f t="shared" si="14"/>
        <v>ZZZ</v>
      </c>
      <c r="AL491" s="3" t="b">
        <f t="array" ref="AL491">OR(ISNUMBER(SEARCH(AK$2:AK$100,$B491,5)))</f>
        <v>0</v>
      </c>
      <c r="AU491" s="8"/>
      <c r="AV491" s="6"/>
      <c r="AW491" s="8"/>
      <c r="AX491" s="8"/>
      <c r="AY491" s="6"/>
      <c r="AZ491" s="8"/>
      <c r="BA491" s="8"/>
      <c r="BB491" s="6"/>
      <c r="BC491" s="8"/>
      <c r="BD491" s="8"/>
      <c r="BE491" s="6"/>
      <c r="BF491" s="8"/>
      <c r="BG491" s="8"/>
      <c r="BH491" s="6"/>
      <c r="BI491" s="8"/>
      <c r="BJ491" s="8"/>
      <c r="BK491" s="6"/>
      <c r="BL491" s="8"/>
      <c r="BM491" s="8"/>
      <c r="BN491" s="6"/>
      <c r="BO491" s="8"/>
      <c r="BP491" s="8"/>
      <c r="BQ491" s="6"/>
      <c r="BR491" s="8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7"/>
      <c r="GV491" s="7"/>
      <c r="GW491" s="7"/>
      <c r="GX491" s="7"/>
      <c r="GY491" s="7"/>
      <c r="GZ491" s="7"/>
      <c r="HA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  <c r="HM491" s="7"/>
      <c r="HN491" s="7"/>
      <c r="HO491" s="7"/>
      <c r="HP491" s="7"/>
      <c r="HQ491" s="7"/>
      <c r="HR491" s="7"/>
      <c r="HS491" s="7"/>
      <c r="HT491" s="7"/>
      <c r="HU491" s="7"/>
      <c r="HV491" s="7"/>
      <c r="HW491" s="7"/>
      <c r="HX491" s="7"/>
      <c r="HY491" s="7"/>
      <c r="HZ491" s="7"/>
      <c r="IA491" s="7"/>
      <c r="IB491" s="7"/>
      <c r="IC491" s="7"/>
      <c r="ID491" s="7"/>
      <c r="IE491" s="7"/>
      <c r="IF491" s="7"/>
      <c r="IG491" s="7"/>
      <c r="IH491" s="7"/>
      <c r="II491" s="7"/>
      <c r="IJ491" s="7"/>
      <c r="IK491" s="7"/>
      <c r="IL491" s="7"/>
      <c r="IM491" s="7"/>
      <c r="IN491" s="7"/>
      <c r="IO491" s="7"/>
      <c r="IP491" s="7"/>
      <c r="IQ491" s="7"/>
      <c r="IR491" s="7"/>
      <c r="IS491" s="7"/>
      <c r="IT491" s="7"/>
      <c r="IU491" s="7"/>
      <c r="IV491" s="7"/>
      <c r="IW491" s="7"/>
      <c r="IX491" s="7"/>
      <c r="IY491" s="7"/>
      <c r="IZ491" s="7"/>
      <c r="JA491" s="7"/>
      <c r="JB491" s="7"/>
      <c r="JC491" s="7"/>
      <c r="JD491" s="7"/>
      <c r="JE491" s="7"/>
      <c r="JF491" s="7"/>
      <c r="JG491" s="7"/>
      <c r="JH491" s="7"/>
      <c r="JI491" s="7"/>
      <c r="JJ491" s="7"/>
      <c r="JK491" s="7"/>
      <c r="JL491" s="7"/>
      <c r="JM491" s="7"/>
      <c r="JN491" s="7"/>
      <c r="JO491" s="7"/>
      <c r="JP491" s="7"/>
      <c r="JQ491" s="7"/>
      <c r="JR491" s="7"/>
      <c r="JS491" s="7"/>
      <c r="JT491" s="7"/>
      <c r="JU491" s="7"/>
      <c r="JV491" s="7"/>
      <c r="JW491" s="7"/>
      <c r="JX491" s="7"/>
      <c r="JY491" s="7"/>
      <c r="JZ491" s="7"/>
      <c r="KA491" s="7"/>
      <c r="KB491" s="7"/>
      <c r="KC491" s="7"/>
      <c r="KD491" s="7"/>
      <c r="KE491" s="7"/>
      <c r="KF491" s="7"/>
      <c r="KG491" s="7"/>
      <c r="KH491" s="7"/>
      <c r="KI491" s="7"/>
      <c r="KJ491" s="7"/>
      <c r="KK491" s="7"/>
      <c r="KL491" s="7"/>
      <c r="KM491" s="7"/>
      <c r="KN491" s="7"/>
    </row>
    <row r="492">
      <c r="A492" s="6"/>
      <c r="B492" s="6" t="s">
        <v>492</v>
      </c>
      <c r="C492" s="3" t="str">
        <f t="shared" si="3"/>
        <v>faded white</v>
      </c>
      <c r="D492" s="3" t="str">
        <f t="shared" si="17"/>
        <v>ZZZ</v>
      </c>
      <c r="E492" s="3" t="b">
        <f t="array" ref="E492">OR(ISNUMBER(SEARCH(D$2:D$30,$B492,5)))</f>
        <v>0</v>
      </c>
      <c r="G492" s="3" t="str">
        <f t="shared" si="4"/>
        <v>ZZZ</v>
      </c>
      <c r="H492" s="3" t="b">
        <f t="array" ref="H492">OR(ISNUMBER(SEARCH(G$2:G$30,$B492,5)))</f>
        <v>0</v>
      </c>
      <c r="J492" s="3" t="str">
        <f t="shared" si="5"/>
        <v>ZZZ</v>
      </c>
      <c r="K492" s="3" t="b">
        <f t="array" ref="K492">OR(ISNUMBER(SEARCH(J$2:J$30,$B492,5)))</f>
        <v>0</v>
      </c>
      <c r="M492" s="3" t="str">
        <f t="shared" si="6"/>
        <v>ZZZ</v>
      </c>
      <c r="N492" s="3" t="b">
        <f t="array" ref="N492">OR(ISNUMBER(SEARCH(M$2:M$30,$B492,5)))</f>
        <v>0</v>
      </c>
      <c r="P492" s="3" t="str">
        <f t="shared" si="7"/>
        <v>ZZZ</v>
      </c>
      <c r="Q492" s="3" t="b">
        <f t="array" ref="Q492">OR(ISNUMBER(SEARCH(P$2:P$50,$B492,5)))</f>
        <v>0</v>
      </c>
      <c r="S492" s="3" t="str">
        <f t="shared" si="8"/>
        <v>ZZZ</v>
      </c>
      <c r="T492" s="3" t="b">
        <f t="array" ref="T492">OR(ISNUMBER(SEARCH(S$2:S$100,$B492,5)))</f>
        <v>0</v>
      </c>
      <c r="V492" s="3" t="str">
        <f t="shared" si="9"/>
        <v>ZZZ</v>
      </c>
      <c r="W492" s="3" t="b">
        <f t="array" ref="W492">OR(ISNUMBER(SEARCH(V$2:V$100,$B492,5)))</f>
        <v>0</v>
      </c>
      <c r="Y492" s="3" t="str">
        <f t="shared" si="10"/>
        <v>ZZZ</v>
      </c>
      <c r="Z492" s="3" t="b">
        <f t="array" ref="Z492">OR(ISNUMBER(SEARCH(Y$2:Y$100,$B492,5)))</f>
        <v>0</v>
      </c>
      <c r="AB492" s="3" t="str">
        <f t="shared" si="11"/>
        <v>ZZZ</v>
      </c>
      <c r="AC492" s="3" t="b">
        <f t="array" ref="AC492">OR(ISNUMBER(SEARCH(AB$2:AB$100,$B492,5)))</f>
        <v>0</v>
      </c>
      <c r="AE492" s="3" t="str">
        <f t="shared" si="12"/>
        <v>ZZZ</v>
      </c>
      <c r="AF492" s="3" t="b">
        <f t="array" ref="AF492">OR(ISNUMBER(SEARCH(AE$2:AE$100,$B492,5)))</f>
        <v>0</v>
      </c>
      <c r="AH492" s="3" t="str">
        <f t="shared" si="13"/>
        <v>ZZZ</v>
      </c>
      <c r="AI492" s="3" t="b">
        <f t="array" ref="AI492">OR(ISNUMBER(SEARCH(AH$2:AH$100,$B492,5)))</f>
        <v>0</v>
      </c>
      <c r="AK492" s="3" t="str">
        <f t="shared" si="14"/>
        <v>ZZZ</v>
      </c>
      <c r="AL492" s="3" t="b">
        <f t="array" ref="AL492">OR(ISNUMBER(SEARCH(AK$2:AK$100,$B492,5)))</f>
        <v>0</v>
      </c>
      <c r="AU492" s="8"/>
      <c r="AV492" s="6"/>
      <c r="AW492" s="8"/>
      <c r="AX492" s="8"/>
      <c r="AY492" s="6"/>
      <c r="AZ492" s="8"/>
      <c r="BA492" s="8"/>
      <c r="BB492" s="6"/>
      <c r="BC492" s="8"/>
      <c r="BD492" s="8"/>
      <c r="BE492" s="6"/>
      <c r="BF492" s="8"/>
      <c r="BG492" s="8"/>
      <c r="BH492" s="6"/>
      <c r="BI492" s="8"/>
      <c r="BJ492" s="8"/>
      <c r="BK492" s="6"/>
      <c r="BL492" s="8"/>
      <c r="BM492" s="8"/>
      <c r="BN492" s="6"/>
      <c r="BO492" s="8"/>
      <c r="BP492" s="8"/>
      <c r="BQ492" s="6"/>
      <c r="BR492" s="8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7"/>
      <c r="GV492" s="7"/>
      <c r="GW492" s="7"/>
      <c r="GX492" s="7"/>
      <c r="GY492" s="7"/>
      <c r="GZ492" s="7"/>
      <c r="HA492" s="7"/>
      <c r="HB492" s="7"/>
      <c r="HC492" s="7"/>
      <c r="HD492" s="7"/>
      <c r="HE492" s="7"/>
      <c r="HF492" s="7"/>
      <c r="HG492" s="7"/>
      <c r="HH492" s="7"/>
      <c r="HI492" s="7"/>
      <c r="HJ492" s="7"/>
      <c r="HK492" s="7"/>
      <c r="HL492" s="7"/>
      <c r="HM492" s="7"/>
      <c r="HN492" s="7"/>
      <c r="HO492" s="7"/>
      <c r="HP492" s="7"/>
      <c r="HQ492" s="7"/>
      <c r="HR492" s="7"/>
      <c r="HS492" s="7"/>
      <c r="HT492" s="7"/>
      <c r="HU492" s="7"/>
      <c r="HV492" s="7"/>
      <c r="HW492" s="7"/>
      <c r="HX492" s="7"/>
      <c r="HY492" s="7"/>
      <c r="HZ492" s="7"/>
      <c r="IA492" s="7"/>
      <c r="IB492" s="7"/>
      <c r="IC492" s="7"/>
      <c r="ID492" s="7"/>
      <c r="IE492" s="7"/>
      <c r="IF492" s="7"/>
      <c r="IG492" s="7"/>
      <c r="IH492" s="7"/>
      <c r="II492" s="7"/>
      <c r="IJ492" s="7"/>
      <c r="IK492" s="7"/>
      <c r="IL492" s="7"/>
      <c r="IM492" s="7"/>
      <c r="IN492" s="7"/>
      <c r="IO492" s="7"/>
      <c r="IP492" s="7"/>
      <c r="IQ492" s="7"/>
      <c r="IR492" s="7"/>
      <c r="IS492" s="7"/>
      <c r="IT492" s="7"/>
      <c r="IU492" s="7"/>
      <c r="IV492" s="7"/>
      <c r="IW492" s="7"/>
      <c r="IX492" s="7"/>
      <c r="IY492" s="7"/>
      <c r="IZ492" s="7"/>
      <c r="JA492" s="7"/>
      <c r="JB492" s="7"/>
      <c r="JC492" s="7"/>
      <c r="JD492" s="7"/>
      <c r="JE492" s="7"/>
      <c r="JF492" s="7"/>
      <c r="JG492" s="7"/>
      <c r="JH492" s="7"/>
      <c r="JI492" s="7"/>
      <c r="JJ492" s="7"/>
      <c r="JK492" s="7"/>
      <c r="JL492" s="7"/>
      <c r="JM492" s="7"/>
      <c r="JN492" s="7"/>
      <c r="JO492" s="7"/>
      <c r="JP492" s="7"/>
      <c r="JQ492" s="7"/>
      <c r="JR492" s="7"/>
      <c r="JS492" s="7"/>
      <c r="JT492" s="7"/>
      <c r="JU492" s="7"/>
      <c r="JV492" s="7"/>
      <c r="JW492" s="7"/>
      <c r="JX492" s="7"/>
      <c r="JY492" s="7"/>
      <c r="JZ492" s="7"/>
      <c r="KA492" s="7"/>
      <c r="KB492" s="7"/>
      <c r="KC492" s="7"/>
      <c r="KD492" s="7"/>
      <c r="KE492" s="7"/>
      <c r="KF492" s="7"/>
      <c r="KG492" s="7"/>
      <c r="KH492" s="7"/>
      <c r="KI492" s="7"/>
      <c r="KJ492" s="7"/>
      <c r="KK492" s="7"/>
      <c r="KL492" s="7"/>
      <c r="KM492" s="7"/>
      <c r="KN492" s="7"/>
    </row>
    <row r="493">
      <c r="A493" s="6"/>
      <c r="B493" s="6" t="s">
        <v>493</v>
      </c>
      <c r="C493" s="3" t="str">
        <f t="shared" si="3"/>
        <v>muted red</v>
      </c>
      <c r="D493" s="3" t="str">
        <f t="shared" si="17"/>
        <v>ZZZ</v>
      </c>
      <c r="E493" s="3" t="b">
        <f t="array" ref="E493">OR(ISNUMBER(SEARCH(D$2:D$30,$B493,5)))</f>
        <v>0</v>
      </c>
      <c r="G493" s="3" t="str">
        <f t="shared" si="4"/>
        <v>ZZZ</v>
      </c>
      <c r="H493" s="3" t="b">
        <f t="array" ref="H493">OR(ISNUMBER(SEARCH(G$2:G$30,$B493,5)))</f>
        <v>0</v>
      </c>
      <c r="J493" s="3" t="str">
        <f t="shared" si="5"/>
        <v>ZZZ</v>
      </c>
      <c r="K493" s="3" t="b">
        <f t="array" ref="K493">OR(ISNUMBER(SEARCH(J$2:J$30,$B493,5)))</f>
        <v>0</v>
      </c>
      <c r="M493" s="3" t="str">
        <f t="shared" si="6"/>
        <v>ZZZ</v>
      </c>
      <c r="N493" s="3" t="b">
        <f t="array" ref="N493">OR(ISNUMBER(SEARCH(M$2:M$30,$B493,5)))</f>
        <v>0</v>
      </c>
      <c r="P493" s="3" t="str">
        <f t="shared" si="7"/>
        <v>ZZZ</v>
      </c>
      <c r="Q493" s="3" t="b">
        <f t="array" ref="Q493">OR(ISNUMBER(SEARCH(P$2:P$50,$B493,5)))</f>
        <v>0</v>
      </c>
      <c r="S493" s="3" t="str">
        <f t="shared" si="8"/>
        <v>ZZZ</v>
      </c>
      <c r="T493" s="3" t="b">
        <f t="array" ref="T493">OR(ISNUMBER(SEARCH(S$2:S$100,$B493,5)))</f>
        <v>0</v>
      </c>
      <c r="V493" s="3" t="str">
        <f t="shared" si="9"/>
        <v>ZZZ</v>
      </c>
      <c r="W493" s="3" t="b">
        <f t="array" ref="W493">OR(ISNUMBER(SEARCH(V$2:V$100,$B493,5)))</f>
        <v>0</v>
      </c>
      <c r="Y493" s="3" t="str">
        <f t="shared" si="10"/>
        <v>ZZZ</v>
      </c>
      <c r="Z493" s="3" t="b">
        <f t="array" ref="Z493">OR(ISNUMBER(SEARCH(Y$2:Y$100,$B493,5)))</f>
        <v>0</v>
      </c>
      <c r="AB493" s="3" t="str">
        <f t="shared" si="11"/>
        <v>ZZZ</v>
      </c>
      <c r="AC493" s="3" t="b">
        <f t="array" ref="AC493">OR(ISNUMBER(SEARCH(AB$2:AB$100,$B493,5)))</f>
        <v>0</v>
      </c>
      <c r="AE493" s="3" t="str">
        <f t="shared" si="12"/>
        <v>ZZZ</v>
      </c>
      <c r="AF493" s="3" t="b">
        <f t="array" ref="AF493">OR(ISNUMBER(SEARCH(AE$2:AE$100,$B493,5)))</f>
        <v>0</v>
      </c>
      <c r="AH493" s="3" t="str">
        <f t="shared" si="13"/>
        <v>ZZZ</v>
      </c>
      <c r="AI493" s="3" t="b">
        <f t="array" ref="AI493">OR(ISNUMBER(SEARCH(AH$2:AH$100,$B493,5)))</f>
        <v>0</v>
      </c>
      <c r="AK493" s="3" t="str">
        <f t="shared" si="14"/>
        <v>ZZZ</v>
      </c>
      <c r="AL493" s="3" t="b">
        <f t="array" ref="AL493">OR(ISNUMBER(SEARCH(AK$2:AK$100,$B493,5)))</f>
        <v>0</v>
      </c>
      <c r="AU493" s="8"/>
      <c r="AV493" s="6"/>
      <c r="AW493" s="8"/>
      <c r="AX493" s="8"/>
      <c r="AY493" s="6"/>
      <c r="AZ493" s="8"/>
      <c r="BA493" s="8"/>
      <c r="BB493" s="6"/>
      <c r="BC493" s="8"/>
      <c r="BD493" s="8"/>
      <c r="BE493" s="6"/>
      <c r="BF493" s="8"/>
      <c r="BG493" s="8"/>
      <c r="BH493" s="6"/>
      <c r="BI493" s="8"/>
      <c r="BJ493" s="8"/>
      <c r="BK493" s="6"/>
      <c r="BL493" s="8"/>
      <c r="BM493" s="8"/>
      <c r="BN493" s="6"/>
      <c r="BO493" s="8"/>
      <c r="BP493" s="8"/>
      <c r="BQ493" s="6"/>
      <c r="BR493" s="8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7"/>
      <c r="GV493" s="7"/>
      <c r="GW493" s="7"/>
      <c r="GX493" s="7"/>
      <c r="GY493" s="7"/>
      <c r="GZ493" s="7"/>
      <c r="HA493" s="7"/>
      <c r="HB493" s="7"/>
      <c r="HC493" s="7"/>
      <c r="HD493" s="7"/>
      <c r="HE493" s="7"/>
      <c r="HF493" s="7"/>
      <c r="HG493" s="7"/>
      <c r="HH493" s="7"/>
      <c r="HI493" s="7"/>
      <c r="HJ493" s="7"/>
      <c r="HK493" s="7"/>
      <c r="HL493" s="7"/>
      <c r="HM493" s="7"/>
      <c r="HN493" s="7"/>
      <c r="HO493" s="7"/>
      <c r="HP493" s="7"/>
      <c r="HQ493" s="7"/>
      <c r="HR493" s="7"/>
      <c r="HS493" s="7"/>
      <c r="HT493" s="7"/>
      <c r="HU493" s="7"/>
      <c r="HV493" s="7"/>
      <c r="HW493" s="7"/>
      <c r="HX493" s="7"/>
      <c r="HY493" s="7"/>
      <c r="HZ493" s="7"/>
      <c r="IA493" s="7"/>
      <c r="IB493" s="7"/>
      <c r="IC493" s="7"/>
      <c r="ID493" s="7"/>
      <c r="IE493" s="7"/>
      <c r="IF493" s="7"/>
      <c r="IG493" s="7"/>
      <c r="IH493" s="7"/>
      <c r="II493" s="7"/>
      <c r="IJ493" s="7"/>
      <c r="IK493" s="7"/>
      <c r="IL493" s="7"/>
      <c r="IM493" s="7"/>
      <c r="IN493" s="7"/>
      <c r="IO493" s="7"/>
      <c r="IP493" s="7"/>
      <c r="IQ493" s="7"/>
      <c r="IR493" s="7"/>
      <c r="IS493" s="7"/>
      <c r="IT493" s="7"/>
      <c r="IU493" s="7"/>
      <c r="IV493" s="7"/>
      <c r="IW493" s="7"/>
      <c r="IX493" s="7"/>
      <c r="IY493" s="7"/>
      <c r="IZ493" s="7"/>
      <c r="JA493" s="7"/>
      <c r="JB493" s="7"/>
      <c r="JC493" s="7"/>
      <c r="JD493" s="7"/>
      <c r="JE493" s="7"/>
      <c r="JF493" s="7"/>
      <c r="JG493" s="7"/>
      <c r="JH493" s="7"/>
      <c r="JI493" s="7"/>
      <c r="JJ493" s="7"/>
      <c r="JK493" s="7"/>
      <c r="JL493" s="7"/>
      <c r="JM493" s="7"/>
      <c r="JN493" s="7"/>
      <c r="JO493" s="7"/>
      <c r="JP493" s="7"/>
      <c r="JQ493" s="7"/>
      <c r="JR493" s="7"/>
      <c r="JS493" s="7"/>
      <c r="JT493" s="7"/>
      <c r="JU493" s="7"/>
      <c r="JV493" s="7"/>
      <c r="JW493" s="7"/>
      <c r="JX493" s="7"/>
      <c r="JY493" s="7"/>
      <c r="JZ493" s="7"/>
      <c r="KA493" s="7"/>
      <c r="KB493" s="7"/>
      <c r="KC493" s="7"/>
      <c r="KD493" s="7"/>
      <c r="KE493" s="7"/>
      <c r="KF493" s="7"/>
      <c r="KG493" s="7"/>
      <c r="KH493" s="7"/>
      <c r="KI493" s="7"/>
      <c r="KJ493" s="7"/>
      <c r="KK493" s="7"/>
      <c r="KL493" s="7"/>
      <c r="KM493" s="7"/>
      <c r="KN493" s="7"/>
    </row>
    <row r="494">
      <c r="A494" s="6"/>
      <c r="B494" s="6" t="s">
        <v>494</v>
      </c>
      <c r="C494" s="3" t="str">
        <f t="shared" si="3"/>
        <v>mirrored tan</v>
      </c>
      <c r="D494" s="3" t="str">
        <f t="shared" si="17"/>
        <v>ZZZ</v>
      </c>
      <c r="E494" s="3" t="b">
        <f t="array" ref="E494">OR(ISNUMBER(SEARCH(D$2:D$30,$B494,5)))</f>
        <v>0</v>
      </c>
      <c r="G494" s="3" t="str">
        <f t="shared" si="4"/>
        <v>ZZZ</v>
      </c>
      <c r="H494" s="3" t="b">
        <f t="array" ref="H494">OR(ISNUMBER(SEARCH(G$2:G$30,$B494,5)))</f>
        <v>0</v>
      </c>
      <c r="J494" s="3" t="str">
        <f t="shared" si="5"/>
        <v>ZZZ</v>
      </c>
      <c r="K494" s="3" t="b">
        <f t="array" ref="K494">OR(ISNUMBER(SEARCH(J$2:J$30,$B494,5)))</f>
        <v>0</v>
      </c>
      <c r="M494" s="3" t="str">
        <f t="shared" si="6"/>
        <v>ZZZ</v>
      </c>
      <c r="N494" s="3" t="b">
        <f t="array" ref="N494">OR(ISNUMBER(SEARCH(M$2:M$30,$B494,5)))</f>
        <v>0</v>
      </c>
      <c r="P494" s="3" t="str">
        <f t="shared" si="7"/>
        <v>ZZZ</v>
      </c>
      <c r="Q494" s="3" t="b">
        <f t="array" ref="Q494">OR(ISNUMBER(SEARCH(P$2:P$50,$B494,5)))</f>
        <v>0</v>
      </c>
      <c r="S494" s="3" t="str">
        <f t="shared" si="8"/>
        <v>ZZZ</v>
      </c>
      <c r="T494" s="3" t="b">
        <f t="array" ref="T494">OR(ISNUMBER(SEARCH(S$2:S$100,$B494,5)))</f>
        <v>0</v>
      </c>
      <c r="V494" s="3" t="str">
        <f t="shared" si="9"/>
        <v>ZZZ</v>
      </c>
      <c r="W494" s="3" t="b">
        <f t="array" ref="W494">OR(ISNUMBER(SEARCH(V$2:V$100,$B494,5)))</f>
        <v>0</v>
      </c>
      <c r="Y494" s="3" t="str">
        <f t="shared" si="10"/>
        <v>ZZZ</v>
      </c>
      <c r="Z494" s="3" t="b">
        <f t="array" ref="Z494">OR(ISNUMBER(SEARCH(Y$2:Y$100,$B494,5)))</f>
        <v>0</v>
      </c>
      <c r="AB494" s="3" t="str">
        <f t="shared" si="11"/>
        <v>ZZZ</v>
      </c>
      <c r="AC494" s="3" t="b">
        <f t="array" ref="AC494">OR(ISNUMBER(SEARCH(AB$2:AB$100,$B494,5)))</f>
        <v>0</v>
      </c>
      <c r="AE494" s="3" t="str">
        <f t="shared" si="12"/>
        <v>ZZZ</v>
      </c>
      <c r="AF494" s="3" t="b">
        <f t="array" ref="AF494">OR(ISNUMBER(SEARCH(AE$2:AE$100,$B494,5)))</f>
        <v>0</v>
      </c>
      <c r="AH494" s="3" t="str">
        <f t="shared" si="13"/>
        <v>ZZZ</v>
      </c>
      <c r="AI494" s="3" t="b">
        <f t="array" ref="AI494">OR(ISNUMBER(SEARCH(AH$2:AH$100,$B494,5)))</f>
        <v>0</v>
      </c>
      <c r="AK494" s="3" t="str">
        <f t="shared" si="14"/>
        <v>ZZZ</v>
      </c>
      <c r="AL494" s="3" t="b">
        <f t="array" ref="AL494">OR(ISNUMBER(SEARCH(AK$2:AK$100,$B494,5)))</f>
        <v>0</v>
      </c>
      <c r="AU494" s="8"/>
      <c r="AV494" s="6"/>
      <c r="AW494" s="8"/>
      <c r="AX494" s="8"/>
      <c r="AY494" s="6"/>
      <c r="AZ494" s="8"/>
      <c r="BA494" s="8"/>
      <c r="BB494" s="6"/>
      <c r="BC494" s="8"/>
      <c r="BD494" s="8"/>
      <c r="BE494" s="6"/>
      <c r="BF494" s="8"/>
      <c r="BG494" s="8"/>
      <c r="BH494" s="6"/>
      <c r="BI494" s="8"/>
      <c r="BJ494" s="8"/>
      <c r="BK494" s="6"/>
      <c r="BL494" s="8"/>
      <c r="BM494" s="8"/>
      <c r="BN494" s="6"/>
      <c r="BO494" s="8"/>
      <c r="BP494" s="8"/>
      <c r="BQ494" s="6"/>
      <c r="BR494" s="8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7"/>
      <c r="GV494" s="7"/>
      <c r="GW494" s="7"/>
      <c r="GX494" s="7"/>
      <c r="GY494" s="7"/>
      <c r="GZ494" s="7"/>
      <c r="HA494" s="7"/>
      <c r="HB494" s="7"/>
      <c r="HC494" s="7"/>
      <c r="HD494" s="7"/>
      <c r="HE494" s="7"/>
      <c r="HF494" s="7"/>
      <c r="HG494" s="7"/>
      <c r="HH494" s="7"/>
      <c r="HI494" s="7"/>
      <c r="HJ494" s="7"/>
      <c r="HK494" s="7"/>
      <c r="HL494" s="7"/>
      <c r="HM494" s="7"/>
      <c r="HN494" s="7"/>
      <c r="HO494" s="7"/>
      <c r="HP494" s="7"/>
      <c r="HQ494" s="7"/>
      <c r="HR494" s="7"/>
      <c r="HS494" s="7"/>
      <c r="HT494" s="7"/>
      <c r="HU494" s="7"/>
      <c r="HV494" s="7"/>
      <c r="HW494" s="7"/>
      <c r="HX494" s="7"/>
      <c r="HY494" s="7"/>
      <c r="HZ494" s="7"/>
      <c r="IA494" s="7"/>
      <c r="IB494" s="7"/>
      <c r="IC494" s="7"/>
      <c r="ID494" s="7"/>
      <c r="IE494" s="7"/>
      <c r="IF494" s="7"/>
      <c r="IG494" s="7"/>
      <c r="IH494" s="7"/>
      <c r="II494" s="7"/>
      <c r="IJ494" s="7"/>
      <c r="IK494" s="7"/>
      <c r="IL494" s="7"/>
      <c r="IM494" s="7"/>
      <c r="IN494" s="7"/>
      <c r="IO494" s="7"/>
      <c r="IP494" s="7"/>
      <c r="IQ494" s="7"/>
      <c r="IR494" s="7"/>
      <c r="IS494" s="7"/>
      <c r="IT494" s="7"/>
      <c r="IU494" s="7"/>
      <c r="IV494" s="7"/>
      <c r="IW494" s="7"/>
      <c r="IX494" s="7"/>
      <c r="IY494" s="7"/>
      <c r="IZ494" s="7"/>
      <c r="JA494" s="7"/>
      <c r="JB494" s="7"/>
      <c r="JC494" s="7"/>
      <c r="JD494" s="7"/>
      <c r="JE494" s="7"/>
      <c r="JF494" s="7"/>
      <c r="JG494" s="7"/>
      <c r="JH494" s="7"/>
      <c r="JI494" s="7"/>
      <c r="JJ494" s="7"/>
      <c r="JK494" s="7"/>
      <c r="JL494" s="7"/>
      <c r="JM494" s="7"/>
      <c r="JN494" s="7"/>
      <c r="JO494" s="7"/>
      <c r="JP494" s="7"/>
      <c r="JQ494" s="7"/>
      <c r="JR494" s="7"/>
      <c r="JS494" s="7"/>
      <c r="JT494" s="7"/>
      <c r="JU494" s="7"/>
      <c r="JV494" s="7"/>
      <c r="JW494" s="7"/>
      <c r="JX494" s="7"/>
      <c r="JY494" s="7"/>
      <c r="JZ494" s="7"/>
      <c r="KA494" s="7"/>
      <c r="KB494" s="7"/>
      <c r="KC494" s="7"/>
      <c r="KD494" s="7"/>
      <c r="KE494" s="7"/>
      <c r="KF494" s="7"/>
      <c r="KG494" s="7"/>
      <c r="KH494" s="7"/>
      <c r="KI494" s="7"/>
      <c r="KJ494" s="7"/>
      <c r="KK494" s="7"/>
      <c r="KL494" s="7"/>
      <c r="KM494" s="7"/>
      <c r="KN494" s="7"/>
    </row>
    <row r="495">
      <c r="A495" s="6"/>
      <c r="B495" s="6" t="s">
        <v>495</v>
      </c>
      <c r="C495" s="3" t="str">
        <f t="shared" si="3"/>
        <v>dim blue</v>
      </c>
      <c r="D495" s="3" t="str">
        <f t="shared" si="17"/>
        <v>ZZZ</v>
      </c>
      <c r="E495" s="3" t="b">
        <f t="array" ref="E495">OR(ISNUMBER(SEARCH(D$2:D$30,$B495,5)))</f>
        <v>0</v>
      </c>
      <c r="G495" s="3" t="str">
        <f t="shared" si="4"/>
        <v>ZZZ</v>
      </c>
      <c r="H495" s="3" t="b">
        <f t="array" ref="H495">OR(ISNUMBER(SEARCH(G$2:G$30,$B495,5)))</f>
        <v>0</v>
      </c>
      <c r="J495" s="3" t="str">
        <f t="shared" si="5"/>
        <v>ZZZ</v>
      </c>
      <c r="K495" s="3" t="b">
        <f t="array" ref="K495">OR(ISNUMBER(SEARCH(J$2:J$30,$B495,5)))</f>
        <v>0</v>
      </c>
      <c r="M495" s="3" t="str">
        <f t="shared" si="6"/>
        <v>ZZZ</v>
      </c>
      <c r="N495" s="3" t="b">
        <f t="array" ref="N495">OR(ISNUMBER(SEARCH(M$2:M$30,$B495,5)))</f>
        <v>0</v>
      </c>
      <c r="P495" s="3" t="str">
        <f t="shared" si="7"/>
        <v>ZZZ</v>
      </c>
      <c r="Q495" s="3" t="b">
        <f t="array" ref="Q495">OR(ISNUMBER(SEARCH(P$2:P$50,$B495,5)))</f>
        <v>0</v>
      </c>
      <c r="S495" s="3" t="str">
        <f t="shared" si="8"/>
        <v>ZZZ</v>
      </c>
      <c r="T495" s="3" t="b">
        <f t="array" ref="T495">OR(ISNUMBER(SEARCH(S$2:S$100,$B495,5)))</f>
        <v>0</v>
      </c>
      <c r="V495" s="3" t="str">
        <f t="shared" si="9"/>
        <v>ZZZ</v>
      </c>
      <c r="W495" s="3" t="b">
        <f t="array" ref="W495">OR(ISNUMBER(SEARCH(V$2:V$100,$B495,5)))</f>
        <v>0</v>
      </c>
      <c r="Y495" s="3" t="str">
        <f t="shared" si="10"/>
        <v>ZZZ</v>
      </c>
      <c r="Z495" s="3" t="b">
        <f t="array" ref="Z495">OR(ISNUMBER(SEARCH(Y$2:Y$100,$B495,5)))</f>
        <v>0</v>
      </c>
      <c r="AB495" s="3" t="str">
        <f t="shared" si="11"/>
        <v>ZZZ</v>
      </c>
      <c r="AC495" s="3" t="b">
        <f t="array" ref="AC495">OR(ISNUMBER(SEARCH(AB$2:AB$100,$B495,5)))</f>
        <v>0</v>
      </c>
      <c r="AE495" s="3" t="str">
        <f t="shared" si="12"/>
        <v>ZZZ</v>
      </c>
      <c r="AF495" s="3" t="b">
        <f t="array" ref="AF495">OR(ISNUMBER(SEARCH(AE$2:AE$100,$B495,5)))</f>
        <v>0</v>
      </c>
      <c r="AH495" s="3" t="str">
        <f t="shared" si="13"/>
        <v>ZZZ</v>
      </c>
      <c r="AI495" s="3" t="b">
        <f t="array" ref="AI495">OR(ISNUMBER(SEARCH(AH$2:AH$100,$B495,5)))</f>
        <v>0</v>
      </c>
      <c r="AK495" s="3" t="str">
        <f t="shared" si="14"/>
        <v>ZZZ</v>
      </c>
      <c r="AL495" s="3" t="b">
        <f t="array" ref="AL495">OR(ISNUMBER(SEARCH(AK$2:AK$100,$B495,5)))</f>
        <v>0</v>
      </c>
      <c r="AU495" s="8"/>
      <c r="AV495" s="6"/>
      <c r="AW495" s="8"/>
      <c r="AX495" s="8"/>
      <c r="AY495" s="6"/>
      <c r="AZ495" s="8"/>
      <c r="BA495" s="8"/>
      <c r="BB495" s="6"/>
      <c r="BC495" s="8"/>
      <c r="BD495" s="8"/>
      <c r="BE495" s="6"/>
      <c r="BF495" s="8"/>
      <c r="BG495" s="8"/>
      <c r="BH495" s="6"/>
      <c r="BI495" s="8"/>
      <c r="BJ495" s="8"/>
      <c r="BK495" s="6"/>
      <c r="BL495" s="8"/>
      <c r="BM495" s="8"/>
      <c r="BN495" s="6"/>
      <c r="BO495" s="8"/>
      <c r="BP495" s="8"/>
      <c r="BQ495" s="6"/>
      <c r="BR495" s="8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  <c r="GS495" s="7"/>
      <c r="GT495" s="7"/>
      <c r="GU495" s="7"/>
      <c r="GV495" s="7"/>
      <c r="GW495" s="7"/>
      <c r="GX495" s="7"/>
      <c r="GY495" s="7"/>
      <c r="GZ495" s="7"/>
      <c r="HA495" s="7"/>
      <c r="HB495" s="7"/>
      <c r="HC495" s="7"/>
      <c r="HD495" s="7"/>
      <c r="HE495" s="7"/>
      <c r="HF495" s="7"/>
      <c r="HG495" s="7"/>
      <c r="HH495" s="7"/>
      <c r="HI495" s="7"/>
      <c r="HJ495" s="7"/>
      <c r="HK495" s="7"/>
      <c r="HL495" s="7"/>
      <c r="HM495" s="7"/>
      <c r="HN495" s="7"/>
      <c r="HO495" s="7"/>
      <c r="HP495" s="7"/>
      <c r="HQ495" s="7"/>
      <c r="HR495" s="7"/>
      <c r="HS495" s="7"/>
      <c r="HT495" s="7"/>
      <c r="HU495" s="7"/>
      <c r="HV495" s="7"/>
      <c r="HW495" s="7"/>
      <c r="HX495" s="7"/>
      <c r="HY495" s="7"/>
      <c r="HZ495" s="7"/>
      <c r="IA495" s="7"/>
      <c r="IB495" s="7"/>
      <c r="IC495" s="7"/>
      <c r="ID495" s="7"/>
      <c r="IE495" s="7"/>
      <c r="IF495" s="7"/>
      <c r="IG495" s="7"/>
      <c r="IH495" s="7"/>
      <c r="II495" s="7"/>
      <c r="IJ495" s="7"/>
      <c r="IK495" s="7"/>
      <c r="IL495" s="7"/>
      <c r="IM495" s="7"/>
      <c r="IN495" s="7"/>
      <c r="IO495" s="7"/>
      <c r="IP495" s="7"/>
      <c r="IQ495" s="7"/>
      <c r="IR495" s="7"/>
      <c r="IS495" s="7"/>
      <c r="IT495" s="7"/>
      <c r="IU495" s="7"/>
      <c r="IV495" s="7"/>
      <c r="IW495" s="7"/>
      <c r="IX495" s="7"/>
      <c r="IY495" s="7"/>
      <c r="IZ495" s="7"/>
      <c r="JA495" s="7"/>
      <c r="JB495" s="7"/>
      <c r="JC495" s="7"/>
      <c r="JD495" s="7"/>
      <c r="JE495" s="7"/>
      <c r="JF495" s="7"/>
      <c r="JG495" s="7"/>
      <c r="JH495" s="7"/>
      <c r="JI495" s="7"/>
      <c r="JJ495" s="7"/>
      <c r="JK495" s="7"/>
      <c r="JL495" s="7"/>
      <c r="JM495" s="7"/>
      <c r="JN495" s="7"/>
      <c r="JO495" s="7"/>
      <c r="JP495" s="7"/>
      <c r="JQ495" s="7"/>
      <c r="JR495" s="7"/>
      <c r="JS495" s="7"/>
      <c r="JT495" s="7"/>
      <c r="JU495" s="7"/>
      <c r="JV495" s="7"/>
      <c r="JW495" s="7"/>
      <c r="JX495" s="7"/>
      <c r="JY495" s="7"/>
      <c r="JZ495" s="7"/>
      <c r="KA495" s="7"/>
      <c r="KB495" s="7"/>
      <c r="KC495" s="7"/>
      <c r="KD495" s="7"/>
      <c r="KE495" s="7"/>
      <c r="KF495" s="7"/>
      <c r="KG495" s="7"/>
      <c r="KH495" s="7"/>
      <c r="KI495" s="7"/>
      <c r="KJ495" s="7"/>
      <c r="KK495" s="7"/>
      <c r="KL495" s="7"/>
      <c r="KM495" s="7"/>
      <c r="KN495" s="7"/>
    </row>
    <row r="496">
      <c r="A496" s="6"/>
      <c r="B496" s="6" t="s">
        <v>496</v>
      </c>
      <c r="C496" s="3" t="str">
        <f t="shared" si="3"/>
        <v>bright indigo</v>
      </c>
      <c r="D496" s="3" t="str">
        <f t="shared" si="17"/>
        <v>ZZZ</v>
      </c>
      <c r="E496" s="3" t="b">
        <f t="array" ref="E496">OR(ISNUMBER(SEARCH(D$2:D$30,$B496,5)))</f>
        <v>0</v>
      </c>
      <c r="G496" s="3" t="str">
        <f t="shared" si="4"/>
        <v>ZZZ</v>
      </c>
      <c r="H496" s="3" t="b">
        <f t="array" ref="H496">OR(ISNUMBER(SEARCH(G$2:G$30,$B496,5)))</f>
        <v>0</v>
      </c>
      <c r="J496" s="3" t="str">
        <f t="shared" si="5"/>
        <v>ZZZ</v>
      </c>
      <c r="K496" s="3" t="b">
        <f t="array" ref="K496">OR(ISNUMBER(SEARCH(J$2:J$30,$B496,5)))</f>
        <v>0</v>
      </c>
      <c r="M496" s="3" t="str">
        <f t="shared" si="6"/>
        <v>ZZZ</v>
      </c>
      <c r="N496" s="3" t="b">
        <f t="array" ref="N496">OR(ISNUMBER(SEARCH(M$2:M$30,$B496,5)))</f>
        <v>0</v>
      </c>
      <c r="P496" s="3" t="str">
        <f t="shared" si="7"/>
        <v>ZZZ</v>
      </c>
      <c r="Q496" s="3" t="b">
        <f t="array" ref="Q496">OR(ISNUMBER(SEARCH(P$2:P$50,$B496,5)))</f>
        <v>0</v>
      </c>
      <c r="S496" s="3" t="str">
        <f t="shared" si="8"/>
        <v>ZZZ</v>
      </c>
      <c r="T496" s="3" t="b">
        <f t="array" ref="T496">OR(ISNUMBER(SEARCH(S$2:S$100,$B496,5)))</f>
        <v>0</v>
      </c>
      <c r="V496" s="3" t="str">
        <f t="shared" si="9"/>
        <v>ZZZ</v>
      </c>
      <c r="W496" s="3" t="b">
        <f t="array" ref="W496">OR(ISNUMBER(SEARCH(V$2:V$100,$B496,5)))</f>
        <v>0</v>
      </c>
      <c r="Y496" s="3" t="str">
        <f t="shared" si="10"/>
        <v>ZZZ</v>
      </c>
      <c r="Z496" s="3" t="b">
        <f t="array" ref="Z496">OR(ISNUMBER(SEARCH(Y$2:Y$100,$B496,5)))</f>
        <v>0</v>
      </c>
      <c r="AB496" s="3" t="str">
        <f t="shared" si="11"/>
        <v>ZZZ</v>
      </c>
      <c r="AC496" s="3" t="b">
        <f t="array" ref="AC496">OR(ISNUMBER(SEARCH(AB$2:AB$100,$B496,5)))</f>
        <v>0</v>
      </c>
      <c r="AE496" s="3" t="str">
        <f t="shared" si="12"/>
        <v>ZZZ</v>
      </c>
      <c r="AF496" s="3" t="b">
        <f t="array" ref="AF496">OR(ISNUMBER(SEARCH(AE$2:AE$100,$B496,5)))</f>
        <v>0</v>
      </c>
      <c r="AH496" s="3" t="str">
        <f t="shared" si="13"/>
        <v>ZZZ</v>
      </c>
      <c r="AI496" s="3" t="b">
        <f t="array" ref="AI496">OR(ISNUMBER(SEARCH(AH$2:AH$100,$B496,5)))</f>
        <v>0</v>
      </c>
      <c r="AK496" s="3" t="str">
        <f t="shared" si="14"/>
        <v>ZZZ</v>
      </c>
      <c r="AL496" s="3" t="b">
        <f t="array" ref="AL496">OR(ISNUMBER(SEARCH(AK$2:AK$100,$B496,5)))</f>
        <v>0</v>
      </c>
      <c r="AU496" s="8"/>
      <c r="AV496" s="6"/>
      <c r="AW496" s="8"/>
      <c r="AX496" s="8"/>
      <c r="AY496" s="6"/>
      <c r="AZ496" s="8"/>
      <c r="BA496" s="8"/>
      <c r="BB496" s="6"/>
      <c r="BC496" s="8"/>
      <c r="BD496" s="8"/>
      <c r="BE496" s="6"/>
      <c r="BF496" s="8"/>
      <c r="BG496" s="8"/>
      <c r="BH496" s="6"/>
      <c r="BI496" s="8"/>
      <c r="BJ496" s="8"/>
      <c r="BK496" s="6"/>
      <c r="BL496" s="8"/>
      <c r="BM496" s="8"/>
      <c r="BN496" s="6"/>
      <c r="BO496" s="8"/>
      <c r="BP496" s="8"/>
      <c r="BQ496" s="6"/>
      <c r="BR496" s="8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A496" s="7"/>
      <c r="HB496" s="7"/>
      <c r="HC496" s="7"/>
      <c r="HD496" s="7"/>
      <c r="HE496" s="7"/>
      <c r="HF496" s="7"/>
      <c r="HG496" s="7"/>
      <c r="HH496" s="7"/>
      <c r="HI496" s="7"/>
      <c r="HJ496" s="7"/>
      <c r="HK496" s="7"/>
      <c r="HL496" s="7"/>
      <c r="HM496" s="7"/>
      <c r="HN496" s="7"/>
      <c r="HO496" s="7"/>
      <c r="HP496" s="7"/>
      <c r="HQ496" s="7"/>
      <c r="HR496" s="7"/>
      <c r="HS496" s="7"/>
      <c r="HT496" s="7"/>
      <c r="HU496" s="7"/>
      <c r="HV496" s="7"/>
      <c r="HW496" s="7"/>
      <c r="HX496" s="7"/>
      <c r="HY496" s="7"/>
      <c r="HZ496" s="7"/>
      <c r="IA496" s="7"/>
      <c r="IB496" s="7"/>
      <c r="IC496" s="7"/>
      <c r="ID496" s="7"/>
      <c r="IE496" s="7"/>
      <c r="IF496" s="7"/>
      <c r="IG496" s="7"/>
      <c r="IH496" s="7"/>
      <c r="II496" s="7"/>
      <c r="IJ496" s="7"/>
      <c r="IK496" s="7"/>
      <c r="IL496" s="7"/>
      <c r="IM496" s="7"/>
      <c r="IN496" s="7"/>
      <c r="IO496" s="7"/>
      <c r="IP496" s="7"/>
      <c r="IQ496" s="7"/>
      <c r="IR496" s="7"/>
      <c r="IS496" s="7"/>
      <c r="IT496" s="7"/>
      <c r="IU496" s="7"/>
      <c r="IV496" s="7"/>
      <c r="IW496" s="7"/>
      <c r="IX496" s="7"/>
      <c r="IY496" s="7"/>
      <c r="IZ496" s="7"/>
      <c r="JA496" s="7"/>
      <c r="JB496" s="7"/>
      <c r="JC496" s="7"/>
      <c r="JD496" s="7"/>
      <c r="JE496" s="7"/>
      <c r="JF496" s="7"/>
      <c r="JG496" s="7"/>
      <c r="JH496" s="7"/>
      <c r="JI496" s="7"/>
      <c r="JJ496" s="7"/>
      <c r="JK496" s="7"/>
      <c r="JL496" s="7"/>
      <c r="JM496" s="7"/>
      <c r="JN496" s="7"/>
      <c r="JO496" s="7"/>
      <c r="JP496" s="7"/>
      <c r="JQ496" s="7"/>
      <c r="JR496" s="7"/>
      <c r="JS496" s="7"/>
      <c r="JT496" s="7"/>
      <c r="JU496" s="7"/>
      <c r="JV496" s="7"/>
      <c r="JW496" s="7"/>
      <c r="JX496" s="7"/>
      <c r="JY496" s="7"/>
      <c r="JZ496" s="7"/>
      <c r="KA496" s="7"/>
      <c r="KB496" s="7"/>
      <c r="KC496" s="7"/>
      <c r="KD496" s="7"/>
      <c r="KE496" s="7"/>
      <c r="KF496" s="7"/>
      <c r="KG496" s="7"/>
      <c r="KH496" s="7"/>
      <c r="KI496" s="7"/>
      <c r="KJ496" s="7"/>
      <c r="KK496" s="7"/>
      <c r="KL496" s="7"/>
      <c r="KM496" s="7"/>
      <c r="KN496" s="7"/>
    </row>
    <row r="497">
      <c r="A497" s="6"/>
      <c r="B497" s="6" t="s">
        <v>497</v>
      </c>
      <c r="C497" s="3" t="str">
        <f t="shared" si="3"/>
        <v>striped crimson</v>
      </c>
      <c r="D497" s="3" t="str">
        <f t="shared" si="17"/>
        <v>ZZZ</v>
      </c>
      <c r="E497" s="3" t="b">
        <f t="array" ref="E497">OR(ISNUMBER(SEARCH(D$2:D$30,$B497,5)))</f>
        <v>0</v>
      </c>
      <c r="G497" s="3" t="str">
        <f t="shared" si="4"/>
        <v>ZZZ</v>
      </c>
      <c r="H497" s="3" t="b">
        <f t="array" ref="H497">OR(ISNUMBER(SEARCH(G$2:G$30,$B497,5)))</f>
        <v>0</v>
      </c>
      <c r="J497" s="3" t="str">
        <f t="shared" si="5"/>
        <v>ZZZ</v>
      </c>
      <c r="K497" s="3" t="b">
        <f t="array" ref="K497">OR(ISNUMBER(SEARCH(J$2:J$30,$B497,5)))</f>
        <v>0</v>
      </c>
      <c r="M497" s="3" t="str">
        <f t="shared" si="6"/>
        <v>ZZZ</v>
      </c>
      <c r="N497" s="3" t="b">
        <f t="array" ref="N497">OR(ISNUMBER(SEARCH(M$2:M$30,$B497,5)))</f>
        <v>0</v>
      </c>
      <c r="P497" s="3" t="str">
        <f t="shared" si="7"/>
        <v>ZZZ</v>
      </c>
      <c r="Q497" s="3" t="b">
        <f t="array" ref="Q497">OR(ISNUMBER(SEARCH(P$2:P$50,$B497,5)))</f>
        <v>0</v>
      </c>
      <c r="S497" s="3" t="str">
        <f t="shared" si="8"/>
        <v>ZZZ</v>
      </c>
      <c r="T497" s="3" t="b">
        <f t="array" ref="T497">OR(ISNUMBER(SEARCH(S$2:S$100,$B497,5)))</f>
        <v>0</v>
      </c>
      <c r="V497" s="3" t="str">
        <f t="shared" si="9"/>
        <v>ZZZ</v>
      </c>
      <c r="W497" s="3" t="b">
        <f t="array" ref="W497">OR(ISNUMBER(SEARCH(V$2:V$100,$B497,5)))</f>
        <v>0</v>
      </c>
      <c r="Y497" s="3" t="str">
        <f t="shared" si="10"/>
        <v>ZZZ</v>
      </c>
      <c r="Z497" s="3" t="b">
        <f t="array" ref="Z497">OR(ISNUMBER(SEARCH(Y$2:Y$100,$B497,5)))</f>
        <v>0</v>
      </c>
      <c r="AB497" s="3" t="str">
        <f t="shared" si="11"/>
        <v>ZZZ</v>
      </c>
      <c r="AC497" s="3" t="b">
        <f t="array" ref="AC497">OR(ISNUMBER(SEARCH(AB$2:AB$100,$B497,5)))</f>
        <v>0</v>
      </c>
      <c r="AE497" s="3" t="str">
        <f t="shared" si="12"/>
        <v>ZZZ</v>
      </c>
      <c r="AF497" s="3" t="b">
        <f t="array" ref="AF497">OR(ISNUMBER(SEARCH(AE$2:AE$100,$B497,5)))</f>
        <v>0</v>
      </c>
      <c r="AH497" s="3" t="str">
        <f t="shared" si="13"/>
        <v>ZZZ</v>
      </c>
      <c r="AI497" s="3" t="b">
        <f t="array" ref="AI497">OR(ISNUMBER(SEARCH(AH$2:AH$100,$B497,5)))</f>
        <v>0</v>
      </c>
      <c r="AK497" s="3" t="str">
        <f t="shared" si="14"/>
        <v>ZZZ</v>
      </c>
      <c r="AL497" s="3" t="b">
        <f t="array" ref="AL497">OR(ISNUMBER(SEARCH(AK$2:AK$100,$B497,5)))</f>
        <v>0</v>
      </c>
      <c r="AU497" s="8"/>
      <c r="AV497" s="6"/>
      <c r="AW497" s="8"/>
      <c r="AX497" s="8"/>
      <c r="AY497" s="6"/>
      <c r="AZ497" s="8"/>
      <c r="BA497" s="8"/>
      <c r="BB497" s="6"/>
      <c r="BC497" s="8"/>
      <c r="BD497" s="8"/>
      <c r="BE497" s="6"/>
      <c r="BF497" s="8"/>
      <c r="BG497" s="8"/>
      <c r="BH497" s="6"/>
      <c r="BI497" s="8"/>
      <c r="BJ497" s="8"/>
      <c r="BK497" s="6"/>
      <c r="BL497" s="8"/>
      <c r="BM497" s="8"/>
      <c r="BN497" s="6"/>
      <c r="BO497" s="8"/>
      <c r="BP497" s="8"/>
      <c r="BQ497" s="6"/>
      <c r="BR497" s="8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  <c r="HM497" s="7"/>
      <c r="HN497" s="7"/>
      <c r="HO497" s="7"/>
      <c r="HP497" s="7"/>
      <c r="HQ497" s="7"/>
      <c r="HR497" s="7"/>
      <c r="HS497" s="7"/>
      <c r="HT497" s="7"/>
      <c r="HU497" s="7"/>
      <c r="HV497" s="7"/>
      <c r="HW497" s="7"/>
      <c r="HX497" s="7"/>
      <c r="HY497" s="7"/>
      <c r="HZ497" s="7"/>
      <c r="IA497" s="7"/>
      <c r="IB497" s="7"/>
      <c r="IC497" s="7"/>
      <c r="ID497" s="7"/>
      <c r="IE497" s="7"/>
      <c r="IF497" s="7"/>
      <c r="IG497" s="7"/>
      <c r="IH497" s="7"/>
      <c r="II497" s="7"/>
      <c r="IJ497" s="7"/>
      <c r="IK497" s="7"/>
      <c r="IL497" s="7"/>
      <c r="IM497" s="7"/>
      <c r="IN497" s="7"/>
      <c r="IO497" s="7"/>
      <c r="IP497" s="7"/>
      <c r="IQ497" s="7"/>
      <c r="IR497" s="7"/>
      <c r="IS497" s="7"/>
      <c r="IT497" s="7"/>
      <c r="IU497" s="7"/>
      <c r="IV497" s="7"/>
      <c r="IW497" s="7"/>
      <c r="IX497" s="7"/>
      <c r="IY497" s="7"/>
      <c r="IZ497" s="7"/>
      <c r="JA497" s="7"/>
      <c r="JB497" s="7"/>
      <c r="JC497" s="7"/>
      <c r="JD497" s="7"/>
      <c r="JE497" s="7"/>
      <c r="JF497" s="7"/>
      <c r="JG497" s="7"/>
      <c r="JH497" s="7"/>
      <c r="JI497" s="7"/>
      <c r="JJ497" s="7"/>
      <c r="JK497" s="7"/>
      <c r="JL497" s="7"/>
      <c r="JM497" s="7"/>
      <c r="JN497" s="7"/>
      <c r="JO497" s="7"/>
      <c r="JP497" s="7"/>
      <c r="JQ497" s="7"/>
      <c r="JR497" s="7"/>
      <c r="JS497" s="7"/>
      <c r="JT497" s="7"/>
      <c r="JU497" s="7"/>
      <c r="JV497" s="7"/>
      <c r="JW497" s="7"/>
      <c r="JX497" s="7"/>
      <c r="JY497" s="7"/>
      <c r="JZ497" s="7"/>
      <c r="KA497" s="7"/>
      <c r="KB497" s="7"/>
      <c r="KC497" s="7"/>
      <c r="KD497" s="7"/>
      <c r="KE497" s="7"/>
      <c r="KF497" s="7"/>
      <c r="KG497" s="7"/>
      <c r="KH497" s="7"/>
      <c r="KI497" s="7"/>
      <c r="KJ497" s="7"/>
      <c r="KK497" s="7"/>
      <c r="KL497" s="7"/>
      <c r="KM497" s="7"/>
      <c r="KN497" s="7"/>
    </row>
    <row r="498">
      <c r="A498" s="6"/>
      <c r="B498" s="6" t="s">
        <v>498</v>
      </c>
      <c r="C498" s="3" t="str">
        <f t="shared" si="3"/>
        <v>light orange</v>
      </c>
      <c r="D498" s="3" t="str">
        <f t="shared" si="17"/>
        <v>ZZZ</v>
      </c>
      <c r="E498" s="3" t="b">
        <f t="array" ref="E498">OR(ISNUMBER(SEARCH(D$2:D$30,$B498,5)))</f>
        <v>0</v>
      </c>
      <c r="G498" s="3" t="str">
        <f t="shared" si="4"/>
        <v>ZZZ</v>
      </c>
      <c r="H498" s="3" t="b">
        <f t="array" ref="H498">OR(ISNUMBER(SEARCH(G$2:G$30,$B498,5)))</f>
        <v>0</v>
      </c>
      <c r="J498" s="3" t="str">
        <f t="shared" si="5"/>
        <v>ZZZ</v>
      </c>
      <c r="K498" s="3" t="b">
        <f t="array" ref="K498">OR(ISNUMBER(SEARCH(J$2:J$30,$B498,5)))</f>
        <v>0</v>
      </c>
      <c r="M498" s="3" t="str">
        <f t="shared" si="6"/>
        <v>ZZZ</v>
      </c>
      <c r="N498" s="3" t="b">
        <f t="array" ref="N498">OR(ISNUMBER(SEARCH(M$2:M$30,$B498,5)))</f>
        <v>0</v>
      </c>
      <c r="P498" s="3" t="str">
        <f t="shared" si="7"/>
        <v>ZZZ</v>
      </c>
      <c r="Q498" s="3" t="b">
        <f t="array" ref="Q498">OR(ISNUMBER(SEARCH(P$2:P$50,$B498,5)))</f>
        <v>0</v>
      </c>
      <c r="S498" s="3" t="str">
        <f t="shared" si="8"/>
        <v>ZZZ</v>
      </c>
      <c r="T498" s="3" t="b">
        <f t="array" ref="T498">OR(ISNUMBER(SEARCH(S$2:S$100,$B498,5)))</f>
        <v>0</v>
      </c>
      <c r="V498" s="3" t="str">
        <f t="shared" si="9"/>
        <v>ZZZ</v>
      </c>
      <c r="W498" s="3" t="b">
        <f t="array" ref="W498">OR(ISNUMBER(SEARCH(V$2:V$100,$B498,5)))</f>
        <v>0</v>
      </c>
      <c r="Y498" s="3" t="str">
        <f t="shared" si="10"/>
        <v>ZZZ</v>
      </c>
      <c r="Z498" s="3" t="b">
        <f t="array" ref="Z498">OR(ISNUMBER(SEARCH(Y$2:Y$100,$B498,5)))</f>
        <v>0</v>
      </c>
      <c r="AB498" s="3" t="str">
        <f t="shared" si="11"/>
        <v>ZZZ</v>
      </c>
      <c r="AC498" s="3" t="b">
        <f t="array" ref="AC498">OR(ISNUMBER(SEARCH(AB$2:AB$100,$B498,5)))</f>
        <v>0</v>
      </c>
      <c r="AE498" s="3" t="str">
        <f t="shared" si="12"/>
        <v>ZZZ</v>
      </c>
      <c r="AF498" s="3" t="b">
        <f t="array" ref="AF498">OR(ISNUMBER(SEARCH(AE$2:AE$100,$B498,5)))</f>
        <v>0</v>
      </c>
      <c r="AH498" s="3" t="str">
        <f t="shared" si="13"/>
        <v>ZZZ</v>
      </c>
      <c r="AI498" s="3" t="b">
        <f t="array" ref="AI498">OR(ISNUMBER(SEARCH(AH$2:AH$100,$B498,5)))</f>
        <v>0</v>
      </c>
      <c r="AK498" s="3" t="str">
        <f t="shared" si="14"/>
        <v>ZZZ</v>
      </c>
      <c r="AL498" s="3" t="b">
        <f t="array" ref="AL498">OR(ISNUMBER(SEARCH(AK$2:AK$100,$B498,5)))</f>
        <v>0</v>
      </c>
      <c r="AU498" s="8"/>
      <c r="AV498" s="6"/>
      <c r="AW498" s="8"/>
      <c r="AX498" s="8"/>
      <c r="AY498" s="6"/>
      <c r="AZ498" s="8"/>
      <c r="BA498" s="8"/>
      <c r="BB498" s="6"/>
      <c r="BC498" s="8"/>
      <c r="BD498" s="8"/>
      <c r="BE498" s="6"/>
      <c r="BF498" s="8"/>
      <c r="BG498" s="8"/>
      <c r="BH498" s="6"/>
      <c r="BI498" s="8"/>
      <c r="BJ498" s="8"/>
      <c r="BK498" s="6"/>
      <c r="BL498" s="8"/>
      <c r="BM498" s="8"/>
      <c r="BN498" s="6"/>
      <c r="BO498" s="8"/>
      <c r="BP498" s="8"/>
      <c r="BQ498" s="6"/>
      <c r="BR498" s="8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  <c r="GS498" s="7"/>
      <c r="GT498" s="7"/>
      <c r="GU498" s="7"/>
      <c r="GV498" s="7"/>
      <c r="GW498" s="7"/>
      <c r="GX498" s="7"/>
      <c r="GY498" s="7"/>
      <c r="GZ498" s="7"/>
      <c r="HA498" s="7"/>
      <c r="HB498" s="7"/>
      <c r="HC498" s="7"/>
      <c r="HD498" s="7"/>
      <c r="HE498" s="7"/>
      <c r="HF498" s="7"/>
      <c r="HG498" s="7"/>
      <c r="HH498" s="7"/>
      <c r="HI498" s="7"/>
      <c r="HJ498" s="7"/>
      <c r="HK498" s="7"/>
      <c r="HL498" s="7"/>
      <c r="HM498" s="7"/>
      <c r="HN498" s="7"/>
      <c r="HO498" s="7"/>
      <c r="HP498" s="7"/>
      <c r="HQ498" s="7"/>
      <c r="HR498" s="7"/>
      <c r="HS498" s="7"/>
      <c r="HT498" s="7"/>
      <c r="HU498" s="7"/>
      <c r="HV498" s="7"/>
      <c r="HW498" s="7"/>
      <c r="HX498" s="7"/>
      <c r="HY498" s="7"/>
      <c r="HZ498" s="7"/>
      <c r="IA498" s="7"/>
      <c r="IB498" s="7"/>
      <c r="IC498" s="7"/>
      <c r="ID498" s="7"/>
      <c r="IE498" s="7"/>
      <c r="IF498" s="7"/>
      <c r="IG498" s="7"/>
      <c r="IH498" s="7"/>
      <c r="II498" s="7"/>
      <c r="IJ498" s="7"/>
      <c r="IK498" s="7"/>
      <c r="IL498" s="7"/>
      <c r="IM498" s="7"/>
      <c r="IN498" s="7"/>
      <c r="IO498" s="7"/>
      <c r="IP498" s="7"/>
      <c r="IQ498" s="7"/>
      <c r="IR498" s="7"/>
      <c r="IS498" s="7"/>
      <c r="IT498" s="7"/>
      <c r="IU498" s="7"/>
      <c r="IV498" s="7"/>
      <c r="IW498" s="7"/>
      <c r="IX498" s="7"/>
      <c r="IY498" s="7"/>
      <c r="IZ498" s="7"/>
      <c r="JA498" s="7"/>
      <c r="JB498" s="7"/>
      <c r="JC498" s="7"/>
      <c r="JD498" s="7"/>
      <c r="JE498" s="7"/>
      <c r="JF498" s="7"/>
      <c r="JG498" s="7"/>
      <c r="JH498" s="7"/>
      <c r="JI498" s="7"/>
      <c r="JJ498" s="7"/>
      <c r="JK498" s="7"/>
      <c r="JL498" s="7"/>
      <c r="JM498" s="7"/>
      <c r="JN498" s="7"/>
      <c r="JO498" s="7"/>
      <c r="JP498" s="7"/>
      <c r="JQ498" s="7"/>
      <c r="JR498" s="7"/>
      <c r="JS498" s="7"/>
      <c r="JT498" s="7"/>
      <c r="JU498" s="7"/>
      <c r="JV498" s="7"/>
      <c r="JW498" s="7"/>
      <c r="JX498" s="7"/>
      <c r="JY498" s="7"/>
      <c r="JZ498" s="7"/>
      <c r="KA498" s="7"/>
      <c r="KB498" s="7"/>
      <c r="KC498" s="7"/>
      <c r="KD498" s="7"/>
      <c r="KE498" s="7"/>
      <c r="KF498" s="7"/>
      <c r="KG498" s="7"/>
      <c r="KH498" s="7"/>
      <c r="KI498" s="7"/>
      <c r="KJ498" s="7"/>
      <c r="KK498" s="7"/>
      <c r="KL498" s="7"/>
      <c r="KM498" s="7"/>
      <c r="KN498" s="7"/>
    </row>
    <row r="499">
      <c r="A499" s="6"/>
      <c r="B499" s="6" t="s">
        <v>499</v>
      </c>
      <c r="C499" s="3" t="str">
        <f t="shared" si="3"/>
        <v>posh yellow</v>
      </c>
      <c r="D499" s="3" t="str">
        <f t="shared" si="17"/>
        <v>ZZZ</v>
      </c>
      <c r="E499" s="3" t="b">
        <f t="array" ref="E499">OR(ISNUMBER(SEARCH(D$2:D$30,$B499,5)))</f>
        <v>0</v>
      </c>
      <c r="G499" s="3" t="str">
        <f t="shared" si="4"/>
        <v>ZZZ</v>
      </c>
      <c r="H499" s="3" t="b">
        <f t="array" ref="H499">OR(ISNUMBER(SEARCH(G$2:G$30,$B499,5)))</f>
        <v>0</v>
      </c>
      <c r="J499" s="3" t="str">
        <f t="shared" si="5"/>
        <v>ZZZ</v>
      </c>
      <c r="K499" s="3" t="b">
        <f t="array" ref="K499">OR(ISNUMBER(SEARCH(J$2:J$30,$B499,5)))</f>
        <v>0</v>
      </c>
      <c r="M499" s="3" t="str">
        <f t="shared" si="6"/>
        <v>ZZZ</v>
      </c>
      <c r="N499" s="3" t="b">
        <f t="array" ref="N499">OR(ISNUMBER(SEARCH(M$2:M$30,$B499,5)))</f>
        <v>0</v>
      </c>
      <c r="P499" s="3" t="str">
        <f t="shared" si="7"/>
        <v>ZZZ</v>
      </c>
      <c r="Q499" s="3" t="b">
        <f t="array" ref="Q499">OR(ISNUMBER(SEARCH(P$2:P$50,$B499,5)))</f>
        <v>0</v>
      </c>
      <c r="S499" s="3" t="str">
        <f t="shared" si="8"/>
        <v>ZZZ</v>
      </c>
      <c r="T499" s="3" t="b">
        <f t="array" ref="T499">OR(ISNUMBER(SEARCH(S$2:S$100,$B499,5)))</f>
        <v>0</v>
      </c>
      <c r="V499" s="3" t="str">
        <f t="shared" si="9"/>
        <v>ZZZ</v>
      </c>
      <c r="W499" s="3" t="b">
        <f t="array" ref="W499">OR(ISNUMBER(SEARCH(V$2:V$100,$B499,5)))</f>
        <v>0</v>
      </c>
      <c r="Y499" s="3" t="str">
        <f t="shared" si="10"/>
        <v>ZZZ</v>
      </c>
      <c r="Z499" s="3" t="b">
        <f t="array" ref="Z499">OR(ISNUMBER(SEARCH(Y$2:Y$100,$B499,5)))</f>
        <v>0</v>
      </c>
      <c r="AB499" s="3" t="str">
        <f t="shared" si="11"/>
        <v>ZZZ</v>
      </c>
      <c r="AC499" s="3" t="b">
        <f t="array" ref="AC499">OR(ISNUMBER(SEARCH(AB$2:AB$100,$B499,5)))</f>
        <v>0</v>
      </c>
      <c r="AE499" s="3" t="str">
        <f t="shared" si="12"/>
        <v>ZZZ</v>
      </c>
      <c r="AF499" s="3" t="b">
        <f t="array" ref="AF499">OR(ISNUMBER(SEARCH(AE$2:AE$100,$B499,5)))</f>
        <v>0</v>
      </c>
      <c r="AH499" s="3" t="str">
        <f t="shared" si="13"/>
        <v>ZZZ</v>
      </c>
      <c r="AI499" s="3" t="b">
        <f t="array" ref="AI499">OR(ISNUMBER(SEARCH(AH$2:AH$100,$B499,5)))</f>
        <v>0</v>
      </c>
      <c r="AK499" s="3" t="str">
        <f t="shared" si="14"/>
        <v>ZZZ</v>
      </c>
      <c r="AL499" s="3" t="b">
        <f t="array" ref="AL499">OR(ISNUMBER(SEARCH(AK$2:AK$100,$B499,5)))</f>
        <v>0</v>
      </c>
      <c r="AU499" s="8"/>
      <c r="AV499" s="6"/>
      <c r="AW499" s="8"/>
      <c r="AX499" s="8"/>
      <c r="AY499" s="6"/>
      <c r="AZ499" s="8"/>
      <c r="BA499" s="8"/>
      <c r="BB499" s="6"/>
      <c r="BC499" s="8"/>
      <c r="BD499" s="8"/>
      <c r="BE499" s="6"/>
      <c r="BF499" s="8"/>
      <c r="BG499" s="8"/>
      <c r="BH499" s="6"/>
      <c r="BI499" s="8"/>
      <c r="BJ499" s="8"/>
      <c r="BK499" s="6"/>
      <c r="BL499" s="8"/>
      <c r="BM499" s="8"/>
      <c r="BN499" s="6"/>
      <c r="BO499" s="8"/>
      <c r="BP499" s="8"/>
      <c r="BQ499" s="6"/>
      <c r="BR499" s="8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  <c r="GS499" s="7"/>
      <c r="GT499" s="7"/>
      <c r="GU499" s="7"/>
      <c r="GV499" s="7"/>
      <c r="GW499" s="7"/>
      <c r="GX499" s="7"/>
      <c r="GY499" s="7"/>
      <c r="GZ499" s="7"/>
      <c r="HA499" s="7"/>
      <c r="HB499" s="7"/>
      <c r="HC499" s="7"/>
      <c r="HD499" s="7"/>
      <c r="HE499" s="7"/>
      <c r="HF499" s="7"/>
      <c r="HG499" s="7"/>
      <c r="HH499" s="7"/>
      <c r="HI499" s="7"/>
      <c r="HJ499" s="7"/>
      <c r="HK499" s="7"/>
      <c r="HL499" s="7"/>
      <c r="HM499" s="7"/>
      <c r="HN499" s="7"/>
      <c r="HO499" s="7"/>
      <c r="HP499" s="7"/>
      <c r="HQ499" s="7"/>
      <c r="HR499" s="7"/>
      <c r="HS499" s="7"/>
      <c r="HT499" s="7"/>
      <c r="HU499" s="7"/>
      <c r="HV499" s="7"/>
      <c r="HW499" s="7"/>
      <c r="HX499" s="7"/>
      <c r="HY499" s="7"/>
      <c r="HZ499" s="7"/>
      <c r="IA499" s="7"/>
      <c r="IB499" s="7"/>
      <c r="IC499" s="7"/>
      <c r="ID499" s="7"/>
      <c r="IE499" s="7"/>
      <c r="IF499" s="7"/>
      <c r="IG499" s="7"/>
      <c r="IH499" s="7"/>
      <c r="II499" s="7"/>
      <c r="IJ499" s="7"/>
      <c r="IK499" s="7"/>
      <c r="IL499" s="7"/>
      <c r="IM499" s="7"/>
      <c r="IN499" s="7"/>
      <c r="IO499" s="7"/>
      <c r="IP499" s="7"/>
      <c r="IQ499" s="7"/>
      <c r="IR499" s="7"/>
      <c r="IS499" s="7"/>
      <c r="IT499" s="7"/>
      <c r="IU499" s="7"/>
      <c r="IV499" s="7"/>
      <c r="IW499" s="7"/>
      <c r="IX499" s="7"/>
      <c r="IY499" s="7"/>
      <c r="IZ499" s="7"/>
      <c r="JA499" s="7"/>
      <c r="JB499" s="7"/>
      <c r="JC499" s="7"/>
      <c r="JD499" s="7"/>
      <c r="JE499" s="7"/>
      <c r="JF499" s="7"/>
      <c r="JG499" s="7"/>
      <c r="JH499" s="7"/>
      <c r="JI499" s="7"/>
      <c r="JJ499" s="7"/>
      <c r="JK499" s="7"/>
      <c r="JL499" s="7"/>
      <c r="JM499" s="7"/>
      <c r="JN499" s="7"/>
      <c r="JO499" s="7"/>
      <c r="JP499" s="7"/>
      <c r="JQ499" s="7"/>
      <c r="JR499" s="7"/>
      <c r="JS499" s="7"/>
      <c r="JT499" s="7"/>
      <c r="JU499" s="7"/>
      <c r="JV499" s="7"/>
      <c r="JW499" s="7"/>
      <c r="JX499" s="7"/>
      <c r="JY499" s="7"/>
      <c r="JZ499" s="7"/>
      <c r="KA499" s="7"/>
      <c r="KB499" s="7"/>
      <c r="KC499" s="7"/>
      <c r="KD499" s="7"/>
      <c r="KE499" s="7"/>
      <c r="KF499" s="7"/>
      <c r="KG499" s="7"/>
      <c r="KH499" s="7"/>
      <c r="KI499" s="7"/>
      <c r="KJ499" s="7"/>
      <c r="KK499" s="7"/>
      <c r="KL499" s="7"/>
      <c r="KM499" s="7"/>
      <c r="KN499" s="7"/>
    </row>
    <row r="500">
      <c r="A500" s="6"/>
      <c r="B500" s="6" t="s">
        <v>500</v>
      </c>
      <c r="C500" s="3" t="str">
        <f t="shared" si="3"/>
        <v>dotted beige</v>
      </c>
      <c r="D500" s="3" t="str">
        <f t="shared" si="17"/>
        <v>ZZZ</v>
      </c>
      <c r="E500" s="3" t="b">
        <f t="array" ref="E500">OR(ISNUMBER(SEARCH(D$2:D$30,$B500,5)))</f>
        <v>0</v>
      </c>
      <c r="G500" s="3" t="str">
        <f t="shared" si="4"/>
        <v>ZZZ</v>
      </c>
      <c r="H500" s="3" t="b">
        <f t="array" ref="H500">OR(ISNUMBER(SEARCH(G$2:G$30,$B500,5)))</f>
        <v>0</v>
      </c>
      <c r="J500" s="3" t="str">
        <f t="shared" si="5"/>
        <v>ZZZ</v>
      </c>
      <c r="K500" s="3" t="b">
        <f t="array" ref="K500">OR(ISNUMBER(SEARCH(J$2:J$30,$B500,5)))</f>
        <v>0</v>
      </c>
      <c r="M500" s="3" t="str">
        <f t="shared" si="6"/>
        <v>ZZZ</v>
      </c>
      <c r="N500" s="3" t="b">
        <f t="array" ref="N500">OR(ISNUMBER(SEARCH(M$2:M$30,$B500,5)))</f>
        <v>0</v>
      </c>
      <c r="P500" s="3" t="str">
        <f t="shared" si="7"/>
        <v>ZZZ</v>
      </c>
      <c r="Q500" s="3" t="b">
        <f t="array" ref="Q500">OR(ISNUMBER(SEARCH(P$2:P$50,$B500,5)))</f>
        <v>0</v>
      </c>
      <c r="S500" s="3" t="str">
        <f t="shared" si="8"/>
        <v>ZZZ</v>
      </c>
      <c r="T500" s="3" t="b">
        <f t="array" ref="T500">OR(ISNUMBER(SEARCH(S$2:S$100,$B500,5)))</f>
        <v>0</v>
      </c>
      <c r="V500" s="3" t="str">
        <f t="shared" si="9"/>
        <v>ZZZ</v>
      </c>
      <c r="W500" s="3" t="b">
        <f t="array" ref="W500">OR(ISNUMBER(SEARCH(V$2:V$100,$B500,5)))</f>
        <v>0</v>
      </c>
      <c r="Y500" s="3" t="str">
        <f t="shared" si="10"/>
        <v>ZZZ</v>
      </c>
      <c r="Z500" s="3" t="b">
        <f t="array" ref="Z500">OR(ISNUMBER(SEARCH(Y$2:Y$100,$B500,5)))</f>
        <v>0</v>
      </c>
      <c r="AB500" s="3" t="str">
        <f t="shared" si="11"/>
        <v>ZZZ</v>
      </c>
      <c r="AC500" s="3" t="b">
        <f t="array" ref="AC500">OR(ISNUMBER(SEARCH(AB$2:AB$100,$B500,5)))</f>
        <v>0</v>
      </c>
      <c r="AE500" s="3" t="str">
        <f t="shared" si="12"/>
        <v>ZZZ</v>
      </c>
      <c r="AF500" s="3" t="b">
        <f t="array" ref="AF500">OR(ISNUMBER(SEARCH(AE$2:AE$100,$B500,5)))</f>
        <v>0</v>
      </c>
      <c r="AH500" s="3" t="str">
        <f t="shared" si="13"/>
        <v>ZZZ</v>
      </c>
      <c r="AI500" s="3" t="b">
        <f t="array" ref="AI500">OR(ISNUMBER(SEARCH(AH$2:AH$100,$B500,5)))</f>
        <v>0</v>
      </c>
      <c r="AK500" s="3" t="str">
        <f t="shared" si="14"/>
        <v>ZZZ</v>
      </c>
      <c r="AL500" s="3" t="b">
        <f t="array" ref="AL500">OR(ISNUMBER(SEARCH(AK$2:AK$100,$B500,5)))</f>
        <v>0</v>
      </c>
      <c r="AU500" s="8"/>
      <c r="AV500" s="6"/>
      <c r="AW500" s="8"/>
      <c r="AX500" s="8"/>
      <c r="AY500" s="6"/>
      <c r="AZ500" s="8"/>
      <c r="BA500" s="8"/>
      <c r="BB500" s="6"/>
      <c r="BC500" s="8"/>
      <c r="BD500" s="8"/>
      <c r="BE500" s="6"/>
      <c r="BF500" s="8"/>
      <c r="BG500" s="8"/>
      <c r="BH500" s="6"/>
      <c r="BI500" s="8"/>
      <c r="BJ500" s="8"/>
      <c r="BK500" s="6"/>
      <c r="BL500" s="8"/>
      <c r="BM500" s="8"/>
      <c r="BN500" s="6"/>
      <c r="BO500" s="8"/>
      <c r="BP500" s="8"/>
      <c r="BQ500" s="6"/>
      <c r="BR500" s="8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  <c r="HM500" s="7"/>
      <c r="HN500" s="7"/>
      <c r="HO500" s="7"/>
      <c r="HP500" s="7"/>
      <c r="HQ500" s="7"/>
      <c r="HR500" s="7"/>
      <c r="HS500" s="7"/>
      <c r="HT500" s="7"/>
      <c r="HU500" s="7"/>
      <c r="HV500" s="7"/>
      <c r="HW500" s="7"/>
      <c r="HX500" s="7"/>
      <c r="HY500" s="7"/>
      <c r="HZ500" s="7"/>
      <c r="IA500" s="7"/>
      <c r="IB500" s="7"/>
      <c r="IC500" s="7"/>
      <c r="ID500" s="7"/>
      <c r="IE500" s="7"/>
      <c r="IF500" s="7"/>
      <c r="IG500" s="7"/>
      <c r="IH500" s="7"/>
      <c r="II500" s="7"/>
      <c r="IJ500" s="7"/>
      <c r="IK500" s="7"/>
      <c r="IL500" s="7"/>
      <c r="IM500" s="7"/>
      <c r="IN500" s="7"/>
      <c r="IO500" s="7"/>
      <c r="IP500" s="7"/>
      <c r="IQ500" s="7"/>
      <c r="IR500" s="7"/>
      <c r="IS500" s="7"/>
      <c r="IT500" s="7"/>
      <c r="IU500" s="7"/>
      <c r="IV500" s="7"/>
      <c r="IW500" s="7"/>
      <c r="IX500" s="7"/>
      <c r="IY500" s="7"/>
      <c r="IZ500" s="7"/>
      <c r="JA500" s="7"/>
      <c r="JB500" s="7"/>
      <c r="JC500" s="7"/>
      <c r="JD500" s="7"/>
      <c r="JE500" s="7"/>
      <c r="JF500" s="7"/>
      <c r="JG500" s="7"/>
      <c r="JH500" s="7"/>
      <c r="JI500" s="7"/>
      <c r="JJ500" s="7"/>
      <c r="JK500" s="7"/>
      <c r="JL500" s="7"/>
      <c r="JM500" s="7"/>
      <c r="JN500" s="7"/>
      <c r="JO500" s="7"/>
      <c r="JP500" s="7"/>
      <c r="JQ500" s="7"/>
      <c r="JR500" s="7"/>
      <c r="JS500" s="7"/>
      <c r="JT500" s="7"/>
      <c r="JU500" s="7"/>
      <c r="JV500" s="7"/>
      <c r="JW500" s="7"/>
      <c r="JX500" s="7"/>
      <c r="JY500" s="7"/>
      <c r="JZ500" s="7"/>
      <c r="KA500" s="7"/>
      <c r="KB500" s="7"/>
      <c r="KC500" s="7"/>
      <c r="KD500" s="7"/>
      <c r="KE500" s="7"/>
      <c r="KF500" s="7"/>
      <c r="KG500" s="7"/>
      <c r="KH500" s="7"/>
      <c r="KI500" s="7"/>
      <c r="KJ500" s="7"/>
      <c r="KK500" s="7"/>
      <c r="KL500" s="7"/>
      <c r="KM500" s="7"/>
      <c r="KN500" s="7"/>
    </row>
    <row r="501">
      <c r="A501" s="6"/>
      <c r="B501" s="6" t="s">
        <v>501</v>
      </c>
      <c r="C501" s="3" t="str">
        <f t="shared" si="3"/>
        <v>faded aqua</v>
      </c>
      <c r="D501" s="3" t="str">
        <f t="shared" si="17"/>
        <v>ZZZ</v>
      </c>
      <c r="E501" s="3" t="b">
        <f t="array" ref="E501">OR(ISNUMBER(SEARCH(D$2:D$30,$B501,5)))</f>
        <v>0</v>
      </c>
      <c r="G501" s="3" t="str">
        <f t="shared" si="4"/>
        <v>ZZZ</v>
      </c>
      <c r="H501" s="3" t="b">
        <f t="array" ref="H501">OR(ISNUMBER(SEARCH(G$2:G$30,$B501,5)))</f>
        <v>0</v>
      </c>
      <c r="J501" s="3" t="str">
        <f t="shared" si="5"/>
        <v>ZZZ</v>
      </c>
      <c r="K501" s="3" t="b">
        <f t="array" ref="K501">OR(ISNUMBER(SEARCH(J$2:J$30,$B501,5)))</f>
        <v>0</v>
      </c>
      <c r="M501" s="3" t="str">
        <f t="shared" si="6"/>
        <v>ZZZ</v>
      </c>
      <c r="N501" s="3" t="b">
        <f t="array" ref="N501">OR(ISNUMBER(SEARCH(M$2:M$30,$B501,5)))</f>
        <v>0</v>
      </c>
      <c r="P501" s="3" t="str">
        <f t="shared" si="7"/>
        <v>ZZZ</v>
      </c>
      <c r="Q501" s="3" t="b">
        <f t="array" ref="Q501">OR(ISNUMBER(SEARCH(P$2:P$50,$B501,5)))</f>
        <v>1</v>
      </c>
      <c r="S501" s="3" t="str">
        <f t="shared" si="8"/>
        <v>ZZZ</v>
      </c>
      <c r="T501" s="3" t="b">
        <f t="array" ref="T501">OR(ISNUMBER(SEARCH(S$2:S$100,$B501,5)))</f>
        <v>0</v>
      </c>
      <c r="V501" s="3" t="str">
        <f t="shared" si="9"/>
        <v>ZZZ</v>
      </c>
      <c r="W501" s="3" t="b">
        <f t="array" ref="W501">OR(ISNUMBER(SEARCH(V$2:V$100,$B501,5)))</f>
        <v>0</v>
      </c>
      <c r="Y501" s="3" t="str">
        <f t="shared" si="10"/>
        <v>ZZZ</v>
      </c>
      <c r="Z501" s="3" t="b">
        <f t="array" ref="Z501">OR(ISNUMBER(SEARCH(Y$2:Y$100,$B501,5)))</f>
        <v>0</v>
      </c>
      <c r="AB501" s="3" t="str">
        <f t="shared" si="11"/>
        <v>ZZZ</v>
      </c>
      <c r="AC501" s="3" t="b">
        <f t="array" ref="AC501">OR(ISNUMBER(SEARCH(AB$2:AB$100,$B501,5)))</f>
        <v>0</v>
      </c>
      <c r="AE501" s="3" t="str">
        <f t="shared" si="12"/>
        <v>ZZZ</v>
      </c>
      <c r="AF501" s="3" t="b">
        <f t="array" ref="AF501">OR(ISNUMBER(SEARCH(AE$2:AE$100,$B501,5)))</f>
        <v>0</v>
      </c>
      <c r="AH501" s="3" t="str">
        <f t="shared" si="13"/>
        <v>ZZZ</v>
      </c>
      <c r="AI501" s="3" t="b">
        <f t="array" ref="AI501">OR(ISNUMBER(SEARCH(AH$2:AH$100,$B501,5)))</f>
        <v>0</v>
      </c>
      <c r="AK501" s="3" t="str">
        <f t="shared" si="14"/>
        <v>ZZZ</v>
      </c>
      <c r="AL501" s="3" t="b">
        <f t="array" ref="AL501">OR(ISNUMBER(SEARCH(AK$2:AK$100,$B501,5)))</f>
        <v>0</v>
      </c>
      <c r="AU501" s="8"/>
      <c r="AV501" s="6"/>
      <c r="AW501" s="8"/>
      <c r="AX501" s="8"/>
      <c r="AY501" s="6"/>
      <c r="AZ501" s="8"/>
      <c r="BA501" s="8"/>
      <c r="BB501" s="6"/>
      <c r="BC501" s="8"/>
      <c r="BD501" s="8"/>
      <c r="BE501" s="6"/>
      <c r="BF501" s="8"/>
      <c r="BG501" s="8"/>
      <c r="BH501" s="6"/>
      <c r="BI501" s="8"/>
      <c r="BJ501" s="8"/>
      <c r="BK501" s="6"/>
      <c r="BL501" s="8"/>
      <c r="BM501" s="8"/>
      <c r="BN501" s="6"/>
      <c r="BO501" s="8"/>
      <c r="BP501" s="8"/>
      <c r="BQ501" s="6"/>
      <c r="BR501" s="8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  <c r="GS501" s="7"/>
      <c r="GT501" s="7"/>
      <c r="GU501" s="7"/>
      <c r="GV501" s="7"/>
      <c r="GW501" s="7"/>
      <c r="GX501" s="7"/>
      <c r="GY501" s="7"/>
      <c r="GZ501" s="7"/>
      <c r="HA501" s="7"/>
      <c r="HB501" s="7"/>
      <c r="HC501" s="7"/>
      <c r="HD501" s="7"/>
      <c r="HE501" s="7"/>
      <c r="HF501" s="7"/>
      <c r="HG501" s="7"/>
      <c r="HH501" s="7"/>
      <c r="HI501" s="7"/>
      <c r="HJ501" s="7"/>
      <c r="HK501" s="7"/>
      <c r="HL501" s="7"/>
      <c r="HM501" s="7"/>
      <c r="HN501" s="7"/>
      <c r="HO501" s="7"/>
      <c r="HP501" s="7"/>
      <c r="HQ501" s="7"/>
      <c r="HR501" s="7"/>
      <c r="HS501" s="7"/>
      <c r="HT501" s="7"/>
      <c r="HU501" s="7"/>
      <c r="HV501" s="7"/>
      <c r="HW501" s="7"/>
      <c r="HX501" s="7"/>
      <c r="HY501" s="7"/>
      <c r="HZ501" s="7"/>
      <c r="IA501" s="7"/>
      <c r="IB501" s="7"/>
      <c r="IC501" s="7"/>
      <c r="ID501" s="7"/>
      <c r="IE501" s="7"/>
      <c r="IF501" s="7"/>
      <c r="IG501" s="7"/>
      <c r="IH501" s="7"/>
      <c r="II501" s="7"/>
      <c r="IJ501" s="7"/>
      <c r="IK501" s="7"/>
      <c r="IL501" s="7"/>
      <c r="IM501" s="7"/>
      <c r="IN501" s="7"/>
      <c r="IO501" s="7"/>
      <c r="IP501" s="7"/>
      <c r="IQ501" s="7"/>
      <c r="IR501" s="7"/>
      <c r="IS501" s="7"/>
      <c r="IT501" s="7"/>
      <c r="IU501" s="7"/>
      <c r="IV501" s="7"/>
      <c r="IW501" s="7"/>
      <c r="IX501" s="7"/>
      <c r="IY501" s="7"/>
      <c r="IZ501" s="7"/>
      <c r="JA501" s="7"/>
      <c r="JB501" s="7"/>
      <c r="JC501" s="7"/>
      <c r="JD501" s="7"/>
      <c r="JE501" s="7"/>
      <c r="JF501" s="7"/>
      <c r="JG501" s="7"/>
      <c r="JH501" s="7"/>
      <c r="JI501" s="7"/>
      <c r="JJ501" s="7"/>
      <c r="JK501" s="7"/>
      <c r="JL501" s="7"/>
      <c r="JM501" s="7"/>
      <c r="JN501" s="7"/>
      <c r="JO501" s="7"/>
      <c r="JP501" s="7"/>
      <c r="JQ501" s="7"/>
      <c r="JR501" s="7"/>
      <c r="JS501" s="7"/>
      <c r="JT501" s="7"/>
      <c r="JU501" s="7"/>
      <c r="JV501" s="7"/>
      <c r="JW501" s="7"/>
      <c r="JX501" s="7"/>
      <c r="JY501" s="7"/>
      <c r="JZ501" s="7"/>
      <c r="KA501" s="7"/>
      <c r="KB501" s="7"/>
      <c r="KC501" s="7"/>
      <c r="KD501" s="7"/>
      <c r="KE501" s="7"/>
      <c r="KF501" s="7"/>
      <c r="KG501" s="7"/>
      <c r="KH501" s="7"/>
      <c r="KI501" s="7"/>
      <c r="KJ501" s="7"/>
      <c r="KK501" s="7"/>
      <c r="KL501" s="7"/>
      <c r="KM501" s="7"/>
      <c r="KN501" s="7"/>
    </row>
    <row r="502">
      <c r="A502" s="6"/>
      <c r="B502" s="6" t="s">
        <v>502</v>
      </c>
      <c r="C502" s="3" t="str">
        <f t="shared" si="3"/>
        <v>shiny red</v>
      </c>
      <c r="D502" s="3" t="str">
        <f t="shared" si="17"/>
        <v>ZZZ</v>
      </c>
      <c r="E502" s="3" t="b">
        <f t="array" ref="E502">OR(ISNUMBER(SEARCH(D$2:D$30,$B502,5)))</f>
        <v>0</v>
      </c>
      <c r="G502" s="3" t="str">
        <f t="shared" si="4"/>
        <v>ZZZ</v>
      </c>
      <c r="H502" s="3" t="b">
        <f t="array" ref="H502">OR(ISNUMBER(SEARCH(G$2:G$30,$B502,5)))</f>
        <v>1</v>
      </c>
      <c r="J502" s="3" t="str">
        <f t="shared" si="5"/>
        <v>ZZZ</v>
      </c>
      <c r="K502" s="3" t="b">
        <f t="array" ref="K502">OR(ISNUMBER(SEARCH(J$2:J$30,$B502,5)))</f>
        <v>0</v>
      </c>
      <c r="M502" s="3" t="str">
        <f t="shared" si="6"/>
        <v>ZZZ</v>
      </c>
      <c r="N502" s="3" t="b">
        <f t="array" ref="N502">OR(ISNUMBER(SEARCH(M$2:M$30,$B502,5)))</f>
        <v>0</v>
      </c>
      <c r="P502" s="3" t="str">
        <f t="shared" si="7"/>
        <v>ZZZ</v>
      </c>
      <c r="Q502" s="3" t="b">
        <f t="array" ref="Q502">OR(ISNUMBER(SEARCH(P$2:P$50,$B502,5)))</f>
        <v>0</v>
      </c>
      <c r="S502" s="3" t="str">
        <f t="shared" si="8"/>
        <v>ZZZ</v>
      </c>
      <c r="T502" s="3" t="b">
        <f t="array" ref="T502">OR(ISNUMBER(SEARCH(S$2:S$100,$B502,5)))</f>
        <v>0</v>
      </c>
      <c r="V502" s="3" t="str">
        <f t="shared" si="9"/>
        <v>ZZZ</v>
      </c>
      <c r="W502" s="3" t="b">
        <f t="array" ref="W502">OR(ISNUMBER(SEARCH(V$2:V$100,$B502,5)))</f>
        <v>0</v>
      </c>
      <c r="Y502" s="3" t="str">
        <f t="shared" si="10"/>
        <v>ZZZ</v>
      </c>
      <c r="Z502" s="3" t="b">
        <f t="array" ref="Z502">OR(ISNUMBER(SEARCH(Y$2:Y$100,$B502,5)))</f>
        <v>0</v>
      </c>
      <c r="AB502" s="3" t="str">
        <f t="shared" si="11"/>
        <v>ZZZ</v>
      </c>
      <c r="AC502" s="3" t="b">
        <f t="array" ref="AC502">OR(ISNUMBER(SEARCH(AB$2:AB$100,$B502,5)))</f>
        <v>0</v>
      </c>
      <c r="AE502" s="3" t="str">
        <f t="shared" si="12"/>
        <v>ZZZ</v>
      </c>
      <c r="AF502" s="3" t="b">
        <f t="array" ref="AF502">OR(ISNUMBER(SEARCH(AE$2:AE$100,$B502,5)))</f>
        <v>0</v>
      </c>
      <c r="AH502" s="3" t="str">
        <f t="shared" si="13"/>
        <v>ZZZ</v>
      </c>
      <c r="AI502" s="3" t="b">
        <f t="array" ref="AI502">OR(ISNUMBER(SEARCH(AH$2:AH$100,$B502,5)))</f>
        <v>0</v>
      </c>
      <c r="AK502" s="3" t="str">
        <f t="shared" si="14"/>
        <v>ZZZ</v>
      </c>
      <c r="AL502" s="3" t="b">
        <f t="array" ref="AL502">OR(ISNUMBER(SEARCH(AK$2:AK$100,$B502,5)))</f>
        <v>0</v>
      </c>
      <c r="AU502" s="8"/>
      <c r="AV502" s="6"/>
      <c r="AW502" s="8"/>
      <c r="AX502" s="8"/>
      <c r="AY502" s="6"/>
      <c r="AZ502" s="8"/>
      <c r="BA502" s="8"/>
      <c r="BB502" s="6"/>
      <c r="BC502" s="8"/>
      <c r="BD502" s="8"/>
      <c r="BE502" s="6"/>
      <c r="BF502" s="8"/>
      <c r="BG502" s="8"/>
      <c r="BH502" s="6"/>
      <c r="BI502" s="8"/>
      <c r="BJ502" s="8"/>
      <c r="BK502" s="6"/>
      <c r="BL502" s="8"/>
      <c r="BM502" s="8"/>
      <c r="BN502" s="6"/>
      <c r="BO502" s="8"/>
      <c r="BP502" s="8"/>
      <c r="BQ502" s="6"/>
      <c r="BR502" s="8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  <c r="GS502" s="7"/>
      <c r="GT502" s="7"/>
      <c r="GU502" s="7"/>
      <c r="GV502" s="7"/>
      <c r="GW502" s="7"/>
      <c r="GX502" s="7"/>
      <c r="GY502" s="7"/>
      <c r="GZ502" s="7"/>
      <c r="HA502" s="7"/>
      <c r="HB502" s="7"/>
      <c r="HC502" s="7"/>
      <c r="HD502" s="7"/>
      <c r="HE502" s="7"/>
      <c r="HF502" s="7"/>
      <c r="HG502" s="7"/>
      <c r="HH502" s="7"/>
      <c r="HI502" s="7"/>
      <c r="HJ502" s="7"/>
      <c r="HK502" s="7"/>
      <c r="HL502" s="7"/>
      <c r="HM502" s="7"/>
      <c r="HN502" s="7"/>
      <c r="HO502" s="7"/>
      <c r="HP502" s="7"/>
      <c r="HQ502" s="7"/>
      <c r="HR502" s="7"/>
      <c r="HS502" s="7"/>
      <c r="HT502" s="7"/>
      <c r="HU502" s="7"/>
      <c r="HV502" s="7"/>
      <c r="HW502" s="7"/>
      <c r="HX502" s="7"/>
      <c r="HY502" s="7"/>
      <c r="HZ502" s="7"/>
      <c r="IA502" s="7"/>
      <c r="IB502" s="7"/>
      <c r="IC502" s="7"/>
      <c r="ID502" s="7"/>
      <c r="IE502" s="7"/>
      <c r="IF502" s="7"/>
      <c r="IG502" s="7"/>
      <c r="IH502" s="7"/>
      <c r="II502" s="7"/>
      <c r="IJ502" s="7"/>
      <c r="IK502" s="7"/>
      <c r="IL502" s="7"/>
      <c r="IM502" s="7"/>
      <c r="IN502" s="7"/>
      <c r="IO502" s="7"/>
      <c r="IP502" s="7"/>
      <c r="IQ502" s="7"/>
      <c r="IR502" s="7"/>
      <c r="IS502" s="7"/>
      <c r="IT502" s="7"/>
      <c r="IU502" s="7"/>
      <c r="IV502" s="7"/>
      <c r="IW502" s="7"/>
      <c r="IX502" s="7"/>
      <c r="IY502" s="7"/>
      <c r="IZ502" s="7"/>
      <c r="JA502" s="7"/>
      <c r="JB502" s="7"/>
      <c r="JC502" s="7"/>
      <c r="JD502" s="7"/>
      <c r="JE502" s="7"/>
      <c r="JF502" s="7"/>
      <c r="JG502" s="7"/>
      <c r="JH502" s="7"/>
      <c r="JI502" s="7"/>
      <c r="JJ502" s="7"/>
      <c r="JK502" s="7"/>
      <c r="JL502" s="7"/>
      <c r="JM502" s="7"/>
      <c r="JN502" s="7"/>
      <c r="JO502" s="7"/>
      <c r="JP502" s="7"/>
      <c r="JQ502" s="7"/>
      <c r="JR502" s="7"/>
      <c r="JS502" s="7"/>
      <c r="JT502" s="7"/>
      <c r="JU502" s="7"/>
      <c r="JV502" s="7"/>
      <c r="JW502" s="7"/>
      <c r="JX502" s="7"/>
      <c r="JY502" s="7"/>
      <c r="JZ502" s="7"/>
      <c r="KA502" s="7"/>
      <c r="KB502" s="7"/>
      <c r="KC502" s="7"/>
      <c r="KD502" s="7"/>
      <c r="KE502" s="7"/>
      <c r="KF502" s="7"/>
      <c r="KG502" s="7"/>
      <c r="KH502" s="7"/>
      <c r="KI502" s="7"/>
      <c r="KJ502" s="7"/>
      <c r="KK502" s="7"/>
      <c r="KL502" s="7"/>
      <c r="KM502" s="7"/>
      <c r="KN502" s="7"/>
    </row>
    <row r="503">
      <c r="A503" s="6"/>
      <c r="B503" s="6" t="s">
        <v>503</v>
      </c>
      <c r="C503" s="3" t="str">
        <f t="shared" si="3"/>
        <v>light tomato</v>
      </c>
      <c r="D503" s="3" t="str">
        <f t="shared" si="17"/>
        <v>ZZZ</v>
      </c>
      <c r="E503" s="3" t="b">
        <f t="array" ref="E503">OR(ISNUMBER(SEARCH(D$2:D$30,$B503,5)))</f>
        <v>0</v>
      </c>
      <c r="G503" s="3" t="str">
        <f t="shared" si="4"/>
        <v>ZZZ</v>
      </c>
      <c r="H503" s="3" t="b">
        <f t="array" ref="H503">OR(ISNUMBER(SEARCH(G$2:G$30,$B503,5)))</f>
        <v>0</v>
      </c>
      <c r="J503" s="3" t="str">
        <f t="shared" si="5"/>
        <v>ZZZ</v>
      </c>
      <c r="K503" s="3" t="b">
        <f t="array" ref="K503">OR(ISNUMBER(SEARCH(J$2:J$30,$B503,5)))</f>
        <v>0</v>
      </c>
      <c r="M503" s="3" t="str">
        <f t="shared" si="6"/>
        <v>ZZZ</v>
      </c>
      <c r="N503" s="3" t="b">
        <f t="array" ref="N503">OR(ISNUMBER(SEARCH(M$2:M$30,$B503,5)))</f>
        <v>0</v>
      </c>
      <c r="P503" s="3" t="str">
        <f t="shared" si="7"/>
        <v>ZZZ</v>
      </c>
      <c r="Q503" s="3" t="b">
        <f t="array" ref="Q503">OR(ISNUMBER(SEARCH(P$2:P$50,$B503,5)))</f>
        <v>0</v>
      </c>
      <c r="S503" s="3" t="str">
        <f t="shared" si="8"/>
        <v>ZZZ</v>
      </c>
      <c r="T503" s="3" t="b">
        <f t="array" ref="T503">OR(ISNUMBER(SEARCH(S$2:S$100,$B503,5)))</f>
        <v>0</v>
      </c>
      <c r="V503" s="3" t="str">
        <f t="shared" si="9"/>
        <v>ZZZ</v>
      </c>
      <c r="W503" s="3" t="b">
        <f t="array" ref="W503">OR(ISNUMBER(SEARCH(V$2:V$100,$B503,5)))</f>
        <v>0</v>
      </c>
      <c r="Y503" s="3" t="str">
        <f t="shared" si="10"/>
        <v>ZZZ</v>
      </c>
      <c r="Z503" s="3" t="b">
        <f t="array" ref="Z503">OR(ISNUMBER(SEARCH(Y$2:Y$100,$B503,5)))</f>
        <v>0</v>
      </c>
      <c r="AB503" s="3" t="str">
        <f t="shared" si="11"/>
        <v>ZZZ</v>
      </c>
      <c r="AC503" s="3" t="b">
        <f t="array" ref="AC503">OR(ISNUMBER(SEARCH(AB$2:AB$100,$B503,5)))</f>
        <v>0</v>
      </c>
      <c r="AE503" s="3" t="str">
        <f t="shared" si="12"/>
        <v>ZZZ</v>
      </c>
      <c r="AF503" s="3" t="b">
        <f t="array" ref="AF503">OR(ISNUMBER(SEARCH(AE$2:AE$100,$B503,5)))</f>
        <v>0</v>
      </c>
      <c r="AH503" s="3" t="str">
        <f t="shared" si="13"/>
        <v>ZZZ</v>
      </c>
      <c r="AI503" s="3" t="b">
        <f t="array" ref="AI503">OR(ISNUMBER(SEARCH(AH$2:AH$100,$B503,5)))</f>
        <v>0</v>
      </c>
      <c r="AK503" s="3" t="str">
        <f t="shared" si="14"/>
        <v>ZZZ</v>
      </c>
      <c r="AL503" s="3" t="b">
        <f t="array" ref="AL503">OR(ISNUMBER(SEARCH(AK$2:AK$100,$B503,5)))</f>
        <v>0</v>
      </c>
      <c r="AU503" s="8"/>
      <c r="AV503" s="6"/>
      <c r="AW503" s="8"/>
      <c r="AX503" s="8"/>
      <c r="AY503" s="6"/>
      <c r="AZ503" s="8"/>
      <c r="BA503" s="8"/>
      <c r="BB503" s="6"/>
      <c r="BC503" s="8"/>
      <c r="BD503" s="8"/>
      <c r="BE503" s="6"/>
      <c r="BF503" s="8"/>
      <c r="BG503" s="8"/>
      <c r="BH503" s="6"/>
      <c r="BI503" s="8"/>
      <c r="BJ503" s="8"/>
      <c r="BK503" s="6"/>
      <c r="BL503" s="8"/>
      <c r="BM503" s="8"/>
      <c r="BN503" s="6"/>
      <c r="BO503" s="8"/>
      <c r="BP503" s="8"/>
      <c r="BQ503" s="6"/>
      <c r="BR503" s="8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A503" s="7"/>
      <c r="HB503" s="7"/>
      <c r="HC503" s="7"/>
      <c r="HD503" s="7"/>
      <c r="HE503" s="7"/>
      <c r="HF503" s="7"/>
      <c r="HG503" s="7"/>
      <c r="HH503" s="7"/>
      <c r="HI503" s="7"/>
      <c r="HJ503" s="7"/>
      <c r="HK503" s="7"/>
      <c r="HL503" s="7"/>
      <c r="HM503" s="7"/>
      <c r="HN503" s="7"/>
      <c r="HO503" s="7"/>
      <c r="HP503" s="7"/>
      <c r="HQ503" s="7"/>
      <c r="HR503" s="7"/>
      <c r="HS503" s="7"/>
      <c r="HT503" s="7"/>
      <c r="HU503" s="7"/>
      <c r="HV503" s="7"/>
      <c r="HW503" s="7"/>
      <c r="HX503" s="7"/>
      <c r="HY503" s="7"/>
      <c r="HZ503" s="7"/>
      <c r="IA503" s="7"/>
      <c r="IB503" s="7"/>
      <c r="IC503" s="7"/>
      <c r="ID503" s="7"/>
      <c r="IE503" s="7"/>
      <c r="IF503" s="7"/>
      <c r="IG503" s="7"/>
      <c r="IH503" s="7"/>
      <c r="II503" s="7"/>
      <c r="IJ503" s="7"/>
      <c r="IK503" s="7"/>
      <c r="IL503" s="7"/>
      <c r="IM503" s="7"/>
      <c r="IN503" s="7"/>
      <c r="IO503" s="7"/>
      <c r="IP503" s="7"/>
      <c r="IQ503" s="7"/>
      <c r="IR503" s="7"/>
      <c r="IS503" s="7"/>
      <c r="IT503" s="7"/>
      <c r="IU503" s="7"/>
      <c r="IV503" s="7"/>
      <c r="IW503" s="7"/>
      <c r="IX503" s="7"/>
      <c r="IY503" s="7"/>
      <c r="IZ503" s="7"/>
      <c r="JA503" s="7"/>
      <c r="JB503" s="7"/>
      <c r="JC503" s="7"/>
      <c r="JD503" s="7"/>
      <c r="JE503" s="7"/>
      <c r="JF503" s="7"/>
      <c r="JG503" s="7"/>
      <c r="JH503" s="7"/>
      <c r="JI503" s="7"/>
      <c r="JJ503" s="7"/>
      <c r="JK503" s="7"/>
      <c r="JL503" s="7"/>
      <c r="JM503" s="7"/>
      <c r="JN503" s="7"/>
      <c r="JO503" s="7"/>
      <c r="JP503" s="7"/>
      <c r="JQ503" s="7"/>
      <c r="JR503" s="7"/>
      <c r="JS503" s="7"/>
      <c r="JT503" s="7"/>
      <c r="JU503" s="7"/>
      <c r="JV503" s="7"/>
      <c r="JW503" s="7"/>
      <c r="JX503" s="7"/>
      <c r="JY503" s="7"/>
      <c r="JZ503" s="7"/>
      <c r="KA503" s="7"/>
      <c r="KB503" s="7"/>
      <c r="KC503" s="7"/>
      <c r="KD503" s="7"/>
      <c r="KE503" s="7"/>
      <c r="KF503" s="7"/>
      <c r="KG503" s="7"/>
      <c r="KH503" s="7"/>
      <c r="KI503" s="7"/>
      <c r="KJ503" s="7"/>
      <c r="KK503" s="7"/>
      <c r="KL503" s="7"/>
      <c r="KM503" s="7"/>
      <c r="KN503" s="7"/>
    </row>
    <row r="504">
      <c r="A504" s="6"/>
      <c r="B504" s="6" t="s">
        <v>504</v>
      </c>
      <c r="C504" s="3" t="str">
        <f t="shared" si="3"/>
        <v>bright olive</v>
      </c>
      <c r="D504" s="3" t="str">
        <f t="shared" si="17"/>
        <v>ZZZ</v>
      </c>
      <c r="E504" s="3" t="b">
        <f t="array" ref="E504">OR(ISNUMBER(SEARCH(D$2:D$30,$B504,5)))</f>
        <v>0</v>
      </c>
      <c r="G504" s="3" t="str">
        <f t="shared" si="4"/>
        <v>ZZZ</v>
      </c>
      <c r="H504" s="3" t="b">
        <f t="array" ref="H504">OR(ISNUMBER(SEARCH(G$2:G$30,$B504,5)))</f>
        <v>0</v>
      </c>
      <c r="J504" s="3" t="str">
        <f t="shared" si="5"/>
        <v>ZZZ</v>
      </c>
      <c r="K504" s="3" t="b">
        <f t="array" ref="K504">OR(ISNUMBER(SEARCH(J$2:J$30,$B504,5)))</f>
        <v>0</v>
      </c>
      <c r="M504" s="3" t="str">
        <f t="shared" si="6"/>
        <v>ZZZ</v>
      </c>
      <c r="N504" s="3" t="b">
        <f t="array" ref="N504">OR(ISNUMBER(SEARCH(M$2:M$30,$B504,5)))</f>
        <v>0</v>
      </c>
      <c r="P504" s="3" t="str">
        <f t="shared" si="7"/>
        <v>ZZZ</v>
      </c>
      <c r="Q504" s="3" t="b">
        <f t="array" ref="Q504">OR(ISNUMBER(SEARCH(P$2:P$50,$B504,5)))</f>
        <v>0</v>
      </c>
      <c r="S504" s="3" t="str">
        <f t="shared" si="8"/>
        <v>ZZZ</v>
      </c>
      <c r="T504" s="3" t="b">
        <f t="array" ref="T504">OR(ISNUMBER(SEARCH(S$2:S$100,$B504,5)))</f>
        <v>0</v>
      </c>
      <c r="V504" s="3" t="str">
        <f t="shared" si="9"/>
        <v>ZZZ</v>
      </c>
      <c r="W504" s="3" t="b">
        <f t="array" ref="W504">OR(ISNUMBER(SEARCH(V$2:V$100,$B504,5)))</f>
        <v>0</v>
      </c>
      <c r="Y504" s="3" t="str">
        <f t="shared" si="10"/>
        <v>ZZZ</v>
      </c>
      <c r="Z504" s="3" t="b">
        <f t="array" ref="Z504">OR(ISNUMBER(SEARCH(Y$2:Y$100,$B504,5)))</f>
        <v>0</v>
      </c>
      <c r="AB504" s="3" t="str">
        <f t="shared" si="11"/>
        <v>ZZZ</v>
      </c>
      <c r="AC504" s="3" t="b">
        <f t="array" ref="AC504">OR(ISNUMBER(SEARCH(AB$2:AB$100,$B504,5)))</f>
        <v>0</v>
      </c>
      <c r="AE504" s="3" t="str">
        <f t="shared" si="12"/>
        <v>ZZZ</v>
      </c>
      <c r="AF504" s="3" t="b">
        <f t="array" ref="AF504">OR(ISNUMBER(SEARCH(AE$2:AE$100,$B504,5)))</f>
        <v>0</v>
      </c>
      <c r="AH504" s="3" t="str">
        <f t="shared" si="13"/>
        <v>ZZZ</v>
      </c>
      <c r="AI504" s="3" t="b">
        <f t="array" ref="AI504">OR(ISNUMBER(SEARCH(AH$2:AH$100,$B504,5)))</f>
        <v>0</v>
      </c>
      <c r="AK504" s="3" t="str">
        <f t="shared" si="14"/>
        <v>ZZZ</v>
      </c>
      <c r="AL504" s="3" t="b">
        <f t="array" ref="AL504">OR(ISNUMBER(SEARCH(AK$2:AK$100,$B504,5)))</f>
        <v>0</v>
      </c>
      <c r="AU504" s="8"/>
      <c r="AV504" s="6"/>
      <c r="AW504" s="8"/>
      <c r="AX504" s="8"/>
      <c r="AY504" s="6"/>
      <c r="AZ504" s="8"/>
      <c r="BA504" s="8"/>
      <c r="BB504" s="6"/>
      <c r="BC504" s="8"/>
      <c r="BD504" s="8"/>
      <c r="BE504" s="6"/>
      <c r="BF504" s="8"/>
      <c r="BG504" s="8"/>
      <c r="BH504" s="6"/>
      <c r="BI504" s="8"/>
      <c r="BJ504" s="8"/>
      <c r="BK504" s="6"/>
      <c r="BL504" s="8"/>
      <c r="BM504" s="8"/>
      <c r="BN504" s="6"/>
      <c r="BO504" s="8"/>
      <c r="BP504" s="8"/>
      <c r="BQ504" s="6"/>
      <c r="BR504" s="8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  <c r="HM504" s="7"/>
      <c r="HN504" s="7"/>
      <c r="HO504" s="7"/>
      <c r="HP504" s="7"/>
      <c r="HQ504" s="7"/>
      <c r="HR504" s="7"/>
      <c r="HS504" s="7"/>
      <c r="HT504" s="7"/>
      <c r="HU504" s="7"/>
      <c r="HV504" s="7"/>
      <c r="HW504" s="7"/>
      <c r="HX504" s="7"/>
      <c r="HY504" s="7"/>
      <c r="HZ504" s="7"/>
      <c r="IA504" s="7"/>
      <c r="IB504" s="7"/>
      <c r="IC504" s="7"/>
      <c r="ID504" s="7"/>
      <c r="IE504" s="7"/>
      <c r="IF504" s="7"/>
      <c r="IG504" s="7"/>
      <c r="IH504" s="7"/>
      <c r="II504" s="7"/>
      <c r="IJ504" s="7"/>
      <c r="IK504" s="7"/>
      <c r="IL504" s="7"/>
      <c r="IM504" s="7"/>
      <c r="IN504" s="7"/>
      <c r="IO504" s="7"/>
      <c r="IP504" s="7"/>
      <c r="IQ504" s="7"/>
      <c r="IR504" s="7"/>
      <c r="IS504" s="7"/>
      <c r="IT504" s="7"/>
      <c r="IU504" s="7"/>
      <c r="IV504" s="7"/>
      <c r="IW504" s="7"/>
      <c r="IX504" s="7"/>
      <c r="IY504" s="7"/>
      <c r="IZ504" s="7"/>
      <c r="JA504" s="7"/>
      <c r="JB504" s="7"/>
      <c r="JC504" s="7"/>
      <c r="JD504" s="7"/>
      <c r="JE504" s="7"/>
      <c r="JF504" s="7"/>
      <c r="JG504" s="7"/>
      <c r="JH504" s="7"/>
      <c r="JI504" s="7"/>
      <c r="JJ504" s="7"/>
      <c r="JK504" s="7"/>
      <c r="JL504" s="7"/>
      <c r="JM504" s="7"/>
      <c r="JN504" s="7"/>
      <c r="JO504" s="7"/>
      <c r="JP504" s="7"/>
      <c r="JQ504" s="7"/>
      <c r="JR504" s="7"/>
      <c r="JS504" s="7"/>
      <c r="JT504" s="7"/>
      <c r="JU504" s="7"/>
      <c r="JV504" s="7"/>
      <c r="JW504" s="7"/>
      <c r="JX504" s="7"/>
      <c r="JY504" s="7"/>
      <c r="JZ504" s="7"/>
      <c r="KA504" s="7"/>
      <c r="KB504" s="7"/>
      <c r="KC504" s="7"/>
      <c r="KD504" s="7"/>
      <c r="KE504" s="7"/>
      <c r="KF504" s="7"/>
      <c r="KG504" s="7"/>
      <c r="KH504" s="7"/>
      <c r="KI504" s="7"/>
      <c r="KJ504" s="7"/>
      <c r="KK504" s="7"/>
      <c r="KL504" s="7"/>
      <c r="KM504" s="7"/>
      <c r="KN504" s="7"/>
    </row>
    <row r="505">
      <c r="A505" s="6"/>
      <c r="B505" s="6" t="s">
        <v>505</v>
      </c>
      <c r="C505" s="3" t="str">
        <f t="shared" si="3"/>
        <v>mirrored white</v>
      </c>
      <c r="D505" s="3" t="str">
        <f t="shared" si="17"/>
        <v>ZZZ</v>
      </c>
      <c r="E505" s="3" t="b">
        <f t="array" ref="E505">OR(ISNUMBER(SEARCH(D$2:D$30,$B505,5)))</f>
        <v>0</v>
      </c>
      <c r="G505" s="3" t="str">
        <f t="shared" si="4"/>
        <v>ZZZ</v>
      </c>
      <c r="H505" s="3" t="b">
        <f t="array" ref="H505">OR(ISNUMBER(SEARCH(G$2:G$30,$B505,5)))</f>
        <v>0</v>
      </c>
      <c r="J505" s="3" t="str">
        <f t="shared" si="5"/>
        <v>ZZZ</v>
      </c>
      <c r="K505" s="3" t="b">
        <f t="array" ref="K505">OR(ISNUMBER(SEARCH(J$2:J$30,$B505,5)))</f>
        <v>0</v>
      </c>
      <c r="M505" s="3" t="str">
        <f t="shared" si="6"/>
        <v>ZZZ</v>
      </c>
      <c r="N505" s="3" t="b">
        <f t="array" ref="N505">OR(ISNUMBER(SEARCH(M$2:M$30,$B505,5)))</f>
        <v>0</v>
      </c>
      <c r="P505" s="3" t="str">
        <f t="shared" si="7"/>
        <v>ZZZ</v>
      </c>
      <c r="Q505" s="3" t="b">
        <f t="array" ref="Q505">OR(ISNUMBER(SEARCH(P$2:P$50,$B505,5)))</f>
        <v>0</v>
      </c>
      <c r="S505" s="3" t="str">
        <f t="shared" si="8"/>
        <v>ZZZ</v>
      </c>
      <c r="T505" s="3" t="b">
        <f t="array" ref="T505">OR(ISNUMBER(SEARCH(S$2:S$100,$B505,5)))</f>
        <v>0</v>
      </c>
      <c r="V505" s="3" t="str">
        <f t="shared" si="9"/>
        <v>ZZZ</v>
      </c>
      <c r="W505" s="3" t="b">
        <f t="array" ref="W505">OR(ISNUMBER(SEARCH(V$2:V$100,$B505,5)))</f>
        <v>0</v>
      </c>
      <c r="Y505" s="3" t="str">
        <f t="shared" si="10"/>
        <v>ZZZ</v>
      </c>
      <c r="Z505" s="3" t="b">
        <f t="array" ref="Z505">OR(ISNUMBER(SEARCH(Y$2:Y$100,$B505,5)))</f>
        <v>0</v>
      </c>
      <c r="AB505" s="3" t="str">
        <f t="shared" si="11"/>
        <v>ZZZ</v>
      </c>
      <c r="AC505" s="3" t="b">
        <f t="array" ref="AC505">OR(ISNUMBER(SEARCH(AB$2:AB$100,$B505,5)))</f>
        <v>0</v>
      </c>
      <c r="AE505" s="3" t="str">
        <f t="shared" si="12"/>
        <v>ZZZ</v>
      </c>
      <c r="AF505" s="3" t="b">
        <f t="array" ref="AF505">OR(ISNUMBER(SEARCH(AE$2:AE$100,$B505,5)))</f>
        <v>0</v>
      </c>
      <c r="AH505" s="3" t="str">
        <f t="shared" si="13"/>
        <v>ZZZ</v>
      </c>
      <c r="AI505" s="3" t="b">
        <f t="array" ref="AI505">OR(ISNUMBER(SEARCH(AH$2:AH$100,$B505,5)))</f>
        <v>0</v>
      </c>
      <c r="AK505" s="3" t="str">
        <f t="shared" si="14"/>
        <v>ZZZ</v>
      </c>
      <c r="AL505" s="3" t="b">
        <f t="array" ref="AL505">OR(ISNUMBER(SEARCH(AK$2:AK$100,$B505,5)))</f>
        <v>0</v>
      </c>
      <c r="AU505" s="8"/>
      <c r="AV505" s="6"/>
      <c r="AW505" s="8"/>
      <c r="AX505" s="8"/>
      <c r="AY505" s="6"/>
      <c r="AZ505" s="8"/>
      <c r="BA505" s="8"/>
      <c r="BB505" s="6"/>
      <c r="BC505" s="8"/>
      <c r="BD505" s="8"/>
      <c r="BE505" s="6"/>
      <c r="BF505" s="8"/>
      <c r="BG505" s="8"/>
      <c r="BH505" s="6"/>
      <c r="BI505" s="8"/>
      <c r="BJ505" s="8"/>
      <c r="BK505" s="6"/>
      <c r="BL505" s="8"/>
      <c r="BM505" s="8"/>
      <c r="BN505" s="6"/>
      <c r="BO505" s="8"/>
      <c r="BP505" s="8"/>
      <c r="BQ505" s="6"/>
      <c r="BR505" s="8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  <c r="HM505" s="7"/>
      <c r="HN505" s="7"/>
      <c r="HO505" s="7"/>
      <c r="HP505" s="7"/>
      <c r="HQ505" s="7"/>
      <c r="HR505" s="7"/>
      <c r="HS505" s="7"/>
      <c r="HT505" s="7"/>
      <c r="HU505" s="7"/>
      <c r="HV505" s="7"/>
      <c r="HW505" s="7"/>
      <c r="HX505" s="7"/>
      <c r="HY505" s="7"/>
      <c r="HZ505" s="7"/>
      <c r="IA505" s="7"/>
      <c r="IB505" s="7"/>
      <c r="IC505" s="7"/>
      <c r="ID505" s="7"/>
      <c r="IE505" s="7"/>
      <c r="IF505" s="7"/>
      <c r="IG505" s="7"/>
      <c r="IH505" s="7"/>
      <c r="II505" s="7"/>
      <c r="IJ505" s="7"/>
      <c r="IK505" s="7"/>
      <c r="IL505" s="7"/>
      <c r="IM505" s="7"/>
      <c r="IN505" s="7"/>
      <c r="IO505" s="7"/>
      <c r="IP505" s="7"/>
      <c r="IQ505" s="7"/>
      <c r="IR505" s="7"/>
      <c r="IS505" s="7"/>
      <c r="IT505" s="7"/>
      <c r="IU505" s="7"/>
      <c r="IV505" s="7"/>
      <c r="IW505" s="7"/>
      <c r="IX505" s="7"/>
      <c r="IY505" s="7"/>
      <c r="IZ505" s="7"/>
      <c r="JA505" s="7"/>
      <c r="JB505" s="7"/>
      <c r="JC505" s="7"/>
      <c r="JD505" s="7"/>
      <c r="JE505" s="7"/>
      <c r="JF505" s="7"/>
      <c r="JG505" s="7"/>
      <c r="JH505" s="7"/>
      <c r="JI505" s="7"/>
      <c r="JJ505" s="7"/>
      <c r="JK505" s="7"/>
      <c r="JL505" s="7"/>
      <c r="JM505" s="7"/>
      <c r="JN505" s="7"/>
      <c r="JO505" s="7"/>
      <c r="JP505" s="7"/>
      <c r="JQ505" s="7"/>
      <c r="JR505" s="7"/>
      <c r="JS505" s="7"/>
      <c r="JT505" s="7"/>
      <c r="JU505" s="7"/>
      <c r="JV505" s="7"/>
      <c r="JW505" s="7"/>
      <c r="JX505" s="7"/>
      <c r="JY505" s="7"/>
      <c r="JZ505" s="7"/>
      <c r="KA505" s="7"/>
      <c r="KB505" s="7"/>
      <c r="KC505" s="7"/>
      <c r="KD505" s="7"/>
      <c r="KE505" s="7"/>
      <c r="KF505" s="7"/>
      <c r="KG505" s="7"/>
      <c r="KH505" s="7"/>
      <c r="KI505" s="7"/>
      <c r="KJ505" s="7"/>
      <c r="KK505" s="7"/>
      <c r="KL505" s="7"/>
      <c r="KM505" s="7"/>
      <c r="KN505" s="7"/>
    </row>
    <row r="506">
      <c r="A506" s="6"/>
      <c r="B506" s="6" t="s">
        <v>506</v>
      </c>
      <c r="C506" s="3" t="str">
        <f t="shared" si="3"/>
        <v>posh olive</v>
      </c>
      <c r="D506" s="3" t="str">
        <f t="shared" si="17"/>
        <v>ZZZ</v>
      </c>
      <c r="E506" s="3" t="b">
        <f t="array" ref="E506">OR(ISNUMBER(SEARCH(D$2:D$30,$B506,5)))</f>
        <v>0</v>
      </c>
      <c r="G506" s="3" t="str">
        <f t="shared" si="4"/>
        <v>ZZZ</v>
      </c>
      <c r="H506" s="3" t="b">
        <f t="array" ref="H506">OR(ISNUMBER(SEARCH(G$2:G$30,$B506,5)))</f>
        <v>0</v>
      </c>
      <c r="J506" s="3" t="str">
        <f t="shared" si="5"/>
        <v>ZZZ</v>
      </c>
      <c r="K506" s="3" t="b">
        <f t="array" ref="K506">OR(ISNUMBER(SEARCH(J$2:J$30,$B506,5)))</f>
        <v>0</v>
      </c>
      <c r="M506" s="3" t="str">
        <f t="shared" si="6"/>
        <v>ZZZ</v>
      </c>
      <c r="N506" s="3" t="b">
        <f t="array" ref="N506">OR(ISNUMBER(SEARCH(M$2:M$30,$B506,5)))</f>
        <v>0</v>
      </c>
      <c r="P506" s="3" t="str">
        <f t="shared" si="7"/>
        <v>ZZZ</v>
      </c>
      <c r="Q506" s="3" t="b">
        <f t="array" ref="Q506">OR(ISNUMBER(SEARCH(P$2:P$50,$B506,5)))</f>
        <v>0</v>
      </c>
      <c r="S506" s="3" t="str">
        <f t="shared" si="8"/>
        <v>ZZZ</v>
      </c>
      <c r="T506" s="3" t="b">
        <f t="array" ref="T506">OR(ISNUMBER(SEARCH(S$2:S$100,$B506,5)))</f>
        <v>0</v>
      </c>
      <c r="V506" s="3" t="str">
        <f t="shared" si="9"/>
        <v>ZZZ</v>
      </c>
      <c r="W506" s="3" t="b">
        <f t="array" ref="W506">OR(ISNUMBER(SEARCH(V$2:V$100,$B506,5)))</f>
        <v>0</v>
      </c>
      <c r="Y506" s="3" t="str">
        <f t="shared" si="10"/>
        <v>ZZZ</v>
      </c>
      <c r="Z506" s="3" t="b">
        <f t="array" ref="Z506">OR(ISNUMBER(SEARCH(Y$2:Y$100,$B506,5)))</f>
        <v>0</v>
      </c>
      <c r="AB506" s="3" t="str">
        <f t="shared" si="11"/>
        <v>ZZZ</v>
      </c>
      <c r="AC506" s="3" t="b">
        <f t="array" ref="AC506">OR(ISNUMBER(SEARCH(AB$2:AB$100,$B506,5)))</f>
        <v>0</v>
      </c>
      <c r="AE506" s="3" t="str">
        <f t="shared" si="12"/>
        <v>ZZZ</v>
      </c>
      <c r="AF506" s="3" t="b">
        <f t="array" ref="AF506">OR(ISNUMBER(SEARCH(AE$2:AE$100,$B506,5)))</f>
        <v>0</v>
      </c>
      <c r="AH506" s="3" t="str">
        <f t="shared" si="13"/>
        <v>ZZZ</v>
      </c>
      <c r="AI506" s="3" t="b">
        <f t="array" ref="AI506">OR(ISNUMBER(SEARCH(AH$2:AH$100,$B506,5)))</f>
        <v>0</v>
      </c>
      <c r="AK506" s="3" t="str">
        <f t="shared" si="14"/>
        <v>ZZZ</v>
      </c>
      <c r="AL506" s="3" t="b">
        <f t="array" ref="AL506">OR(ISNUMBER(SEARCH(AK$2:AK$100,$B506,5)))</f>
        <v>0</v>
      </c>
      <c r="AU506" s="8"/>
      <c r="AV506" s="6"/>
      <c r="AW506" s="8"/>
      <c r="AX506" s="8"/>
      <c r="AY506" s="6"/>
      <c r="AZ506" s="8"/>
      <c r="BA506" s="8"/>
      <c r="BB506" s="6"/>
      <c r="BC506" s="8"/>
      <c r="BD506" s="8"/>
      <c r="BE506" s="6"/>
      <c r="BF506" s="8"/>
      <c r="BG506" s="8"/>
      <c r="BH506" s="6"/>
      <c r="BI506" s="8"/>
      <c r="BJ506" s="8"/>
      <c r="BK506" s="6"/>
      <c r="BL506" s="8"/>
      <c r="BM506" s="8"/>
      <c r="BN506" s="6"/>
      <c r="BO506" s="8"/>
      <c r="BP506" s="8"/>
      <c r="BQ506" s="6"/>
      <c r="BR506" s="8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  <c r="GS506" s="7"/>
      <c r="GT506" s="7"/>
      <c r="GU506" s="7"/>
      <c r="GV506" s="7"/>
      <c r="GW506" s="7"/>
      <c r="GX506" s="7"/>
      <c r="GY506" s="7"/>
      <c r="GZ506" s="7"/>
      <c r="HA506" s="7"/>
      <c r="HB506" s="7"/>
      <c r="HC506" s="7"/>
      <c r="HD506" s="7"/>
      <c r="HE506" s="7"/>
      <c r="HF506" s="7"/>
      <c r="HG506" s="7"/>
      <c r="HH506" s="7"/>
      <c r="HI506" s="7"/>
      <c r="HJ506" s="7"/>
      <c r="HK506" s="7"/>
      <c r="HL506" s="7"/>
      <c r="HM506" s="7"/>
      <c r="HN506" s="7"/>
      <c r="HO506" s="7"/>
      <c r="HP506" s="7"/>
      <c r="HQ506" s="7"/>
      <c r="HR506" s="7"/>
      <c r="HS506" s="7"/>
      <c r="HT506" s="7"/>
      <c r="HU506" s="7"/>
      <c r="HV506" s="7"/>
      <c r="HW506" s="7"/>
      <c r="HX506" s="7"/>
      <c r="HY506" s="7"/>
      <c r="HZ506" s="7"/>
      <c r="IA506" s="7"/>
      <c r="IB506" s="7"/>
      <c r="IC506" s="7"/>
      <c r="ID506" s="7"/>
      <c r="IE506" s="7"/>
      <c r="IF506" s="7"/>
      <c r="IG506" s="7"/>
      <c r="IH506" s="7"/>
      <c r="II506" s="7"/>
      <c r="IJ506" s="7"/>
      <c r="IK506" s="7"/>
      <c r="IL506" s="7"/>
      <c r="IM506" s="7"/>
      <c r="IN506" s="7"/>
      <c r="IO506" s="7"/>
      <c r="IP506" s="7"/>
      <c r="IQ506" s="7"/>
      <c r="IR506" s="7"/>
      <c r="IS506" s="7"/>
      <c r="IT506" s="7"/>
      <c r="IU506" s="7"/>
      <c r="IV506" s="7"/>
      <c r="IW506" s="7"/>
      <c r="IX506" s="7"/>
      <c r="IY506" s="7"/>
      <c r="IZ506" s="7"/>
      <c r="JA506" s="7"/>
      <c r="JB506" s="7"/>
      <c r="JC506" s="7"/>
      <c r="JD506" s="7"/>
      <c r="JE506" s="7"/>
      <c r="JF506" s="7"/>
      <c r="JG506" s="7"/>
      <c r="JH506" s="7"/>
      <c r="JI506" s="7"/>
      <c r="JJ506" s="7"/>
      <c r="JK506" s="7"/>
      <c r="JL506" s="7"/>
      <c r="JM506" s="7"/>
      <c r="JN506" s="7"/>
      <c r="JO506" s="7"/>
      <c r="JP506" s="7"/>
      <c r="JQ506" s="7"/>
      <c r="JR506" s="7"/>
      <c r="JS506" s="7"/>
      <c r="JT506" s="7"/>
      <c r="JU506" s="7"/>
      <c r="JV506" s="7"/>
      <c r="JW506" s="7"/>
      <c r="JX506" s="7"/>
      <c r="JY506" s="7"/>
      <c r="JZ506" s="7"/>
      <c r="KA506" s="7"/>
      <c r="KB506" s="7"/>
      <c r="KC506" s="7"/>
      <c r="KD506" s="7"/>
      <c r="KE506" s="7"/>
      <c r="KF506" s="7"/>
      <c r="KG506" s="7"/>
      <c r="KH506" s="7"/>
      <c r="KI506" s="7"/>
      <c r="KJ506" s="7"/>
      <c r="KK506" s="7"/>
      <c r="KL506" s="7"/>
      <c r="KM506" s="7"/>
      <c r="KN506" s="7"/>
    </row>
    <row r="507">
      <c r="A507" s="6"/>
      <c r="B507" s="6" t="s">
        <v>507</v>
      </c>
      <c r="C507" s="3" t="str">
        <f t="shared" si="3"/>
        <v>vibrant lime</v>
      </c>
      <c r="D507" s="3" t="str">
        <f t="shared" si="17"/>
        <v>ZZZ</v>
      </c>
      <c r="E507" s="3" t="b">
        <f t="array" ref="E507">OR(ISNUMBER(SEARCH(D$2:D$30,$B507,5)))</f>
        <v>0</v>
      </c>
      <c r="G507" s="3" t="str">
        <f t="shared" si="4"/>
        <v>ZZZ</v>
      </c>
      <c r="H507" s="3" t="b">
        <f t="array" ref="H507">OR(ISNUMBER(SEARCH(G$2:G$30,$B507,5)))</f>
        <v>0</v>
      </c>
      <c r="J507" s="3" t="str">
        <f t="shared" si="5"/>
        <v>ZZZ</v>
      </c>
      <c r="K507" s="3" t="b">
        <f t="array" ref="K507">OR(ISNUMBER(SEARCH(J$2:J$30,$B507,5)))</f>
        <v>0</v>
      </c>
      <c r="M507" s="3" t="str">
        <f t="shared" si="6"/>
        <v>ZZZ</v>
      </c>
      <c r="N507" s="3" t="b">
        <f t="array" ref="N507">OR(ISNUMBER(SEARCH(M$2:M$30,$B507,5)))</f>
        <v>0</v>
      </c>
      <c r="P507" s="3" t="str">
        <f t="shared" si="7"/>
        <v>ZZZ</v>
      </c>
      <c r="Q507" s="3" t="b">
        <f t="array" ref="Q507">OR(ISNUMBER(SEARCH(P$2:P$50,$B507,5)))</f>
        <v>0</v>
      </c>
      <c r="S507" s="3" t="str">
        <f t="shared" si="8"/>
        <v>ZZZ</v>
      </c>
      <c r="T507" s="3" t="b">
        <f t="array" ref="T507">OR(ISNUMBER(SEARCH(S$2:S$100,$B507,5)))</f>
        <v>0</v>
      </c>
      <c r="V507" s="3" t="str">
        <f t="shared" si="9"/>
        <v>ZZZ</v>
      </c>
      <c r="W507" s="3" t="b">
        <f t="array" ref="W507">OR(ISNUMBER(SEARCH(V$2:V$100,$B507,5)))</f>
        <v>1</v>
      </c>
      <c r="Y507" s="3" t="str">
        <f t="shared" si="10"/>
        <v>ZZZ</v>
      </c>
      <c r="Z507" s="3" t="b">
        <f t="array" ref="Z507">OR(ISNUMBER(SEARCH(Y$2:Y$100,$B507,5)))</f>
        <v>0</v>
      </c>
      <c r="AB507" s="3" t="str">
        <f t="shared" si="11"/>
        <v>ZZZ</v>
      </c>
      <c r="AC507" s="3" t="b">
        <f t="array" ref="AC507">OR(ISNUMBER(SEARCH(AB$2:AB$100,$B507,5)))</f>
        <v>0</v>
      </c>
      <c r="AE507" s="3" t="str">
        <f t="shared" si="12"/>
        <v>ZZZ</v>
      </c>
      <c r="AF507" s="3" t="b">
        <f t="array" ref="AF507">OR(ISNUMBER(SEARCH(AE$2:AE$100,$B507,5)))</f>
        <v>0</v>
      </c>
      <c r="AH507" s="3" t="str">
        <f t="shared" si="13"/>
        <v>ZZZ</v>
      </c>
      <c r="AI507" s="3" t="b">
        <f t="array" ref="AI507">OR(ISNUMBER(SEARCH(AH$2:AH$100,$B507,5)))</f>
        <v>0</v>
      </c>
      <c r="AK507" s="3" t="str">
        <f t="shared" si="14"/>
        <v>ZZZ</v>
      </c>
      <c r="AL507" s="3" t="b">
        <f t="array" ref="AL507">OR(ISNUMBER(SEARCH(AK$2:AK$100,$B507,5)))</f>
        <v>0</v>
      </c>
      <c r="AU507" s="8"/>
      <c r="AV507" s="6"/>
      <c r="AW507" s="8"/>
      <c r="AX507" s="8"/>
      <c r="AY507" s="6"/>
      <c r="AZ507" s="8"/>
      <c r="BA507" s="8"/>
      <c r="BB507" s="6"/>
      <c r="BC507" s="8"/>
      <c r="BD507" s="8"/>
      <c r="BE507" s="6"/>
      <c r="BF507" s="8"/>
      <c r="BG507" s="8"/>
      <c r="BH507" s="6"/>
      <c r="BI507" s="8"/>
      <c r="BJ507" s="8"/>
      <c r="BK507" s="6"/>
      <c r="BL507" s="8"/>
      <c r="BM507" s="8"/>
      <c r="BN507" s="6"/>
      <c r="BO507" s="8"/>
      <c r="BP507" s="8"/>
      <c r="BQ507" s="6"/>
      <c r="BR507" s="8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  <c r="GS507" s="7"/>
      <c r="GT507" s="7"/>
      <c r="GU507" s="7"/>
      <c r="GV507" s="7"/>
      <c r="GW507" s="7"/>
      <c r="GX507" s="7"/>
      <c r="GY507" s="7"/>
      <c r="GZ507" s="7"/>
      <c r="HA507" s="7"/>
      <c r="HB507" s="7"/>
      <c r="HC507" s="7"/>
      <c r="HD507" s="7"/>
      <c r="HE507" s="7"/>
      <c r="HF507" s="7"/>
      <c r="HG507" s="7"/>
      <c r="HH507" s="7"/>
      <c r="HI507" s="7"/>
      <c r="HJ507" s="7"/>
      <c r="HK507" s="7"/>
      <c r="HL507" s="7"/>
      <c r="HM507" s="7"/>
      <c r="HN507" s="7"/>
      <c r="HO507" s="7"/>
      <c r="HP507" s="7"/>
      <c r="HQ507" s="7"/>
      <c r="HR507" s="7"/>
      <c r="HS507" s="7"/>
      <c r="HT507" s="7"/>
      <c r="HU507" s="7"/>
      <c r="HV507" s="7"/>
      <c r="HW507" s="7"/>
      <c r="HX507" s="7"/>
      <c r="HY507" s="7"/>
      <c r="HZ507" s="7"/>
      <c r="IA507" s="7"/>
      <c r="IB507" s="7"/>
      <c r="IC507" s="7"/>
      <c r="ID507" s="7"/>
      <c r="IE507" s="7"/>
      <c r="IF507" s="7"/>
      <c r="IG507" s="7"/>
      <c r="IH507" s="7"/>
      <c r="II507" s="7"/>
      <c r="IJ507" s="7"/>
      <c r="IK507" s="7"/>
      <c r="IL507" s="7"/>
      <c r="IM507" s="7"/>
      <c r="IN507" s="7"/>
      <c r="IO507" s="7"/>
      <c r="IP507" s="7"/>
      <c r="IQ507" s="7"/>
      <c r="IR507" s="7"/>
      <c r="IS507" s="7"/>
      <c r="IT507" s="7"/>
      <c r="IU507" s="7"/>
      <c r="IV507" s="7"/>
      <c r="IW507" s="7"/>
      <c r="IX507" s="7"/>
      <c r="IY507" s="7"/>
      <c r="IZ507" s="7"/>
      <c r="JA507" s="7"/>
      <c r="JB507" s="7"/>
      <c r="JC507" s="7"/>
      <c r="JD507" s="7"/>
      <c r="JE507" s="7"/>
      <c r="JF507" s="7"/>
      <c r="JG507" s="7"/>
      <c r="JH507" s="7"/>
      <c r="JI507" s="7"/>
      <c r="JJ507" s="7"/>
      <c r="JK507" s="7"/>
      <c r="JL507" s="7"/>
      <c r="JM507" s="7"/>
      <c r="JN507" s="7"/>
      <c r="JO507" s="7"/>
      <c r="JP507" s="7"/>
      <c r="JQ507" s="7"/>
      <c r="JR507" s="7"/>
      <c r="JS507" s="7"/>
      <c r="JT507" s="7"/>
      <c r="JU507" s="7"/>
      <c r="JV507" s="7"/>
      <c r="JW507" s="7"/>
      <c r="JX507" s="7"/>
      <c r="JY507" s="7"/>
      <c r="JZ507" s="7"/>
      <c r="KA507" s="7"/>
      <c r="KB507" s="7"/>
      <c r="KC507" s="7"/>
      <c r="KD507" s="7"/>
      <c r="KE507" s="7"/>
      <c r="KF507" s="7"/>
      <c r="KG507" s="7"/>
      <c r="KH507" s="7"/>
      <c r="KI507" s="7"/>
      <c r="KJ507" s="7"/>
      <c r="KK507" s="7"/>
      <c r="KL507" s="7"/>
      <c r="KM507" s="7"/>
      <c r="KN507" s="7"/>
    </row>
    <row r="508">
      <c r="A508" s="6"/>
      <c r="B508" s="6" t="s">
        <v>508</v>
      </c>
      <c r="C508" s="3" t="str">
        <f t="shared" si="3"/>
        <v>striped brown</v>
      </c>
      <c r="D508" s="3" t="str">
        <f t="shared" si="17"/>
        <v>ZZZ</v>
      </c>
      <c r="E508" s="3" t="b">
        <f t="array" ref="E508">OR(ISNUMBER(SEARCH(D$2:D$30,$B508,5)))</f>
        <v>0</v>
      </c>
      <c r="G508" s="3" t="str">
        <f t="shared" si="4"/>
        <v>ZZZ</v>
      </c>
      <c r="H508" s="3" t="b">
        <f t="array" ref="H508">OR(ISNUMBER(SEARCH(G$2:G$30,$B508,5)))</f>
        <v>0</v>
      </c>
      <c r="J508" s="3" t="str">
        <f t="shared" si="5"/>
        <v>ZZZ</v>
      </c>
      <c r="K508" s="3" t="b">
        <f t="array" ref="K508">OR(ISNUMBER(SEARCH(J$2:J$30,$B508,5)))</f>
        <v>0</v>
      </c>
      <c r="M508" s="3" t="str">
        <f t="shared" si="6"/>
        <v>ZZZ</v>
      </c>
      <c r="N508" s="3" t="b">
        <f t="array" ref="N508">OR(ISNUMBER(SEARCH(M$2:M$30,$B508,5)))</f>
        <v>0</v>
      </c>
      <c r="P508" s="3" t="str">
        <f t="shared" si="7"/>
        <v>ZZZ</v>
      </c>
      <c r="Q508" s="3" t="b">
        <f t="array" ref="Q508">OR(ISNUMBER(SEARCH(P$2:P$50,$B508,5)))</f>
        <v>0</v>
      </c>
      <c r="S508" s="3" t="str">
        <f t="shared" si="8"/>
        <v>ZZZ</v>
      </c>
      <c r="T508" s="3" t="b">
        <f t="array" ref="T508">OR(ISNUMBER(SEARCH(S$2:S$100,$B508,5)))</f>
        <v>0</v>
      </c>
      <c r="V508" s="3" t="str">
        <f t="shared" si="9"/>
        <v>ZZZ</v>
      </c>
      <c r="W508" s="3" t="b">
        <f t="array" ref="W508">OR(ISNUMBER(SEARCH(V$2:V$100,$B508,5)))</f>
        <v>0</v>
      </c>
      <c r="Y508" s="3" t="str">
        <f t="shared" si="10"/>
        <v>ZZZ</v>
      </c>
      <c r="Z508" s="3" t="b">
        <f t="array" ref="Z508">OR(ISNUMBER(SEARCH(Y$2:Y$100,$B508,5)))</f>
        <v>0</v>
      </c>
      <c r="AB508" s="3" t="str">
        <f t="shared" si="11"/>
        <v>ZZZ</v>
      </c>
      <c r="AC508" s="3" t="b">
        <f t="array" ref="AC508">OR(ISNUMBER(SEARCH(AB$2:AB$100,$B508,5)))</f>
        <v>0</v>
      </c>
      <c r="AE508" s="3" t="str">
        <f t="shared" si="12"/>
        <v>ZZZ</v>
      </c>
      <c r="AF508" s="3" t="b">
        <f t="array" ref="AF508">OR(ISNUMBER(SEARCH(AE$2:AE$100,$B508,5)))</f>
        <v>0</v>
      </c>
      <c r="AH508" s="3" t="str">
        <f t="shared" si="13"/>
        <v>ZZZ</v>
      </c>
      <c r="AI508" s="3" t="b">
        <f t="array" ref="AI508">OR(ISNUMBER(SEARCH(AH$2:AH$100,$B508,5)))</f>
        <v>0</v>
      </c>
      <c r="AK508" s="3" t="str">
        <f t="shared" si="14"/>
        <v>ZZZ</v>
      </c>
      <c r="AL508" s="3" t="b">
        <f t="array" ref="AL508">OR(ISNUMBER(SEARCH(AK$2:AK$100,$B508,5)))</f>
        <v>0</v>
      </c>
      <c r="AU508" s="8"/>
      <c r="AV508" s="6"/>
      <c r="AW508" s="8"/>
      <c r="AX508" s="8"/>
      <c r="AY508" s="6"/>
      <c r="AZ508" s="8"/>
      <c r="BA508" s="8"/>
      <c r="BB508" s="6"/>
      <c r="BC508" s="8"/>
      <c r="BD508" s="8"/>
      <c r="BE508" s="6"/>
      <c r="BF508" s="8"/>
      <c r="BG508" s="8"/>
      <c r="BH508" s="6"/>
      <c r="BI508" s="8"/>
      <c r="BJ508" s="8"/>
      <c r="BK508" s="6"/>
      <c r="BL508" s="8"/>
      <c r="BM508" s="8"/>
      <c r="BN508" s="6"/>
      <c r="BO508" s="8"/>
      <c r="BP508" s="8"/>
      <c r="BQ508" s="6"/>
      <c r="BR508" s="8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  <c r="GS508" s="7"/>
      <c r="GT508" s="7"/>
      <c r="GU508" s="7"/>
      <c r="GV508" s="7"/>
      <c r="GW508" s="7"/>
      <c r="GX508" s="7"/>
      <c r="GY508" s="7"/>
      <c r="GZ508" s="7"/>
      <c r="HA508" s="7"/>
      <c r="HB508" s="7"/>
      <c r="HC508" s="7"/>
      <c r="HD508" s="7"/>
      <c r="HE508" s="7"/>
      <c r="HF508" s="7"/>
      <c r="HG508" s="7"/>
      <c r="HH508" s="7"/>
      <c r="HI508" s="7"/>
      <c r="HJ508" s="7"/>
      <c r="HK508" s="7"/>
      <c r="HL508" s="7"/>
      <c r="HM508" s="7"/>
      <c r="HN508" s="7"/>
      <c r="HO508" s="7"/>
      <c r="HP508" s="7"/>
      <c r="HQ508" s="7"/>
      <c r="HR508" s="7"/>
      <c r="HS508" s="7"/>
      <c r="HT508" s="7"/>
      <c r="HU508" s="7"/>
      <c r="HV508" s="7"/>
      <c r="HW508" s="7"/>
      <c r="HX508" s="7"/>
      <c r="HY508" s="7"/>
      <c r="HZ508" s="7"/>
      <c r="IA508" s="7"/>
      <c r="IB508" s="7"/>
      <c r="IC508" s="7"/>
      <c r="ID508" s="7"/>
      <c r="IE508" s="7"/>
      <c r="IF508" s="7"/>
      <c r="IG508" s="7"/>
      <c r="IH508" s="7"/>
      <c r="II508" s="7"/>
      <c r="IJ508" s="7"/>
      <c r="IK508" s="7"/>
      <c r="IL508" s="7"/>
      <c r="IM508" s="7"/>
      <c r="IN508" s="7"/>
      <c r="IO508" s="7"/>
      <c r="IP508" s="7"/>
      <c r="IQ508" s="7"/>
      <c r="IR508" s="7"/>
      <c r="IS508" s="7"/>
      <c r="IT508" s="7"/>
      <c r="IU508" s="7"/>
      <c r="IV508" s="7"/>
      <c r="IW508" s="7"/>
      <c r="IX508" s="7"/>
      <c r="IY508" s="7"/>
      <c r="IZ508" s="7"/>
      <c r="JA508" s="7"/>
      <c r="JB508" s="7"/>
      <c r="JC508" s="7"/>
      <c r="JD508" s="7"/>
      <c r="JE508" s="7"/>
      <c r="JF508" s="7"/>
      <c r="JG508" s="7"/>
      <c r="JH508" s="7"/>
      <c r="JI508" s="7"/>
      <c r="JJ508" s="7"/>
      <c r="JK508" s="7"/>
      <c r="JL508" s="7"/>
      <c r="JM508" s="7"/>
      <c r="JN508" s="7"/>
      <c r="JO508" s="7"/>
      <c r="JP508" s="7"/>
      <c r="JQ508" s="7"/>
      <c r="JR508" s="7"/>
      <c r="JS508" s="7"/>
      <c r="JT508" s="7"/>
      <c r="JU508" s="7"/>
      <c r="JV508" s="7"/>
      <c r="JW508" s="7"/>
      <c r="JX508" s="7"/>
      <c r="JY508" s="7"/>
      <c r="JZ508" s="7"/>
      <c r="KA508" s="7"/>
      <c r="KB508" s="7"/>
      <c r="KC508" s="7"/>
      <c r="KD508" s="7"/>
      <c r="KE508" s="7"/>
      <c r="KF508" s="7"/>
      <c r="KG508" s="7"/>
      <c r="KH508" s="7"/>
      <c r="KI508" s="7"/>
      <c r="KJ508" s="7"/>
      <c r="KK508" s="7"/>
      <c r="KL508" s="7"/>
      <c r="KM508" s="7"/>
      <c r="KN508" s="7"/>
    </row>
    <row r="509">
      <c r="A509" s="6"/>
      <c r="B509" s="6" t="s">
        <v>509</v>
      </c>
      <c r="C509" s="3" t="str">
        <f t="shared" si="3"/>
        <v>striped lavender</v>
      </c>
      <c r="D509" s="3" t="str">
        <f t="shared" si="17"/>
        <v>ZZZ</v>
      </c>
      <c r="E509" s="3" t="b">
        <f t="array" ref="E509">OR(ISNUMBER(SEARCH(D$2:D$30,$B509,5)))</f>
        <v>0</v>
      </c>
      <c r="G509" s="3" t="str">
        <f t="shared" si="4"/>
        <v>ZZZ</v>
      </c>
      <c r="H509" s="3" t="b">
        <f t="array" ref="H509">OR(ISNUMBER(SEARCH(G$2:G$30,$B509,5)))</f>
        <v>0</v>
      </c>
      <c r="J509" s="3" t="str">
        <f t="shared" si="5"/>
        <v>ZZZ</v>
      </c>
      <c r="K509" s="3" t="b">
        <f t="array" ref="K509">OR(ISNUMBER(SEARCH(J$2:J$30,$B509,5)))</f>
        <v>0</v>
      </c>
      <c r="M509" s="3" t="str">
        <f t="shared" si="6"/>
        <v>ZZZ</v>
      </c>
      <c r="N509" s="3" t="b">
        <f t="array" ref="N509">OR(ISNUMBER(SEARCH(M$2:M$30,$B509,5)))</f>
        <v>0</v>
      </c>
      <c r="P509" s="3" t="str">
        <f t="shared" si="7"/>
        <v>ZZZ</v>
      </c>
      <c r="Q509" s="3" t="b">
        <f t="array" ref="Q509">OR(ISNUMBER(SEARCH(P$2:P$50,$B509,5)))</f>
        <v>0</v>
      </c>
      <c r="S509" s="3" t="str">
        <f t="shared" si="8"/>
        <v>ZZZ</v>
      </c>
      <c r="T509" s="3" t="b">
        <f t="array" ref="T509">OR(ISNUMBER(SEARCH(S$2:S$100,$B509,5)))</f>
        <v>0</v>
      </c>
      <c r="V509" s="3" t="str">
        <f t="shared" si="9"/>
        <v>ZZZ</v>
      </c>
      <c r="W509" s="3" t="b">
        <f t="array" ref="W509">OR(ISNUMBER(SEARCH(V$2:V$100,$B509,5)))</f>
        <v>0</v>
      </c>
      <c r="Y509" s="3" t="str">
        <f t="shared" si="10"/>
        <v>ZZZ</v>
      </c>
      <c r="Z509" s="3" t="b">
        <f t="array" ref="Z509">OR(ISNUMBER(SEARCH(Y$2:Y$100,$B509,5)))</f>
        <v>0</v>
      </c>
      <c r="AB509" s="3" t="str">
        <f t="shared" si="11"/>
        <v>ZZZ</v>
      </c>
      <c r="AC509" s="3" t="b">
        <f t="array" ref="AC509">OR(ISNUMBER(SEARCH(AB$2:AB$100,$B509,5)))</f>
        <v>0</v>
      </c>
      <c r="AE509" s="3" t="str">
        <f t="shared" si="12"/>
        <v>ZZZ</v>
      </c>
      <c r="AF509" s="3" t="b">
        <f t="array" ref="AF509">OR(ISNUMBER(SEARCH(AE$2:AE$100,$B509,5)))</f>
        <v>0</v>
      </c>
      <c r="AH509" s="3" t="str">
        <f t="shared" si="13"/>
        <v>ZZZ</v>
      </c>
      <c r="AI509" s="3" t="b">
        <f t="array" ref="AI509">OR(ISNUMBER(SEARCH(AH$2:AH$100,$B509,5)))</f>
        <v>0</v>
      </c>
      <c r="AK509" s="3" t="str">
        <f t="shared" si="14"/>
        <v>ZZZ</v>
      </c>
      <c r="AL509" s="3" t="b">
        <f t="array" ref="AL509">OR(ISNUMBER(SEARCH(AK$2:AK$100,$B509,5)))</f>
        <v>0</v>
      </c>
      <c r="AU509" s="8"/>
      <c r="AV509" s="6"/>
      <c r="AW509" s="8"/>
      <c r="AX509" s="8"/>
      <c r="AY509" s="6"/>
      <c r="AZ509" s="8"/>
      <c r="BA509" s="8"/>
      <c r="BB509" s="6"/>
      <c r="BC509" s="8"/>
      <c r="BD509" s="8"/>
      <c r="BE509" s="6"/>
      <c r="BF509" s="8"/>
      <c r="BG509" s="8"/>
      <c r="BH509" s="6"/>
      <c r="BI509" s="8"/>
      <c r="BJ509" s="8"/>
      <c r="BK509" s="6"/>
      <c r="BL509" s="8"/>
      <c r="BM509" s="8"/>
      <c r="BN509" s="6"/>
      <c r="BO509" s="8"/>
      <c r="BP509" s="8"/>
      <c r="BQ509" s="6"/>
      <c r="BR509" s="8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  <c r="GS509" s="7"/>
      <c r="GT509" s="7"/>
      <c r="GU509" s="7"/>
      <c r="GV509" s="7"/>
      <c r="GW509" s="7"/>
      <c r="GX509" s="7"/>
      <c r="GY509" s="7"/>
      <c r="GZ509" s="7"/>
      <c r="HA509" s="7"/>
      <c r="HB509" s="7"/>
      <c r="HC509" s="7"/>
      <c r="HD509" s="7"/>
      <c r="HE509" s="7"/>
      <c r="HF509" s="7"/>
      <c r="HG509" s="7"/>
      <c r="HH509" s="7"/>
      <c r="HI509" s="7"/>
      <c r="HJ509" s="7"/>
      <c r="HK509" s="7"/>
      <c r="HL509" s="7"/>
      <c r="HM509" s="7"/>
      <c r="HN509" s="7"/>
      <c r="HO509" s="7"/>
      <c r="HP509" s="7"/>
      <c r="HQ509" s="7"/>
      <c r="HR509" s="7"/>
      <c r="HS509" s="7"/>
      <c r="HT509" s="7"/>
      <c r="HU509" s="7"/>
      <c r="HV509" s="7"/>
      <c r="HW509" s="7"/>
      <c r="HX509" s="7"/>
      <c r="HY509" s="7"/>
      <c r="HZ509" s="7"/>
      <c r="IA509" s="7"/>
      <c r="IB509" s="7"/>
      <c r="IC509" s="7"/>
      <c r="ID509" s="7"/>
      <c r="IE509" s="7"/>
      <c r="IF509" s="7"/>
      <c r="IG509" s="7"/>
      <c r="IH509" s="7"/>
      <c r="II509" s="7"/>
      <c r="IJ509" s="7"/>
      <c r="IK509" s="7"/>
      <c r="IL509" s="7"/>
      <c r="IM509" s="7"/>
      <c r="IN509" s="7"/>
      <c r="IO509" s="7"/>
      <c r="IP509" s="7"/>
      <c r="IQ509" s="7"/>
      <c r="IR509" s="7"/>
      <c r="IS509" s="7"/>
      <c r="IT509" s="7"/>
      <c r="IU509" s="7"/>
      <c r="IV509" s="7"/>
      <c r="IW509" s="7"/>
      <c r="IX509" s="7"/>
      <c r="IY509" s="7"/>
      <c r="IZ509" s="7"/>
      <c r="JA509" s="7"/>
      <c r="JB509" s="7"/>
      <c r="JC509" s="7"/>
      <c r="JD509" s="7"/>
      <c r="JE509" s="7"/>
      <c r="JF509" s="7"/>
      <c r="JG509" s="7"/>
      <c r="JH509" s="7"/>
      <c r="JI509" s="7"/>
      <c r="JJ509" s="7"/>
      <c r="JK509" s="7"/>
      <c r="JL509" s="7"/>
      <c r="JM509" s="7"/>
      <c r="JN509" s="7"/>
      <c r="JO509" s="7"/>
      <c r="JP509" s="7"/>
      <c r="JQ509" s="7"/>
      <c r="JR509" s="7"/>
      <c r="JS509" s="7"/>
      <c r="JT509" s="7"/>
      <c r="JU509" s="7"/>
      <c r="JV509" s="7"/>
      <c r="JW509" s="7"/>
      <c r="JX509" s="7"/>
      <c r="JY509" s="7"/>
      <c r="JZ509" s="7"/>
      <c r="KA509" s="7"/>
      <c r="KB509" s="7"/>
      <c r="KC509" s="7"/>
      <c r="KD509" s="7"/>
      <c r="KE509" s="7"/>
      <c r="KF509" s="7"/>
      <c r="KG509" s="7"/>
      <c r="KH509" s="7"/>
      <c r="KI509" s="7"/>
      <c r="KJ509" s="7"/>
      <c r="KK509" s="7"/>
      <c r="KL509" s="7"/>
      <c r="KM509" s="7"/>
      <c r="KN509" s="7"/>
    </row>
    <row r="510">
      <c r="A510" s="6"/>
      <c r="B510" s="6" t="s">
        <v>510</v>
      </c>
      <c r="C510" s="3" t="str">
        <f t="shared" si="3"/>
        <v>wavy white</v>
      </c>
      <c r="D510" s="3" t="str">
        <f t="shared" si="17"/>
        <v>ZZZ</v>
      </c>
      <c r="E510" s="3" t="b">
        <f t="array" ref="E510">OR(ISNUMBER(SEARCH(D$2:D$30,$B510,5)))</f>
        <v>0</v>
      </c>
      <c r="G510" s="3" t="str">
        <f t="shared" si="4"/>
        <v>ZZZ</v>
      </c>
      <c r="H510" s="3" t="b">
        <f t="array" ref="H510">OR(ISNUMBER(SEARCH(G$2:G$30,$B510,5)))</f>
        <v>0</v>
      </c>
      <c r="J510" s="3" t="str">
        <f t="shared" si="5"/>
        <v>ZZZ</v>
      </c>
      <c r="K510" s="3" t="b">
        <f t="array" ref="K510">OR(ISNUMBER(SEARCH(J$2:J$30,$B510,5)))</f>
        <v>0</v>
      </c>
      <c r="M510" s="3" t="str">
        <f t="shared" si="6"/>
        <v>ZZZ</v>
      </c>
      <c r="N510" s="3" t="b">
        <f t="array" ref="N510">OR(ISNUMBER(SEARCH(M$2:M$30,$B510,5)))</f>
        <v>0</v>
      </c>
      <c r="P510" s="3" t="str">
        <f t="shared" si="7"/>
        <v>ZZZ</v>
      </c>
      <c r="Q510" s="3" t="b">
        <f t="array" ref="Q510">OR(ISNUMBER(SEARCH(P$2:P$50,$B510,5)))</f>
        <v>0</v>
      </c>
      <c r="S510" s="3" t="str">
        <f t="shared" si="8"/>
        <v>ZZZ</v>
      </c>
      <c r="T510" s="3" t="b">
        <f t="array" ref="T510">OR(ISNUMBER(SEARCH(S$2:S$100,$B510,5)))</f>
        <v>0</v>
      </c>
      <c r="V510" s="3" t="str">
        <f t="shared" si="9"/>
        <v>ZZZ</v>
      </c>
      <c r="W510" s="3" t="b">
        <f t="array" ref="W510">OR(ISNUMBER(SEARCH(V$2:V$100,$B510,5)))</f>
        <v>0</v>
      </c>
      <c r="Y510" s="3" t="str">
        <f t="shared" si="10"/>
        <v>ZZZ</v>
      </c>
      <c r="Z510" s="3" t="b">
        <f t="array" ref="Z510">OR(ISNUMBER(SEARCH(Y$2:Y$100,$B510,5)))</f>
        <v>0</v>
      </c>
      <c r="AB510" s="3" t="str">
        <f t="shared" si="11"/>
        <v>ZZZ</v>
      </c>
      <c r="AC510" s="3" t="b">
        <f t="array" ref="AC510">OR(ISNUMBER(SEARCH(AB$2:AB$100,$B510,5)))</f>
        <v>1</v>
      </c>
      <c r="AE510" s="3" t="str">
        <f t="shared" si="12"/>
        <v>ZZZ</v>
      </c>
      <c r="AF510" s="3" t="b">
        <f t="array" ref="AF510">OR(ISNUMBER(SEARCH(AE$2:AE$100,$B510,5)))</f>
        <v>0</v>
      </c>
      <c r="AH510" s="3" t="str">
        <f t="shared" si="13"/>
        <v>ZZZ</v>
      </c>
      <c r="AI510" s="3" t="b">
        <f t="array" ref="AI510">OR(ISNUMBER(SEARCH(AH$2:AH$100,$B510,5)))</f>
        <v>0</v>
      </c>
      <c r="AK510" s="3" t="str">
        <f t="shared" si="14"/>
        <v>ZZZ</v>
      </c>
      <c r="AL510" s="3" t="b">
        <f t="array" ref="AL510">OR(ISNUMBER(SEARCH(AK$2:AK$100,$B510,5)))</f>
        <v>0</v>
      </c>
      <c r="AU510" s="8"/>
      <c r="AV510" s="6"/>
      <c r="AW510" s="8"/>
      <c r="AX510" s="8"/>
      <c r="AY510" s="6"/>
      <c r="AZ510" s="8"/>
      <c r="BA510" s="8"/>
      <c r="BB510" s="6"/>
      <c r="BC510" s="8"/>
      <c r="BD510" s="8"/>
      <c r="BE510" s="6"/>
      <c r="BF510" s="8"/>
      <c r="BG510" s="8"/>
      <c r="BH510" s="6"/>
      <c r="BI510" s="8"/>
      <c r="BJ510" s="8"/>
      <c r="BK510" s="6"/>
      <c r="BL510" s="8"/>
      <c r="BM510" s="8"/>
      <c r="BN510" s="6"/>
      <c r="BO510" s="8"/>
      <c r="BP510" s="8"/>
      <c r="BQ510" s="6"/>
      <c r="BR510" s="8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  <c r="GS510" s="7"/>
      <c r="GT510" s="7"/>
      <c r="GU510" s="7"/>
      <c r="GV510" s="7"/>
      <c r="GW510" s="7"/>
      <c r="GX510" s="7"/>
      <c r="GY510" s="7"/>
      <c r="GZ510" s="7"/>
      <c r="HA510" s="7"/>
      <c r="HB510" s="7"/>
      <c r="HC510" s="7"/>
      <c r="HD510" s="7"/>
      <c r="HE510" s="7"/>
      <c r="HF510" s="7"/>
      <c r="HG510" s="7"/>
      <c r="HH510" s="7"/>
      <c r="HI510" s="7"/>
      <c r="HJ510" s="7"/>
      <c r="HK510" s="7"/>
      <c r="HL510" s="7"/>
      <c r="HM510" s="7"/>
      <c r="HN510" s="7"/>
      <c r="HO510" s="7"/>
      <c r="HP510" s="7"/>
      <c r="HQ510" s="7"/>
      <c r="HR510" s="7"/>
      <c r="HS510" s="7"/>
      <c r="HT510" s="7"/>
      <c r="HU510" s="7"/>
      <c r="HV510" s="7"/>
      <c r="HW510" s="7"/>
      <c r="HX510" s="7"/>
      <c r="HY510" s="7"/>
      <c r="HZ510" s="7"/>
      <c r="IA510" s="7"/>
      <c r="IB510" s="7"/>
      <c r="IC510" s="7"/>
      <c r="ID510" s="7"/>
      <c r="IE510" s="7"/>
      <c r="IF510" s="7"/>
      <c r="IG510" s="7"/>
      <c r="IH510" s="7"/>
      <c r="II510" s="7"/>
      <c r="IJ510" s="7"/>
      <c r="IK510" s="7"/>
      <c r="IL510" s="7"/>
      <c r="IM510" s="7"/>
      <c r="IN510" s="7"/>
      <c r="IO510" s="7"/>
      <c r="IP510" s="7"/>
      <c r="IQ510" s="7"/>
      <c r="IR510" s="7"/>
      <c r="IS510" s="7"/>
      <c r="IT510" s="7"/>
      <c r="IU510" s="7"/>
      <c r="IV510" s="7"/>
      <c r="IW510" s="7"/>
      <c r="IX510" s="7"/>
      <c r="IY510" s="7"/>
      <c r="IZ510" s="7"/>
      <c r="JA510" s="7"/>
      <c r="JB510" s="7"/>
      <c r="JC510" s="7"/>
      <c r="JD510" s="7"/>
      <c r="JE510" s="7"/>
      <c r="JF510" s="7"/>
      <c r="JG510" s="7"/>
      <c r="JH510" s="7"/>
      <c r="JI510" s="7"/>
      <c r="JJ510" s="7"/>
      <c r="JK510" s="7"/>
      <c r="JL510" s="7"/>
      <c r="JM510" s="7"/>
      <c r="JN510" s="7"/>
      <c r="JO510" s="7"/>
      <c r="JP510" s="7"/>
      <c r="JQ510" s="7"/>
      <c r="JR510" s="7"/>
      <c r="JS510" s="7"/>
      <c r="JT510" s="7"/>
      <c r="JU510" s="7"/>
      <c r="JV510" s="7"/>
      <c r="JW510" s="7"/>
      <c r="JX510" s="7"/>
      <c r="JY510" s="7"/>
      <c r="JZ510" s="7"/>
      <c r="KA510" s="7"/>
      <c r="KB510" s="7"/>
      <c r="KC510" s="7"/>
      <c r="KD510" s="7"/>
      <c r="KE510" s="7"/>
      <c r="KF510" s="7"/>
      <c r="KG510" s="7"/>
      <c r="KH510" s="7"/>
      <c r="KI510" s="7"/>
      <c r="KJ510" s="7"/>
      <c r="KK510" s="7"/>
      <c r="KL510" s="7"/>
      <c r="KM510" s="7"/>
      <c r="KN510" s="7"/>
    </row>
    <row r="511">
      <c r="A511" s="6"/>
      <c r="B511" s="6" t="s">
        <v>511</v>
      </c>
      <c r="C511" s="3" t="str">
        <f t="shared" si="3"/>
        <v>dark bronze</v>
      </c>
      <c r="D511" s="3" t="str">
        <f t="shared" si="17"/>
        <v>ZZZ</v>
      </c>
      <c r="E511" s="3" t="b">
        <f t="array" ref="E511">OR(ISNUMBER(SEARCH(D$2:D$30,$B511,5)))</f>
        <v>0</v>
      </c>
      <c r="G511" s="3" t="str">
        <f t="shared" si="4"/>
        <v>ZZZ</v>
      </c>
      <c r="H511" s="3" t="b">
        <f t="array" ref="H511">OR(ISNUMBER(SEARCH(G$2:G$30,$B511,5)))</f>
        <v>0</v>
      </c>
      <c r="J511" s="3" t="str">
        <f t="shared" si="5"/>
        <v>ZZZ</v>
      </c>
      <c r="K511" s="3" t="b">
        <f t="array" ref="K511">OR(ISNUMBER(SEARCH(J$2:J$30,$B511,5)))</f>
        <v>0</v>
      </c>
      <c r="M511" s="3" t="str">
        <f t="shared" si="6"/>
        <v>ZZZ</v>
      </c>
      <c r="N511" s="3" t="b">
        <f t="array" ref="N511">OR(ISNUMBER(SEARCH(M$2:M$30,$B511,5)))</f>
        <v>0</v>
      </c>
      <c r="P511" s="3" t="str">
        <f t="shared" si="7"/>
        <v>ZZZ</v>
      </c>
      <c r="Q511" s="3" t="b">
        <f t="array" ref="Q511">OR(ISNUMBER(SEARCH(P$2:P$50,$B511,5)))</f>
        <v>0</v>
      </c>
      <c r="S511" s="3" t="str">
        <f t="shared" si="8"/>
        <v>ZZZ</v>
      </c>
      <c r="T511" s="3" t="b">
        <f t="array" ref="T511">OR(ISNUMBER(SEARCH(S$2:S$100,$B511,5)))</f>
        <v>0</v>
      </c>
      <c r="V511" s="3" t="str">
        <f t="shared" si="9"/>
        <v>ZZZ</v>
      </c>
      <c r="W511" s="3" t="b">
        <f t="array" ref="W511">OR(ISNUMBER(SEARCH(V$2:V$100,$B511,5)))</f>
        <v>0</v>
      </c>
      <c r="Y511" s="3" t="str">
        <f t="shared" si="10"/>
        <v>ZZZ</v>
      </c>
      <c r="Z511" s="3" t="b">
        <f t="array" ref="Z511">OR(ISNUMBER(SEARCH(Y$2:Y$100,$B511,5)))</f>
        <v>0</v>
      </c>
      <c r="AB511" s="3" t="str">
        <f t="shared" si="11"/>
        <v>ZZZ</v>
      </c>
      <c r="AC511" s="3" t="b">
        <f t="array" ref="AC511">OR(ISNUMBER(SEARCH(AB$2:AB$100,$B511,5)))</f>
        <v>0</v>
      </c>
      <c r="AE511" s="3" t="str">
        <f t="shared" si="12"/>
        <v>ZZZ</v>
      </c>
      <c r="AF511" s="3" t="b">
        <f t="array" ref="AF511">OR(ISNUMBER(SEARCH(AE$2:AE$100,$B511,5)))</f>
        <v>0</v>
      </c>
      <c r="AH511" s="3" t="str">
        <f t="shared" si="13"/>
        <v>ZZZ</v>
      </c>
      <c r="AI511" s="3" t="b">
        <f t="array" ref="AI511">OR(ISNUMBER(SEARCH(AH$2:AH$100,$B511,5)))</f>
        <v>0</v>
      </c>
      <c r="AK511" s="3" t="str">
        <f t="shared" si="14"/>
        <v>ZZZ</v>
      </c>
      <c r="AL511" s="3" t="b">
        <f t="array" ref="AL511">OR(ISNUMBER(SEARCH(AK$2:AK$100,$B511,5)))</f>
        <v>0</v>
      </c>
      <c r="AU511" s="8"/>
      <c r="AV511" s="6"/>
      <c r="AW511" s="8"/>
      <c r="AX511" s="8"/>
      <c r="AY511" s="6"/>
      <c r="AZ511" s="8"/>
      <c r="BA511" s="8"/>
      <c r="BB511" s="6"/>
      <c r="BC511" s="8"/>
      <c r="BD511" s="8"/>
      <c r="BE511" s="6"/>
      <c r="BF511" s="8"/>
      <c r="BG511" s="8"/>
      <c r="BH511" s="6"/>
      <c r="BI511" s="8"/>
      <c r="BJ511" s="8"/>
      <c r="BK511" s="6"/>
      <c r="BL511" s="8"/>
      <c r="BM511" s="8"/>
      <c r="BN511" s="6"/>
      <c r="BO511" s="8"/>
      <c r="BP511" s="8"/>
      <c r="BQ511" s="6"/>
      <c r="BR511" s="8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  <c r="GS511" s="7"/>
      <c r="GT511" s="7"/>
      <c r="GU511" s="7"/>
      <c r="GV511" s="7"/>
      <c r="GW511" s="7"/>
      <c r="GX511" s="7"/>
      <c r="GY511" s="7"/>
      <c r="GZ511" s="7"/>
      <c r="HA511" s="7"/>
      <c r="HB511" s="7"/>
      <c r="HC511" s="7"/>
      <c r="HD511" s="7"/>
      <c r="HE511" s="7"/>
      <c r="HF511" s="7"/>
      <c r="HG511" s="7"/>
      <c r="HH511" s="7"/>
      <c r="HI511" s="7"/>
      <c r="HJ511" s="7"/>
      <c r="HK511" s="7"/>
      <c r="HL511" s="7"/>
      <c r="HM511" s="7"/>
      <c r="HN511" s="7"/>
      <c r="HO511" s="7"/>
      <c r="HP511" s="7"/>
      <c r="HQ511" s="7"/>
      <c r="HR511" s="7"/>
      <c r="HS511" s="7"/>
      <c r="HT511" s="7"/>
      <c r="HU511" s="7"/>
      <c r="HV511" s="7"/>
      <c r="HW511" s="7"/>
      <c r="HX511" s="7"/>
      <c r="HY511" s="7"/>
      <c r="HZ511" s="7"/>
      <c r="IA511" s="7"/>
      <c r="IB511" s="7"/>
      <c r="IC511" s="7"/>
      <c r="ID511" s="7"/>
      <c r="IE511" s="7"/>
      <c r="IF511" s="7"/>
      <c r="IG511" s="7"/>
      <c r="IH511" s="7"/>
      <c r="II511" s="7"/>
      <c r="IJ511" s="7"/>
      <c r="IK511" s="7"/>
      <c r="IL511" s="7"/>
      <c r="IM511" s="7"/>
      <c r="IN511" s="7"/>
      <c r="IO511" s="7"/>
      <c r="IP511" s="7"/>
      <c r="IQ511" s="7"/>
      <c r="IR511" s="7"/>
      <c r="IS511" s="7"/>
      <c r="IT511" s="7"/>
      <c r="IU511" s="7"/>
      <c r="IV511" s="7"/>
      <c r="IW511" s="7"/>
      <c r="IX511" s="7"/>
      <c r="IY511" s="7"/>
      <c r="IZ511" s="7"/>
      <c r="JA511" s="7"/>
      <c r="JB511" s="7"/>
      <c r="JC511" s="7"/>
      <c r="JD511" s="7"/>
      <c r="JE511" s="7"/>
      <c r="JF511" s="7"/>
      <c r="JG511" s="7"/>
      <c r="JH511" s="7"/>
      <c r="JI511" s="7"/>
      <c r="JJ511" s="7"/>
      <c r="JK511" s="7"/>
      <c r="JL511" s="7"/>
      <c r="JM511" s="7"/>
      <c r="JN511" s="7"/>
      <c r="JO511" s="7"/>
      <c r="JP511" s="7"/>
      <c r="JQ511" s="7"/>
      <c r="JR511" s="7"/>
      <c r="JS511" s="7"/>
      <c r="JT511" s="7"/>
      <c r="JU511" s="7"/>
      <c r="JV511" s="7"/>
      <c r="JW511" s="7"/>
      <c r="JX511" s="7"/>
      <c r="JY511" s="7"/>
      <c r="JZ511" s="7"/>
      <c r="KA511" s="7"/>
      <c r="KB511" s="7"/>
      <c r="KC511" s="7"/>
      <c r="KD511" s="7"/>
      <c r="KE511" s="7"/>
      <c r="KF511" s="7"/>
      <c r="KG511" s="7"/>
      <c r="KH511" s="7"/>
      <c r="KI511" s="7"/>
      <c r="KJ511" s="7"/>
      <c r="KK511" s="7"/>
      <c r="KL511" s="7"/>
      <c r="KM511" s="7"/>
      <c r="KN511" s="7"/>
    </row>
    <row r="512">
      <c r="A512" s="6"/>
      <c r="B512" s="6" t="s">
        <v>512</v>
      </c>
      <c r="C512" s="3" t="str">
        <f t="shared" si="3"/>
        <v>mirrored black</v>
      </c>
      <c r="D512" s="3" t="str">
        <f t="shared" si="17"/>
        <v>ZZZ</v>
      </c>
      <c r="E512" s="3" t="b">
        <f t="array" ref="E512">OR(ISNUMBER(SEARCH(D$2:D$30,$B512,5)))</f>
        <v>0</v>
      </c>
      <c r="G512" s="3" t="str">
        <f t="shared" si="4"/>
        <v>ZZZ</v>
      </c>
      <c r="H512" s="3" t="b">
        <f t="array" ref="H512">OR(ISNUMBER(SEARCH(G$2:G$30,$B512,5)))</f>
        <v>0</v>
      </c>
      <c r="J512" s="3" t="str">
        <f t="shared" si="5"/>
        <v>ZZZ</v>
      </c>
      <c r="K512" s="3" t="b">
        <f t="array" ref="K512">OR(ISNUMBER(SEARCH(J$2:J$30,$B512,5)))</f>
        <v>0</v>
      </c>
      <c r="M512" s="3" t="str">
        <f t="shared" si="6"/>
        <v>ZZZ</v>
      </c>
      <c r="N512" s="3" t="b">
        <f t="array" ref="N512">OR(ISNUMBER(SEARCH(M$2:M$30,$B512,5)))</f>
        <v>0</v>
      </c>
      <c r="P512" s="3" t="str">
        <f t="shared" si="7"/>
        <v>ZZZ</v>
      </c>
      <c r="Q512" s="3" t="b">
        <f t="array" ref="Q512">OR(ISNUMBER(SEARCH(P$2:P$50,$B512,5)))</f>
        <v>0</v>
      </c>
      <c r="S512" s="3" t="str">
        <f t="shared" si="8"/>
        <v>ZZZ</v>
      </c>
      <c r="T512" s="3" t="b">
        <f t="array" ref="T512">OR(ISNUMBER(SEARCH(S$2:S$100,$B512,5)))</f>
        <v>0</v>
      </c>
      <c r="V512" s="3" t="str">
        <f t="shared" si="9"/>
        <v>ZZZ</v>
      </c>
      <c r="W512" s="3" t="b">
        <f t="array" ref="W512">OR(ISNUMBER(SEARCH(V$2:V$100,$B512,5)))</f>
        <v>0</v>
      </c>
      <c r="Y512" s="3" t="str">
        <f t="shared" si="10"/>
        <v>ZZZ</v>
      </c>
      <c r="Z512" s="3" t="b">
        <f t="array" ref="Z512">OR(ISNUMBER(SEARCH(Y$2:Y$100,$B512,5)))</f>
        <v>0</v>
      </c>
      <c r="AB512" s="3" t="str">
        <f t="shared" si="11"/>
        <v>ZZZ</v>
      </c>
      <c r="AC512" s="3" t="b">
        <f t="array" ref="AC512">OR(ISNUMBER(SEARCH(AB$2:AB$100,$B512,5)))</f>
        <v>0</v>
      </c>
      <c r="AE512" s="3" t="str">
        <f t="shared" si="12"/>
        <v>ZZZ</v>
      </c>
      <c r="AF512" s="3" t="b">
        <f t="array" ref="AF512">OR(ISNUMBER(SEARCH(AE$2:AE$100,$B512,5)))</f>
        <v>0</v>
      </c>
      <c r="AH512" s="3" t="str">
        <f t="shared" si="13"/>
        <v>ZZZ</v>
      </c>
      <c r="AI512" s="3" t="b">
        <f t="array" ref="AI512">OR(ISNUMBER(SEARCH(AH$2:AH$100,$B512,5)))</f>
        <v>0</v>
      </c>
      <c r="AK512" s="3" t="str">
        <f t="shared" si="14"/>
        <v>ZZZ</v>
      </c>
      <c r="AL512" s="3" t="b">
        <f t="array" ref="AL512">OR(ISNUMBER(SEARCH(AK$2:AK$100,$B512,5)))</f>
        <v>0</v>
      </c>
      <c r="AU512" s="8"/>
      <c r="AV512" s="6"/>
      <c r="AW512" s="8"/>
      <c r="AX512" s="8"/>
      <c r="AY512" s="6"/>
      <c r="AZ512" s="8"/>
      <c r="BA512" s="8"/>
      <c r="BB512" s="6"/>
      <c r="BC512" s="8"/>
      <c r="BD512" s="8"/>
      <c r="BE512" s="6"/>
      <c r="BF512" s="8"/>
      <c r="BG512" s="8"/>
      <c r="BH512" s="6"/>
      <c r="BI512" s="8"/>
      <c r="BJ512" s="8"/>
      <c r="BK512" s="6"/>
      <c r="BL512" s="8"/>
      <c r="BM512" s="8"/>
      <c r="BN512" s="6"/>
      <c r="BO512" s="8"/>
      <c r="BP512" s="8"/>
      <c r="BQ512" s="6"/>
      <c r="BR512" s="8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  <c r="GS512" s="7"/>
      <c r="GT512" s="7"/>
      <c r="GU512" s="7"/>
      <c r="GV512" s="7"/>
      <c r="GW512" s="7"/>
      <c r="GX512" s="7"/>
      <c r="GY512" s="7"/>
      <c r="GZ512" s="7"/>
      <c r="HA512" s="7"/>
      <c r="HB512" s="7"/>
      <c r="HC512" s="7"/>
      <c r="HD512" s="7"/>
      <c r="HE512" s="7"/>
      <c r="HF512" s="7"/>
      <c r="HG512" s="7"/>
      <c r="HH512" s="7"/>
      <c r="HI512" s="7"/>
      <c r="HJ512" s="7"/>
      <c r="HK512" s="7"/>
      <c r="HL512" s="7"/>
      <c r="HM512" s="7"/>
      <c r="HN512" s="7"/>
      <c r="HO512" s="7"/>
      <c r="HP512" s="7"/>
      <c r="HQ512" s="7"/>
      <c r="HR512" s="7"/>
      <c r="HS512" s="7"/>
      <c r="HT512" s="7"/>
      <c r="HU512" s="7"/>
      <c r="HV512" s="7"/>
      <c r="HW512" s="7"/>
      <c r="HX512" s="7"/>
      <c r="HY512" s="7"/>
      <c r="HZ512" s="7"/>
      <c r="IA512" s="7"/>
      <c r="IB512" s="7"/>
      <c r="IC512" s="7"/>
      <c r="ID512" s="7"/>
      <c r="IE512" s="7"/>
      <c r="IF512" s="7"/>
      <c r="IG512" s="7"/>
      <c r="IH512" s="7"/>
      <c r="II512" s="7"/>
      <c r="IJ512" s="7"/>
      <c r="IK512" s="7"/>
      <c r="IL512" s="7"/>
      <c r="IM512" s="7"/>
      <c r="IN512" s="7"/>
      <c r="IO512" s="7"/>
      <c r="IP512" s="7"/>
      <c r="IQ512" s="7"/>
      <c r="IR512" s="7"/>
      <c r="IS512" s="7"/>
      <c r="IT512" s="7"/>
      <c r="IU512" s="7"/>
      <c r="IV512" s="7"/>
      <c r="IW512" s="7"/>
      <c r="IX512" s="7"/>
      <c r="IY512" s="7"/>
      <c r="IZ512" s="7"/>
      <c r="JA512" s="7"/>
      <c r="JB512" s="7"/>
      <c r="JC512" s="7"/>
      <c r="JD512" s="7"/>
      <c r="JE512" s="7"/>
      <c r="JF512" s="7"/>
      <c r="JG512" s="7"/>
      <c r="JH512" s="7"/>
      <c r="JI512" s="7"/>
      <c r="JJ512" s="7"/>
      <c r="JK512" s="7"/>
      <c r="JL512" s="7"/>
      <c r="JM512" s="7"/>
      <c r="JN512" s="7"/>
      <c r="JO512" s="7"/>
      <c r="JP512" s="7"/>
      <c r="JQ512" s="7"/>
      <c r="JR512" s="7"/>
      <c r="JS512" s="7"/>
      <c r="JT512" s="7"/>
      <c r="JU512" s="7"/>
      <c r="JV512" s="7"/>
      <c r="JW512" s="7"/>
      <c r="JX512" s="7"/>
      <c r="JY512" s="7"/>
      <c r="JZ512" s="7"/>
      <c r="KA512" s="7"/>
      <c r="KB512" s="7"/>
      <c r="KC512" s="7"/>
      <c r="KD512" s="7"/>
      <c r="KE512" s="7"/>
      <c r="KF512" s="7"/>
      <c r="KG512" s="7"/>
      <c r="KH512" s="7"/>
      <c r="KI512" s="7"/>
      <c r="KJ512" s="7"/>
      <c r="KK512" s="7"/>
      <c r="KL512" s="7"/>
      <c r="KM512" s="7"/>
      <c r="KN512" s="7"/>
    </row>
    <row r="513">
      <c r="A513" s="6"/>
      <c r="B513" s="6" t="s">
        <v>513</v>
      </c>
      <c r="C513" s="3" t="str">
        <f t="shared" si="3"/>
        <v>shiny magenta</v>
      </c>
      <c r="D513" s="3" t="str">
        <f t="shared" si="17"/>
        <v>ZZZ</v>
      </c>
      <c r="E513" s="3" t="b">
        <f t="array" ref="E513">OR(ISNUMBER(SEARCH(D$2:D$30,$B513,5)))</f>
        <v>0</v>
      </c>
      <c r="G513" s="3" t="str">
        <f t="shared" si="4"/>
        <v>ZZZ</v>
      </c>
      <c r="H513" s="3" t="b">
        <f t="array" ref="H513">OR(ISNUMBER(SEARCH(G$2:G$30,$B513,5)))</f>
        <v>0</v>
      </c>
      <c r="J513" s="3" t="str">
        <f t="shared" si="5"/>
        <v>ZZZ</v>
      </c>
      <c r="K513" s="3" t="b">
        <f t="array" ref="K513">OR(ISNUMBER(SEARCH(J$2:J$30,$B513,5)))</f>
        <v>0</v>
      </c>
      <c r="M513" s="3" t="str">
        <f t="shared" si="6"/>
        <v>ZZZ</v>
      </c>
      <c r="N513" s="3" t="b">
        <f t="array" ref="N513">OR(ISNUMBER(SEARCH(M$2:M$30,$B513,5)))</f>
        <v>0</v>
      </c>
      <c r="P513" s="3" t="str">
        <f t="shared" si="7"/>
        <v>ZZZ</v>
      </c>
      <c r="Q513" s="3" t="b">
        <f t="array" ref="Q513">OR(ISNUMBER(SEARCH(P$2:P$50,$B513,5)))</f>
        <v>0</v>
      </c>
      <c r="S513" s="3" t="str">
        <f t="shared" si="8"/>
        <v>ZZZ</v>
      </c>
      <c r="T513" s="3" t="b">
        <f t="array" ref="T513">OR(ISNUMBER(SEARCH(S$2:S$100,$B513,5)))</f>
        <v>0</v>
      </c>
      <c r="V513" s="3" t="str">
        <f t="shared" si="9"/>
        <v>ZZZ</v>
      </c>
      <c r="W513" s="3" t="b">
        <f t="array" ref="W513">OR(ISNUMBER(SEARCH(V$2:V$100,$B513,5)))</f>
        <v>0</v>
      </c>
      <c r="Y513" s="3" t="str">
        <f t="shared" si="10"/>
        <v>ZZZ</v>
      </c>
      <c r="Z513" s="3" t="b">
        <f t="array" ref="Z513">OR(ISNUMBER(SEARCH(Y$2:Y$100,$B513,5)))</f>
        <v>0</v>
      </c>
      <c r="AB513" s="3" t="str">
        <f t="shared" si="11"/>
        <v>ZZZ</v>
      </c>
      <c r="AC513" s="3" t="b">
        <f t="array" ref="AC513">OR(ISNUMBER(SEARCH(AB$2:AB$100,$B513,5)))</f>
        <v>0</v>
      </c>
      <c r="AE513" s="3" t="str">
        <f t="shared" si="12"/>
        <v>ZZZ</v>
      </c>
      <c r="AF513" s="3" t="b">
        <f t="array" ref="AF513">OR(ISNUMBER(SEARCH(AE$2:AE$100,$B513,5)))</f>
        <v>0</v>
      </c>
      <c r="AH513" s="3" t="str">
        <f t="shared" si="13"/>
        <v>ZZZ</v>
      </c>
      <c r="AI513" s="3" t="b">
        <f t="array" ref="AI513">OR(ISNUMBER(SEARCH(AH$2:AH$100,$B513,5)))</f>
        <v>0</v>
      </c>
      <c r="AK513" s="3" t="str">
        <f t="shared" si="14"/>
        <v>ZZZ</v>
      </c>
      <c r="AL513" s="3" t="b">
        <f t="array" ref="AL513">OR(ISNUMBER(SEARCH(AK$2:AK$100,$B513,5)))</f>
        <v>0</v>
      </c>
      <c r="AU513" s="8"/>
      <c r="AV513" s="6"/>
      <c r="AW513" s="8"/>
      <c r="AX513" s="8"/>
      <c r="AY513" s="6"/>
      <c r="AZ513" s="8"/>
      <c r="BA513" s="8"/>
      <c r="BB513" s="6"/>
      <c r="BC513" s="8"/>
      <c r="BD513" s="8"/>
      <c r="BE513" s="6"/>
      <c r="BF513" s="8"/>
      <c r="BG513" s="8"/>
      <c r="BH513" s="6"/>
      <c r="BI513" s="8"/>
      <c r="BJ513" s="8"/>
      <c r="BK513" s="6"/>
      <c r="BL513" s="8"/>
      <c r="BM513" s="8"/>
      <c r="BN513" s="6"/>
      <c r="BO513" s="8"/>
      <c r="BP513" s="8"/>
      <c r="BQ513" s="6"/>
      <c r="BR513" s="8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  <c r="GS513" s="7"/>
      <c r="GT513" s="7"/>
      <c r="GU513" s="7"/>
      <c r="GV513" s="7"/>
      <c r="GW513" s="7"/>
      <c r="GX513" s="7"/>
      <c r="GY513" s="7"/>
      <c r="GZ513" s="7"/>
      <c r="HA513" s="7"/>
      <c r="HB513" s="7"/>
      <c r="HC513" s="7"/>
      <c r="HD513" s="7"/>
      <c r="HE513" s="7"/>
      <c r="HF513" s="7"/>
      <c r="HG513" s="7"/>
      <c r="HH513" s="7"/>
      <c r="HI513" s="7"/>
      <c r="HJ513" s="7"/>
      <c r="HK513" s="7"/>
      <c r="HL513" s="7"/>
      <c r="HM513" s="7"/>
      <c r="HN513" s="7"/>
      <c r="HO513" s="7"/>
      <c r="HP513" s="7"/>
      <c r="HQ513" s="7"/>
      <c r="HR513" s="7"/>
      <c r="HS513" s="7"/>
      <c r="HT513" s="7"/>
      <c r="HU513" s="7"/>
      <c r="HV513" s="7"/>
      <c r="HW513" s="7"/>
      <c r="HX513" s="7"/>
      <c r="HY513" s="7"/>
      <c r="HZ513" s="7"/>
      <c r="IA513" s="7"/>
      <c r="IB513" s="7"/>
      <c r="IC513" s="7"/>
      <c r="ID513" s="7"/>
      <c r="IE513" s="7"/>
      <c r="IF513" s="7"/>
      <c r="IG513" s="7"/>
      <c r="IH513" s="7"/>
      <c r="II513" s="7"/>
      <c r="IJ513" s="7"/>
      <c r="IK513" s="7"/>
      <c r="IL513" s="7"/>
      <c r="IM513" s="7"/>
      <c r="IN513" s="7"/>
      <c r="IO513" s="7"/>
      <c r="IP513" s="7"/>
      <c r="IQ513" s="7"/>
      <c r="IR513" s="7"/>
      <c r="IS513" s="7"/>
      <c r="IT513" s="7"/>
      <c r="IU513" s="7"/>
      <c r="IV513" s="7"/>
      <c r="IW513" s="7"/>
      <c r="IX513" s="7"/>
      <c r="IY513" s="7"/>
      <c r="IZ513" s="7"/>
      <c r="JA513" s="7"/>
      <c r="JB513" s="7"/>
      <c r="JC513" s="7"/>
      <c r="JD513" s="7"/>
      <c r="JE513" s="7"/>
      <c r="JF513" s="7"/>
      <c r="JG513" s="7"/>
      <c r="JH513" s="7"/>
      <c r="JI513" s="7"/>
      <c r="JJ513" s="7"/>
      <c r="JK513" s="7"/>
      <c r="JL513" s="7"/>
      <c r="JM513" s="7"/>
      <c r="JN513" s="7"/>
      <c r="JO513" s="7"/>
      <c r="JP513" s="7"/>
      <c r="JQ513" s="7"/>
      <c r="JR513" s="7"/>
      <c r="JS513" s="7"/>
      <c r="JT513" s="7"/>
      <c r="JU513" s="7"/>
      <c r="JV513" s="7"/>
      <c r="JW513" s="7"/>
      <c r="JX513" s="7"/>
      <c r="JY513" s="7"/>
      <c r="JZ513" s="7"/>
      <c r="KA513" s="7"/>
      <c r="KB513" s="7"/>
      <c r="KC513" s="7"/>
      <c r="KD513" s="7"/>
      <c r="KE513" s="7"/>
      <c r="KF513" s="7"/>
      <c r="KG513" s="7"/>
      <c r="KH513" s="7"/>
      <c r="KI513" s="7"/>
      <c r="KJ513" s="7"/>
      <c r="KK513" s="7"/>
      <c r="KL513" s="7"/>
      <c r="KM513" s="7"/>
      <c r="KN513" s="7"/>
    </row>
    <row r="514">
      <c r="A514" s="6"/>
      <c r="B514" s="6" t="s">
        <v>514</v>
      </c>
      <c r="C514" s="3" t="str">
        <f t="shared" si="3"/>
        <v>light bronze</v>
      </c>
      <c r="D514" s="3" t="str">
        <f t="shared" si="17"/>
        <v>ZZZ</v>
      </c>
      <c r="E514" s="3" t="b">
        <f t="array" ref="E514">OR(ISNUMBER(SEARCH(D$2:D$30,$B514,5)))</f>
        <v>0</v>
      </c>
      <c r="G514" s="3" t="str">
        <f t="shared" si="4"/>
        <v>ZZZ</v>
      </c>
      <c r="H514" s="3" t="b">
        <f t="array" ref="H514">OR(ISNUMBER(SEARCH(G$2:G$30,$B514,5)))</f>
        <v>0</v>
      </c>
      <c r="J514" s="3" t="str">
        <f t="shared" si="5"/>
        <v>ZZZ</v>
      </c>
      <c r="K514" s="3" t="b">
        <f t="array" ref="K514">OR(ISNUMBER(SEARCH(J$2:J$30,$B514,5)))</f>
        <v>0</v>
      </c>
      <c r="M514" s="3" t="str">
        <f t="shared" si="6"/>
        <v>ZZZ</v>
      </c>
      <c r="N514" s="3" t="b">
        <f t="array" ref="N514">OR(ISNUMBER(SEARCH(M$2:M$30,$B514,5)))</f>
        <v>0</v>
      </c>
      <c r="P514" s="3" t="str">
        <f t="shared" si="7"/>
        <v>ZZZ</v>
      </c>
      <c r="Q514" s="3" t="b">
        <f t="array" ref="Q514">OR(ISNUMBER(SEARCH(P$2:P$50,$B514,5)))</f>
        <v>0</v>
      </c>
      <c r="S514" s="3" t="str">
        <f t="shared" si="8"/>
        <v>ZZZ</v>
      </c>
      <c r="T514" s="3" t="b">
        <f t="array" ref="T514">OR(ISNUMBER(SEARCH(S$2:S$100,$B514,5)))</f>
        <v>0</v>
      </c>
      <c r="V514" s="3" t="str">
        <f t="shared" si="9"/>
        <v>ZZZ</v>
      </c>
      <c r="W514" s="3" t="b">
        <f t="array" ref="W514">OR(ISNUMBER(SEARCH(V$2:V$100,$B514,5)))</f>
        <v>0</v>
      </c>
      <c r="Y514" s="3" t="str">
        <f t="shared" si="10"/>
        <v>ZZZ</v>
      </c>
      <c r="Z514" s="3" t="b">
        <f t="array" ref="Z514">OR(ISNUMBER(SEARCH(Y$2:Y$100,$B514,5)))</f>
        <v>0</v>
      </c>
      <c r="AB514" s="3" t="str">
        <f t="shared" si="11"/>
        <v>ZZZ</v>
      </c>
      <c r="AC514" s="3" t="b">
        <f t="array" ref="AC514">OR(ISNUMBER(SEARCH(AB$2:AB$100,$B514,5)))</f>
        <v>0</v>
      </c>
      <c r="AE514" s="3" t="str">
        <f t="shared" si="12"/>
        <v>ZZZ</v>
      </c>
      <c r="AF514" s="3" t="b">
        <f t="array" ref="AF514">OR(ISNUMBER(SEARCH(AE$2:AE$100,$B514,5)))</f>
        <v>0</v>
      </c>
      <c r="AH514" s="3" t="str">
        <f t="shared" si="13"/>
        <v>ZZZ</v>
      </c>
      <c r="AI514" s="3" t="b">
        <f t="array" ref="AI514">OR(ISNUMBER(SEARCH(AH$2:AH$100,$B514,5)))</f>
        <v>0</v>
      </c>
      <c r="AK514" s="3" t="str">
        <f t="shared" si="14"/>
        <v>ZZZ</v>
      </c>
      <c r="AL514" s="3" t="b">
        <f t="array" ref="AL514">OR(ISNUMBER(SEARCH(AK$2:AK$100,$B514,5)))</f>
        <v>0</v>
      </c>
      <c r="AU514" s="8"/>
      <c r="AV514" s="6"/>
      <c r="AW514" s="8"/>
      <c r="AX514" s="8"/>
      <c r="AY514" s="6"/>
      <c r="AZ514" s="8"/>
      <c r="BA514" s="8"/>
      <c r="BB514" s="6"/>
      <c r="BC514" s="8"/>
      <c r="BD514" s="8"/>
      <c r="BE514" s="6"/>
      <c r="BF514" s="8"/>
      <c r="BG514" s="8"/>
      <c r="BH514" s="6"/>
      <c r="BI514" s="8"/>
      <c r="BJ514" s="8"/>
      <c r="BK514" s="6"/>
      <c r="BL514" s="8"/>
      <c r="BM514" s="8"/>
      <c r="BN514" s="6"/>
      <c r="BO514" s="8"/>
      <c r="BP514" s="8"/>
      <c r="BQ514" s="6"/>
      <c r="BR514" s="8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  <c r="GS514" s="7"/>
      <c r="GT514" s="7"/>
      <c r="GU514" s="7"/>
      <c r="GV514" s="7"/>
      <c r="GW514" s="7"/>
      <c r="GX514" s="7"/>
      <c r="GY514" s="7"/>
      <c r="GZ514" s="7"/>
      <c r="HA514" s="7"/>
      <c r="HB514" s="7"/>
      <c r="HC514" s="7"/>
      <c r="HD514" s="7"/>
      <c r="HE514" s="7"/>
      <c r="HF514" s="7"/>
      <c r="HG514" s="7"/>
      <c r="HH514" s="7"/>
      <c r="HI514" s="7"/>
      <c r="HJ514" s="7"/>
      <c r="HK514" s="7"/>
      <c r="HL514" s="7"/>
      <c r="HM514" s="7"/>
      <c r="HN514" s="7"/>
      <c r="HO514" s="7"/>
      <c r="HP514" s="7"/>
      <c r="HQ514" s="7"/>
      <c r="HR514" s="7"/>
      <c r="HS514" s="7"/>
      <c r="HT514" s="7"/>
      <c r="HU514" s="7"/>
      <c r="HV514" s="7"/>
      <c r="HW514" s="7"/>
      <c r="HX514" s="7"/>
      <c r="HY514" s="7"/>
      <c r="HZ514" s="7"/>
      <c r="IA514" s="7"/>
      <c r="IB514" s="7"/>
      <c r="IC514" s="7"/>
      <c r="ID514" s="7"/>
      <c r="IE514" s="7"/>
      <c r="IF514" s="7"/>
      <c r="IG514" s="7"/>
      <c r="IH514" s="7"/>
      <c r="II514" s="7"/>
      <c r="IJ514" s="7"/>
      <c r="IK514" s="7"/>
      <c r="IL514" s="7"/>
      <c r="IM514" s="7"/>
      <c r="IN514" s="7"/>
      <c r="IO514" s="7"/>
      <c r="IP514" s="7"/>
      <c r="IQ514" s="7"/>
      <c r="IR514" s="7"/>
      <c r="IS514" s="7"/>
      <c r="IT514" s="7"/>
      <c r="IU514" s="7"/>
      <c r="IV514" s="7"/>
      <c r="IW514" s="7"/>
      <c r="IX514" s="7"/>
      <c r="IY514" s="7"/>
      <c r="IZ514" s="7"/>
      <c r="JA514" s="7"/>
      <c r="JB514" s="7"/>
      <c r="JC514" s="7"/>
      <c r="JD514" s="7"/>
      <c r="JE514" s="7"/>
      <c r="JF514" s="7"/>
      <c r="JG514" s="7"/>
      <c r="JH514" s="7"/>
      <c r="JI514" s="7"/>
      <c r="JJ514" s="7"/>
      <c r="JK514" s="7"/>
      <c r="JL514" s="7"/>
      <c r="JM514" s="7"/>
      <c r="JN514" s="7"/>
      <c r="JO514" s="7"/>
      <c r="JP514" s="7"/>
      <c r="JQ514" s="7"/>
      <c r="JR514" s="7"/>
      <c r="JS514" s="7"/>
      <c r="JT514" s="7"/>
      <c r="JU514" s="7"/>
      <c r="JV514" s="7"/>
      <c r="JW514" s="7"/>
      <c r="JX514" s="7"/>
      <c r="JY514" s="7"/>
      <c r="JZ514" s="7"/>
      <c r="KA514" s="7"/>
      <c r="KB514" s="7"/>
      <c r="KC514" s="7"/>
      <c r="KD514" s="7"/>
      <c r="KE514" s="7"/>
      <c r="KF514" s="7"/>
      <c r="KG514" s="7"/>
      <c r="KH514" s="7"/>
      <c r="KI514" s="7"/>
      <c r="KJ514" s="7"/>
      <c r="KK514" s="7"/>
      <c r="KL514" s="7"/>
      <c r="KM514" s="7"/>
      <c r="KN514" s="7"/>
    </row>
    <row r="515">
      <c r="A515" s="6"/>
      <c r="B515" s="6" t="s">
        <v>515</v>
      </c>
      <c r="C515" s="3" t="str">
        <f t="shared" si="3"/>
        <v>mirrored gray</v>
      </c>
      <c r="D515" s="3" t="str">
        <f t="shared" si="17"/>
        <v>ZZZ</v>
      </c>
      <c r="E515" s="3" t="b">
        <f t="array" ref="E515">OR(ISNUMBER(SEARCH(D$2:D$30,$B515,5)))</f>
        <v>0</v>
      </c>
      <c r="G515" s="3" t="str">
        <f t="shared" si="4"/>
        <v>ZZZ</v>
      </c>
      <c r="H515" s="3" t="b">
        <f t="array" ref="H515">OR(ISNUMBER(SEARCH(G$2:G$30,$B515,5)))</f>
        <v>0</v>
      </c>
      <c r="J515" s="3" t="str">
        <f t="shared" si="5"/>
        <v>ZZZ</v>
      </c>
      <c r="K515" s="3" t="b">
        <f t="array" ref="K515">OR(ISNUMBER(SEARCH(J$2:J$30,$B515,5)))</f>
        <v>0</v>
      </c>
      <c r="M515" s="3" t="str">
        <f t="shared" si="6"/>
        <v>ZZZ</v>
      </c>
      <c r="N515" s="3" t="b">
        <f t="array" ref="N515">OR(ISNUMBER(SEARCH(M$2:M$30,$B515,5)))</f>
        <v>0</v>
      </c>
      <c r="P515" s="3" t="str">
        <f t="shared" si="7"/>
        <v>ZZZ</v>
      </c>
      <c r="Q515" s="3" t="b">
        <f t="array" ref="Q515">OR(ISNUMBER(SEARCH(P$2:P$50,$B515,5)))</f>
        <v>0</v>
      </c>
      <c r="S515" s="3" t="str">
        <f t="shared" si="8"/>
        <v>ZZZ</v>
      </c>
      <c r="T515" s="3" t="b">
        <f t="array" ref="T515">OR(ISNUMBER(SEARCH(S$2:S$100,$B515,5)))</f>
        <v>0</v>
      </c>
      <c r="V515" s="3" t="str">
        <f t="shared" si="9"/>
        <v>ZZZ</v>
      </c>
      <c r="W515" s="3" t="b">
        <f t="array" ref="W515">OR(ISNUMBER(SEARCH(V$2:V$100,$B515,5)))</f>
        <v>0</v>
      </c>
      <c r="Y515" s="3" t="str">
        <f t="shared" si="10"/>
        <v>ZZZ</v>
      </c>
      <c r="Z515" s="3" t="b">
        <f t="array" ref="Z515">OR(ISNUMBER(SEARCH(Y$2:Y$100,$B515,5)))</f>
        <v>0</v>
      </c>
      <c r="AB515" s="3" t="str">
        <f t="shared" si="11"/>
        <v>ZZZ</v>
      </c>
      <c r="AC515" s="3" t="b">
        <f t="array" ref="AC515">OR(ISNUMBER(SEARCH(AB$2:AB$100,$B515,5)))</f>
        <v>0</v>
      </c>
      <c r="AE515" s="3" t="str">
        <f t="shared" si="12"/>
        <v>ZZZ</v>
      </c>
      <c r="AF515" s="3" t="b">
        <f t="array" ref="AF515">OR(ISNUMBER(SEARCH(AE$2:AE$100,$B515,5)))</f>
        <v>0</v>
      </c>
      <c r="AH515" s="3" t="str">
        <f t="shared" si="13"/>
        <v>ZZZ</v>
      </c>
      <c r="AI515" s="3" t="b">
        <f t="array" ref="AI515">OR(ISNUMBER(SEARCH(AH$2:AH$100,$B515,5)))</f>
        <v>0</v>
      </c>
      <c r="AK515" s="3" t="str">
        <f t="shared" si="14"/>
        <v>ZZZ</v>
      </c>
      <c r="AL515" s="3" t="b">
        <f t="array" ref="AL515">OR(ISNUMBER(SEARCH(AK$2:AK$100,$B515,5)))</f>
        <v>0</v>
      </c>
      <c r="AU515" s="8"/>
      <c r="AV515" s="6"/>
      <c r="AW515" s="8"/>
      <c r="AX515" s="8"/>
      <c r="AY515" s="6"/>
      <c r="AZ515" s="8"/>
      <c r="BA515" s="8"/>
      <c r="BB515" s="6"/>
      <c r="BC515" s="8"/>
      <c r="BD515" s="8"/>
      <c r="BE515" s="6"/>
      <c r="BF515" s="8"/>
      <c r="BG515" s="8"/>
      <c r="BH515" s="6"/>
      <c r="BI515" s="8"/>
      <c r="BJ515" s="8"/>
      <c r="BK515" s="6"/>
      <c r="BL515" s="8"/>
      <c r="BM515" s="8"/>
      <c r="BN515" s="6"/>
      <c r="BO515" s="8"/>
      <c r="BP515" s="8"/>
      <c r="BQ515" s="6"/>
      <c r="BR515" s="8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  <c r="GS515" s="7"/>
      <c r="GT515" s="7"/>
      <c r="GU515" s="7"/>
      <c r="GV515" s="7"/>
      <c r="GW515" s="7"/>
      <c r="GX515" s="7"/>
      <c r="GY515" s="7"/>
      <c r="GZ515" s="7"/>
      <c r="HA515" s="7"/>
      <c r="HB515" s="7"/>
      <c r="HC515" s="7"/>
      <c r="HD515" s="7"/>
      <c r="HE515" s="7"/>
      <c r="HF515" s="7"/>
      <c r="HG515" s="7"/>
      <c r="HH515" s="7"/>
      <c r="HI515" s="7"/>
      <c r="HJ515" s="7"/>
      <c r="HK515" s="7"/>
      <c r="HL515" s="7"/>
      <c r="HM515" s="7"/>
      <c r="HN515" s="7"/>
      <c r="HO515" s="7"/>
      <c r="HP515" s="7"/>
      <c r="HQ515" s="7"/>
      <c r="HR515" s="7"/>
      <c r="HS515" s="7"/>
      <c r="HT515" s="7"/>
      <c r="HU515" s="7"/>
      <c r="HV515" s="7"/>
      <c r="HW515" s="7"/>
      <c r="HX515" s="7"/>
      <c r="HY515" s="7"/>
      <c r="HZ515" s="7"/>
      <c r="IA515" s="7"/>
      <c r="IB515" s="7"/>
      <c r="IC515" s="7"/>
      <c r="ID515" s="7"/>
      <c r="IE515" s="7"/>
      <c r="IF515" s="7"/>
      <c r="IG515" s="7"/>
      <c r="IH515" s="7"/>
      <c r="II515" s="7"/>
      <c r="IJ515" s="7"/>
      <c r="IK515" s="7"/>
      <c r="IL515" s="7"/>
      <c r="IM515" s="7"/>
      <c r="IN515" s="7"/>
      <c r="IO515" s="7"/>
      <c r="IP515" s="7"/>
      <c r="IQ515" s="7"/>
      <c r="IR515" s="7"/>
      <c r="IS515" s="7"/>
      <c r="IT515" s="7"/>
      <c r="IU515" s="7"/>
      <c r="IV515" s="7"/>
      <c r="IW515" s="7"/>
      <c r="IX515" s="7"/>
      <c r="IY515" s="7"/>
      <c r="IZ515" s="7"/>
      <c r="JA515" s="7"/>
      <c r="JB515" s="7"/>
      <c r="JC515" s="7"/>
      <c r="JD515" s="7"/>
      <c r="JE515" s="7"/>
      <c r="JF515" s="7"/>
      <c r="JG515" s="7"/>
      <c r="JH515" s="7"/>
      <c r="JI515" s="7"/>
      <c r="JJ515" s="7"/>
      <c r="JK515" s="7"/>
      <c r="JL515" s="7"/>
      <c r="JM515" s="7"/>
      <c r="JN515" s="7"/>
      <c r="JO515" s="7"/>
      <c r="JP515" s="7"/>
      <c r="JQ515" s="7"/>
      <c r="JR515" s="7"/>
      <c r="JS515" s="7"/>
      <c r="JT515" s="7"/>
      <c r="JU515" s="7"/>
      <c r="JV515" s="7"/>
      <c r="JW515" s="7"/>
      <c r="JX515" s="7"/>
      <c r="JY515" s="7"/>
      <c r="JZ515" s="7"/>
      <c r="KA515" s="7"/>
      <c r="KB515" s="7"/>
      <c r="KC515" s="7"/>
      <c r="KD515" s="7"/>
      <c r="KE515" s="7"/>
      <c r="KF515" s="7"/>
      <c r="KG515" s="7"/>
      <c r="KH515" s="7"/>
      <c r="KI515" s="7"/>
      <c r="KJ515" s="7"/>
      <c r="KK515" s="7"/>
      <c r="KL515" s="7"/>
      <c r="KM515" s="7"/>
      <c r="KN515" s="7"/>
    </row>
    <row r="516">
      <c r="A516" s="6"/>
      <c r="B516" s="6" t="s">
        <v>516</v>
      </c>
      <c r="C516" s="3" t="str">
        <f t="shared" si="3"/>
        <v>bright lavender</v>
      </c>
      <c r="D516" s="3" t="str">
        <f t="shared" si="17"/>
        <v>ZZZ</v>
      </c>
      <c r="E516" s="3" t="b">
        <f t="array" ref="E516">OR(ISNUMBER(SEARCH(D$2:D$30,$B516,5)))</f>
        <v>0</v>
      </c>
      <c r="G516" s="3" t="str">
        <f t="shared" si="4"/>
        <v>ZZZ</v>
      </c>
      <c r="H516" s="3" t="b">
        <f t="array" ref="H516">OR(ISNUMBER(SEARCH(G$2:G$30,$B516,5)))</f>
        <v>0</v>
      </c>
      <c r="J516" s="3" t="str">
        <f t="shared" si="5"/>
        <v>ZZZ</v>
      </c>
      <c r="K516" s="3" t="b">
        <f t="array" ref="K516">OR(ISNUMBER(SEARCH(J$2:J$30,$B516,5)))</f>
        <v>0</v>
      </c>
      <c r="M516" s="3" t="str">
        <f t="shared" si="6"/>
        <v>ZZZ</v>
      </c>
      <c r="N516" s="3" t="b">
        <f t="array" ref="N516">OR(ISNUMBER(SEARCH(M$2:M$30,$B516,5)))</f>
        <v>0</v>
      </c>
      <c r="P516" s="3" t="str">
        <f t="shared" si="7"/>
        <v>ZZZ</v>
      </c>
      <c r="Q516" s="3" t="b">
        <f t="array" ref="Q516">OR(ISNUMBER(SEARCH(P$2:P$50,$B516,5)))</f>
        <v>0</v>
      </c>
      <c r="S516" s="3" t="str">
        <f t="shared" si="8"/>
        <v>ZZZ</v>
      </c>
      <c r="T516" s="3" t="b">
        <f t="array" ref="T516">OR(ISNUMBER(SEARCH(S$2:S$100,$B516,5)))</f>
        <v>0</v>
      </c>
      <c r="V516" s="3" t="str">
        <f t="shared" si="9"/>
        <v>ZZZ</v>
      </c>
      <c r="W516" s="3" t="b">
        <f t="array" ref="W516">OR(ISNUMBER(SEARCH(V$2:V$100,$B516,5)))</f>
        <v>0</v>
      </c>
      <c r="Y516" s="3" t="str">
        <f t="shared" si="10"/>
        <v>ZZZ</v>
      </c>
      <c r="Z516" s="3" t="b">
        <f t="array" ref="Z516">OR(ISNUMBER(SEARCH(Y$2:Y$100,$B516,5)))</f>
        <v>0</v>
      </c>
      <c r="AB516" s="3" t="str">
        <f t="shared" si="11"/>
        <v>ZZZ</v>
      </c>
      <c r="AC516" s="3" t="b">
        <f t="array" ref="AC516">OR(ISNUMBER(SEARCH(AB$2:AB$100,$B516,5)))</f>
        <v>0</v>
      </c>
      <c r="AE516" s="3" t="str">
        <f t="shared" si="12"/>
        <v>ZZZ</v>
      </c>
      <c r="AF516" s="3" t="b">
        <f t="array" ref="AF516">OR(ISNUMBER(SEARCH(AE$2:AE$100,$B516,5)))</f>
        <v>0</v>
      </c>
      <c r="AH516" s="3" t="str">
        <f t="shared" si="13"/>
        <v>ZZZ</v>
      </c>
      <c r="AI516" s="3" t="b">
        <f t="array" ref="AI516">OR(ISNUMBER(SEARCH(AH$2:AH$100,$B516,5)))</f>
        <v>0</v>
      </c>
      <c r="AK516" s="3" t="str">
        <f t="shared" si="14"/>
        <v>ZZZ</v>
      </c>
      <c r="AL516" s="3" t="b">
        <f t="array" ref="AL516">OR(ISNUMBER(SEARCH(AK$2:AK$100,$B516,5)))</f>
        <v>0</v>
      </c>
      <c r="AU516" s="8"/>
      <c r="AV516" s="6"/>
      <c r="AW516" s="8"/>
      <c r="AX516" s="8"/>
      <c r="AY516" s="6"/>
      <c r="AZ516" s="8"/>
      <c r="BA516" s="8"/>
      <c r="BB516" s="6"/>
      <c r="BC516" s="8"/>
      <c r="BD516" s="8"/>
      <c r="BE516" s="6"/>
      <c r="BF516" s="8"/>
      <c r="BG516" s="8"/>
      <c r="BH516" s="6"/>
      <c r="BI516" s="8"/>
      <c r="BJ516" s="8"/>
      <c r="BK516" s="6"/>
      <c r="BL516" s="8"/>
      <c r="BM516" s="8"/>
      <c r="BN516" s="6"/>
      <c r="BO516" s="8"/>
      <c r="BP516" s="8"/>
      <c r="BQ516" s="6"/>
      <c r="BR516" s="8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  <c r="GS516" s="7"/>
      <c r="GT516" s="7"/>
      <c r="GU516" s="7"/>
      <c r="GV516" s="7"/>
      <c r="GW516" s="7"/>
      <c r="GX516" s="7"/>
      <c r="GY516" s="7"/>
      <c r="GZ516" s="7"/>
      <c r="HA516" s="7"/>
      <c r="HB516" s="7"/>
      <c r="HC516" s="7"/>
      <c r="HD516" s="7"/>
      <c r="HE516" s="7"/>
      <c r="HF516" s="7"/>
      <c r="HG516" s="7"/>
      <c r="HH516" s="7"/>
      <c r="HI516" s="7"/>
      <c r="HJ516" s="7"/>
      <c r="HK516" s="7"/>
      <c r="HL516" s="7"/>
      <c r="HM516" s="7"/>
      <c r="HN516" s="7"/>
      <c r="HO516" s="7"/>
      <c r="HP516" s="7"/>
      <c r="HQ516" s="7"/>
      <c r="HR516" s="7"/>
      <c r="HS516" s="7"/>
      <c r="HT516" s="7"/>
      <c r="HU516" s="7"/>
      <c r="HV516" s="7"/>
      <c r="HW516" s="7"/>
      <c r="HX516" s="7"/>
      <c r="HY516" s="7"/>
      <c r="HZ516" s="7"/>
      <c r="IA516" s="7"/>
      <c r="IB516" s="7"/>
      <c r="IC516" s="7"/>
      <c r="ID516" s="7"/>
      <c r="IE516" s="7"/>
      <c r="IF516" s="7"/>
      <c r="IG516" s="7"/>
      <c r="IH516" s="7"/>
      <c r="II516" s="7"/>
      <c r="IJ516" s="7"/>
      <c r="IK516" s="7"/>
      <c r="IL516" s="7"/>
      <c r="IM516" s="7"/>
      <c r="IN516" s="7"/>
      <c r="IO516" s="7"/>
      <c r="IP516" s="7"/>
      <c r="IQ516" s="7"/>
      <c r="IR516" s="7"/>
      <c r="IS516" s="7"/>
      <c r="IT516" s="7"/>
      <c r="IU516" s="7"/>
      <c r="IV516" s="7"/>
      <c r="IW516" s="7"/>
      <c r="IX516" s="7"/>
      <c r="IY516" s="7"/>
      <c r="IZ516" s="7"/>
      <c r="JA516" s="7"/>
      <c r="JB516" s="7"/>
      <c r="JC516" s="7"/>
      <c r="JD516" s="7"/>
      <c r="JE516" s="7"/>
      <c r="JF516" s="7"/>
      <c r="JG516" s="7"/>
      <c r="JH516" s="7"/>
      <c r="JI516" s="7"/>
      <c r="JJ516" s="7"/>
      <c r="JK516" s="7"/>
      <c r="JL516" s="7"/>
      <c r="JM516" s="7"/>
      <c r="JN516" s="7"/>
      <c r="JO516" s="7"/>
      <c r="JP516" s="7"/>
      <c r="JQ516" s="7"/>
      <c r="JR516" s="7"/>
      <c r="JS516" s="7"/>
      <c r="JT516" s="7"/>
      <c r="JU516" s="7"/>
      <c r="JV516" s="7"/>
      <c r="JW516" s="7"/>
      <c r="JX516" s="7"/>
      <c r="JY516" s="7"/>
      <c r="JZ516" s="7"/>
      <c r="KA516" s="7"/>
      <c r="KB516" s="7"/>
      <c r="KC516" s="7"/>
      <c r="KD516" s="7"/>
      <c r="KE516" s="7"/>
      <c r="KF516" s="7"/>
      <c r="KG516" s="7"/>
      <c r="KH516" s="7"/>
      <c r="KI516" s="7"/>
      <c r="KJ516" s="7"/>
      <c r="KK516" s="7"/>
      <c r="KL516" s="7"/>
      <c r="KM516" s="7"/>
      <c r="KN516" s="7"/>
    </row>
    <row r="517">
      <c r="A517" s="6"/>
      <c r="B517" s="6" t="s">
        <v>517</v>
      </c>
      <c r="C517" s="3" t="str">
        <f t="shared" si="3"/>
        <v>drab yellow</v>
      </c>
      <c r="D517" s="3" t="str">
        <f t="shared" si="17"/>
        <v>ZZZ</v>
      </c>
      <c r="E517" s="3" t="b">
        <f t="array" ref="E517">OR(ISNUMBER(SEARCH(D$2:D$30,$B517,5)))</f>
        <v>0</v>
      </c>
      <c r="G517" s="3" t="str">
        <f t="shared" si="4"/>
        <v>ZZZ</v>
      </c>
      <c r="H517" s="3" t="b">
        <f t="array" ref="H517">OR(ISNUMBER(SEARCH(G$2:G$30,$B517,5)))</f>
        <v>0</v>
      </c>
      <c r="J517" s="3" t="str">
        <f t="shared" si="5"/>
        <v>ZZZ</v>
      </c>
      <c r="K517" s="3" t="b">
        <f t="array" ref="K517">OR(ISNUMBER(SEARCH(J$2:J$30,$B517,5)))</f>
        <v>0</v>
      </c>
      <c r="M517" s="3" t="str">
        <f t="shared" si="6"/>
        <v>ZZZ</v>
      </c>
      <c r="N517" s="3" t="b">
        <f t="array" ref="N517">OR(ISNUMBER(SEARCH(M$2:M$30,$B517,5)))</f>
        <v>0</v>
      </c>
      <c r="P517" s="3" t="str">
        <f t="shared" si="7"/>
        <v>ZZZ</v>
      </c>
      <c r="Q517" s="3" t="b">
        <f t="array" ref="Q517">OR(ISNUMBER(SEARCH(P$2:P$50,$B517,5)))</f>
        <v>0</v>
      </c>
      <c r="S517" s="3" t="str">
        <f t="shared" si="8"/>
        <v>ZZZ</v>
      </c>
      <c r="T517" s="3" t="b">
        <f t="array" ref="T517">OR(ISNUMBER(SEARCH(S$2:S$100,$B517,5)))</f>
        <v>0</v>
      </c>
      <c r="V517" s="3" t="str">
        <f t="shared" si="9"/>
        <v>ZZZ</v>
      </c>
      <c r="W517" s="3" t="b">
        <f t="array" ref="W517">OR(ISNUMBER(SEARCH(V$2:V$100,$B517,5)))</f>
        <v>0</v>
      </c>
      <c r="Y517" s="3" t="str">
        <f t="shared" si="10"/>
        <v>ZZZ</v>
      </c>
      <c r="Z517" s="3" t="b">
        <f t="array" ref="Z517">OR(ISNUMBER(SEARCH(Y$2:Y$100,$B517,5)))</f>
        <v>0</v>
      </c>
      <c r="AB517" s="3" t="str">
        <f t="shared" si="11"/>
        <v>ZZZ</v>
      </c>
      <c r="AC517" s="3" t="b">
        <f t="array" ref="AC517">OR(ISNUMBER(SEARCH(AB$2:AB$100,$B517,5)))</f>
        <v>0</v>
      </c>
      <c r="AE517" s="3" t="str">
        <f t="shared" si="12"/>
        <v>ZZZ</v>
      </c>
      <c r="AF517" s="3" t="b">
        <f t="array" ref="AF517">OR(ISNUMBER(SEARCH(AE$2:AE$100,$B517,5)))</f>
        <v>0</v>
      </c>
      <c r="AH517" s="3" t="str">
        <f t="shared" si="13"/>
        <v>ZZZ</v>
      </c>
      <c r="AI517" s="3" t="b">
        <f t="array" ref="AI517">OR(ISNUMBER(SEARCH(AH$2:AH$100,$B517,5)))</f>
        <v>0</v>
      </c>
      <c r="AK517" s="3" t="str">
        <f t="shared" si="14"/>
        <v>ZZZ</v>
      </c>
      <c r="AL517" s="3" t="b">
        <f t="array" ref="AL517">OR(ISNUMBER(SEARCH(AK$2:AK$100,$B517,5)))</f>
        <v>0</v>
      </c>
      <c r="AU517" s="8"/>
      <c r="AV517" s="6"/>
      <c r="AW517" s="8"/>
      <c r="AX517" s="8"/>
      <c r="AY517" s="6"/>
      <c r="AZ517" s="8"/>
      <c r="BA517" s="8"/>
      <c r="BB517" s="6"/>
      <c r="BC517" s="8"/>
      <c r="BD517" s="8"/>
      <c r="BE517" s="6"/>
      <c r="BF517" s="8"/>
      <c r="BG517" s="8"/>
      <c r="BH517" s="6"/>
      <c r="BI517" s="8"/>
      <c r="BJ517" s="8"/>
      <c r="BK517" s="6"/>
      <c r="BL517" s="8"/>
      <c r="BM517" s="8"/>
      <c r="BN517" s="6"/>
      <c r="BO517" s="8"/>
      <c r="BP517" s="8"/>
      <c r="BQ517" s="6"/>
      <c r="BR517" s="8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7"/>
      <c r="GV517" s="7"/>
      <c r="GW517" s="7"/>
      <c r="GX517" s="7"/>
      <c r="GY517" s="7"/>
      <c r="GZ517" s="7"/>
      <c r="HA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  <c r="HM517" s="7"/>
      <c r="HN517" s="7"/>
      <c r="HO517" s="7"/>
      <c r="HP517" s="7"/>
      <c r="HQ517" s="7"/>
      <c r="HR517" s="7"/>
      <c r="HS517" s="7"/>
      <c r="HT517" s="7"/>
      <c r="HU517" s="7"/>
      <c r="HV517" s="7"/>
      <c r="HW517" s="7"/>
      <c r="HX517" s="7"/>
      <c r="HY517" s="7"/>
      <c r="HZ517" s="7"/>
      <c r="IA517" s="7"/>
      <c r="IB517" s="7"/>
      <c r="IC517" s="7"/>
      <c r="ID517" s="7"/>
      <c r="IE517" s="7"/>
      <c r="IF517" s="7"/>
      <c r="IG517" s="7"/>
      <c r="IH517" s="7"/>
      <c r="II517" s="7"/>
      <c r="IJ517" s="7"/>
      <c r="IK517" s="7"/>
      <c r="IL517" s="7"/>
      <c r="IM517" s="7"/>
      <c r="IN517" s="7"/>
      <c r="IO517" s="7"/>
      <c r="IP517" s="7"/>
      <c r="IQ517" s="7"/>
      <c r="IR517" s="7"/>
      <c r="IS517" s="7"/>
      <c r="IT517" s="7"/>
      <c r="IU517" s="7"/>
      <c r="IV517" s="7"/>
      <c r="IW517" s="7"/>
      <c r="IX517" s="7"/>
      <c r="IY517" s="7"/>
      <c r="IZ517" s="7"/>
      <c r="JA517" s="7"/>
      <c r="JB517" s="7"/>
      <c r="JC517" s="7"/>
      <c r="JD517" s="7"/>
      <c r="JE517" s="7"/>
      <c r="JF517" s="7"/>
      <c r="JG517" s="7"/>
      <c r="JH517" s="7"/>
      <c r="JI517" s="7"/>
      <c r="JJ517" s="7"/>
      <c r="JK517" s="7"/>
      <c r="JL517" s="7"/>
      <c r="JM517" s="7"/>
      <c r="JN517" s="7"/>
      <c r="JO517" s="7"/>
      <c r="JP517" s="7"/>
      <c r="JQ517" s="7"/>
      <c r="JR517" s="7"/>
      <c r="JS517" s="7"/>
      <c r="JT517" s="7"/>
      <c r="JU517" s="7"/>
      <c r="JV517" s="7"/>
      <c r="JW517" s="7"/>
      <c r="JX517" s="7"/>
      <c r="JY517" s="7"/>
      <c r="JZ517" s="7"/>
      <c r="KA517" s="7"/>
      <c r="KB517" s="7"/>
      <c r="KC517" s="7"/>
      <c r="KD517" s="7"/>
      <c r="KE517" s="7"/>
      <c r="KF517" s="7"/>
      <c r="KG517" s="7"/>
      <c r="KH517" s="7"/>
      <c r="KI517" s="7"/>
      <c r="KJ517" s="7"/>
      <c r="KK517" s="7"/>
      <c r="KL517" s="7"/>
      <c r="KM517" s="7"/>
      <c r="KN517" s="7"/>
    </row>
    <row r="518">
      <c r="A518" s="6"/>
      <c r="B518" s="6" t="s">
        <v>518</v>
      </c>
      <c r="C518" s="3" t="str">
        <f t="shared" si="3"/>
        <v>dark chartreuse</v>
      </c>
      <c r="D518" s="3" t="str">
        <f t="shared" si="17"/>
        <v>ZZZ</v>
      </c>
      <c r="E518" s="3" t="b">
        <f t="array" ref="E518">OR(ISNUMBER(SEARCH(D$2:D$30,$B518,5)))</f>
        <v>0</v>
      </c>
      <c r="G518" s="3" t="str">
        <f t="shared" si="4"/>
        <v>ZZZ</v>
      </c>
      <c r="H518" s="3" t="b">
        <f t="array" ref="H518">OR(ISNUMBER(SEARCH(G$2:G$30,$B518,5)))</f>
        <v>0</v>
      </c>
      <c r="J518" s="3" t="str">
        <f t="shared" si="5"/>
        <v>ZZZ</v>
      </c>
      <c r="K518" s="3" t="b">
        <f t="array" ref="K518">OR(ISNUMBER(SEARCH(J$2:J$30,$B518,5)))</f>
        <v>0</v>
      </c>
      <c r="M518" s="3" t="str">
        <f t="shared" si="6"/>
        <v>ZZZ</v>
      </c>
      <c r="N518" s="3" t="b">
        <f t="array" ref="N518">OR(ISNUMBER(SEARCH(M$2:M$30,$B518,5)))</f>
        <v>0</v>
      </c>
      <c r="P518" s="3" t="str">
        <f t="shared" si="7"/>
        <v>ZZZ</v>
      </c>
      <c r="Q518" s="3" t="b">
        <f t="array" ref="Q518">OR(ISNUMBER(SEARCH(P$2:P$50,$B518,5)))</f>
        <v>1</v>
      </c>
      <c r="S518" s="3" t="str">
        <f t="shared" si="8"/>
        <v>ZZZ</v>
      </c>
      <c r="T518" s="3" t="b">
        <f t="array" ref="T518">OR(ISNUMBER(SEARCH(S$2:S$100,$B518,5)))</f>
        <v>0</v>
      </c>
      <c r="V518" s="3" t="str">
        <f t="shared" si="9"/>
        <v>ZZZ</v>
      </c>
      <c r="W518" s="3" t="b">
        <f t="array" ref="W518">OR(ISNUMBER(SEARCH(V$2:V$100,$B518,5)))</f>
        <v>0</v>
      </c>
      <c r="Y518" s="3" t="str">
        <f t="shared" si="10"/>
        <v>ZZZ</v>
      </c>
      <c r="Z518" s="3" t="b">
        <f t="array" ref="Z518">OR(ISNUMBER(SEARCH(Y$2:Y$100,$B518,5)))</f>
        <v>0</v>
      </c>
      <c r="AB518" s="3" t="str">
        <f t="shared" si="11"/>
        <v>ZZZ</v>
      </c>
      <c r="AC518" s="3" t="b">
        <f t="array" ref="AC518">OR(ISNUMBER(SEARCH(AB$2:AB$100,$B518,5)))</f>
        <v>0</v>
      </c>
      <c r="AE518" s="3" t="str">
        <f t="shared" si="12"/>
        <v>ZZZ</v>
      </c>
      <c r="AF518" s="3" t="b">
        <f t="array" ref="AF518">OR(ISNUMBER(SEARCH(AE$2:AE$100,$B518,5)))</f>
        <v>0</v>
      </c>
      <c r="AH518" s="3" t="str">
        <f t="shared" si="13"/>
        <v>ZZZ</v>
      </c>
      <c r="AI518" s="3" t="b">
        <f t="array" ref="AI518">OR(ISNUMBER(SEARCH(AH$2:AH$100,$B518,5)))</f>
        <v>0</v>
      </c>
      <c r="AK518" s="3" t="str">
        <f t="shared" si="14"/>
        <v>ZZZ</v>
      </c>
      <c r="AL518" s="3" t="b">
        <f t="array" ref="AL518">OR(ISNUMBER(SEARCH(AK$2:AK$100,$B518,5)))</f>
        <v>0</v>
      </c>
      <c r="AU518" s="8"/>
      <c r="AV518" s="6"/>
      <c r="AW518" s="8"/>
      <c r="AX518" s="8"/>
      <c r="AY518" s="6"/>
      <c r="AZ518" s="8"/>
      <c r="BA518" s="8"/>
      <c r="BB518" s="6"/>
      <c r="BC518" s="8"/>
      <c r="BD518" s="8"/>
      <c r="BE518" s="6"/>
      <c r="BF518" s="8"/>
      <c r="BG518" s="8"/>
      <c r="BH518" s="6"/>
      <c r="BI518" s="8"/>
      <c r="BJ518" s="8"/>
      <c r="BK518" s="6"/>
      <c r="BL518" s="8"/>
      <c r="BM518" s="8"/>
      <c r="BN518" s="6"/>
      <c r="BO518" s="8"/>
      <c r="BP518" s="8"/>
      <c r="BQ518" s="6"/>
      <c r="BR518" s="8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  <c r="GS518" s="7"/>
      <c r="GT518" s="7"/>
      <c r="GU518" s="7"/>
      <c r="GV518" s="7"/>
      <c r="GW518" s="7"/>
      <c r="GX518" s="7"/>
      <c r="GY518" s="7"/>
      <c r="GZ518" s="7"/>
      <c r="HA518" s="7"/>
      <c r="HB518" s="7"/>
      <c r="HC518" s="7"/>
      <c r="HD518" s="7"/>
      <c r="HE518" s="7"/>
      <c r="HF518" s="7"/>
      <c r="HG518" s="7"/>
      <c r="HH518" s="7"/>
      <c r="HI518" s="7"/>
      <c r="HJ518" s="7"/>
      <c r="HK518" s="7"/>
      <c r="HL518" s="7"/>
      <c r="HM518" s="7"/>
      <c r="HN518" s="7"/>
      <c r="HO518" s="7"/>
      <c r="HP518" s="7"/>
      <c r="HQ518" s="7"/>
      <c r="HR518" s="7"/>
      <c r="HS518" s="7"/>
      <c r="HT518" s="7"/>
      <c r="HU518" s="7"/>
      <c r="HV518" s="7"/>
      <c r="HW518" s="7"/>
      <c r="HX518" s="7"/>
      <c r="HY518" s="7"/>
      <c r="HZ518" s="7"/>
      <c r="IA518" s="7"/>
      <c r="IB518" s="7"/>
      <c r="IC518" s="7"/>
      <c r="ID518" s="7"/>
      <c r="IE518" s="7"/>
      <c r="IF518" s="7"/>
      <c r="IG518" s="7"/>
      <c r="IH518" s="7"/>
      <c r="II518" s="7"/>
      <c r="IJ518" s="7"/>
      <c r="IK518" s="7"/>
      <c r="IL518" s="7"/>
      <c r="IM518" s="7"/>
      <c r="IN518" s="7"/>
      <c r="IO518" s="7"/>
      <c r="IP518" s="7"/>
      <c r="IQ518" s="7"/>
      <c r="IR518" s="7"/>
      <c r="IS518" s="7"/>
      <c r="IT518" s="7"/>
      <c r="IU518" s="7"/>
      <c r="IV518" s="7"/>
      <c r="IW518" s="7"/>
      <c r="IX518" s="7"/>
      <c r="IY518" s="7"/>
      <c r="IZ518" s="7"/>
      <c r="JA518" s="7"/>
      <c r="JB518" s="7"/>
      <c r="JC518" s="7"/>
      <c r="JD518" s="7"/>
      <c r="JE518" s="7"/>
      <c r="JF518" s="7"/>
      <c r="JG518" s="7"/>
      <c r="JH518" s="7"/>
      <c r="JI518" s="7"/>
      <c r="JJ518" s="7"/>
      <c r="JK518" s="7"/>
      <c r="JL518" s="7"/>
      <c r="JM518" s="7"/>
      <c r="JN518" s="7"/>
      <c r="JO518" s="7"/>
      <c r="JP518" s="7"/>
      <c r="JQ518" s="7"/>
      <c r="JR518" s="7"/>
      <c r="JS518" s="7"/>
      <c r="JT518" s="7"/>
      <c r="JU518" s="7"/>
      <c r="JV518" s="7"/>
      <c r="JW518" s="7"/>
      <c r="JX518" s="7"/>
      <c r="JY518" s="7"/>
      <c r="JZ518" s="7"/>
      <c r="KA518" s="7"/>
      <c r="KB518" s="7"/>
      <c r="KC518" s="7"/>
      <c r="KD518" s="7"/>
      <c r="KE518" s="7"/>
      <c r="KF518" s="7"/>
      <c r="KG518" s="7"/>
      <c r="KH518" s="7"/>
      <c r="KI518" s="7"/>
      <c r="KJ518" s="7"/>
      <c r="KK518" s="7"/>
      <c r="KL518" s="7"/>
      <c r="KM518" s="7"/>
      <c r="KN518" s="7"/>
    </row>
    <row r="519">
      <c r="A519" s="6"/>
      <c r="B519" s="6" t="s">
        <v>519</v>
      </c>
      <c r="C519" s="3" t="str">
        <f t="shared" si="3"/>
        <v>vibrant indigo</v>
      </c>
      <c r="D519" s="3" t="str">
        <f t="shared" si="17"/>
        <v>ZZZ</v>
      </c>
      <c r="E519" s="3" t="b">
        <f t="array" ref="E519">OR(ISNUMBER(SEARCH(D$2:D$30,$B519,5)))</f>
        <v>0</v>
      </c>
      <c r="G519" s="3" t="str">
        <f t="shared" si="4"/>
        <v>ZZZ</v>
      </c>
      <c r="H519" s="3" t="b">
        <f t="array" ref="H519">OR(ISNUMBER(SEARCH(G$2:G$30,$B519,5)))</f>
        <v>0</v>
      </c>
      <c r="J519" s="3" t="str">
        <f t="shared" si="5"/>
        <v>ZZZ</v>
      </c>
      <c r="K519" s="3" t="b">
        <f t="array" ref="K519">OR(ISNUMBER(SEARCH(J$2:J$30,$B519,5)))</f>
        <v>0</v>
      </c>
      <c r="M519" s="3" t="str">
        <f t="shared" si="6"/>
        <v>ZZZ</v>
      </c>
      <c r="N519" s="3" t="b">
        <f t="array" ref="N519">OR(ISNUMBER(SEARCH(M$2:M$30,$B519,5)))</f>
        <v>0</v>
      </c>
      <c r="P519" s="3" t="str">
        <f t="shared" si="7"/>
        <v>ZZZ</v>
      </c>
      <c r="Q519" s="3" t="b">
        <f t="array" ref="Q519">OR(ISNUMBER(SEARCH(P$2:P$50,$B519,5)))</f>
        <v>0</v>
      </c>
      <c r="S519" s="3" t="str">
        <f t="shared" si="8"/>
        <v>ZZZ</v>
      </c>
      <c r="T519" s="3" t="b">
        <f t="array" ref="T519">OR(ISNUMBER(SEARCH(S$2:S$100,$B519,5)))</f>
        <v>0</v>
      </c>
      <c r="V519" s="3" t="str">
        <f t="shared" si="9"/>
        <v>ZZZ</v>
      </c>
      <c r="W519" s="3" t="b">
        <f t="array" ref="W519">OR(ISNUMBER(SEARCH(V$2:V$100,$B519,5)))</f>
        <v>0</v>
      </c>
      <c r="Y519" s="3" t="str">
        <f t="shared" si="10"/>
        <v>ZZZ</v>
      </c>
      <c r="Z519" s="3" t="b">
        <f t="array" ref="Z519">OR(ISNUMBER(SEARCH(Y$2:Y$100,$B519,5)))</f>
        <v>0</v>
      </c>
      <c r="AB519" s="3" t="str">
        <f t="shared" si="11"/>
        <v>ZZZ</v>
      </c>
      <c r="AC519" s="3" t="b">
        <f t="array" ref="AC519">OR(ISNUMBER(SEARCH(AB$2:AB$100,$B519,5)))</f>
        <v>0</v>
      </c>
      <c r="AE519" s="3" t="str">
        <f t="shared" si="12"/>
        <v>ZZZ</v>
      </c>
      <c r="AF519" s="3" t="b">
        <f t="array" ref="AF519">OR(ISNUMBER(SEARCH(AE$2:AE$100,$B519,5)))</f>
        <v>0</v>
      </c>
      <c r="AH519" s="3" t="str">
        <f t="shared" si="13"/>
        <v>ZZZ</v>
      </c>
      <c r="AI519" s="3" t="b">
        <f t="array" ref="AI519">OR(ISNUMBER(SEARCH(AH$2:AH$100,$B519,5)))</f>
        <v>0</v>
      </c>
      <c r="AK519" s="3" t="str">
        <f t="shared" si="14"/>
        <v>ZZZ</v>
      </c>
      <c r="AL519" s="3" t="b">
        <f t="array" ref="AL519">OR(ISNUMBER(SEARCH(AK$2:AK$100,$B519,5)))</f>
        <v>0</v>
      </c>
      <c r="AU519" s="8"/>
      <c r="AV519" s="6"/>
      <c r="AW519" s="8"/>
      <c r="AX519" s="8"/>
      <c r="AY519" s="6"/>
      <c r="AZ519" s="8"/>
      <c r="BA519" s="8"/>
      <c r="BB519" s="6"/>
      <c r="BC519" s="8"/>
      <c r="BD519" s="8"/>
      <c r="BE519" s="6"/>
      <c r="BF519" s="8"/>
      <c r="BG519" s="8"/>
      <c r="BH519" s="6"/>
      <c r="BI519" s="8"/>
      <c r="BJ519" s="8"/>
      <c r="BK519" s="6"/>
      <c r="BL519" s="8"/>
      <c r="BM519" s="8"/>
      <c r="BN519" s="6"/>
      <c r="BO519" s="8"/>
      <c r="BP519" s="8"/>
      <c r="BQ519" s="6"/>
      <c r="BR519" s="8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  <c r="GS519" s="7"/>
      <c r="GT519" s="7"/>
      <c r="GU519" s="7"/>
      <c r="GV519" s="7"/>
      <c r="GW519" s="7"/>
      <c r="GX519" s="7"/>
      <c r="GY519" s="7"/>
      <c r="GZ519" s="7"/>
      <c r="HA519" s="7"/>
      <c r="HB519" s="7"/>
      <c r="HC519" s="7"/>
      <c r="HD519" s="7"/>
      <c r="HE519" s="7"/>
      <c r="HF519" s="7"/>
      <c r="HG519" s="7"/>
      <c r="HH519" s="7"/>
      <c r="HI519" s="7"/>
      <c r="HJ519" s="7"/>
      <c r="HK519" s="7"/>
      <c r="HL519" s="7"/>
      <c r="HM519" s="7"/>
      <c r="HN519" s="7"/>
      <c r="HO519" s="7"/>
      <c r="HP519" s="7"/>
      <c r="HQ519" s="7"/>
      <c r="HR519" s="7"/>
      <c r="HS519" s="7"/>
      <c r="HT519" s="7"/>
      <c r="HU519" s="7"/>
      <c r="HV519" s="7"/>
      <c r="HW519" s="7"/>
      <c r="HX519" s="7"/>
      <c r="HY519" s="7"/>
      <c r="HZ519" s="7"/>
      <c r="IA519" s="7"/>
      <c r="IB519" s="7"/>
      <c r="IC519" s="7"/>
      <c r="ID519" s="7"/>
      <c r="IE519" s="7"/>
      <c r="IF519" s="7"/>
      <c r="IG519" s="7"/>
      <c r="IH519" s="7"/>
      <c r="II519" s="7"/>
      <c r="IJ519" s="7"/>
      <c r="IK519" s="7"/>
      <c r="IL519" s="7"/>
      <c r="IM519" s="7"/>
      <c r="IN519" s="7"/>
      <c r="IO519" s="7"/>
      <c r="IP519" s="7"/>
      <c r="IQ519" s="7"/>
      <c r="IR519" s="7"/>
      <c r="IS519" s="7"/>
      <c r="IT519" s="7"/>
      <c r="IU519" s="7"/>
      <c r="IV519" s="7"/>
      <c r="IW519" s="7"/>
      <c r="IX519" s="7"/>
      <c r="IY519" s="7"/>
      <c r="IZ519" s="7"/>
      <c r="JA519" s="7"/>
      <c r="JB519" s="7"/>
      <c r="JC519" s="7"/>
      <c r="JD519" s="7"/>
      <c r="JE519" s="7"/>
      <c r="JF519" s="7"/>
      <c r="JG519" s="7"/>
      <c r="JH519" s="7"/>
      <c r="JI519" s="7"/>
      <c r="JJ519" s="7"/>
      <c r="JK519" s="7"/>
      <c r="JL519" s="7"/>
      <c r="JM519" s="7"/>
      <c r="JN519" s="7"/>
      <c r="JO519" s="7"/>
      <c r="JP519" s="7"/>
      <c r="JQ519" s="7"/>
      <c r="JR519" s="7"/>
      <c r="JS519" s="7"/>
      <c r="JT519" s="7"/>
      <c r="JU519" s="7"/>
      <c r="JV519" s="7"/>
      <c r="JW519" s="7"/>
      <c r="JX519" s="7"/>
      <c r="JY519" s="7"/>
      <c r="JZ519" s="7"/>
      <c r="KA519" s="7"/>
      <c r="KB519" s="7"/>
      <c r="KC519" s="7"/>
      <c r="KD519" s="7"/>
      <c r="KE519" s="7"/>
      <c r="KF519" s="7"/>
      <c r="KG519" s="7"/>
      <c r="KH519" s="7"/>
      <c r="KI519" s="7"/>
      <c r="KJ519" s="7"/>
      <c r="KK519" s="7"/>
      <c r="KL519" s="7"/>
      <c r="KM519" s="7"/>
      <c r="KN519" s="7"/>
    </row>
    <row r="520">
      <c r="A520" s="6"/>
      <c r="B520" s="6" t="s">
        <v>520</v>
      </c>
      <c r="C520" s="3" t="str">
        <f t="shared" si="3"/>
        <v>plaid green</v>
      </c>
      <c r="D520" s="3" t="str">
        <f t="shared" si="17"/>
        <v>ZZZ</v>
      </c>
      <c r="E520" s="3" t="b">
        <f t="array" ref="E520">OR(ISNUMBER(SEARCH(D$2:D$30,$B520,5)))</f>
        <v>0</v>
      </c>
      <c r="G520" s="3" t="str">
        <f t="shared" si="4"/>
        <v>ZZZ</v>
      </c>
      <c r="H520" s="3" t="b">
        <f t="array" ref="H520">OR(ISNUMBER(SEARCH(G$2:G$30,$B520,5)))</f>
        <v>0</v>
      </c>
      <c r="J520" s="3" t="str">
        <f t="shared" si="5"/>
        <v>ZZZ</v>
      </c>
      <c r="K520" s="3" t="b">
        <f t="array" ref="K520">OR(ISNUMBER(SEARCH(J$2:J$30,$B520,5)))</f>
        <v>0</v>
      </c>
      <c r="M520" s="3" t="str">
        <f t="shared" si="6"/>
        <v>ZZZ</v>
      </c>
      <c r="N520" s="3" t="b">
        <f t="array" ref="N520">OR(ISNUMBER(SEARCH(M$2:M$30,$B520,5)))</f>
        <v>0</v>
      </c>
      <c r="P520" s="3" t="str">
        <f t="shared" si="7"/>
        <v>ZZZ</v>
      </c>
      <c r="Q520" s="3" t="b">
        <f t="array" ref="Q520">OR(ISNUMBER(SEARCH(P$2:P$50,$B520,5)))</f>
        <v>0</v>
      </c>
      <c r="S520" s="3" t="str">
        <f t="shared" si="8"/>
        <v>ZZZ</v>
      </c>
      <c r="T520" s="3" t="b">
        <f t="array" ref="T520">OR(ISNUMBER(SEARCH(S$2:S$100,$B520,5)))</f>
        <v>1</v>
      </c>
      <c r="V520" s="3" t="str">
        <f t="shared" si="9"/>
        <v>ZZZ</v>
      </c>
      <c r="W520" s="3" t="b">
        <f t="array" ref="W520">OR(ISNUMBER(SEARCH(V$2:V$100,$B520,5)))</f>
        <v>0</v>
      </c>
      <c r="Y520" s="3" t="str">
        <f t="shared" si="10"/>
        <v>ZZZ</v>
      </c>
      <c r="Z520" s="3" t="b">
        <f t="array" ref="Z520">OR(ISNUMBER(SEARCH(Y$2:Y$100,$B520,5)))</f>
        <v>0</v>
      </c>
      <c r="AB520" s="3" t="str">
        <f t="shared" si="11"/>
        <v>ZZZ</v>
      </c>
      <c r="AC520" s="3" t="b">
        <f t="array" ref="AC520">OR(ISNUMBER(SEARCH(AB$2:AB$100,$B520,5)))</f>
        <v>0</v>
      </c>
      <c r="AE520" s="3" t="str">
        <f t="shared" si="12"/>
        <v>ZZZ</v>
      </c>
      <c r="AF520" s="3" t="b">
        <f t="array" ref="AF520">OR(ISNUMBER(SEARCH(AE$2:AE$100,$B520,5)))</f>
        <v>0</v>
      </c>
      <c r="AH520" s="3" t="str">
        <f t="shared" si="13"/>
        <v>ZZZ</v>
      </c>
      <c r="AI520" s="3" t="b">
        <f t="array" ref="AI520">OR(ISNUMBER(SEARCH(AH$2:AH$100,$B520,5)))</f>
        <v>0</v>
      </c>
      <c r="AK520" s="3" t="str">
        <f t="shared" si="14"/>
        <v>ZZZ</v>
      </c>
      <c r="AL520" s="3" t="b">
        <f t="array" ref="AL520">OR(ISNUMBER(SEARCH(AK$2:AK$100,$B520,5)))</f>
        <v>0</v>
      </c>
      <c r="AU520" s="8"/>
      <c r="AV520" s="6"/>
      <c r="AW520" s="8"/>
      <c r="AX520" s="8"/>
      <c r="AY520" s="6"/>
      <c r="AZ520" s="8"/>
      <c r="BA520" s="8"/>
      <c r="BB520" s="6"/>
      <c r="BC520" s="8"/>
      <c r="BD520" s="8"/>
      <c r="BE520" s="6"/>
      <c r="BF520" s="8"/>
      <c r="BG520" s="8"/>
      <c r="BH520" s="6"/>
      <c r="BI520" s="8"/>
      <c r="BJ520" s="8"/>
      <c r="BK520" s="6"/>
      <c r="BL520" s="8"/>
      <c r="BM520" s="8"/>
      <c r="BN520" s="6"/>
      <c r="BO520" s="8"/>
      <c r="BP520" s="8"/>
      <c r="BQ520" s="6"/>
      <c r="BR520" s="8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  <c r="GS520" s="7"/>
      <c r="GT520" s="7"/>
      <c r="GU520" s="7"/>
      <c r="GV520" s="7"/>
      <c r="GW520" s="7"/>
      <c r="GX520" s="7"/>
      <c r="GY520" s="7"/>
      <c r="GZ520" s="7"/>
      <c r="HA520" s="7"/>
      <c r="HB520" s="7"/>
      <c r="HC520" s="7"/>
      <c r="HD520" s="7"/>
      <c r="HE520" s="7"/>
      <c r="HF520" s="7"/>
      <c r="HG520" s="7"/>
      <c r="HH520" s="7"/>
      <c r="HI520" s="7"/>
      <c r="HJ520" s="7"/>
      <c r="HK520" s="7"/>
      <c r="HL520" s="7"/>
      <c r="HM520" s="7"/>
      <c r="HN520" s="7"/>
      <c r="HO520" s="7"/>
      <c r="HP520" s="7"/>
      <c r="HQ520" s="7"/>
      <c r="HR520" s="7"/>
      <c r="HS520" s="7"/>
      <c r="HT520" s="7"/>
      <c r="HU520" s="7"/>
      <c r="HV520" s="7"/>
      <c r="HW520" s="7"/>
      <c r="HX520" s="7"/>
      <c r="HY520" s="7"/>
      <c r="HZ520" s="7"/>
      <c r="IA520" s="7"/>
      <c r="IB520" s="7"/>
      <c r="IC520" s="7"/>
      <c r="ID520" s="7"/>
      <c r="IE520" s="7"/>
      <c r="IF520" s="7"/>
      <c r="IG520" s="7"/>
      <c r="IH520" s="7"/>
      <c r="II520" s="7"/>
      <c r="IJ520" s="7"/>
      <c r="IK520" s="7"/>
      <c r="IL520" s="7"/>
      <c r="IM520" s="7"/>
      <c r="IN520" s="7"/>
      <c r="IO520" s="7"/>
      <c r="IP520" s="7"/>
      <c r="IQ520" s="7"/>
      <c r="IR520" s="7"/>
      <c r="IS520" s="7"/>
      <c r="IT520" s="7"/>
      <c r="IU520" s="7"/>
      <c r="IV520" s="7"/>
      <c r="IW520" s="7"/>
      <c r="IX520" s="7"/>
      <c r="IY520" s="7"/>
      <c r="IZ520" s="7"/>
      <c r="JA520" s="7"/>
      <c r="JB520" s="7"/>
      <c r="JC520" s="7"/>
      <c r="JD520" s="7"/>
      <c r="JE520" s="7"/>
      <c r="JF520" s="7"/>
      <c r="JG520" s="7"/>
      <c r="JH520" s="7"/>
      <c r="JI520" s="7"/>
      <c r="JJ520" s="7"/>
      <c r="JK520" s="7"/>
      <c r="JL520" s="7"/>
      <c r="JM520" s="7"/>
      <c r="JN520" s="7"/>
      <c r="JO520" s="7"/>
      <c r="JP520" s="7"/>
      <c r="JQ520" s="7"/>
      <c r="JR520" s="7"/>
      <c r="JS520" s="7"/>
      <c r="JT520" s="7"/>
      <c r="JU520" s="7"/>
      <c r="JV520" s="7"/>
      <c r="JW520" s="7"/>
      <c r="JX520" s="7"/>
      <c r="JY520" s="7"/>
      <c r="JZ520" s="7"/>
      <c r="KA520" s="7"/>
      <c r="KB520" s="7"/>
      <c r="KC520" s="7"/>
      <c r="KD520" s="7"/>
      <c r="KE520" s="7"/>
      <c r="KF520" s="7"/>
      <c r="KG520" s="7"/>
      <c r="KH520" s="7"/>
      <c r="KI520" s="7"/>
      <c r="KJ520" s="7"/>
      <c r="KK520" s="7"/>
      <c r="KL520" s="7"/>
      <c r="KM520" s="7"/>
      <c r="KN520" s="7"/>
    </row>
    <row r="521">
      <c r="A521" s="6"/>
      <c r="B521" s="6" t="s">
        <v>521</v>
      </c>
      <c r="C521" s="3" t="str">
        <f t="shared" si="3"/>
        <v>mirrored purple</v>
      </c>
      <c r="D521" s="3" t="str">
        <f t="shared" si="17"/>
        <v>ZZZ</v>
      </c>
      <c r="E521" s="3" t="b">
        <f t="array" ref="E521">OR(ISNUMBER(SEARCH(D$2:D$30,$B521,5)))</f>
        <v>0</v>
      </c>
      <c r="G521" s="3" t="str">
        <f t="shared" si="4"/>
        <v>ZZZ</v>
      </c>
      <c r="H521" s="3" t="b">
        <f t="array" ref="H521">OR(ISNUMBER(SEARCH(G$2:G$30,$B521,5)))</f>
        <v>0</v>
      </c>
      <c r="J521" s="3" t="str">
        <f t="shared" si="5"/>
        <v>ZZZ</v>
      </c>
      <c r="K521" s="3" t="b">
        <f t="array" ref="K521">OR(ISNUMBER(SEARCH(J$2:J$30,$B521,5)))</f>
        <v>0</v>
      </c>
      <c r="M521" s="3" t="str">
        <f t="shared" si="6"/>
        <v>ZZZ</v>
      </c>
      <c r="N521" s="3" t="b">
        <f t="array" ref="N521">OR(ISNUMBER(SEARCH(M$2:M$30,$B521,5)))</f>
        <v>0</v>
      </c>
      <c r="P521" s="3" t="str">
        <f t="shared" si="7"/>
        <v>ZZZ</v>
      </c>
      <c r="Q521" s="3" t="b">
        <f t="array" ref="Q521">OR(ISNUMBER(SEARCH(P$2:P$50,$B521,5)))</f>
        <v>0</v>
      </c>
      <c r="S521" s="3" t="str">
        <f t="shared" si="8"/>
        <v>ZZZ</v>
      </c>
      <c r="T521" s="3" t="b">
        <f t="array" ref="T521">OR(ISNUMBER(SEARCH(S$2:S$100,$B521,5)))</f>
        <v>1</v>
      </c>
      <c r="V521" s="3" t="str">
        <f t="shared" si="9"/>
        <v>ZZZ</v>
      </c>
      <c r="W521" s="3" t="b">
        <f t="array" ref="W521">OR(ISNUMBER(SEARCH(V$2:V$100,$B521,5)))</f>
        <v>0</v>
      </c>
      <c r="Y521" s="3" t="str">
        <f t="shared" si="10"/>
        <v>ZZZ</v>
      </c>
      <c r="Z521" s="3" t="b">
        <f t="array" ref="Z521">OR(ISNUMBER(SEARCH(Y$2:Y$100,$B521,5)))</f>
        <v>0</v>
      </c>
      <c r="AB521" s="3" t="str">
        <f t="shared" si="11"/>
        <v>ZZZ</v>
      </c>
      <c r="AC521" s="3" t="b">
        <f t="array" ref="AC521">OR(ISNUMBER(SEARCH(AB$2:AB$100,$B521,5)))</f>
        <v>0</v>
      </c>
      <c r="AE521" s="3" t="str">
        <f t="shared" si="12"/>
        <v>ZZZ</v>
      </c>
      <c r="AF521" s="3" t="b">
        <f t="array" ref="AF521">OR(ISNUMBER(SEARCH(AE$2:AE$100,$B521,5)))</f>
        <v>0</v>
      </c>
      <c r="AH521" s="3" t="str">
        <f t="shared" si="13"/>
        <v>ZZZ</v>
      </c>
      <c r="AI521" s="3" t="b">
        <f t="array" ref="AI521">OR(ISNUMBER(SEARCH(AH$2:AH$100,$B521,5)))</f>
        <v>0</v>
      </c>
      <c r="AK521" s="3" t="str">
        <f t="shared" si="14"/>
        <v>ZZZ</v>
      </c>
      <c r="AL521" s="3" t="b">
        <f t="array" ref="AL521">OR(ISNUMBER(SEARCH(AK$2:AK$100,$B521,5)))</f>
        <v>0</v>
      </c>
      <c r="AU521" s="8"/>
      <c r="AV521" s="6"/>
      <c r="AW521" s="8"/>
      <c r="AX521" s="8"/>
      <c r="AY521" s="6"/>
      <c r="AZ521" s="8"/>
      <c r="BA521" s="8"/>
      <c r="BB521" s="6"/>
      <c r="BC521" s="8"/>
      <c r="BD521" s="8"/>
      <c r="BE521" s="6"/>
      <c r="BF521" s="8"/>
      <c r="BG521" s="8"/>
      <c r="BH521" s="6"/>
      <c r="BI521" s="8"/>
      <c r="BJ521" s="8"/>
      <c r="BK521" s="6"/>
      <c r="BL521" s="8"/>
      <c r="BM521" s="8"/>
      <c r="BN521" s="6"/>
      <c r="BO521" s="8"/>
      <c r="BP521" s="8"/>
      <c r="BQ521" s="6"/>
      <c r="BR521" s="8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  <c r="GS521" s="7"/>
      <c r="GT521" s="7"/>
      <c r="GU521" s="7"/>
      <c r="GV521" s="7"/>
      <c r="GW521" s="7"/>
      <c r="GX521" s="7"/>
      <c r="GY521" s="7"/>
      <c r="GZ521" s="7"/>
      <c r="HA521" s="7"/>
      <c r="HB521" s="7"/>
      <c r="HC521" s="7"/>
      <c r="HD521" s="7"/>
      <c r="HE521" s="7"/>
      <c r="HF521" s="7"/>
      <c r="HG521" s="7"/>
      <c r="HH521" s="7"/>
      <c r="HI521" s="7"/>
      <c r="HJ521" s="7"/>
      <c r="HK521" s="7"/>
      <c r="HL521" s="7"/>
      <c r="HM521" s="7"/>
      <c r="HN521" s="7"/>
      <c r="HO521" s="7"/>
      <c r="HP521" s="7"/>
      <c r="HQ521" s="7"/>
      <c r="HR521" s="7"/>
      <c r="HS521" s="7"/>
      <c r="HT521" s="7"/>
      <c r="HU521" s="7"/>
      <c r="HV521" s="7"/>
      <c r="HW521" s="7"/>
      <c r="HX521" s="7"/>
      <c r="HY521" s="7"/>
      <c r="HZ521" s="7"/>
      <c r="IA521" s="7"/>
      <c r="IB521" s="7"/>
      <c r="IC521" s="7"/>
      <c r="ID521" s="7"/>
      <c r="IE521" s="7"/>
      <c r="IF521" s="7"/>
      <c r="IG521" s="7"/>
      <c r="IH521" s="7"/>
      <c r="II521" s="7"/>
      <c r="IJ521" s="7"/>
      <c r="IK521" s="7"/>
      <c r="IL521" s="7"/>
      <c r="IM521" s="7"/>
      <c r="IN521" s="7"/>
      <c r="IO521" s="7"/>
      <c r="IP521" s="7"/>
      <c r="IQ521" s="7"/>
      <c r="IR521" s="7"/>
      <c r="IS521" s="7"/>
      <c r="IT521" s="7"/>
      <c r="IU521" s="7"/>
      <c r="IV521" s="7"/>
      <c r="IW521" s="7"/>
      <c r="IX521" s="7"/>
      <c r="IY521" s="7"/>
      <c r="IZ521" s="7"/>
      <c r="JA521" s="7"/>
      <c r="JB521" s="7"/>
      <c r="JC521" s="7"/>
      <c r="JD521" s="7"/>
      <c r="JE521" s="7"/>
      <c r="JF521" s="7"/>
      <c r="JG521" s="7"/>
      <c r="JH521" s="7"/>
      <c r="JI521" s="7"/>
      <c r="JJ521" s="7"/>
      <c r="JK521" s="7"/>
      <c r="JL521" s="7"/>
      <c r="JM521" s="7"/>
      <c r="JN521" s="7"/>
      <c r="JO521" s="7"/>
      <c r="JP521" s="7"/>
      <c r="JQ521" s="7"/>
      <c r="JR521" s="7"/>
      <c r="JS521" s="7"/>
      <c r="JT521" s="7"/>
      <c r="JU521" s="7"/>
      <c r="JV521" s="7"/>
      <c r="JW521" s="7"/>
      <c r="JX521" s="7"/>
      <c r="JY521" s="7"/>
      <c r="JZ521" s="7"/>
      <c r="KA521" s="7"/>
      <c r="KB521" s="7"/>
      <c r="KC521" s="7"/>
      <c r="KD521" s="7"/>
      <c r="KE521" s="7"/>
      <c r="KF521" s="7"/>
      <c r="KG521" s="7"/>
      <c r="KH521" s="7"/>
      <c r="KI521" s="7"/>
      <c r="KJ521" s="7"/>
      <c r="KK521" s="7"/>
      <c r="KL521" s="7"/>
      <c r="KM521" s="7"/>
      <c r="KN521" s="7"/>
    </row>
    <row r="522">
      <c r="A522" s="6"/>
      <c r="B522" s="6" t="s">
        <v>522</v>
      </c>
      <c r="C522" s="3" t="str">
        <f t="shared" si="3"/>
        <v>vibrant yellow</v>
      </c>
      <c r="D522" s="3" t="str">
        <f t="shared" si="17"/>
        <v>ZZZ</v>
      </c>
      <c r="E522" s="3" t="b">
        <f t="array" ref="E522">OR(ISNUMBER(SEARCH(D$2:D$30,$B522,5)))</f>
        <v>0</v>
      </c>
      <c r="G522" s="3" t="str">
        <f t="shared" si="4"/>
        <v>ZZZ</v>
      </c>
      <c r="H522" s="3" t="b">
        <f t="array" ref="H522">OR(ISNUMBER(SEARCH(G$2:G$30,$B522,5)))</f>
        <v>0</v>
      </c>
      <c r="J522" s="3" t="str">
        <f t="shared" si="5"/>
        <v>ZZZ</v>
      </c>
      <c r="K522" s="3" t="b">
        <f t="array" ref="K522">OR(ISNUMBER(SEARCH(J$2:J$30,$B522,5)))</f>
        <v>0</v>
      </c>
      <c r="M522" s="3" t="str">
        <f t="shared" si="6"/>
        <v>ZZZ</v>
      </c>
      <c r="N522" s="3" t="b">
        <f t="array" ref="N522">OR(ISNUMBER(SEARCH(M$2:M$30,$B522,5)))</f>
        <v>0</v>
      </c>
      <c r="P522" s="3" t="str">
        <f t="shared" si="7"/>
        <v>ZZZ</v>
      </c>
      <c r="Q522" s="3" t="b">
        <f t="array" ref="Q522">OR(ISNUMBER(SEARCH(P$2:P$50,$B522,5)))</f>
        <v>0</v>
      </c>
      <c r="S522" s="3" t="str">
        <f t="shared" si="8"/>
        <v>ZZZ</v>
      </c>
      <c r="T522" s="3" t="b">
        <f t="array" ref="T522">OR(ISNUMBER(SEARCH(S$2:S$100,$B522,5)))</f>
        <v>0</v>
      </c>
      <c r="V522" s="3" t="str">
        <f t="shared" si="9"/>
        <v>ZZZ</v>
      </c>
      <c r="W522" s="3" t="b">
        <f t="array" ref="W522">OR(ISNUMBER(SEARCH(V$2:V$100,$B522,5)))</f>
        <v>0</v>
      </c>
      <c r="Y522" s="3" t="str">
        <f t="shared" si="10"/>
        <v>ZZZ</v>
      </c>
      <c r="Z522" s="3" t="b">
        <f t="array" ref="Z522">OR(ISNUMBER(SEARCH(Y$2:Y$100,$B522,5)))</f>
        <v>0</v>
      </c>
      <c r="AB522" s="3" t="str">
        <f t="shared" si="11"/>
        <v>ZZZ</v>
      </c>
      <c r="AC522" s="3" t="b">
        <f t="array" ref="AC522">OR(ISNUMBER(SEARCH(AB$2:AB$100,$B522,5)))</f>
        <v>0</v>
      </c>
      <c r="AE522" s="3" t="str">
        <f t="shared" si="12"/>
        <v>ZZZ</v>
      </c>
      <c r="AF522" s="3" t="b">
        <f t="array" ref="AF522">OR(ISNUMBER(SEARCH(AE$2:AE$100,$B522,5)))</f>
        <v>0</v>
      </c>
      <c r="AH522" s="3" t="str">
        <f t="shared" si="13"/>
        <v>ZZZ</v>
      </c>
      <c r="AI522" s="3" t="b">
        <f t="array" ref="AI522">OR(ISNUMBER(SEARCH(AH$2:AH$100,$B522,5)))</f>
        <v>0</v>
      </c>
      <c r="AK522" s="3" t="str">
        <f t="shared" si="14"/>
        <v>ZZZ</v>
      </c>
      <c r="AL522" s="3" t="b">
        <f t="array" ref="AL522">OR(ISNUMBER(SEARCH(AK$2:AK$100,$B522,5)))</f>
        <v>0</v>
      </c>
      <c r="AU522" s="8"/>
      <c r="AV522" s="6"/>
      <c r="AW522" s="8"/>
      <c r="AX522" s="8"/>
      <c r="AY522" s="6"/>
      <c r="AZ522" s="8"/>
      <c r="BA522" s="8"/>
      <c r="BB522" s="6"/>
      <c r="BC522" s="8"/>
      <c r="BD522" s="8"/>
      <c r="BE522" s="6"/>
      <c r="BF522" s="8"/>
      <c r="BG522" s="8"/>
      <c r="BH522" s="6"/>
      <c r="BI522" s="8"/>
      <c r="BJ522" s="8"/>
      <c r="BK522" s="6"/>
      <c r="BL522" s="8"/>
      <c r="BM522" s="8"/>
      <c r="BN522" s="6"/>
      <c r="BO522" s="8"/>
      <c r="BP522" s="8"/>
      <c r="BQ522" s="6"/>
      <c r="BR522" s="8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  <c r="GS522" s="7"/>
      <c r="GT522" s="7"/>
      <c r="GU522" s="7"/>
      <c r="GV522" s="7"/>
      <c r="GW522" s="7"/>
      <c r="GX522" s="7"/>
      <c r="GY522" s="7"/>
      <c r="GZ522" s="7"/>
      <c r="HA522" s="7"/>
      <c r="HB522" s="7"/>
      <c r="HC522" s="7"/>
      <c r="HD522" s="7"/>
      <c r="HE522" s="7"/>
      <c r="HF522" s="7"/>
      <c r="HG522" s="7"/>
      <c r="HH522" s="7"/>
      <c r="HI522" s="7"/>
      <c r="HJ522" s="7"/>
      <c r="HK522" s="7"/>
      <c r="HL522" s="7"/>
      <c r="HM522" s="7"/>
      <c r="HN522" s="7"/>
      <c r="HO522" s="7"/>
      <c r="HP522" s="7"/>
      <c r="HQ522" s="7"/>
      <c r="HR522" s="7"/>
      <c r="HS522" s="7"/>
      <c r="HT522" s="7"/>
      <c r="HU522" s="7"/>
      <c r="HV522" s="7"/>
      <c r="HW522" s="7"/>
      <c r="HX522" s="7"/>
      <c r="HY522" s="7"/>
      <c r="HZ522" s="7"/>
      <c r="IA522" s="7"/>
      <c r="IB522" s="7"/>
      <c r="IC522" s="7"/>
      <c r="ID522" s="7"/>
      <c r="IE522" s="7"/>
      <c r="IF522" s="7"/>
      <c r="IG522" s="7"/>
      <c r="IH522" s="7"/>
      <c r="II522" s="7"/>
      <c r="IJ522" s="7"/>
      <c r="IK522" s="7"/>
      <c r="IL522" s="7"/>
      <c r="IM522" s="7"/>
      <c r="IN522" s="7"/>
      <c r="IO522" s="7"/>
      <c r="IP522" s="7"/>
      <c r="IQ522" s="7"/>
      <c r="IR522" s="7"/>
      <c r="IS522" s="7"/>
      <c r="IT522" s="7"/>
      <c r="IU522" s="7"/>
      <c r="IV522" s="7"/>
      <c r="IW522" s="7"/>
      <c r="IX522" s="7"/>
      <c r="IY522" s="7"/>
      <c r="IZ522" s="7"/>
      <c r="JA522" s="7"/>
      <c r="JB522" s="7"/>
      <c r="JC522" s="7"/>
      <c r="JD522" s="7"/>
      <c r="JE522" s="7"/>
      <c r="JF522" s="7"/>
      <c r="JG522" s="7"/>
      <c r="JH522" s="7"/>
      <c r="JI522" s="7"/>
      <c r="JJ522" s="7"/>
      <c r="JK522" s="7"/>
      <c r="JL522" s="7"/>
      <c r="JM522" s="7"/>
      <c r="JN522" s="7"/>
      <c r="JO522" s="7"/>
      <c r="JP522" s="7"/>
      <c r="JQ522" s="7"/>
      <c r="JR522" s="7"/>
      <c r="JS522" s="7"/>
      <c r="JT522" s="7"/>
      <c r="JU522" s="7"/>
      <c r="JV522" s="7"/>
      <c r="JW522" s="7"/>
      <c r="JX522" s="7"/>
      <c r="JY522" s="7"/>
      <c r="JZ522" s="7"/>
      <c r="KA522" s="7"/>
      <c r="KB522" s="7"/>
      <c r="KC522" s="7"/>
      <c r="KD522" s="7"/>
      <c r="KE522" s="7"/>
      <c r="KF522" s="7"/>
      <c r="KG522" s="7"/>
      <c r="KH522" s="7"/>
      <c r="KI522" s="7"/>
      <c r="KJ522" s="7"/>
      <c r="KK522" s="7"/>
      <c r="KL522" s="7"/>
      <c r="KM522" s="7"/>
      <c r="KN522" s="7"/>
    </row>
    <row r="523">
      <c r="A523" s="6"/>
      <c r="B523" s="6" t="s">
        <v>523</v>
      </c>
      <c r="C523" s="3" t="str">
        <f t="shared" si="3"/>
        <v>pale gold</v>
      </c>
      <c r="D523" s="3" t="str">
        <f t="shared" si="17"/>
        <v>ZZZ</v>
      </c>
      <c r="E523" s="3" t="b">
        <f t="array" ref="E523">OR(ISNUMBER(SEARCH(D$2:D$30,$B523,5)))</f>
        <v>0</v>
      </c>
      <c r="G523" s="3" t="str">
        <f t="shared" si="4"/>
        <v>ZZZ</v>
      </c>
      <c r="H523" s="3" t="b">
        <f t="array" ref="H523">OR(ISNUMBER(SEARCH(G$2:G$30,$B523,5)))</f>
        <v>0</v>
      </c>
      <c r="J523" s="3" t="str">
        <f t="shared" si="5"/>
        <v>ZZZ</v>
      </c>
      <c r="K523" s="3" t="b">
        <f t="array" ref="K523">OR(ISNUMBER(SEARCH(J$2:J$30,$B523,5)))</f>
        <v>0</v>
      </c>
      <c r="M523" s="3" t="str">
        <f t="shared" si="6"/>
        <v>ZZZ</v>
      </c>
      <c r="N523" s="3" t="b">
        <f t="array" ref="N523">OR(ISNUMBER(SEARCH(M$2:M$30,$B523,5)))</f>
        <v>0</v>
      </c>
      <c r="P523" s="3" t="str">
        <f t="shared" si="7"/>
        <v>ZZZ</v>
      </c>
      <c r="Q523" s="3" t="b">
        <f t="array" ref="Q523">OR(ISNUMBER(SEARCH(P$2:P$50,$B523,5)))</f>
        <v>0</v>
      </c>
      <c r="S523" s="3" t="str">
        <f t="shared" si="8"/>
        <v>ZZZ</v>
      </c>
      <c r="T523" s="3" t="b">
        <f t="array" ref="T523">OR(ISNUMBER(SEARCH(S$2:S$100,$B523,5)))</f>
        <v>0</v>
      </c>
      <c r="V523" s="3" t="str">
        <f t="shared" si="9"/>
        <v>ZZZ</v>
      </c>
      <c r="W523" s="3" t="b">
        <f t="array" ref="W523">OR(ISNUMBER(SEARCH(V$2:V$100,$B523,5)))</f>
        <v>0</v>
      </c>
      <c r="Y523" s="3" t="str">
        <f t="shared" si="10"/>
        <v>ZZZ</v>
      </c>
      <c r="Z523" s="3" t="b">
        <f t="array" ref="Z523">OR(ISNUMBER(SEARCH(Y$2:Y$100,$B523,5)))</f>
        <v>0</v>
      </c>
      <c r="AB523" s="3" t="str">
        <f t="shared" si="11"/>
        <v>ZZZ</v>
      </c>
      <c r="AC523" s="3" t="b">
        <f t="array" ref="AC523">OR(ISNUMBER(SEARCH(AB$2:AB$100,$B523,5)))</f>
        <v>0</v>
      </c>
      <c r="AE523" s="3" t="str">
        <f t="shared" si="12"/>
        <v>ZZZ</v>
      </c>
      <c r="AF523" s="3" t="b">
        <f t="array" ref="AF523">OR(ISNUMBER(SEARCH(AE$2:AE$100,$B523,5)))</f>
        <v>0</v>
      </c>
      <c r="AH523" s="3" t="str">
        <f t="shared" si="13"/>
        <v>ZZZ</v>
      </c>
      <c r="AI523" s="3" t="b">
        <f t="array" ref="AI523">OR(ISNUMBER(SEARCH(AH$2:AH$100,$B523,5)))</f>
        <v>0</v>
      </c>
      <c r="AK523" s="3" t="str">
        <f t="shared" si="14"/>
        <v>ZZZ</v>
      </c>
      <c r="AL523" s="3" t="b">
        <f t="array" ref="AL523">OR(ISNUMBER(SEARCH(AK$2:AK$100,$B523,5)))</f>
        <v>0</v>
      </c>
      <c r="AU523" s="8"/>
      <c r="AV523" s="6"/>
      <c r="AW523" s="8"/>
      <c r="AX523" s="8"/>
      <c r="AY523" s="6"/>
      <c r="AZ523" s="8"/>
      <c r="BA523" s="8"/>
      <c r="BB523" s="6"/>
      <c r="BC523" s="8"/>
      <c r="BD523" s="8"/>
      <c r="BE523" s="6"/>
      <c r="BF523" s="8"/>
      <c r="BG523" s="8"/>
      <c r="BH523" s="6"/>
      <c r="BI523" s="8"/>
      <c r="BJ523" s="8"/>
      <c r="BK523" s="6"/>
      <c r="BL523" s="8"/>
      <c r="BM523" s="8"/>
      <c r="BN523" s="6"/>
      <c r="BO523" s="8"/>
      <c r="BP523" s="8"/>
      <c r="BQ523" s="6"/>
      <c r="BR523" s="8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  <c r="GS523" s="7"/>
      <c r="GT523" s="7"/>
      <c r="GU523" s="7"/>
      <c r="GV523" s="7"/>
      <c r="GW523" s="7"/>
      <c r="GX523" s="7"/>
      <c r="GY523" s="7"/>
      <c r="GZ523" s="7"/>
      <c r="HA523" s="7"/>
      <c r="HB523" s="7"/>
      <c r="HC523" s="7"/>
      <c r="HD523" s="7"/>
      <c r="HE523" s="7"/>
      <c r="HF523" s="7"/>
      <c r="HG523" s="7"/>
      <c r="HH523" s="7"/>
      <c r="HI523" s="7"/>
      <c r="HJ523" s="7"/>
      <c r="HK523" s="7"/>
      <c r="HL523" s="7"/>
      <c r="HM523" s="7"/>
      <c r="HN523" s="7"/>
      <c r="HO523" s="7"/>
      <c r="HP523" s="7"/>
      <c r="HQ523" s="7"/>
      <c r="HR523" s="7"/>
      <c r="HS523" s="7"/>
      <c r="HT523" s="7"/>
      <c r="HU523" s="7"/>
      <c r="HV523" s="7"/>
      <c r="HW523" s="7"/>
      <c r="HX523" s="7"/>
      <c r="HY523" s="7"/>
      <c r="HZ523" s="7"/>
      <c r="IA523" s="7"/>
      <c r="IB523" s="7"/>
      <c r="IC523" s="7"/>
      <c r="ID523" s="7"/>
      <c r="IE523" s="7"/>
      <c r="IF523" s="7"/>
      <c r="IG523" s="7"/>
      <c r="IH523" s="7"/>
      <c r="II523" s="7"/>
      <c r="IJ523" s="7"/>
      <c r="IK523" s="7"/>
      <c r="IL523" s="7"/>
      <c r="IM523" s="7"/>
      <c r="IN523" s="7"/>
      <c r="IO523" s="7"/>
      <c r="IP523" s="7"/>
      <c r="IQ523" s="7"/>
      <c r="IR523" s="7"/>
      <c r="IS523" s="7"/>
      <c r="IT523" s="7"/>
      <c r="IU523" s="7"/>
      <c r="IV523" s="7"/>
      <c r="IW523" s="7"/>
      <c r="IX523" s="7"/>
      <c r="IY523" s="7"/>
      <c r="IZ523" s="7"/>
      <c r="JA523" s="7"/>
      <c r="JB523" s="7"/>
      <c r="JC523" s="7"/>
      <c r="JD523" s="7"/>
      <c r="JE523" s="7"/>
      <c r="JF523" s="7"/>
      <c r="JG523" s="7"/>
      <c r="JH523" s="7"/>
      <c r="JI523" s="7"/>
      <c r="JJ523" s="7"/>
      <c r="JK523" s="7"/>
      <c r="JL523" s="7"/>
      <c r="JM523" s="7"/>
      <c r="JN523" s="7"/>
      <c r="JO523" s="7"/>
      <c r="JP523" s="7"/>
      <c r="JQ523" s="7"/>
      <c r="JR523" s="7"/>
      <c r="JS523" s="7"/>
      <c r="JT523" s="7"/>
      <c r="JU523" s="7"/>
      <c r="JV523" s="7"/>
      <c r="JW523" s="7"/>
      <c r="JX523" s="7"/>
      <c r="JY523" s="7"/>
      <c r="JZ523" s="7"/>
      <c r="KA523" s="7"/>
      <c r="KB523" s="7"/>
      <c r="KC523" s="7"/>
      <c r="KD523" s="7"/>
      <c r="KE523" s="7"/>
      <c r="KF523" s="7"/>
      <c r="KG523" s="7"/>
      <c r="KH523" s="7"/>
      <c r="KI523" s="7"/>
      <c r="KJ523" s="7"/>
      <c r="KK523" s="7"/>
      <c r="KL523" s="7"/>
      <c r="KM523" s="7"/>
      <c r="KN523" s="7"/>
    </row>
    <row r="524">
      <c r="A524" s="6"/>
      <c r="B524" s="6" t="s">
        <v>524</v>
      </c>
      <c r="C524" s="3" t="str">
        <f t="shared" si="3"/>
        <v>shiny cyan</v>
      </c>
      <c r="D524" s="3" t="str">
        <f t="shared" si="17"/>
        <v>ZZZ</v>
      </c>
      <c r="E524" s="3" t="b">
        <f t="array" ref="E524">OR(ISNUMBER(SEARCH(D$2:D$30,$B524,5)))</f>
        <v>0</v>
      </c>
      <c r="G524" s="3" t="str">
        <f t="shared" si="4"/>
        <v>ZZZ</v>
      </c>
      <c r="H524" s="3" t="b">
        <f t="array" ref="H524">OR(ISNUMBER(SEARCH(G$2:G$30,$B524,5)))</f>
        <v>0</v>
      </c>
      <c r="J524" s="3" t="str">
        <f t="shared" si="5"/>
        <v>ZZZ</v>
      </c>
      <c r="K524" s="3" t="b">
        <f t="array" ref="K524">OR(ISNUMBER(SEARCH(J$2:J$30,$B524,5)))</f>
        <v>0</v>
      </c>
      <c r="M524" s="3" t="str">
        <f t="shared" si="6"/>
        <v>ZZZ</v>
      </c>
      <c r="N524" s="3" t="b">
        <f t="array" ref="N524">OR(ISNUMBER(SEARCH(M$2:M$30,$B524,5)))</f>
        <v>0</v>
      </c>
      <c r="P524" s="3" t="str">
        <f t="shared" si="7"/>
        <v>ZZZ</v>
      </c>
      <c r="Q524" s="3" t="b">
        <f t="array" ref="Q524">OR(ISNUMBER(SEARCH(P$2:P$50,$B524,5)))</f>
        <v>0</v>
      </c>
      <c r="S524" s="3" t="str">
        <f t="shared" si="8"/>
        <v>ZZZ</v>
      </c>
      <c r="T524" s="3" t="b">
        <f t="array" ref="T524">OR(ISNUMBER(SEARCH(S$2:S$100,$B524,5)))</f>
        <v>0</v>
      </c>
      <c r="V524" s="3" t="str">
        <f t="shared" si="9"/>
        <v>ZZZ</v>
      </c>
      <c r="W524" s="3" t="b">
        <f t="array" ref="W524">OR(ISNUMBER(SEARCH(V$2:V$100,$B524,5)))</f>
        <v>0</v>
      </c>
      <c r="Y524" s="3" t="str">
        <f t="shared" si="10"/>
        <v>ZZZ</v>
      </c>
      <c r="Z524" s="3" t="b">
        <f t="array" ref="Z524">OR(ISNUMBER(SEARCH(Y$2:Y$100,$B524,5)))</f>
        <v>0</v>
      </c>
      <c r="AB524" s="3" t="str">
        <f t="shared" si="11"/>
        <v>ZZZ</v>
      </c>
      <c r="AC524" s="3" t="b">
        <f t="array" ref="AC524">OR(ISNUMBER(SEARCH(AB$2:AB$100,$B524,5)))</f>
        <v>0</v>
      </c>
      <c r="AE524" s="3" t="str">
        <f t="shared" si="12"/>
        <v>ZZZ</v>
      </c>
      <c r="AF524" s="3" t="b">
        <f t="array" ref="AF524">OR(ISNUMBER(SEARCH(AE$2:AE$100,$B524,5)))</f>
        <v>0</v>
      </c>
      <c r="AH524" s="3" t="str">
        <f t="shared" si="13"/>
        <v>ZZZ</v>
      </c>
      <c r="AI524" s="3" t="b">
        <f t="array" ref="AI524">OR(ISNUMBER(SEARCH(AH$2:AH$100,$B524,5)))</f>
        <v>0</v>
      </c>
      <c r="AK524" s="3" t="str">
        <f t="shared" si="14"/>
        <v>ZZZ</v>
      </c>
      <c r="AL524" s="3" t="b">
        <f t="array" ref="AL524">OR(ISNUMBER(SEARCH(AK$2:AK$100,$B524,5)))</f>
        <v>0</v>
      </c>
      <c r="AU524" s="8"/>
      <c r="AV524" s="6"/>
      <c r="AW524" s="8"/>
      <c r="AX524" s="8"/>
      <c r="AY524" s="6"/>
      <c r="AZ524" s="8"/>
      <c r="BA524" s="8"/>
      <c r="BB524" s="6"/>
      <c r="BC524" s="8"/>
      <c r="BD524" s="8"/>
      <c r="BE524" s="6"/>
      <c r="BF524" s="8"/>
      <c r="BG524" s="8"/>
      <c r="BH524" s="6"/>
      <c r="BI524" s="8"/>
      <c r="BJ524" s="8"/>
      <c r="BK524" s="6"/>
      <c r="BL524" s="8"/>
      <c r="BM524" s="8"/>
      <c r="BN524" s="6"/>
      <c r="BO524" s="8"/>
      <c r="BP524" s="8"/>
      <c r="BQ524" s="6"/>
      <c r="BR524" s="8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  <c r="GS524" s="7"/>
      <c r="GT524" s="7"/>
      <c r="GU524" s="7"/>
      <c r="GV524" s="7"/>
      <c r="GW524" s="7"/>
      <c r="GX524" s="7"/>
      <c r="GY524" s="7"/>
      <c r="GZ524" s="7"/>
      <c r="HA524" s="7"/>
      <c r="HB524" s="7"/>
      <c r="HC524" s="7"/>
      <c r="HD524" s="7"/>
      <c r="HE524" s="7"/>
      <c r="HF524" s="7"/>
      <c r="HG524" s="7"/>
      <c r="HH524" s="7"/>
      <c r="HI524" s="7"/>
      <c r="HJ524" s="7"/>
      <c r="HK524" s="7"/>
      <c r="HL524" s="7"/>
      <c r="HM524" s="7"/>
      <c r="HN524" s="7"/>
      <c r="HO524" s="7"/>
      <c r="HP524" s="7"/>
      <c r="HQ524" s="7"/>
      <c r="HR524" s="7"/>
      <c r="HS524" s="7"/>
      <c r="HT524" s="7"/>
      <c r="HU524" s="7"/>
      <c r="HV524" s="7"/>
      <c r="HW524" s="7"/>
      <c r="HX524" s="7"/>
      <c r="HY524" s="7"/>
      <c r="HZ524" s="7"/>
      <c r="IA524" s="7"/>
      <c r="IB524" s="7"/>
      <c r="IC524" s="7"/>
      <c r="ID524" s="7"/>
      <c r="IE524" s="7"/>
      <c r="IF524" s="7"/>
      <c r="IG524" s="7"/>
      <c r="IH524" s="7"/>
      <c r="II524" s="7"/>
      <c r="IJ524" s="7"/>
      <c r="IK524" s="7"/>
      <c r="IL524" s="7"/>
      <c r="IM524" s="7"/>
      <c r="IN524" s="7"/>
      <c r="IO524" s="7"/>
      <c r="IP524" s="7"/>
      <c r="IQ524" s="7"/>
      <c r="IR524" s="7"/>
      <c r="IS524" s="7"/>
      <c r="IT524" s="7"/>
      <c r="IU524" s="7"/>
      <c r="IV524" s="7"/>
      <c r="IW524" s="7"/>
      <c r="IX524" s="7"/>
      <c r="IY524" s="7"/>
      <c r="IZ524" s="7"/>
      <c r="JA524" s="7"/>
      <c r="JB524" s="7"/>
      <c r="JC524" s="7"/>
      <c r="JD524" s="7"/>
      <c r="JE524" s="7"/>
      <c r="JF524" s="7"/>
      <c r="JG524" s="7"/>
      <c r="JH524" s="7"/>
      <c r="JI524" s="7"/>
      <c r="JJ524" s="7"/>
      <c r="JK524" s="7"/>
      <c r="JL524" s="7"/>
      <c r="JM524" s="7"/>
      <c r="JN524" s="7"/>
      <c r="JO524" s="7"/>
      <c r="JP524" s="7"/>
      <c r="JQ524" s="7"/>
      <c r="JR524" s="7"/>
      <c r="JS524" s="7"/>
      <c r="JT524" s="7"/>
      <c r="JU524" s="7"/>
      <c r="JV524" s="7"/>
      <c r="JW524" s="7"/>
      <c r="JX524" s="7"/>
      <c r="JY524" s="7"/>
      <c r="JZ524" s="7"/>
      <c r="KA524" s="7"/>
      <c r="KB524" s="7"/>
      <c r="KC524" s="7"/>
      <c r="KD524" s="7"/>
      <c r="KE524" s="7"/>
      <c r="KF524" s="7"/>
      <c r="KG524" s="7"/>
      <c r="KH524" s="7"/>
      <c r="KI524" s="7"/>
      <c r="KJ524" s="7"/>
      <c r="KK524" s="7"/>
      <c r="KL524" s="7"/>
      <c r="KM524" s="7"/>
      <c r="KN524" s="7"/>
    </row>
    <row r="525">
      <c r="A525" s="6"/>
      <c r="B525" s="6" t="s">
        <v>525</v>
      </c>
      <c r="C525" s="3" t="str">
        <f t="shared" si="3"/>
        <v>dim salmon</v>
      </c>
      <c r="D525" s="3" t="str">
        <f t="shared" si="17"/>
        <v>ZZZ</v>
      </c>
      <c r="E525" s="3" t="b">
        <f t="array" ref="E525">OR(ISNUMBER(SEARCH(D$2:D$30,$B525,5)))</f>
        <v>0</v>
      </c>
      <c r="G525" s="3" t="str">
        <f t="shared" si="4"/>
        <v>ZZZ</v>
      </c>
      <c r="H525" s="3" t="b">
        <f t="array" ref="H525">OR(ISNUMBER(SEARCH(G$2:G$30,$B525,5)))</f>
        <v>0</v>
      </c>
      <c r="J525" s="3" t="str">
        <f t="shared" si="5"/>
        <v>ZZZ</v>
      </c>
      <c r="K525" s="3" t="b">
        <f t="array" ref="K525">OR(ISNUMBER(SEARCH(J$2:J$30,$B525,5)))</f>
        <v>0</v>
      </c>
      <c r="M525" s="3" t="str">
        <f t="shared" si="6"/>
        <v>ZZZ</v>
      </c>
      <c r="N525" s="3" t="b">
        <f t="array" ref="N525">OR(ISNUMBER(SEARCH(M$2:M$30,$B525,5)))</f>
        <v>0</v>
      </c>
      <c r="P525" s="3" t="str">
        <f t="shared" si="7"/>
        <v>ZZZ</v>
      </c>
      <c r="Q525" s="3" t="b">
        <f t="array" ref="Q525">OR(ISNUMBER(SEARCH(P$2:P$50,$B525,5)))</f>
        <v>0</v>
      </c>
      <c r="S525" s="3" t="str">
        <f t="shared" si="8"/>
        <v>ZZZ</v>
      </c>
      <c r="T525" s="3" t="b">
        <f t="array" ref="T525">OR(ISNUMBER(SEARCH(S$2:S$100,$B525,5)))</f>
        <v>0</v>
      </c>
      <c r="V525" s="3" t="str">
        <f t="shared" si="9"/>
        <v>ZZZ</v>
      </c>
      <c r="W525" s="3" t="b">
        <f t="array" ref="W525">OR(ISNUMBER(SEARCH(V$2:V$100,$B525,5)))</f>
        <v>0</v>
      </c>
      <c r="Y525" s="3" t="str">
        <f t="shared" si="10"/>
        <v>ZZZ</v>
      </c>
      <c r="Z525" s="3" t="b">
        <f t="array" ref="Z525">OR(ISNUMBER(SEARCH(Y$2:Y$100,$B525,5)))</f>
        <v>0</v>
      </c>
      <c r="AB525" s="3" t="str">
        <f t="shared" si="11"/>
        <v>ZZZ</v>
      </c>
      <c r="AC525" s="3" t="b">
        <f t="array" ref="AC525">OR(ISNUMBER(SEARCH(AB$2:AB$100,$B525,5)))</f>
        <v>0</v>
      </c>
      <c r="AE525" s="3" t="str">
        <f t="shared" si="12"/>
        <v>ZZZ</v>
      </c>
      <c r="AF525" s="3" t="b">
        <f t="array" ref="AF525">OR(ISNUMBER(SEARCH(AE$2:AE$100,$B525,5)))</f>
        <v>0</v>
      </c>
      <c r="AH525" s="3" t="str">
        <f t="shared" si="13"/>
        <v>ZZZ</v>
      </c>
      <c r="AI525" s="3" t="b">
        <f t="array" ref="AI525">OR(ISNUMBER(SEARCH(AH$2:AH$100,$B525,5)))</f>
        <v>0</v>
      </c>
      <c r="AK525" s="3" t="str">
        <f t="shared" si="14"/>
        <v>ZZZ</v>
      </c>
      <c r="AL525" s="3" t="b">
        <f t="array" ref="AL525">OR(ISNUMBER(SEARCH(AK$2:AK$100,$B525,5)))</f>
        <v>0</v>
      </c>
      <c r="AU525" s="8"/>
      <c r="AV525" s="6"/>
      <c r="AW525" s="8"/>
      <c r="AX525" s="8"/>
      <c r="AY525" s="6"/>
      <c r="AZ525" s="8"/>
      <c r="BA525" s="8"/>
      <c r="BB525" s="6"/>
      <c r="BC525" s="8"/>
      <c r="BD525" s="8"/>
      <c r="BE525" s="6"/>
      <c r="BF525" s="8"/>
      <c r="BG525" s="8"/>
      <c r="BH525" s="6"/>
      <c r="BI525" s="8"/>
      <c r="BJ525" s="8"/>
      <c r="BK525" s="6"/>
      <c r="BL525" s="8"/>
      <c r="BM525" s="8"/>
      <c r="BN525" s="6"/>
      <c r="BO525" s="8"/>
      <c r="BP525" s="8"/>
      <c r="BQ525" s="6"/>
      <c r="BR525" s="8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  <c r="GS525" s="7"/>
      <c r="GT525" s="7"/>
      <c r="GU525" s="7"/>
      <c r="GV525" s="7"/>
      <c r="GW525" s="7"/>
      <c r="GX525" s="7"/>
      <c r="GY525" s="7"/>
      <c r="GZ525" s="7"/>
      <c r="HA525" s="7"/>
      <c r="HB525" s="7"/>
      <c r="HC525" s="7"/>
      <c r="HD525" s="7"/>
      <c r="HE525" s="7"/>
      <c r="HF525" s="7"/>
      <c r="HG525" s="7"/>
      <c r="HH525" s="7"/>
      <c r="HI525" s="7"/>
      <c r="HJ525" s="7"/>
      <c r="HK525" s="7"/>
      <c r="HL525" s="7"/>
      <c r="HM525" s="7"/>
      <c r="HN525" s="7"/>
      <c r="HO525" s="7"/>
      <c r="HP525" s="7"/>
      <c r="HQ525" s="7"/>
      <c r="HR525" s="7"/>
      <c r="HS525" s="7"/>
      <c r="HT525" s="7"/>
      <c r="HU525" s="7"/>
      <c r="HV525" s="7"/>
      <c r="HW525" s="7"/>
      <c r="HX525" s="7"/>
      <c r="HY525" s="7"/>
      <c r="HZ525" s="7"/>
      <c r="IA525" s="7"/>
      <c r="IB525" s="7"/>
      <c r="IC525" s="7"/>
      <c r="ID525" s="7"/>
      <c r="IE525" s="7"/>
      <c r="IF525" s="7"/>
      <c r="IG525" s="7"/>
      <c r="IH525" s="7"/>
      <c r="II525" s="7"/>
      <c r="IJ525" s="7"/>
      <c r="IK525" s="7"/>
      <c r="IL525" s="7"/>
      <c r="IM525" s="7"/>
      <c r="IN525" s="7"/>
      <c r="IO525" s="7"/>
      <c r="IP525" s="7"/>
      <c r="IQ525" s="7"/>
      <c r="IR525" s="7"/>
      <c r="IS525" s="7"/>
      <c r="IT525" s="7"/>
      <c r="IU525" s="7"/>
      <c r="IV525" s="7"/>
      <c r="IW525" s="7"/>
      <c r="IX525" s="7"/>
      <c r="IY525" s="7"/>
      <c r="IZ525" s="7"/>
      <c r="JA525" s="7"/>
      <c r="JB525" s="7"/>
      <c r="JC525" s="7"/>
      <c r="JD525" s="7"/>
      <c r="JE525" s="7"/>
      <c r="JF525" s="7"/>
      <c r="JG525" s="7"/>
      <c r="JH525" s="7"/>
      <c r="JI525" s="7"/>
      <c r="JJ525" s="7"/>
      <c r="JK525" s="7"/>
      <c r="JL525" s="7"/>
      <c r="JM525" s="7"/>
      <c r="JN525" s="7"/>
      <c r="JO525" s="7"/>
      <c r="JP525" s="7"/>
      <c r="JQ525" s="7"/>
      <c r="JR525" s="7"/>
      <c r="JS525" s="7"/>
      <c r="JT525" s="7"/>
      <c r="JU525" s="7"/>
      <c r="JV525" s="7"/>
      <c r="JW525" s="7"/>
      <c r="JX525" s="7"/>
      <c r="JY525" s="7"/>
      <c r="JZ525" s="7"/>
      <c r="KA525" s="7"/>
      <c r="KB525" s="7"/>
      <c r="KC525" s="7"/>
      <c r="KD525" s="7"/>
      <c r="KE525" s="7"/>
      <c r="KF525" s="7"/>
      <c r="KG525" s="7"/>
      <c r="KH525" s="7"/>
      <c r="KI525" s="7"/>
      <c r="KJ525" s="7"/>
      <c r="KK525" s="7"/>
      <c r="KL525" s="7"/>
      <c r="KM525" s="7"/>
      <c r="KN525" s="7"/>
    </row>
    <row r="526">
      <c r="A526" s="6"/>
      <c r="B526" s="6" t="s">
        <v>526</v>
      </c>
      <c r="C526" s="3" t="str">
        <f t="shared" si="3"/>
        <v>dark crimson</v>
      </c>
      <c r="D526" s="3" t="str">
        <f t="shared" si="17"/>
        <v>ZZZ</v>
      </c>
      <c r="E526" s="3" t="b">
        <f t="array" ref="E526">OR(ISNUMBER(SEARCH(D$2:D$30,$B526,5)))</f>
        <v>0</v>
      </c>
      <c r="G526" s="3" t="str">
        <f t="shared" si="4"/>
        <v>ZZZ</v>
      </c>
      <c r="H526" s="3" t="b">
        <f t="array" ref="H526">OR(ISNUMBER(SEARCH(G$2:G$30,$B526,5)))</f>
        <v>0</v>
      </c>
      <c r="J526" s="3" t="str">
        <f t="shared" si="5"/>
        <v>ZZZ</v>
      </c>
      <c r="K526" s="3" t="b">
        <f t="array" ref="K526">OR(ISNUMBER(SEARCH(J$2:J$30,$B526,5)))</f>
        <v>0</v>
      </c>
      <c r="M526" s="3" t="str">
        <f t="shared" si="6"/>
        <v>ZZZ</v>
      </c>
      <c r="N526" s="3" t="b">
        <f t="array" ref="N526">OR(ISNUMBER(SEARCH(M$2:M$30,$B526,5)))</f>
        <v>0</v>
      </c>
      <c r="P526" s="3" t="str">
        <f t="shared" si="7"/>
        <v>ZZZ</v>
      </c>
      <c r="Q526" s="3" t="b">
        <f t="array" ref="Q526">OR(ISNUMBER(SEARCH(P$2:P$50,$B526,5)))</f>
        <v>0</v>
      </c>
      <c r="S526" s="3" t="str">
        <f t="shared" si="8"/>
        <v>ZZZ</v>
      </c>
      <c r="T526" s="3" t="b">
        <f t="array" ref="T526">OR(ISNUMBER(SEARCH(S$2:S$100,$B526,5)))</f>
        <v>0</v>
      </c>
      <c r="V526" s="3" t="str">
        <f t="shared" si="9"/>
        <v>ZZZ</v>
      </c>
      <c r="W526" s="3" t="b">
        <f t="array" ref="W526">OR(ISNUMBER(SEARCH(V$2:V$100,$B526,5)))</f>
        <v>0</v>
      </c>
      <c r="Y526" s="3" t="str">
        <f t="shared" si="10"/>
        <v>ZZZ</v>
      </c>
      <c r="Z526" s="3" t="b">
        <f t="array" ref="Z526">OR(ISNUMBER(SEARCH(Y$2:Y$100,$B526,5)))</f>
        <v>0</v>
      </c>
      <c r="AB526" s="3" t="str">
        <f t="shared" si="11"/>
        <v>ZZZ</v>
      </c>
      <c r="AC526" s="3" t="b">
        <f t="array" ref="AC526">OR(ISNUMBER(SEARCH(AB$2:AB$100,$B526,5)))</f>
        <v>0</v>
      </c>
      <c r="AE526" s="3" t="str">
        <f t="shared" si="12"/>
        <v>ZZZ</v>
      </c>
      <c r="AF526" s="3" t="b">
        <f t="array" ref="AF526">OR(ISNUMBER(SEARCH(AE$2:AE$100,$B526,5)))</f>
        <v>0</v>
      </c>
      <c r="AH526" s="3" t="str">
        <f t="shared" si="13"/>
        <v>ZZZ</v>
      </c>
      <c r="AI526" s="3" t="b">
        <f t="array" ref="AI526">OR(ISNUMBER(SEARCH(AH$2:AH$100,$B526,5)))</f>
        <v>0</v>
      </c>
      <c r="AK526" s="3" t="str">
        <f t="shared" si="14"/>
        <v>ZZZ</v>
      </c>
      <c r="AL526" s="3" t="b">
        <f t="array" ref="AL526">OR(ISNUMBER(SEARCH(AK$2:AK$100,$B526,5)))</f>
        <v>0</v>
      </c>
      <c r="AU526" s="8"/>
      <c r="AV526" s="6"/>
      <c r="AW526" s="8"/>
      <c r="AX526" s="8"/>
      <c r="AY526" s="6"/>
      <c r="AZ526" s="8"/>
      <c r="BA526" s="8"/>
      <c r="BB526" s="6"/>
      <c r="BC526" s="8"/>
      <c r="BD526" s="8"/>
      <c r="BE526" s="6"/>
      <c r="BF526" s="8"/>
      <c r="BG526" s="8"/>
      <c r="BH526" s="6"/>
      <c r="BI526" s="8"/>
      <c r="BJ526" s="8"/>
      <c r="BK526" s="6"/>
      <c r="BL526" s="8"/>
      <c r="BM526" s="8"/>
      <c r="BN526" s="6"/>
      <c r="BO526" s="8"/>
      <c r="BP526" s="8"/>
      <c r="BQ526" s="6"/>
      <c r="BR526" s="8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  <c r="GB526" s="7"/>
      <c r="GC526" s="7"/>
      <c r="GD526" s="7"/>
      <c r="GE526" s="7"/>
      <c r="GF526" s="7"/>
      <c r="GG526" s="7"/>
      <c r="GH526" s="7"/>
      <c r="GI526" s="7"/>
      <c r="GJ526" s="7"/>
      <c r="GK526" s="7"/>
      <c r="GL526" s="7"/>
      <c r="GM526" s="7"/>
      <c r="GN526" s="7"/>
      <c r="GO526" s="7"/>
      <c r="GP526" s="7"/>
      <c r="GQ526" s="7"/>
      <c r="GR526" s="7"/>
      <c r="GS526" s="7"/>
      <c r="GT526" s="7"/>
      <c r="GU526" s="7"/>
      <c r="GV526" s="7"/>
      <c r="GW526" s="7"/>
      <c r="GX526" s="7"/>
      <c r="GY526" s="7"/>
      <c r="GZ526" s="7"/>
      <c r="HA526" s="7"/>
      <c r="HB526" s="7"/>
      <c r="HC526" s="7"/>
      <c r="HD526" s="7"/>
      <c r="HE526" s="7"/>
      <c r="HF526" s="7"/>
      <c r="HG526" s="7"/>
      <c r="HH526" s="7"/>
      <c r="HI526" s="7"/>
      <c r="HJ526" s="7"/>
      <c r="HK526" s="7"/>
      <c r="HL526" s="7"/>
      <c r="HM526" s="7"/>
      <c r="HN526" s="7"/>
      <c r="HO526" s="7"/>
      <c r="HP526" s="7"/>
      <c r="HQ526" s="7"/>
      <c r="HR526" s="7"/>
      <c r="HS526" s="7"/>
      <c r="HT526" s="7"/>
      <c r="HU526" s="7"/>
      <c r="HV526" s="7"/>
      <c r="HW526" s="7"/>
      <c r="HX526" s="7"/>
      <c r="HY526" s="7"/>
      <c r="HZ526" s="7"/>
      <c r="IA526" s="7"/>
      <c r="IB526" s="7"/>
      <c r="IC526" s="7"/>
      <c r="ID526" s="7"/>
      <c r="IE526" s="7"/>
      <c r="IF526" s="7"/>
      <c r="IG526" s="7"/>
      <c r="IH526" s="7"/>
      <c r="II526" s="7"/>
      <c r="IJ526" s="7"/>
      <c r="IK526" s="7"/>
      <c r="IL526" s="7"/>
      <c r="IM526" s="7"/>
      <c r="IN526" s="7"/>
      <c r="IO526" s="7"/>
      <c r="IP526" s="7"/>
      <c r="IQ526" s="7"/>
      <c r="IR526" s="7"/>
      <c r="IS526" s="7"/>
      <c r="IT526" s="7"/>
      <c r="IU526" s="7"/>
      <c r="IV526" s="7"/>
      <c r="IW526" s="7"/>
      <c r="IX526" s="7"/>
      <c r="IY526" s="7"/>
      <c r="IZ526" s="7"/>
      <c r="JA526" s="7"/>
      <c r="JB526" s="7"/>
      <c r="JC526" s="7"/>
      <c r="JD526" s="7"/>
      <c r="JE526" s="7"/>
      <c r="JF526" s="7"/>
      <c r="JG526" s="7"/>
      <c r="JH526" s="7"/>
      <c r="JI526" s="7"/>
      <c r="JJ526" s="7"/>
      <c r="JK526" s="7"/>
      <c r="JL526" s="7"/>
      <c r="JM526" s="7"/>
      <c r="JN526" s="7"/>
      <c r="JO526" s="7"/>
      <c r="JP526" s="7"/>
      <c r="JQ526" s="7"/>
      <c r="JR526" s="7"/>
      <c r="JS526" s="7"/>
      <c r="JT526" s="7"/>
      <c r="JU526" s="7"/>
      <c r="JV526" s="7"/>
      <c r="JW526" s="7"/>
      <c r="JX526" s="7"/>
      <c r="JY526" s="7"/>
      <c r="JZ526" s="7"/>
      <c r="KA526" s="7"/>
      <c r="KB526" s="7"/>
      <c r="KC526" s="7"/>
      <c r="KD526" s="7"/>
      <c r="KE526" s="7"/>
      <c r="KF526" s="7"/>
      <c r="KG526" s="7"/>
      <c r="KH526" s="7"/>
      <c r="KI526" s="7"/>
      <c r="KJ526" s="7"/>
      <c r="KK526" s="7"/>
      <c r="KL526" s="7"/>
      <c r="KM526" s="7"/>
      <c r="KN526" s="7"/>
    </row>
    <row r="527">
      <c r="A527" s="6"/>
      <c r="B527" s="6" t="s">
        <v>527</v>
      </c>
      <c r="C527" s="3" t="str">
        <f t="shared" si="3"/>
        <v>vibrant gold</v>
      </c>
      <c r="D527" s="3" t="str">
        <f t="shared" si="17"/>
        <v>ZZZ</v>
      </c>
      <c r="E527" s="3" t="b">
        <f t="array" ref="E527">OR(ISNUMBER(SEARCH(D$2:D$30,$B527,5)))</f>
        <v>0</v>
      </c>
      <c r="G527" s="3" t="str">
        <f t="shared" si="4"/>
        <v>ZZZ</v>
      </c>
      <c r="H527" s="3" t="b">
        <f t="array" ref="H527">OR(ISNUMBER(SEARCH(G$2:G$30,$B527,5)))</f>
        <v>0</v>
      </c>
      <c r="J527" s="3" t="str">
        <f t="shared" si="5"/>
        <v>ZZZ</v>
      </c>
      <c r="K527" s="3" t="b">
        <f t="array" ref="K527">OR(ISNUMBER(SEARCH(J$2:J$30,$B527,5)))</f>
        <v>0</v>
      </c>
      <c r="M527" s="3" t="str">
        <f t="shared" si="6"/>
        <v>ZZZ</v>
      </c>
      <c r="N527" s="3" t="b">
        <f t="array" ref="N527">OR(ISNUMBER(SEARCH(M$2:M$30,$B527,5)))</f>
        <v>0</v>
      </c>
      <c r="P527" s="3" t="str">
        <f t="shared" si="7"/>
        <v>ZZZ</v>
      </c>
      <c r="Q527" s="3" t="b">
        <f t="array" ref="Q527">OR(ISNUMBER(SEARCH(P$2:P$50,$B527,5)))</f>
        <v>0</v>
      </c>
      <c r="S527" s="3" t="str">
        <f t="shared" si="8"/>
        <v>ZZZ</v>
      </c>
      <c r="T527" s="3" t="b">
        <f t="array" ref="T527">OR(ISNUMBER(SEARCH(S$2:S$100,$B527,5)))</f>
        <v>1</v>
      </c>
      <c r="V527" s="3" t="str">
        <f t="shared" si="9"/>
        <v>ZZZ</v>
      </c>
      <c r="W527" s="3" t="b">
        <f t="array" ref="W527">OR(ISNUMBER(SEARCH(V$2:V$100,$B527,5)))</f>
        <v>0</v>
      </c>
      <c r="Y527" s="3" t="str">
        <f t="shared" si="10"/>
        <v>ZZZ</v>
      </c>
      <c r="Z527" s="3" t="b">
        <f t="array" ref="Z527">OR(ISNUMBER(SEARCH(Y$2:Y$100,$B527,5)))</f>
        <v>0</v>
      </c>
      <c r="AB527" s="3" t="str">
        <f t="shared" si="11"/>
        <v>ZZZ</v>
      </c>
      <c r="AC527" s="3" t="b">
        <f t="array" ref="AC527">OR(ISNUMBER(SEARCH(AB$2:AB$100,$B527,5)))</f>
        <v>0</v>
      </c>
      <c r="AE527" s="3" t="str">
        <f t="shared" si="12"/>
        <v>ZZZ</v>
      </c>
      <c r="AF527" s="3" t="b">
        <f t="array" ref="AF527">OR(ISNUMBER(SEARCH(AE$2:AE$100,$B527,5)))</f>
        <v>1</v>
      </c>
      <c r="AH527" s="3" t="str">
        <f t="shared" si="13"/>
        <v>ZZZ</v>
      </c>
      <c r="AI527" s="3" t="b">
        <f t="array" ref="AI527">OR(ISNUMBER(SEARCH(AH$2:AH$100,$B527,5)))</f>
        <v>0</v>
      </c>
      <c r="AK527" s="3" t="str">
        <f t="shared" si="14"/>
        <v>ZZZ</v>
      </c>
      <c r="AL527" s="3" t="b">
        <f t="array" ref="AL527">OR(ISNUMBER(SEARCH(AK$2:AK$100,$B527,5)))</f>
        <v>0</v>
      </c>
      <c r="AU527" s="8"/>
      <c r="AV527" s="6"/>
      <c r="AW527" s="8"/>
      <c r="AX527" s="8"/>
      <c r="AY527" s="6"/>
      <c r="AZ527" s="8"/>
      <c r="BA527" s="8"/>
      <c r="BB527" s="6"/>
      <c r="BC527" s="8"/>
      <c r="BD527" s="8"/>
      <c r="BE527" s="6"/>
      <c r="BF527" s="8"/>
      <c r="BG527" s="8"/>
      <c r="BH527" s="6"/>
      <c r="BI527" s="8"/>
      <c r="BJ527" s="8"/>
      <c r="BK527" s="6"/>
      <c r="BL527" s="8"/>
      <c r="BM527" s="8"/>
      <c r="BN527" s="6"/>
      <c r="BO527" s="8"/>
      <c r="BP527" s="8"/>
      <c r="BQ527" s="6"/>
      <c r="BR527" s="8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7"/>
      <c r="GE527" s="7"/>
      <c r="GF527" s="7"/>
      <c r="GG527" s="7"/>
      <c r="GH527" s="7"/>
      <c r="GI527" s="7"/>
      <c r="GJ527" s="7"/>
      <c r="GK527" s="7"/>
      <c r="GL527" s="7"/>
      <c r="GM527" s="7"/>
      <c r="GN527" s="7"/>
      <c r="GO527" s="7"/>
      <c r="GP527" s="7"/>
      <c r="GQ527" s="7"/>
      <c r="GR527" s="7"/>
      <c r="GS527" s="7"/>
      <c r="GT527" s="7"/>
      <c r="GU527" s="7"/>
      <c r="GV527" s="7"/>
      <c r="GW527" s="7"/>
      <c r="GX527" s="7"/>
      <c r="GY527" s="7"/>
      <c r="GZ527" s="7"/>
      <c r="HA527" s="7"/>
      <c r="HB527" s="7"/>
      <c r="HC527" s="7"/>
      <c r="HD527" s="7"/>
      <c r="HE527" s="7"/>
      <c r="HF527" s="7"/>
      <c r="HG527" s="7"/>
      <c r="HH527" s="7"/>
      <c r="HI527" s="7"/>
      <c r="HJ527" s="7"/>
      <c r="HK527" s="7"/>
      <c r="HL527" s="7"/>
      <c r="HM527" s="7"/>
      <c r="HN527" s="7"/>
      <c r="HO527" s="7"/>
      <c r="HP527" s="7"/>
      <c r="HQ527" s="7"/>
      <c r="HR527" s="7"/>
      <c r="HS527" s="7"/>
      <c r="HT527" s="7"/>
      <c r="HU527" s="7"/>
      <c r="HV527" s="7"/>
      <c r="HW527" s="7"/>
      <c r="HX527" s="7"/>
      <c r="HY527" s="7"/>
      <c r="HZ527" s="7"/>
      <c r="IA527" s="7"/>
      <c r="IB527" s="7"/>
      <c r="IC527" s="7"/>
      <c r="ID527" s="7"/>
      <c r="IE527" s="7"/>
      <c r="IF527" s="7"/>
      <c r="IG527" s="7"/>
      <c r="IH527" s="7"/>
      <c r="II527" s="7"/>
      <c r="IJ527" s="7"/>
      <c r="IK527" s="7"/>
      <c r="IL527" s="7"/>
      <c r="IM527" s="7"/>
      <c r="IN527" s="7"/>
      <c r="IO527" s="7"/>
      <c r="IP527" s="7"/>
      <c r="IQ527" s="7"/>
      <c r="IR527" s="7"/>
      <c r="IS527" s="7"/>
      <c r="IT527" s="7"/>
      <c r="IU527" s="7"/>
      <c r="IV527" s="7"/>
      <c r="IW527" s="7"/>
      <c r="IX527" s="7"/>
      <c r="IY527" s="7"/>
      <c r="IZ527" s="7"/>
      <c r="JA527" s="7"/>
      <c r="JB527" s="7"/>
      <c r="JC527" s="7"/>
      <c r="JD527" s="7"/>
      <c r="JE527" s="7"/>
      <c r="JF527" s="7"/>
      <c r="JG527" s="7"/>
      <c r="JH527" s="7"/>
      <c r="JI527" s="7"/>
      <c r="JJ527" s="7"/>
      <c r="JK527" s="7"/>
      <c r="JL527" s="7"/>
      <c r="JM527" s="7"/>
      <c r="JN527" s="7"/>
      <c r="JO527" s="7"/>
      <c r="JP527" s="7"/>
      <c r="JQ527" s="7"/>
      <c r="JR527" s="7"/>
      <c r="JS527" s="7"/>
      <c r="JT527" s="7"/>
      <c r="JU527" s="7"/>
      <c r="JV527" s="7"/>
      <c r="JW527" s="7"/>
      <c r="JX527" s="7"/>
      <c r="JY527" s="7"/>
      <c r="JZ527" s="7"/>
      <c r="KA527" s="7"/>
      <c r="KB527" s="7"/>
      <c r="KC527" s="7"/>
      <c r="KD527" s="7"/>
      <c r="KE527" s="7"/>
      <c r="KF527" s="7"/>
      <c r="KG527" s="7"/>
      <c r="KH527" s="7"/>
      <c r="KI527" s="7"/>
      <c r="KJ527" s="7"/>
      <c r="KK527" s="7"/>
      <c r="KL527" s="7"/>
      <c r="KM527" s="7"/>
      <c r="KN527" s="7"/>
    </row>
    <row r="528">
      <c r="A528" s="6"/>
      <c r="B528" s="6" t="s">
        <v>528</v>
      </c>
      <c r="C528" s="3" t="str">
        <f t="shared" si="3"/>
        <v>faded magenta</v>
      </c>
      <c r="D528" s="3" t="str">
        <f t="shared" si="17"/>
        <v>ZZZ</v>
      </c>
      <c r="E528" s="3" t="b">
        <f t="array" ref="E528">OR(ISNUMBER(SEARCH(D$2:D$30,$B528,5)))</f>
        <v>0</v>
      </c>
      <c r="G528" s="3" t="str">
        <f t="shared" si="4"/>
        <v>ZZZ</v>
      </c>
      <c r="H528" s="3" t="b">
        <f t="array" ref="H528">OR(ISNUMBER(SEARCH(G$2:G$30,$B528,5)))</f>
        <v>0</v>
      </c>
      <c r="J528" s="3" t="str">
        <f t="shared" si="5"/>
        <v>ZZZ</v>
      </c>
      <c r="K528" s="3" t="b">
        <f t="array" ref="K528">OR(ISNUMBER(SEARCH(J$2:J$30,$B528,5)))</f>
        <v>0</v>
      </c>
      <c r="M528" s="3" t="str">
        <f t="shared" si="6"/>
        <v>ZZZ</v>
      </c>
      <c r="N528" s="3" t="b">
        <f t="array" ref="N528">OR(ISNUMBER(SEARCH(M$2:M$30,$B528,5)))</f>
        <v>0</v>
      </c>
      <c r="P528" s="3" t="str">
        <f t="shared" si="7"/>
        <v>ZZZ</v>
      </c>
      <c r="Q528" s="3" t="b">
        <f t="array" ref="Q528">OR(ISNUMBER(SEARCH(P$2:P$50,$B528,5)))</f>
        <v>0</v>
      </c>
      <c r="S528" s="3" t="str">
        <f t="shared" si="8"/>
        <v>ZZZ</v>
      </c>
      <c r="T528" s="3" t="b">
        <f t="array" ref="T528">OR(ISNUMBER(SEARCH(S$2:S$100,$B528,5)))</f>
        <v>0</v>
      </c>
      <c r="V528" s="3" t="str">
        <f t="shared" si="9"/>
        <v>ZZZ</v>
      </c>
      <c r="W528" s="3" t="b">
        <f t="array" ref="W528">OR(ISNUMBER(SEARCH(V$2:V$100,$B528,5)))</f>
        <v>0</v>
      </c>
      <c r="Y528" s="3" t="str">
        <f t="shared" si="10"/>
        <v>ZZZ</v>
      </c>
      <c r="Z528" s="3" t="b">
        <f t="array" ref="Z528">OR(ISNUMBER(SEARCH(Y$2:Y$100,$B528,5)))</f>
        <v>0</v>
      </c>
      <c r="AB528" s="3" t="str">
        <f t="shared" si="11"/>
        <v>ZZZ</v>
      </c>
      <c r="AC528" s="3" t="b">
        <f t="array" ref="AC528">OR(ISNUMBER(SEARCH(AB$2:AB$100,$B528,5)))</f>
        <v>0</v>
      </c>
      <c r="AE528" s="3" t="str">
        <f t="shared" si="12"/>
        <v>ZZZ</v>
      </c>
      <c r="AF528" s="3" t="b">
        <f t="array" ref="AF528">OR(ISNUMBER(SEARCH(AE$2:AE$100,$B528,5)))</f>
        <v>0</v>
      </c>
      <c r="AH528" s="3" t="str">
        <f t="shared" si="13"/>
        <v>ZZZ</v>
      </c>
      <c r="AI528" s="3" t="b">
        <f t="array" ref="AI528">OR(ISNUMBER(SEARCH(AH$2:AH$100,$B528,5)))</f>
        <v>0</v>
      </c>
      <c r="AK528" s="3" t="str">
        <f t="shared" si="14"/>
        <v>ZZZ</v>
      </c>
      <c r="AL528" s="3" t="b">
        <f t="array" ref="AL528">OR(ISNUMBER(SEARCH(AK$2:AK$100,$B528,5)))</f>
        <v>0</v>
      </c>
      <c r="AU528" s="8"/>
      <c r="AV528" s="6"/>
      <c r="AW528" s="8"/>
      <c r="AX528" s="8"/>
      <c r="AY528" s="6"/>
      <c r="AZ528" s="8"/>
      <c r="BA528" s="8"/>
      <c r="BB528" s="6"/>
      <c r="BC528" s="8"/>
      <c r="BD528" s="8"/>
      <c r="BE528" s="6"/>
      <c r="BF528" s="8"/>
      <c r="BG528" s="8"/>
      <c r="BH528" s="6"/>
      <c r="BI528" s="8"/>
      <c r="BJ528" s="8"/>
      <c r="BK528" s="6"/>
      <c r="BL528" s="8"/>
      <c r="BM528" s="8"/>
      <c r="BN528" s="6"/>
      <c r="BO528" s="8"/>
      <c r="BP528" s="8"/>
      <c r="BQ528" s="6"/>
      <c r="BR528" s="8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F528" s="7"/>
      <c r="FG528" s="7"/>
      <c r="FH528" s="7"/>
      <c r="FI528" s="7"/>
      <c r="FJ528" s="7"/>
      <c r="FK528" s="7"/>
      <c r="FL528" s="7"/>
      <c r="FM528" s="7"/>
      <c r="FN528" s="7"/>
      <c r="FO528" s="7"/>
      <c r="FP528" s="7"/>
      <c r="FQ528" s="7"/>
      <c r="FR528" s="7"/>
      <c r="FS528" s="7"/>
      <c r="FT528" s="7"/>
      <c r="FU528" s="7"/>
      <c r="FV528" s="7"/>
      <c r="FW528" s="7"/>
      <c r="FX528" s="7"/>
      <c r="FY528" s="7"/>
      <c r="FZ528" s="7"/>
      <c r="GA528" s="7"/>
      <c r="GB528" s="7"/>
      <c r="GC528" s="7"/>
      <c r="GD528" s="7"/>
      <c r="GE528" s="7"/>
      <c r="GF528" s="7"/>
      <c r="GG528" s="7"/>
      <c r="GH528" s="7"/>
      <c r="GI528" s="7"/>
      <c r="GJ528" s="7"/>
      <c r="GK528" s="7"/>
      <c r="GL528" s="7"/>
      <c r="GM528" s="7"/>
      <c r="GN528" s="7"/>
      <c r="GO528" s="7"/>
      <c r="GP528" s="7"/>
      <c r="GQ528" s="7"/>
      <c r="GR528" s="7"/>
      <c r="GS528" s="7"/>
      <c r="GT528" s="7"/>
      <c r="GU528" s="7"/>
      <c r="GV528" s="7"/>
      <c r="GW528" s="7"/>
      <c r="GX528" s="7"/>
      <c r="GY528" s="7"/>
      <c r="GZ528" s="7"/>
      <c r="HA528" s="7"/>
      <c r="HB528" s="7"/>
      <c r="HC528" s="7"/>
      <c r="HD528" s="7"/>
      <c r="HE528" s="7"/>
      <c r="HF528" s="7"/>
      <c r="HG528" s="7"/>
      <c r="HH528" s="7"/>
      <c r="HI528" s="7"/>
      <c r="HJ528" s="7"/>
      <c r="HK528" s="7"/>
      <c r="HL528" s="7"/>
      <c r="HM528" s="7"/>
      <c r="HN528" s="7"/>
      <c r="HO528" s="7"/>
      <c r="HP528" s="7"/>
      <c r="HQ528" s="7"/>
      <c r="HR528" s="7"/>
      <c r="HS528" s="7"/>
      <c r="HT528" s="7"/>
      <c r="HU528" s="7"/>
      <c r="HV528" s="7"/>
      <c r="HW528" s="7"/>
      <c r="HX528" s="7"/>
      <c r="HY528" s="7"/>
      <c r="HZ528" s="7"/>
      <c r="IA528" s="7"/>
      <c r="IB528" s="7"/>
      <c r="IC528" s="7"/>
      <c r="ID528" s="7"/>
      <c r="IE528" s="7"/>
      <c r="IF528" s="7"/>
      <c r="IG528" s="7"/>
      <c r="IH528" s="7"/>
      <c r="II528" s="7"/>
      <c r="IJ528" s="7"/>
      <c r="IK528" s="7"/>
      <c r="IL528" s="7"/>
      <c r="IM528" s="7"/>
      <c r="IN528" s="7"/>
      <c r="IO528" s="7"/>
      <c r="IP528" s="7"/>
      <c r="IQ528" s="7"/>
      <c r="IR528" s="7"/>
      <c r="IS528" s="7"/>
      <c r="IT528" s="7"/>
      <c r="IU528" s="7"/>
      <c r="IV528" s="7"/>
      <c r="IW528" s="7"/>
      <c r="IX528" s="7"/>
      <c r="IY528" s="7"/>
      <c r="IZ528" s="7"/>
      <c r="JA528" s="7"/>
      <c r="JB528" s="7"/>
      <c r="JC528" s="7"/>
      <c r="JD528" s="7"/>
      <c r="JE528" s="7"/>
      <c r="JF528" s="7"/>
      <c r="JG528" s="7"/>
      <c r="JH528" s="7"/>
      <c r="JI528" s="7"/>
      <c r="JJ528" s="7"/>
      <c r="JK528" s="7"/>
      <c r="JL528" s="7"/>
      <c r="JM528" s="7"/>
      <c r="JN528" s="7"/>
      <c r="JO528" s="7"/>
      <c r="JP528" s="7"/>
      <c r="JQ528" s="7"/>
      <c r="JR528" s="7"/>
      <c r="JS528" s="7"/>
      <c r="JT528" s="7"/>
      <c r="JU528" s="7"/>
      <c r="JV528" s="7"/>
      <c r="JW528" s="7"/>
      <c r="JX528" s="7"/>
      <c r="JY528" s="7"/>
      <c r="JZ528" s="7"/>
      <c r="KA528" s="7"/>
      <c r="KB528" s="7"/>
      <c r="KC528" s="7"/>
      <c r="KD528" s="7"/>
      <c r="KE528" s="7"/>
      <c r="KF528" s="7"/>
      <c r="KG528" s="7"/>
      <c r="KH528" s="7"/>
      <c r="KI528" s="7"/>
      <c r="KJ528" s="7"/>
      <c r="KK528" s="7"/>
      <c r="KL528" s="7"/>
      <c r="KM528" s="7"/>
      <c r="KN528" s="7"/>
    </row>
    <row r="529">
      <c r="A529" s="6"/>
      <c r="B529" s="6" t="s">
        <v>529</v>
      </c>
      <c r="C529" s="3" t="str">
        <f t="shared" si="3"/>
        <v>drab black</v>
      </c>
      <c r="D529" s="3" t="str">
        <f t="shared" si="17"/>
        <v>ZZZ</v>
      </c>
      <c r="E529" s="3" t="b">
        <f t="array" ref="E529">OR(ISNUMBER(SEARCH(D$2:D$30,$B529,5)))</f>
        <v>0</v>
      </c>
      <c r="G529" s="3" t="str">
        <f t="shared" si="4"/>
        <v>ZZZ</v>
      </c>
      <c r="H529" s="3" t="b">
        <f t="array" ref="H529">OR(ISNUMBER(SEARCH(G$2:G$30,$B529,5)))</f>
        <v>0</v>
      </c>
      <c r="J529" s="3" t="str">
        <f t="shared" si="5"/>
        <v>ZZZ</v>
      </c>
      <c r="K529" s="3" t="b">
        <f t="array" ref="K529">OR(ISNUMBER(SEARCH(J$2:J$30,$B529,5)))</f>
        <v>1</v>
      </c>
      <c r="M529" s="3" t="str">
        <f t="shared" si="6"/>
        <v>ZZZ</v>
      </c>
      <c r="N529" s="3" t="b">
        <f t="array" ref="N529">OR(ISNUMBER(SEARCH(M$2:M$30,$B529,5)))</f>
        <v>0</v>
      </c>
      <c r="P529" s="3" t="str">
        <f t="shared" si="7"/>
        <v>ZZZ</v>
      </c>
      <c r="Q529" s="3" t="b">
        <f t="array" ref="Q529">OR(ISNUMBER(SEARCH(P$2:P$50,$B529,5)))</f>
        <v>0</v>
      </c>
      <c r="S529" s="3" t="str">
        <f t="shared" si="8"/>
        <v>ZZZ</v>
      </c>
      <c r="T529" s="3" t="b">
        <f t="array" ref="T529">OR(ISNUMBER(SEARCH(S$2:S$100,$B529,5)))</f>
        <v>0</v>
      </c>
      <c r="V529" s="3" t="str">
        <f t="shared" si="9"/>
        <v>ZZZ</v>
      </c>
      <c r="W529" s="3" t="b">
        <f t="array" ref="W529">OR(ISNUMBER(SEARCH(V$2:V$100,$B529,5)))</f>
        <v>0</v>
      </c>
      <c r="Y529" s="3" t="str">
        <f t="shared" si="10"/>
        <v>ZZZ</v>
      </c>
      <c r="Z529" s="3" t="b">
        <f t="array" ref="Z529">OR(ISNUMBER(SEARCH(Y$2:Y$100,$B529,5)))</f>
        <v>0</v>
      </c>
      <c r="AB529" s="3" t="str">
        <f t="shared" si="11"/>
        <v>ZZZ</v>
      </c>
      <c r="AC529" s="3" t="b">
        <f t="array" ref="AC529">OR(ISNUMBER(SEARCH(AB$2:AB$100,$B529,5)))</f>
        <v>0</v>
      </c>
      <c r="AE529" s="3" t="str">
        <f t="shared" si="12"/>
        <v>ZZZ</v>
      </c>
      <c r="AF529" s="3" t="b">
        <f t="array" ref="AF529">OR(ISNUMBER(SEARCH(AE$2:AE$100,$B529,5)))</f>
        <v>0</v>
      </c>
      <c r="AH529" s="3" t="str">
        <f t="shared" si="13"/>
        <v>ZZZ</v>
      </c>
      <c r="AI529" s="3" t="b">
        <f t="array" ref="AI529">OR(ISNUMBER(SEARCH(AH$2:AH$100,$B529,5)))</f>
        <v>0</v>
      </c>
      <c r="AK529" s="3" t="str">
        <f t="shared" si="14"/>
        <v>ZZZ</v>
      </c>
      <c r="AL529" s="3" t="b">
        <f t="array" ref="AL529">OR(ISNUMBER(SEARCH(AK$2:AK$100,$B529,5)))</f>
        <v>0</v>
      </c>
      <c r="AU529" s="8"/>
      <c r="AV529" s="6"/>
      <c r="AW529" s="8"/>
      <c r="AX529" s="8"/>
      <c r="AY529" s="6"/>
      <c r="AZ529" s="8"/>
      <c r="BA529" s="8"/>
      <c r="BB529" s="6"/>
      <c r="BC529" s="8"/>
      <c r="BD529" s="8"/>
      <c r="BE529" s="6"/>
      <c r="BF529" s="8"/>
      <c r="BG529" s="8"/>
      <c r="BH529" s="6"/>
      <c r="BI529" s="8"/>
      <c r="BJ529" s="8"/>
      <c r="BK529" s="6"/>
      <c r="BL529" s="8"/>
      <c r="BM529" s="8"/>
      <c r="BN529" s="6"/>
      <c r="BO529" s="8"/>
      <c r="BP529" s="8"/>
      <c r="BQ529" s="6"/>
      <c r="BR529" s="8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  <c r="EX529" s="7"/>
      <c r="EY529" s="7"/>
      <c r="EZ529" s="7"/>
      <c r="FA529" s="7"/>
      <c r="FB529" s="7"/>
      <c r="FC529" s="7"/>
      <c r="FD529" s="7"/>
      <c r="FE529" s="7"/>
      <c r="FF529" s="7"/>
      <c r="FG529" s="7"/>
      <c r="FH529" s="7"/>
      <c r="FI529" s="7"/>
      <c r="FJ529" s="7"/>
      <c r="FK529" s="7"/>
      <c r="FL529" s="7"/>
      <c r="FM529" s="7"/>
      <c r="FN529" s="7"/>
      <c r="FO529" s="7"/>
      <c r="FP529" s="7"/>
      <c r="FQ529" s="7"/>
      <c r="FR529" s="7"/>
      <c r="FS529" s="7"/>
      <c r="FT529" s="7"/>
      <c r="FU529" s="7"/>
      <c r="FV529" s="7"/>
      <c r="FW529" s="7"/>
      <c r="FX529" s="7"/>
      <c r="FY529" s="7"/>
      <c r="FZ529" s="7"/>
      <c r="GA529" s="7"/>
      <c r="GB529" s="7"/>
      <c r="GC529" s="7"/>
      <c r="GD529" s="7"/>
      <c r="GE529" s="7"/>
      <c r="GF529" s="7"/>
      <c r="GG529" s="7"/>
      <c r="GH529" s="7"/>
      <c r="GI529" s="7"/>
      <c r="GJ529" s="7"/>
      <c r="GK529" s="7"/>
      <c r="GL529" s="7"/>
      <c r="GM529" s="7"/>
      <c r="GN529" s="7"/>
      <c r="GO529" s="7"/>
      <c r="GP529" s="7"/>
      <c r="GQ529" s="7"/>
      <c r="GR529" s="7"/>
      <c r="GS529" s="7"/>
      <c r="GT529" s="7"/>
      <c r="GU529" s="7"/>
      <c r="GV529" s="7"/>
      <c r="GW529" s="7"/>
      <c r="GX529" s="7"/>
      <c r="GY529" s="7"/>
      <c r="GZ529" s="7"/>
      <c r="HA529" s="7"/>
      <c r="HB529" s="7"/>
      <c r="HC529" s="7"/>
      <c r="HD529" s="7"/>
      <c r="HE529" s="7"/>
      <c r="HF529" s="7"/>
      <c r="HG529" s="7"/>
      <c r="HH529" s="7"/>
      <c r="HI529" s="7"/>
      <c r="HJ529" s="7"/>
      <c r="HK529" s="7"/>
      <c r="HL529" s="7"/>
      <c r="HM529" s="7"/>
      <c r="HN529" s="7"/>
      <c r="HO529" s="7"/>
      <c r="HP529" s="7"/>
      <c r="HQ529" s="7"/>
      <c r="HR529" s="7"/>
      <c r="HS529" s="7"/>
      <c r="HT529" s="7"/>
      <c r="HU529" s="7"/>
      <c r="HV529" s="7"/>
      <c r="HW529" s="7"/>
      <c r="HX529" s="7"/>
      <c r="HY529" s="7"/>
      <c r="HZ529" s="7"/>
      <c r="IA529" s="7"/>
      <c r="IB529" s="7"/>
      <c r="IC529" s="7"/>
      <c r="ID529" s="7"/>
      <c r="IE529" s="7"/>
      <c r="IF529" s="7"/>
      <c r="IG529" s="7"/>
      <c r="IH529" s="7"/>
      <c r="II529" s="7"/>
      <c r="IJ529" s="7"/>
      <c r="IK529" s="7"/>
      <c r="IL529" s="7"/>
      <c r="IM529" s="7"/>
      <c r="IN529" s="7"/>
      <c r="IO529" s="7"/>
      <c r="IP529" s="7"/>
      <c r="IQ529" s="7"/>
      <c r="IR529" s="7"/>
      <c r="IS529" s="7"/>
      <c r="IT529" s="7"/>
      <c r="IU529" s="7"/>
      <c r="IV529" s="7"/>
      <c r="IW529" s="7"/>
      <c r="IX529" s="7"/>
      <c r="IY529" s="7"/>
      <c r="IZ529" s="7"/>
      <c r="JA529" s="7"/>
      <c r="JB529" s="7"/>
      <c r="JC529" s="7"/>
      <c r="JD529" s="7"/>
      <c r="JE529" s="7"/>
      <c r="JF529" s="7"/>
      <c r="JG529" s="7"/>
      <c r="JH529" s="7"/>
      <c r="JI529" s="7"/>
      <c r="JJ529" s="7"/>
      <c r="JK529" s="7"/>
      <c r="JL529" s="7"/>
      <c r="JM529" s="7"/>
      <c r="JN529" s="7"/>
      <c r="JO529" s="7"/>
      <c r="JP529" s="7"/>
      <c r="JQ529" s="7"/>
      <c r="JR529" s="7"/>
      <c r="JS529" s="7"/>
      <c r="JT529" s="7"/>
      <c r="JU529" s="7"/>
      <c r="JV529" s="7"/>
      <c r="JW529" s="7"/>
      <c r="JX529" s="7"/>
      <c r="JY529" s="7"/>
      <c r="JZ529" s="7"/>
      <c r="KA529" s="7"/>
      <c r="KB529" s="7"/>
      <c r="KC529" s="7"/>
      <c r="KD529" s="7"/>
      <c r="KE529" s="7"/>
      <c r="KF529" s="7"/>
      <c r="KG529" s="7"/>
      <c r="KH529" s="7"/>
      <c r="KI529" s="7"/>
      <c r="KJ529" s="7"/>
      <c r="KK529" s="7"/>
      <c r="KL529" s="7"/>
      <c r="KM529" s="7"/>
      <c r="KN529" s="7"/>
    </row>
    <row r="530">
      <c r="A530" s="6"/>
      <c r="B530" s="6" t="s">
        <v>530</v>
      </c>
      <c r="C530" s="3" t="str">
        <f t="shared" si="3"/>
        <v>bright green</v>
      </c>
      <c r="D530" s="3" t="str">
        <f t="shared" si="17"/>
        <v>ZZZ</v>
      </c>
      <c r="E530" s="3" t="b">
        <f t="array" ref="E530">OR(ISNUMBER(SEARCH(D$2:D$30,$B530,5)))</f>
        <v>0</v>
      </c>
      <c r="G530" s="3" t="str">
        <f t="shared" si="4"/>
        <v>ZZZ</v>
      </c>
      <c r="H530" s="3" t="b">
        <f t="array" ref="H530">OR(ISNUMBER(SEARCH(G$2:G$30,$B530,5)))</f>
        <v>0</v>
      </c>
      <c r="J530" s="3" t="str">
        <f t="shared" si="5"/>
        <v>ZZZ</v>
      </c>
      <c r="K530" s="3" t="b">
        <f t="array" ref="K530">OR(ISNUMBER(SEARCH(J$2:J$30,$B530,5)))</f>
        <v>0</v>
      </c>
      <c r="M530" s="3" t="str">
        <f t="shared" si="6"/>
        <v>ZZZ</v>
      </c>
      <c r="N530" s="3" t="b">
        <f t="array" ref="N530">OR(ISNUMBER(SEARCH(M$2:M$30,$B530,5)))</f>
        <v>0</v>
      </c>
      <c r="P530" s="3" t="str">
        <f t="shared" si="7"/>
        <v>ZZZ</v>
      </c>
      <c r="Q530" s="3" t="b">
        <f t="array" ref="Q530">OR(ISNUMBER(SEARCH(P$2:P$50,$B530,5)))</f>
        <v>0</v>
      </c>
      <c r="S530" s="3" t="str">
        <f t="shared" si="8"/>
        <v>ZZZ</v>
      </c>
      <c r="T530" s="3" t="b">
        <f t="array" ref="T530">OR(ISNUMBER(SEARCH(S$2:S$100,$B530,5)))</f>
        <v>0</v>
      </c>
      <c r="V530" s="3" t="str">
        <f t="shared" si="9"/>
        <v>ZZZ</v>
      </c>
      <c r="W530" s="3" t="b">
        <f t="array" ref="W530">OR(ISNUMBER(SEARCH(V$2:V$100,$B530,5)))</f>
        <v>0</v>
      </c>
      <c r="Y530" s="3" t="str">
        <f t="shared" si="10"/>
        <v>ZZZ</v>
      </c>
      <c r="Z530" s="3" t="b">
        <f t="array" ref="Z530">OR(ISNUMBER(SEARCH(Y$2:Y$100,$B530,5)))</f>
        <v>0</v>
      </c>
      <c r="AB530" s="3" t="str">
        <f t="shared" si="11"/>
        <v>ZZZ</v>
      </c>
      <c r="AC530" s="3" t="b">
        <f t="array" ref="AC530">OR(ISNUMBER(SEARCH(AB$2:AB$100,$B530,5)))</f>
        <v>0</v>
      </c>
      <c r="AE530" s="3" t="str">
        <f t="shared" si="12"/>
        <v>ZZZ</v>
      </c>
      <c r="AF530" s="3" t="b">
        <f t="array" ref="AF530">OR(ISNUMBER(SEARCH(AE$2:AE$100,$B530,5)))</f>
        <v>0</v>
      </c>
      <c r="AH530" s="3" t="str">
        <f t="shared" si="13"/>
        <v>ZZZ</v>
      </c>
      <c r="AI530" s="3" t="b">
        <f t="array" ref="AI530">OR(ISNUMBER(SEARCH(AH$2:AH$100,$B530,5)))</f>
        <v>0</v>
      </c>
      <c r="AK530" s="3" t="str">
        <f t="shared" si="14"/>
        <v>ZZZ</v>
      </c>
      <c r="AL530" s="3" t="b">
        <f t="array" ref="AL530">OR(ISNUMBER(SEARCH(AK$2:AK$100,$B530,5)))</f>
        <v>0</v>
      </c>
      <c r="AU530" s="8"/>
      <c r="AV530" s="6"/>
      <c r="AW530" s="8"/>
      <c r="AX530" s="8"/>
      <c r="AY530" s="6"/>
      <c r="AZ530" s="8"/>
      <c r="BA530" s="8"/>
      <c r="BB530" s="6"/>
      <c r="BC530" s="8"/>
      <c r="BD530" s="8"/>
      <c r="BE530" s="6"/>
      <c r="BF530" s="8"/>
      <c r="BG530" s="8"/>
      <c r="BH530" s="6"/>
      <c r="BI530" s="8"/>
      <c r="BJ530" s="8"/>
      <c r="BK530" s="6"/>
      <c r="BL530" s="8"/>
      <c r="BM530" s="8"/>
      <c r="BN530" s="6"/>
      <c r="BO530" s="8"/>
      <c r="BP530" s="8"/>
      <c r="BQ530" s="6"/>
      <c r="BR530" s="8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  <c r="ES530" s="7"/>
      <c r="ET530" s="7"/>
      <c r="EU530" s="7"/>
      <c r="EV530" s="7"/>
      <c r="EW530" s="7"/>
      <c r="EX530" s="7"/>
      <c r="EY530" s="7"/>
      <c r="EZ530" s="7"/>
      <c r="FA530" s="7"/>
      <c r="FB530" s="7"/>
      <c r="FC530" s="7"/>
      <c r="FD530" s="7"/>
      <c r="FE530" s="7"/>
      <c r="FF530" s="7"/>
      <c r="FG530" s="7"/>
      <c r="FH530" s="7"/>
      <c r="FI530" s="7"/>
      <c r="FJ530" s="7"/>
      <c r="FK530" s="7"/>
      <c r="FL530" s="7"/>
      <c r="FM530" s="7"/>
      <c r="FN530" s="7"/>
      <c r="FO530" s="7"/>
      <c r="FP530" s="7"/>
      <c r="FQ530" s="7"/>
      <c r="FR530" s="7"/>
      <c r="FS530" s="7"/>
      <c r="FT530" s="7"/>
      <c r="FU530" s="7"/>
      <c r="FV530" s="7"/>
      <c r="FW530" s="7"/>
      <c r="FX530" s="7"/>
      <c r="FY530" s="7"/>
      <c r="FZ530" s="7"/>
      <c r="GA530" s="7"/>
      <c r="GB530" s="7"/>
      <c r="GC530" s="7"/>
      <c r="GD530" s="7"/>
      <c r="GE530" s="7"/>
      <c r="GF530" s="7"/>
      <c r="GG530" s="7"/>
      <c r="GH530" s="7"/>
      <c r="GI530" s="7"/>
      <c r="GJ530" s="7"/>
      <c r="GK530" s="7"/>
      <c r="GL530" s="7"/>
      <c r="GM530" s="7"/>
      <c r="GN530" s="7"/>
      <c r="GO530" s="7"/>
      <c r="GP530" s="7"/>
      <c r="GQ530" s="7"/>
      <c r="GR530" s="7"/>
      <c r="GS530" s="7"/>
      <c r="GT530" s="7"/>
      <c r="GU530" s="7"/>
      <c r="GV530" s="7"/>
      <c r="GW530" s="7"/>
      <c r="GX530" s="7"/>
      <c r="GY530" s="7"/>
      <c r="GZ530" s="7"/>
      <c r="HA530" s="7"/>
      <c r="HB530" s="7"/>
      <c r="HC530" s="7"/>
      <c r="HD530" s="7"/>
      <c r="HE530" s="7"/>
      <c r="HF530" s="7"/>
      <c r="HG530" s="7"/>
      <c r="HH530" s="7"/>
      <c r="HI530" s="7"/>
      <c r="HJ530" s="7"/>
      <c r="HK530" s="7"/>
      <c r="HL530" s="7"/>
      <c r="HM530" s="7"/>
      <c r="HN530" s="7"/>
      <c r="HO530" s="7"/>
      <c r="HP530" s="7"/>
      <c r="HQ530" s="7"/>
      <c r="HR530" s="7"/>
      <c r="HS530" s="7"/>
      <c r="HT530" s="7"/>
      <c r="HU530" s="7"/>
      <c r="HV530" s="7"/>
      <c r="HW530" s="7"/>
      <c r="HX530" s="7"/>
      <c r="HY530" s="7"/>
      <c r="HZ530" s="7"/>
      <c r="IA530" s="7"/>
      <c r="IB530" s="7"/>
      <c r="IC530" s="7"/>
      <c r="ID530" s="7"/>
      <c r="IE530" s="7"/>
      <c r="IF530" s="7"/>
      <c r="IG530" s="7"/>
      <c r="IH530" s="7"/>
      <c r="II530" s="7"/>
      <c r="IJ530" s="7"/>
      <c r="IK530" s="7"/>
      <c r="IL530" s="7"/>
      <c r="IM530" s="7"/>
      <c r="IN530" s="7"/>
      <c r="IO530" s="7"/>
      <c r="IP530" s="7"/>
      <c r="IQ530" s="7"/>
      <c r="IR530" s="7"/>
      <c r="IS530" s="7"/>
      <c r="IT530" s="7"/>
      <c r="IU530" s="7"/>
      <c r="IV530" s="7"/>
      <c r="IW530" s="7"/>
      <c r="IX530" s="7"/>
      <c r="IY530" s="7"/>
      <c r="IZ530" s="7"/>
      <c r="JA530" s="7"/>
      <c r="JB530" s="7"/>
      <c r="JC530" s="7"/>
      <c r="JD530" s="7"/>
      <c r="JE530" s="7"/>
      <c r="JF530" s="7"/>
      <c r="JG530" s="7"/>
      <c r="JH530" s="7"/>
      <c r="JI530" s="7"/>
      <c r="JJ530" s="7"/>
      <c r="JK530" s="7"/>
      <c r="JL530" s="7"/>
      <c r="JM530" s="7"/>
      <c r="JN530" s="7"/>
      <c r="JO530" s="7"/>
      <c r="JP530" s="7"/>
      <c r="JQ530" s="7"/>
      <c r="JR530" s="7"/>
      <c r="JS530" s="7"/>
      <c r="JT530" s="7"/>
      <c r="JU530" s="7"/>
      <c r="JV530" s="7"/>
      <c r="JW530" s="7"/>
      <c r="JX530" s="7"/>
      <c r="JY530" s="7"/>
      <c r="JZ530" s="7"/>
      <c r="KA530" s="7"/>
      <c r="KB530" s="7"/>
      <c r="KC530" s="7"/>
      <c r="KD530" s="7"/>
      <c r="KE530" s="7"/>
      <c r="KF530" s="7"/>
      <c r="KG530" s="7"/>
      <c r="KH530" s="7"/>
      <c r="KI530" s="7"/>
      <c r="KJ530" s="7"/>
      <c r="KK530" s="7"/>
      <c r="KL530" s="7"/>
      <c r="KM530" s="7"/>
      <c r="KN530" s="7"/>
    </row>
    <row r="531">
      <c r="A531" s="6"/>
      <c r="B531" s="6" t="s">
        <v>531</v>
      </c>
      <c r="C531" s="3" t="str">
        <f t="shared" si="3"/>
        <v>bright aqua</v>
      </c>
      <c r="D531" s="3" t="str">
        <f t="shared" si="17"/>
        <v>ZZZ</v>
      </c>
      <c r="E531" s="3" t="b">
        <f t="array" ref="E531">OR(ISNUMBER(SEARCH(D$2:D$30,$B531,5)))</f>
        <v>0</v>
      </c>
      <c r="G531" s="3" t="str">
        <f t="shared" si="4"/>
        <v>ZZZ</v>
      </c>
      <c r="H531" s="3" t="b">
        <f t="array" ref="H531">OR(ISNUMBER(SEARCH(G$2:G$30,$B531,5)))</f>
        <v>0</v>
      </c>
      <c r="J531" s="3" t="str">
        <f t="shared" si="5"/>
        <v>ZZZ</v>
      </c>
      <c r="K531" s="3" t="b">
        <f t="array" ref="K531">OR(ISNUMBER(SEARCH(J$2:J$30,$B531,5)))</f>
        <v>0</v>
      </c>
      <c r="M531" s="3" t="str">
        <f t="shared" si="6"/>
        <v>ZZZ</v>
      </c>
      <c r="N531" s="3" t="b">
        <f t="array" ref="N531">OR(ISNUMBER(SEARCH(M$2:M$30,$B531,5)))</f>
        <v>0</v>
      </c>
      <c r="P531" s="3" t="str">
        <f t="shared" si="7"/>
        <v>ZZZ</v>
      </c>
      <c r="Q531" s="3" t="b">
        <f t="array" ref="Q531">OR(ISNUMBER(SEARCH(P$2:P$50,$B531,5)))</f>
        <v>1</v>
      </c>
      <c r="S531" s="3" t="str">
        <f t="shared" si="8"/>
        <v>ZZZ</v>
      </c>
      <c r="T531" s="3" t="b">
        <f t="array" ref="T531">OR(ISNUMBER(SEARCH(S$2:S$100,$B531,5)))</f>
        <v>1</v>
      </c>
      <c r="V531" s="3" t="str">
        <f t="shared" si="9"/>
        <v>ZZZ</v>
      </c>
      <c r="W531" s="3" t="b">
        <f t="array" ref="W531">OR(ISNUMBER(SEARCH(V$2:V$100,$B531,5)))</f>
        <v>0</v>
      </c>
      <c r="Y531" s="3" t="str">
        <f t="shared" si="10"/>
        <v>ZZZ</v>
      </c>
      <c r="Z531" s="3" t="b">
        <f t="array" ref="Z531">OR(ISNUMBER(SEARCH(Y$2:Y$100,$B531,5)))</f>
        <v>1</v>
      </c>
      <c r="AB531" s="3" t="str">
        <f t="shared" si="11"/>
        <v>ZZZ</v>
      </c>
      <c r="AC531" s="3" t="b">
        <f t="array" ref="AC531">OR(ISNUMBER(SEARCH(AB$2:AB$100,$B531,5)))</f>
        <v>0</v>
      </c>
      <c r="AE531" s="3" t="str">
        <f t="shared" si="12"/>
        <v>ZZZ</v>
      </c>
      <c r="AF531" s="3" t="b">
        <f t="array" ref="AF531">OR(ISNUMBER(SEARCH(AE$2:AE$100,$B531,5)))</f>
        <v>0</v>
      </c>
      <c r="AH531" s="3" t="str">
        <f t="shared" si="13"/>
        <v>ZZZ</v>
      </c>
      <c r="AI531" s="3" t="b">
        <f t="array" ref="AI531">OR(ISNUMBER(SEARCH(AH$2:AH$100,$B531,5)))</f>
        <v>0</v>
      </c>
      <c r="AK531" s="3" t="str">
        <f t="shared" si="14"/>
        <v>ZZZ</v>
      </c>
      <c r="AL531" s="3" t="b">
        <f t="array" ref="AL531">OR(ISNUMBER(SEARCH(AK$2:AK$100,$B531,5)))</f>
        <v>0</v>
      </c>
      <c r="AU531" s="8"/>
      <c r="AV531" s="6"/>
      <c r="AW531" s="8"/>
      <c r="AX531" s="8"/>
      <c r="AY531" s="6"/>
      <c r="AZ531" s="8"/>
      <c r="BA531" s="8"/>
      <c r="BB531" s="6"/>
      <c r="BC531" s="8"/>
      <c r="BD531" s="8"/>
      <c r="BE531" s="6"/>
      <c r="BF531" s="8"/>
      <c r="BG531" s="8"/>
      <c r="BH531" s="6"/>
      <c r="BI531" s="8"/>
      <c r="BJ531" s="8"/>
      <c r="BK531" s="6"/>
      <c r="BL531" s="8"/>
      <c r="BM531" s="8"/>
      <c r="BN531" s="6"/>
      <c r="BO531" s="8"/>
      <c r="BP531" s="8"/>
      <c r="BQ531" s="6"/>
      <c r="BR531" s="8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  <c r="EX531" s="7"/>
      <c r="EY531" s="7"/>
      <c r="EZ531" s="7"/>
      <c r="FA531" s="7"/>
      <c r="FB531" s="7"/>
      <c r="FC531" s="7"/>
      <c r="FD531" s="7"/>
      <c r="FE531" s="7"/>
      <c r="FF531" s="7"/>
      <c r="FG531" s="7"/>
      <c r="FH531" s="7"/>
      <c r="FI531" s="7"/>
      <c r="FJ531" s="7"/>
      <c r="FK531" s="7"/>
      <c r="FL531" s="7"/>
      <c r="FM531" s="7"/>
      <c r="FN531" s="7"/>
      <c r="FO531" s="7"/>
      <c r="FP531" s="7"/>
      <c r="FQ531" s="7"/>
      <c r="FR531" s="7"/>
      <c r="FS531" s="7"/>
      <c r="FT531" s="7"/>
      <c r="FU531" s="7"/>
      <c r="FV531" s="7"/>
      <c r="FW531" s="7"/>
      <c r="FX531" s="7"/>
      <c r="FY531" s="7"/>
      <c r="FZ531" s="7"/>
      <c r="GA531" s="7"/>
      <c r="GB531" s="7"/>
      <c r="GC531" s="7"/>
      <c r="GD531" s="7"/>
      <c r="GE531" s="7"/>
      <c r="GF531" s="7"/>
      <c r="GG531" s="7"/>
      <c r="GH531" s="7"/>
      <c r="GI531" s="7"/>
      <c r="GJ531" s="7"/>
      <c r="GK531" s="7"/>
      <c r="GL531" s="7"/>
      <c r="GM531" s="7"/>
      <c r="GN531" s="7"/>
      <c r="GO531" s="7"/>
      <c r="GP531" s="7"/>
      <c r="GQ531" s="7"/>
      <c r="GR531" s="7"/>
      <c r="GS531" s="7"/>
      <c r="GT531" s="7"/>
      <c r="GU531" s="7"/>
      <c r="GV531" s="7"/>
      <c r="GW531" s="7"/>
      <c r="GX531" s="7"/>
      <c r="GY531" s="7"/>
      <c r="GZ531" s="7"/>
      <c r="HA531" s="7"/>
      <c r="HB531" s="7"/>
      <c r="HC531" s="7"/>
      <c r="HD531" s="7"/>
      <c r="HE531" s="7"/>
      <c r="HF531" s="7"/>
      <c r="HG531" s="7"/>
      <c r="HH531" s="7"/>
      <c r="HI531" s="7"/>
      <c r="HJ531" s="7"/>
      <c r="HK531" s="7"/>
      <c r="HL531" s="7"/>
      <c r="HM531" s="7"/>
      <c r="HN531" s="7"/>
      <c r="HO531" s="7"/>
      <c r="HP531" s="7"/>
      <c r="HQ531" s="7"/>
      <c r="HR531" s="7"/>
      <c r="HS531" s="7"/>
      <c r="HT531" s="7"/>
      <c r="HU531" s="7"/>
      <c r="HV531" s="7"/>
      <c r="HW531" s="7"/>
      <c r="HX531" s="7"/>
      <c r="HY531" s="7"/>
      <c r="HZ531" s="7"/>
      <c r="IA531" s="7"/>
      <c r="IB531" s="7"/>
      <c r="IC531" s="7"/>
      <c r="ID531" s="7"/>
      <c r="IE531" s="7"/>
      <c r="IF531" s="7"/>
      <c r="IG531" s="7"/>
      <c r="IH531" s="7"/>
      <c r="II531" s="7"/>
      <c r="IJ531" s="7"/>
      <c r="IK531" s="7"/>
      <c r="IL531" s="7"/>
      <c r="IM531" s="7"/>
      <c r="IN531" s="7"/>
      <c r="IO531" s="7"/>
      <c r="IP531" s="7"/>
      <c r="IQ531" s="7"/>
      <c r="IR531" s="7"/>
      <c r="IS531" s="7"/>
      <c r="IT531" s="7"/>
      <c r="IU531" s="7"/>
      <c r="IV531" s="7"/>
      <c r="IW531" s="7"/>
      <c r="IX531" s="7"/>
      <c r="IY531" s="7"/>
      <c r="IZ531" s="7"/>
      <c r="JA531" s="7"/>
      <c r="JB531" s="7"/>
      <c r="JC531" s="7"/>
      <c r="JD531" s="7"/>
      <c r="JE531" s="7"/>
      <c r="JF531" s="7"/>
      <c r="JG531" s="7"/>
      <c r="JH531" s="7"/>
      <c r="JI531" s="7"/>
      <c r="JJ531" s="7"/>
      <c r="JK531" s="7"/>
      <c r="JL531" s="7"/>
      <c r="JM531" s="7"/>
      <c r="JN531" s="7"/>
      <c r="JO531" s="7"/>
      <c r="JP531" s="7"/>
      <c r="JQ531" s="7"/>
      <c r="JR531" s="7"/>
      <c r="JS531" s="7"/>
      <c r="JT531" s="7"/>
      <c r="JU531" s="7"/>
      <c r="JV531" s="7"/>
      <c r="JW531" s="7"/>
      <c r="JX531" s="7"/>
      <c r="JY531" s="7"/>
      <c r="JZ531" s="7"/>
      <c r="KA531" s="7"/>
      <c r="KB531" s="7"/>
      <c r="KC531" s="7"/>
      <c r="KD531" s="7"/>
      <c r="KE531" s="7"/>
      <c r="KF531" s="7"/>
      <c r="KG531" s="7"/>
      <c r="KH531" s="7"/>
      <c r="KI531" s="7"/>
      <c r="KJ531" s="7"/>
      <c r="KK531" s="7"/>
      <c r="KL531" s="7"/>
      <c r="KM531" s="7"/>
      <c r="KN531" s="7"/>
    </row>
    <row r="532">
      <c r="A532" s="6"/>
      <c r="B532" s="6" t="s">
        <v>532</v>
      </c>
      <c r="C532" s="3" t="str">
        <f t="shared" si="3"/>
        <v>pale olive</v>
      </c>
      <c r="D532" s="3" t="str">
        <f t="shared" si="17"/>
        <v>ZZZ</v>
      </c>
      <c r="E532" s="3" t="b">
        <f t="array" ref="E532">OR(ISNUMBER(SEARCH(D$2:D$30,$B532,5)))</f>
        <v>0</v>
      </c>
      <c r="G532" s="3" t="str">
        <f t="shared" si="4"/>
        <v>ZZZ</v>
      </c>
      <c r="H532" s="3" t="b">
        <f t="array" ref="H532">OR(ISNUMBER(SEARCH(G$2:G$30,$B532,5)))</f>
        <v>0</v>
      </c>
      <c r="J532" s="3" t="str">
        <f t="shared" si="5"/>
        <v>ZZZ</v>
      </c>
      <c r="K532" s="3" t="b">
        <f t="array" ref="K532">OR(ISNUMBER(SEARCH(J$2:J$30,$B532,5)))</f>
        <v>0</v>
      </c>
      <c r="M532" s="3" t="str">
        <f t="shared" si="6"/>
        <v>ZZZ</v>
      </c>
      <c r="N532" s="3" t="b">
        <f t="array" ref="N532">OR(ISNUMBER(SEARCH(M$2:M$30,$B532,5)))</f>
        <v>0</v>
      </c>
      <c r="P532" s="3" t="str">
        <f t="shared" si="7"/>
        <v>ZZZ</v>
      </c>
      <c r="Q532" s="3" t="b">
        <f t="array" ref="Q532">OR(ISNUMBER(SEARCH(P$2:P$50,$B532,5)))</f>
        <v>0</v>
      </c>
      <c r="S532" s="3" t="str">
        <f t="shared" si="8"/>
        <v>ZZZ</v>
      </c>
      <c r="T532" s="3" t="b">
        <f t="array" ref="T532">OR(ISNUMBER(SEARCH(S$2:S$100,$B532,5)))</f>
        <v>0</v>
      </c>
      <c r="V532" s="3" t="str">
        <f t="shared" si="9"/>
        <v>ZZZ</v>
      </c>
      <c r="W532" s="3" t="b">
        <f t="array" ref="W532">OR(ISNUMBER(SEARCH(V$2:V$100,$B532,5)))</f>
        <v>0</v>
      </c>
      <c r="Y532" s="3" t="str">
        <f t="shared" si="10"/>
        <v>ZZZ</v>
      </c>
      <c r="Z532" s="3" t="b">
        <f t="array" ref="Z532">OR(ISNUMBER(SEARCH(Y$2:Y$100,$B532,5)))</f>
        <v>0</v>
      </c>
      <c r="AB532" s="3" t="str">
        <f t="shared" si="11"/>
        <v>ZZZ</v>
      </c>
      <c r="AC532" s="3" t="b">
        <f t="array" ref="AC532">OR(ISNUMBER(SEARCH(AB$2:AB$100,$B532,5)))</f>
        <v>0</v>
      </c>
      <c r="AE532" s="3" t="str">
        <f t="shared" si="12"/>
        <v>ZZZ</v>
      </c>
      <c r="AF532" s="3" t="b">
        <f t="array" ref="AF532">OR(ISNUMBER(SEARCH(AE$2:AE$100,$B532,5)))</f>
        <v>0</v>
      </c>
      <c r="AH532" s="3" t="str">
        <f t="shared" si="13"/>
        <v>ZZZ</v>
      </c>
      <c r="AI532" s="3" t="b">
        <f t="array" ref="AI532">OR(ISNUMBER(SEARCH(AH$2:AH$100,$B532,5)))</f>
        <v>0</v>
      </c>
      <c r="AK532" s="3" t="str">
        <f t="shared" si="14"/>
        <v>ZZZ</v>
      </c>
      <c r="AL532" s="3" t="b">
        <f t="array" ref="AL532">OR(ISNUMBER(SEARCH(AK$2:AK$100,$B532,5)))</f>
        <v>0</v>
      </c>
      <c r="AU532" s="8"/>
      <c r="AV532" s="6"/>
      <c r="AW532" s="8"/>
      <c r="AX532" s="8"/>
      <c r="AY532" s="6"/>
      <c r="AZ532" s="8"/>
      <c r="BA532" s="8"/>
      <c r="BB532" s="6"/>
      <c r="BC532" s="8"/>
      <c r="BD532" s="8"/>
      <c r="BE532" s="6"/>
      <c r="BF532" s="8"/>
      <c r="BG532" s="8"/>
      <c r="BH532" s="6"/>
      <c r="BI532" s="8"/>
      <c r="BJ532" s="8"/>
      <c r="BK532" s="6"/>
      <c r="BL532" s="8"/>
      <c r="BM532" s="8"/>
      <c r="BN532" s="6"/>
      <c r="BO532" s="8"/>
      <c r="BP532" s="8"/>
      <c r="BQ532" s="6"/>
      <c r="BR532" s="8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  <c r="EX532" s="7"/>
      <c r="EY532" s="7"/>
      <c r="EZ532" s="7"/>
      <c r="FA532" s="7"/>
      <c r="FB532" s="7"/>
      <c r="FC532" s="7"/>
      <c r="FD532" s="7"/>
      <c r="FE532" s="7"/>
      <c r="FF532" s="7"/>
      <c r="FG532" s="7"/>
      <c r="FH532" s="7"/>
      <c r="FI532" s="7"/>
      <c r="FJ532" s="7"/>
      <c r="FK532" s="7"/>
      <c r="FL532" s="7"/>
      <c r="FM532" s="7"/>
      <c r="FN532" s="7"/>
      <c r="FO532" s="7"/>
      <c r="FP532" s="7"/>
      <c r="FQ532" s="7"/>
      <c r="FR532" s="7"/>
      <c r="FS532" s="7"/>
      <c r="FT532" s="7"/>
      <c r="FU532" s="7"/>
      <c r="FV532" s="7"/>
      <c r="FW532" s="7"/>
      <c r="FX532" s="7"/>
      <c r="FY532" s="7"/>
      <c r="FZ532" s="7"/>
      <c r="GA532" s="7"/>
      <c r="GB532" s="7"/>
      <c r="GC532" s="7"/>
      <c r="GD532" s="7"/>
      <c r="GE532" s="7"/>
      <c r="GF532" s="7"/>
      <c r="GG532" s="7"/>
      <c r="GH532" s="7"/>
      <c r="GI532" s="7"/>
      <c r="GJ532" s="7"/>
      <c r="GK532" s="7"/>
      <c r="GL532" s="7"/>
      <c r="GM532" s="7"/>
      <c r="GN532" s="7"/>
      <c r="GO532" s="7"/>
      <c r="GP532" s="7"/>
      <c r="GQ532" s="7"/>
      <c r="GR532" s="7"/>
      <c r="GS532" s="7"/>
      <c r="GT532" s="7"/>
      <c r="GU532" s="7"/>
      <c r="GV532" s="7"/>
      <c r="GW532" s="7"/>
      <c r="GX532" s="7"/>
      <c r="GY532" s="7"/>
      <c r="GZ532" s="7"/>
      <c r="HA532" s="7"/>
      <c r="HB532" s="7"/>
      <c r="HC532" s="7"/>
      <c r="HD532" s="7"/>
      <c r="HE532" s="7"/>
      <c r="HF532" s="7"/>
      <c r="HG532" s="7"/>
      <c r="HH532" s="7"/>
      <c r="HI532" s="7"/>
      <c r="HJ532" s="7"/>
      <c r="HK532" s="7"/>
      <c r="HL532" s="7"/>
      <c r="HM532" s="7"/>
      <c r="HN532" s="7"/>
      <c r="HO532" s="7"/>
      <c r="HP532" s="7"/>
      <c r="HQ532" s="7"/>
      <c r="HR532" s="7"/>
      <c r="HS532" s="7"/>
      <c r="HT532" s="7"/>
      <c r="HU532" s="7"/>
      <c r="HV532" s="7"/>
      <c r="HW532" s="7"/>
      <c r="HX532" s="7"/>
      <c r="HY532" s="7"/>
      <c r="HZ532" s="7"/>
      <c r="IA532" s="7"/>
      <c r="IB532" s="7"/>
      <c r="IC532" s="7"/>
      <c r="ID532" s="7"/>
      <c r="IE532" s="7"/>
      <c r="IF532" s="7"/>
      <c r="IG532" s="7"/>
      <c r="IH532" s="7"/>
      <c r="II532" s="7"/>
      <c r="IJ532" s="7"/>
      <c r="IK532" s="7"/>
      <c r="IL532" s="7"/>
      <c r="IM532" s="7"/>
      <c r="IN532" s="7"/>
      <c r="IO532" s="7"/>
      <c r="IP532" s="7"/>
      <c r="IQ532" s="7"/>
      <c r="IR532" s="7"/>
      <c r="IS532" s="7"/>
      <c r="IT532" s="7"/>
      <c r="IU532" s="7"/>
      <c r="IV532" s="7"/>
      <c r="IW532" s="7"/>
      <c r="IX532" s="7"/>
      <c r="IY532" s="7"/>
      <c r="IZ532" s="7"/>
      <c r="JA532" s="7"/>
      <c r="JB532" s="7"/>
      <c r="JC532" s="7"/>
      <c r="JD532" s="7"/>
      <c r="JE532" s="7"/>
      <c r="JF532" s="7"/>
      <c r="JG532" s="7"/>
      <c r="JH532" s="7"/>
      <c r="JI532" s="7"/>
      <c r="JJ532" s="7"/>
      <c r="JK532" s="7"/>
      <c r="JL532" s="7"/>
      <c r="JM532" s="7"/>
      <c r="JN532" s="7"/>
      <c r="JO532" s="7"/>
      <c r="JP532" s="7"/>
      <c r="JQ532" s="7"/>
      <c r="JR532" s="7"/>
      <c r="JS532" s="7"/>
      <c r="JT532" s="7"/>
      <c r="JU532" s="7"/>
      <c r="JV532" s="7"/>
      <c r="JW532" s="7"/>
      <c r="JX532" s="7"/>
      <c r="JY532" s="7"/>
      <c r="JZ532" s="7"/>
      <c r="KA532" s="7"/>
      <c r="KB532" s="7"/>
      <c r="KC532" s="7"/>
      <c r="KD532" s="7"/>
      <c r="KE532" s="7"/>
      <c r="KF532" s="7"/>
      <c r="KG532" s="7"/>
      <c r="KH532" s="7"/>
      <c r="KI532" s="7"/>
      <c r="KJ532" s="7"/>
      <c r="KK532" s="7"/>
      <c r="KL532" s="7"/>
      <c r="KM532" s="7"/>
      <c r="KN532" s="7"/>
    </row>
    <row r="533">
      <c r="A533" s="6"/>
      <c r="B533" s="6" t="s">
        <v>533</v>
      </c>
      <c r="C533" s="3" t="str">
        <f t="shared" si="3"/>
        <v>mirrored fuchsia</v>
      </c>
      <c r="D533" s="3" t="str">
        <f t="shared" si="17"/>
        <v>ZZZ</v>
      </c>
      <c r="E533" s="3" t="b">
        <f t="array" ref="E533">OR(ISNUMBER(SEARCH(D$2:D$30,$B533,5)))</f>
        <v>0</v>
      </c>
      <c r="G533" s="3" t="str">
        <f t="shared" si="4"/>
        <v>ZZZ</v>
      </c>
      <c r="H533" s="3" t="b">
        <f t="array" ref="H533">OR(ISNUMBER(SEARCH(G$2:G$30,$B533,5)))</f>
        <v>0</v>
      </c>
      <c r="J533" s="3" t="str">
        <f t="shared" si="5"/>
        <v>ZZZ</v>
      </c>
      <c r="K533" s="3" t="b">
        <f t="array" ref="K533">OR(ISNUMBER(SEARCH(J$2:J$30,$B533,5)))</f>
        <v>0</v>
      </c>
      <c r="M533" s="3" t="str">
        <f t="shared" si="6"/>
        <v>ZZZ</v>
      </c>
      <c r="N533" s="3" t="b">
        <f t="array" ref="N533">OR(ISNUMBER(SEARCH(M$2:M$30,$B533,5)))</f>
        <v>0</v>
      </c>
      <c r="P533" s="3" t="str">
        <f t="shared" si="7"/>
        <v>ZZZ</v>
      </c>
      <c r="Q533" s="3" t="b">
        <f t="array" ref="Q533">OR(ISNUMBER(SEARCH(P$2:P$50,$B533,5)))</f>
        <v>0</v>
      </c>
      <c r="S533" s="3" t="str">
        <f t="shared" si="8"/>
        <v>ZZZ</v>
      </c>
      <c r="T533" s="3" t="b">
        <f t="array" ref="T533">OR(ISNUMBER(SEARCH(S$2:S$100,$B533,5)))</f>
        <v>0</v>
      </c>
      <c r="V533" s="3" t="str">
        <f t="shared" si="9"/>
        <v>ZZZ</v>
      </c>
      <c r="W533" s="3" t="b">
        <f t="array" ref="W533">OR(ISNUMBER(SEARCH(V$2:V$100,$B533,5)))</f>
        <v>0</v>
      </c>
      <c r="Y533" s="3" t="str">
        <f t="shared" si="10"/>
        <v>ZZZ</v>
      </c>
      <c r="Z533" s="3" t="b">
        <f t="array" ref="Z533">OR(ISNUMBER(SEARCH(Y$2:Y$100,$B533,5)))</f>
        <v>0</v>
      </c>
      <c r="AB533" s="3" t="str">
        <f t="shared" si="11"/>
        <v>ZZZ</v>
      </c>
      <c r="AC533" s="3" t="b">
        <f t="array" ref="AC533">OR(ISNUMBER(SEARCH(AB$2:AB$100,$B533,5)))</f>
        <v>0</v>
      </c>
      <c r="AE533" s="3" t="str">
        <f t="shared" si="12"/>
        <v>ZZZ</v>
      </c>
      <c r="AF533" s="3" t="b">
        <f t="array" ref="AF533">OR(ISNUMBER(SEARCH(AE$2:AE$100,$B533,5)))</f>
        <v>0</v>
      </c>
      <c r="AH533" s="3" t="str">
        <f t="shared" si="13"/>
        <v>ZZZ</v>
      </c>
      <c r="AI533" s="3" t="b">
        <f t="array" ref="AI533">OR(ISNUMBER(SEARCH(AH$2:AH$100,$B533,5)))</f>
        <v>0</v>
      </c>
      <c r="AK533" s="3" t="str">
        <f t="shared" si="14"/>
        <v>ZZZ</v>
      </c>
      <c r="AL533" s="3" t="b">
        <f t="array" ref="AL533">OR(ISNUMBER(SEARCH(AK$2:AK$100,$B533,5)))</f>
        <v>0</v>
      </c>
      <c r="AU533" s="8"/>
      <c r="AV533" s="6"/>
      <c r="AW533" s="8"/>
      <c r="AX533" s="8"/>
      <c r="AY533" s="6"/>
      <c r="AZ533" s="8"/>
      <c r="BA533" s="8"/>
      <c r="BB533" s="6"/>
      <c r="BC533" s="8"/>
      <c r="BD533" s="8"/>
      <c r="BE533" s="6"/>
      <c r="BF533" s="8"/>
      <c r="BG533" s="8"/>
      <c r="BH533" s="6"/>
      <c r="BI533" s="8"/>
      <c r="BJ533" s="8"/>
      <c r="BK533" s="6"/>
      <c r="BL533" s="8"/>
      <c r="BM533" s="8"/>
      <c r="BN533" s="6"/>
      <c r="BO533" s="8"/>
      <c r="BP533" s="8"/>
      <c r="BQ533" s="6"/>
      <c r="BR533" s="8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  <c r="EX533" s="7"/>
      <c r="EY533" s="7"/>
      <c r="EZ533" s="7"/>
      <c r="FA533" s="7"/>
      <c r="FB533" s="7"/>
      <c r="FC533" s="7"/>
      <c r="FD533" s="7"/>
      <c r="FE533" s="7"/>
      <c r="FF533" s="7"/>
      <c r="FG533" s="7"/>
      <c r="FH533" s="7"/>
      <c r="FI533" s="7"/>
      <c r="FJ533" s="7"/>
      <c r="FK533" s="7"/>
      <c r="FL533" s="7"/>
      <c r="FM533" s="7"/>
      <c r="FN533" s="7"/>
      <c r="FO533" s="7"/>
      <c r="FP533" s="7"/>
      <c r="FQ533" s="7"/>
      <c r="FR533" s="7"/>
      <c r="FS533" s="7"/>
      <c r="FT533" s="7"/>
      <c r="FU533" s="7"/>
      <c r="FV533" s="7"/>
      <c r="FW533" s="7"/>
      <c r="FX533" s="7"/>
      <c r="FY533" s="7"/>
      <c r="FZ533" s="7"/>
      <c r="GA533" s="7"/>
      <c r="GB533" s="7"/>
      <c r="GC533" s="7"/>
      <c r="GD533" s="7"/>
      <c r="GE533" s="7"/>
      <c r="GF533" s="7"/>
      <c r="GG533" s="7"/>
      <c r="GH533" s="7"/>
      <c r="GI533" s="7"/>
      <c r="GJ533" s="7"/>
      <c r="GK533" s="7"/>
      <c r="GL533" s="7"/>
      <c r="GM533" s="7"/>
      <c r="GN533" s="7"/>
      <c r="GO533" s="7"/>
      <c r="GP533" s="7"/>
      <c r="GQ533" s="7"/>
      <c r="GR533" s="7"/>
      <c r="GS533" s="7"/>
      <c r="GT533" s="7"/>
      <c r="GU533" s="7"/>
      <c r="GV533" s="7"/>
      <c r="GW533" s="7"/>
      <c r="GX533" s="7"/>
      <c r="GY533" s="7"/>
      <c r="GZ533" s="7"/>
      <c r="HA533" s="7"/>
      <c r="HB533" s="7"/>
      <c r="HC533" s="7"/>
      <c r="HD533" s="7"/>
      <c r="HE533" s="7"/>
      <c r="HF533" s="7"/>
      <c r="HG533" s="7"/>
      <c r="HH533" s="7"/>
      <c r="HI533" s="7"/>
      <c r="HJ533" s="7"/>
      <c r="HK533" s="7"/>
      <c r="HL533" s="7"/>
      <c r="HM533" s="7"/>
      <c r="HN533" s="7"/>
      <c r="HO533" s="7"/>
      <c r="HP533" s="7"/>
      <c r="HQ533" s="7"/>
      <c r="HR533" s="7"/>
      <c r="HS533" s="7"/>
      <c r="HT533" s="7"/>
      <c r="HU533" s="7"/>
      <c r="HV533" s="7"/>
      <c r="HW533" s="7"/>
      <c r="HX533" s="7"/>
      <c r="HY533" s="7"/>
      <c r="HZ533" s="7"/>
      <c r="IA533" s="7"/>
      <c r="IB533" s="7"/>
      <c r="IC533" s="7"/>
      <c r="ID533" s="7"/>
      <c r="IE533" s="7"/>
      <c r="IF533" s="7"/>
      <c r="IG533" s="7"/>
      <c r="IH533" s="7"/>
      <c r="II533" s="7"/>
      <c r="IJ533" s="7"/>
      <c r="IK533" s="7"/>
      <c r="IL533" s="7"/>
      <c r="IM533" s="7"/>
      <c r="IN533" s="7"/>
      <c r="IO533" s="7"/>
      <c r="IP533" s="7"/>
      <c r="IQ533" s="7"/>
      <c r="IR533" s="7"/>
      <c r="IS533" s="7"/>
      <c r="IT533" s="7"/>
      <c r="IU533" s="7"/>
      <c r="IV533" s="7"/>
      <c r="IW533" s="7"/>
      <c r="IX533" s="7"/>
      <c r="IY533" s="7"/>
      <c r="IZ533" s="7"/>
      <c r="JA533" s="7"/>
      <c r="JB533" s="7"/>
      <c r="JC533" s="7"/>
      <c r="JD533" s="7"/>
      <c r="JE533" s="7"/>
      <c r="JF533" s="7"/>
      <c r="JG533" s="7"/>
      <c r="JH533" s="7"/>
      <c r="JI533" s="7"/>
      <c r="JJ533" s="7"/>
      <c r="JK533" s="7"/>
      <c r="JL533" s="7"/>
      <c r="JM533" s="7"/>
      <c r="JN533" s="7"/>
      <c r="JO533" s="7"/>
      <c r="JP533" s="7"/>
      <c r="JQ533" s="7"/>
      <c r="JR533" s="7"/>
      <c r="JS533" s="7"/>
      <c r="JT533" s="7"/>
      <c r="JU533" s="7"/>
      <c r="JV533" s="7"/>
      <c r="JW533" s="7"/>
      <c r="JX533" s="7"/>
      <c r="JY533" s="7"/>
      <c r="JZ533" s="7"/>
      <c r="KA533" s="7"/>
      <c r="KB533" s="7"/>
      <c r="KC533" s="7"/>
      <c r="KD533" s="7"/>
      <c r="KE533" s="7"/>
      <c r="KF533" s="7"/>
      <c r="KG533" s="7"/>
      <c r="KH533" s="7"/>
      <c r="KI533" s="7"/>
      <c r="KJ533" s="7"/>
      <c r="KK533" s="7"/>
      <c r="KL533" s="7"/>
      <c r="KM533" s="7"/>
      <c r="KN533" s="7"/>
    </row>
    <row r="534">
      <c r="A534" s="6"/>
      <c r="B534" s="6" t="s">
        <v>534</v>
      </c>
      <c r="C534" s="3" t="str">
        <f t="shared" si="3"/>
        <v>mirrored red</v>
      </c>
      <c r="D534" s="3" t="str">
        <f t="shared" si="17"/>
        <v>ZZZ</v>
      </c>
      <c r="E534" s="3" t="b">
        <f t="array" ref="E534">OR(ISNUMBER(SEARCH(D$2:D$30,$B534,5)))</f>
        <v>0</v>
      </c>
      <c r="G534" s="3" t="str">
        <f t="shared" si="4"/>
        <v>ZZZ</v>
      </c>
      <c r="H534" s="3" t="b">
        <f t="array" ref="H534">OR(ISNUMBER(SEARCH(G$2:G$30,$B534,5)))</f>
        <v>0</v>
      </c>
      <c r="J534" s="3" t="str">
        <f t="shared" si="5"/>
        <v>ZZZ</v>
      </c>
      <c r="K534" s="3" t="b">
        <f t="array" ref="K534">OR(ISNUMBER(SEARCH(J$2:J$30,$B534,5)))</f>
        <v>0</v>
      </c>
      <c r="M534" s="3" t="str">
        <f t="shared" si="6"/>
        <v>ZZZ</v>
      </c>
      <c r="N534" s="3" t="b">
        <f t="array" ref="N534">OR(ISNUMBER(SEARCH(M$2:M$30,$B534,5)))</f>
        <v>0</v>
      </c>
      <c r="P534" s="3" t="str">
        <f t="shared" si="7"/>
        <v>ZZZ</v>
      </c>
      <c r="Q534" s="3" t="b">
        <f t="array" ref="Q534">OR(ISNUMBER(SEARCH(P$2:P$50,$B534,5)))</f>
        <v>0</v>
      </c>
      <c r="S534" s="3" t="str">
        <f t="shared" si="8"/>
        <v>ZZZ</v>
      </c>
      <c r="T534" s="3" t="b">
        <f t="array" ref="T534">OR(ISNUMBER(SEARCH(S$2:S$100,$B534,5)))</f>
        <v>0</v>
      </c>
      <c r="V534" s="3" t="str">
        <f t="shared" si="9"/>
        <v>ZZZ</v>
      </c>
      <c r="W534" s="3" t="b">
        <f t="array" ref="W534">OR(ISNUMBER(SEARCH(V$2:V$100,$B534,5)))</f>
        <v>0</v>
      </c>
      <c r="Y534" s="3" t="str">
        <f t="shared" si="10"/>
        <v>ZZZ</v>
      </c>
      <c r="Z534" s="3" t="b">
        <f t="array" ref="Z534">OR(ISNUMBER(SEARCH(Y$2:Y$100,$B534,5)))</f>
        <v>0</v>
      </c>
      <c r="AB534" s="3" t="str">
        <f t="shared" si="11"/>
        <v>ZZZ</v>
      </c>
      <c r="AC534" s="3" t="b">
        <f t="array" ref="AC534">OR(ISNUMBER(SEARCH(AB$2:AB$100,$B534,5)))</f>
        <v>0</v>
      </c>
      <c r="AE534" s="3" t="str">
        <f t="shared" si="12"/>
        <v>ZZZ</v>
      </c>
      <c r="AF534" s="3" t="b">
        <f t="array" ref="AF534">OR(ISNUMBER(SEARCH(AE$2:AE$100,$B534,5)))</f>
        <v>0</v>
      </c>
      <c r="AH534" s="3" t="str">
        <f t="shared" si="13"/>
        <v>ZZZ</v>
      </c>
      <c r="AI534" s="3" t="b">
        <f t="array" ref="AI534">OR(ISNUMBER(SEARCH(AH$2:AH$100,$B534,5)))</f>
        <v>0</v>
      </c>
      <c r="AK534" s="3" t="str">
        <f t="shared" si="14"/>
        <v>ZZZ</v>
      </c>
      <c r="AL534" s="3" t="b">
        <f t="array" ref="AL534">OR(ISNUMBER(SEARCH(AK$2:AK$100,$B534,5)))</f>
        <v>0</v>
      </c>
      <c r="AU534" s="8"/>
      <c r="AV534" s="6"/>
      <c r="AW534" s="8"/>
      <c r="AX534" s="8"/>
      <c r="AY534" s="6"/>
      <c r="AZ534" s="8"/>
      <c r="BA534" s="8"/>
      <c r="BB534" s="6"/>
      <c r="BC534" s="8"/>
      <c r="BD534" s="8"/>
      <c r="BE534" s="6"/>
      <c r="BF534" s="8"/>
      <c r="BG534" s="8"/>
      <c r="BH534" s="6"/>
      <c r="BI534" s="8"/>
      <c r="BJ534" s="8"/>
      <c r="BK534" s="6"/>
      <c r="BL534" s="8"/>
      <c r="BM534" s="8"/>
      <c r="BN534" s="6"/>
      <c r="BO534" s="8"/>
      <c r="BP534" s="8"/>
      <c r="BQ534" s="6"/>
      <c r="BR534" s="8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  <c r="ES534" s="7"/>
      <c r="ET534" s="7"/>
      <c r="EU534" s="7"/>
      <c r="EV534" s="7"/>
      <c r="EW534" s="7"/>
      <c r="EX534" s="7"/>
      <c r="EY534" s="7"/>
      <c r="EZ534" s="7"/>
      <c r="FA534" s="7"/>
      <c r="FB534" s="7"/>
      <c r="FC534" s="7"/>
      <c r="FD534" s="7"/>
      <c r="FE534" s="7"/>
      <c r="FF534" s="7"/>
      <c r="FG534" s="7"/>
      <c r="FH534" s="7"/>
      <c r="FI534" s="7"/>
      <c r="FJ534" s="7"/>
      <c r="FK534" s="7"/>
      <c r="FL534" s="7"/>
      <c r="FM534" s="7"/>
      <c r="FN534" s="7"/>
      <c r="FO534" s="7"/>
      <c r="FP534" s="7"/>
      <c r="FQ534" s="7"/>
      <c r="FR534" s="7"/>
      <c r="FS534" s="7"/>
      <c r="FT534" s="7"/>
      <c r="FU534" s="7"/>
      <c r="FV534" s="7"/>
      <c r="FW534" s="7"/>
      <c r="FX534" s="7"/>
      <c r="FY534" s="7"/>
      <c r="FZ534" s="7"/>
      <c r="GA534" s="7"/>
      <c r="GB534" s="7"/>
      <c r="GC534" s="7"/>
      <c r="GD534" s="7"/>
      <c r="GE534" s="7"/>
      <c r="GF534" s="7"/>
      <c r="GG534" s="7"/>
      <c r="GH534" s="7"/>
      <c r="GI534" s="7"/>
      <c r="GJ534" s="7"/>
      <c r="GK534" s="7"/>
      <c r="GL534" s="7"/>
      <c r="GM534" s="7"/>
      <c r="GN534" s="7"/>
      <c r="GO534" s="7"/>
      <c r="GP534" s="7"/>
      <c r="GQ534" s="7"/>
      <c r="GR534" s="7"/>
      <c r="GS534" s="7"/>
      <c r="GT534" s="7"/>
      <c r="GU534" s="7"/>
      <c r="GV534" s="7"/>
      <c r="GW534" s="7"/>
      <c r="GX534" s="7"/>
      <c r="GY534" s="7"/>
      <c r="GZ534" s="7"/>
      <c r="HA534" s="7"/>
      <c r="HB534" s="7"/>
      <c r="HC534" s="7"/>
      <c r="HD534" s="7"/>
      <c r="HE534" s="7"/>
      <c r="HF534" s="7"/>
      <c r="HG534" s="7"/>
      <c r="HH534" s="7"/>
      <c r="HI534" s="7"/>
      <c r="HJ534" s="7"/>
      <c r="HK534" s="7"/>
      <c r="HL534" s="7"/>
      <c r="HM534" s="7"/>
      <c r="HN534" s="7"/>
      <c r="HO534" s="7"/>
      <c r="HP534" s="7"/>
      <c r="HQ534" s="7"/>
      <c r="HR534" s="7"/>
      <c r="HS534" s="7"/>
      <c r="HT534" s="7"/>
      <c r="HU534" s="7"/>
      <c r="HV534" s="7"/>
      <c r="HW534" s="7"/>
      <c r="HX534" s="7"/>
      <c r="HY534" s="7"/>
      <c r="HZ534" s="7"/>
      <c r="IA534" s="7"/>
      <c r="IB534" s="7"/>
      <c r="IC534" s="7"/>
      <c r="ID534" s="7"/>
      <c r="IE534" s="7"/>
      <c r="IF534" s="7"/>
      <c r="IG534" s="7"/>
      <c r="IH534" s="7"/>
      <c r="II534" s="7"/>
      <c r="IJ534" s="7"/>
      <c r="IK534" s="7"/>
      <c r="IL534" s="7"/>
      <c r="IM534" s="7"/>
      <c r="IN534" s="7"/>
      <c r="IO534" s="7"/>
      <c r="IP534" s="7"/>
      <c r="IQ534" s="7"/>
      <c r="IR534" s="7"/>
      <c r="IS534" s="7"/>
      <c r="IT534" s="7"/>
      <c r="IU534" s="7"/>
      <c r="IV534" s="7"/>
      <c r="IW534" s="7"/>
      <c r="IX534" s="7"/>
      <c r="IY534" s="7"/>
      <c r="IZ534" s="7"/>
      <c r="JA534" s="7"/>
      <c r="JB534" s="7"/>
      <c r="JC534" s="7"/>
      <c r="JD534" s="7"/>
      <c r="JE534" s="7"/>
      <c r="JF534" s="7"/>
      <c r="JG534" s="7"/>
      <c r="JH534" s="7"/>
      <c r="JI534" s="7"/>
      <c r="JJ534" s="7"/>
      <c r="JK534" s="7"/>
      <c r="JL534" s="7"/>
      <c r="JM534" s="7"/>
      <c r="JN534" s="7"/>
      <c r="JO534" s="7"/>
      <c r="JP534" s="7"/>
      <c r="JQ534" s="7"/>
      <c r="JR534" s="7"/>
      <c r="JS534" s="7"/>
      <c r="JT534" s="7"/>
      <c r="JU534" s="7"/>
      <c r="JV534" s="7"/>
      <c r="JW534" s="7"/>
      <c r="JX534" s="7"/>
      <c r="JY534" s="7"/>
      <c r="JZ534" s="7"/>
      <c r="KA534" s="7"/>
      <c r="KB534" s="7"/>
      <c r="KC534" s="7"/>
      <c r="KD534" s="7"/>
      <c r="KE534" s="7"/>
      <c r="KF534" s="7"/>
      <c r="KG534" s="7"/>
      <c r="KH534" s="7"/>
      <c r="KI534" s="7"/>
      <c r="KJ534" s="7"/>
      <c r="KK534" s="7"/>
      <c r="KL534" s="7"/>
      <c r="KM534" s="7"/>
      <c r="KN534" s="7"/>
    </row>
    <row r="535">
      <c r="A535" s="6"/>
      <c r="B535" s="6" t="s">
        <v>535</v>
      </c>
      <c r="C535" s="3" t="str">
        <f t="shared" si="3"/>
        <v>wavy blue</v>
      </c>
      <c r="D535" s="3" t="str">
        <f t="shared" si="17"/>
        <v>ZZZ</v>
      </c>
      <c r="E535" s="3" t="b">
        <f t="array" ref="E535">OR(ISNUMBER(SEARCH(D$2:D$30,$B535,5)))</f>
        <v>0</v>
      </c>
      <c r="G535" s="3" t="str">
        <f t="shared" si="4"/>
        <v>ZZZ</v>
      </c>
      <c r="H535" s="3" t="b">
        <f t="array" ref="H535">OR(ISNUMBER(SEARCH(G$2:G$30,$B535,5)))</f>
        <v>0</v>
      </c>
      <c r="J535" s="3" t="str">
        <f t="shared" si="5"/>
        <v>ZZZ</v>
      </c>
      <c r="K535" s="3" t="b">
        <f t="array" ref="K535">OR(ISNUMBER(SEARCH(J$2:J$30,$B535,5)))</f>
        <v>0</v>
      </c>
      <c r="M535" s="3" t="str">
        <f t="shared" si="6"/>
        <v>ZZZ</v>
      </c>
      <c r="N535" s="3" t="b">
        <f t="array" ref="N535">OR(ISNUMBER(SEARCH(M$2:M$30,$B535,5)))</f>
        <v>0</v>
      </c>
      <c r="P535" s="3" t="str">
        <f t="shared" si="7"/>
        <v>ZZZ</v>
      </c>
      <c r="Q535" s="3" t="b">
        <f t="array" ref="Q535">OR(ISNUMBER(SEARCH(P$2:P$50,$B535,5)))</f>
        <v>0</v>
      </c>
      <c r="S535" s="3" t="str">
        <f t="shared" si="8"/>
        <v>ZZZ</v>
      </c>
      <c r="T535" s="3" t="b">
        <f t="array" ref="T535">OR(ISNUMBER(SEARCH(S$2:S$100,$B535,5)))</f>
        <v>0</v>
      </c>
      <c r="V535" s="3" t="str">
        <f t="shared" si="9"/>
        <v>ZZZ</v>
      </c>
      <c r="W535" s="3" t="b">
        <f t="array" ref="W535">OR(ISNUMBER(SEARCH(V$2:V$100,$B535,5)))</f>
        <v>0</v>
      </c>
      <c r="Y535" s="3" t="str">
        <f t="shared" si="10"/>
        <v>ZZZ</v>
      </c>
      <c r="Z535" s="3" t="b">
        <f t="array" ref="Z535">OR(ISNUMBER(SEARCH(Y$2:Y$100,$B535,5)))</f>
        <v>0</v>
      </c>
      <c r="AB535" s="3" t="str">
        <f t="shared" si="11"/>
        <v>ZZZ</v>
      </c>
      <c r="AC535" s="3" t="b">
        <f t="array" ref="AC535">OR(ISNUMBER(SEARCH(AB$2:AB$100,$B535,5)))</f>
        <v>0</v>
      </c>
      <c r="AE535" s="3" t="str">
        <f t="shared" si="12"/>
        <v>ZZZ</v>
      </c>
      <c r="AF535" s="3" t="b">
        <f t="array" ref="AF535">OR(ISNUMBER(SEARCH(AE$2:AE$100,$B535,5)))</f>
        <v>0</v>
      </c>
      <c r="AH535" s="3" t="str">
        <f t="shared" si="13"/>
        <v>ZZZ</v>
      </c>
      <c r="AI535" s="3" t="b">
        <f t="array" ref="AI535">OR(ISNUMBER(SEARCH(AH$2:AH$100,$B535,5)))</f>
        <v>0</v>
      </c>
      <c r="AK535" s="3" t="str">
        <f t="shared" si="14"/>
        <v>ZZZ</v>
      </c>
      <c r="AL535" s="3" t="b">
        <f t="array" ref="AL535">OR(ISNUMBER(SEARCH(AK$2:AK$100,$B535,5)))</f>
        <v>0</v>
      </c>
      <c r="AU535" s="8"/>
      <c r="AV535" s="6"/>
      <c r="AW535" s="8"/>
      <c r="AX535" s="8"/>
      <c r="AY535" s="6"/>
      <c r="AZ535" s="8"/>
      <c r="BA535" s="8"/>
      <c r="BB535" s="6"/>
      <c r="BC535" s="8"/>
      <c r="BD535" s="8"/>
      <c r="BE535" s="6"/>
      <c r="BF535" s="8"/>
      <c r="BG535" s="8"/>
      <c r="BH535" s="6"/>
      <c r="BI535" s="8"/>
      <c r="BJ535" s="8"/>
      <c r="BK535" s="6"/>
      <c r="BL535" s="8"/>
      <c r="BM535" s="8"/>
      <c r="BN535" s="6"/>
      <c r="BO535" s="8"/>
      <c r="BP535" s="8"/>
      <c r="BQ535" s="6"/>
      <c r="BR535" s="8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  <c r="ES535" s="7"/>
      <c r="ET535" s="7"/>
      <c r="EU535" s="7"/>
      <c r="EV535" s="7"/>
      <c r="EW535" s="7"/>
      <c r="EX535" s="7"/>
      <c r="EY535" s="7"/>
      <c r="EZ535" s="7"/>
      <c r="FA535" s="7"/>
      <c r="FB535" s="7"/>
      <c r="FC535" s="7"/>
      <c r="FD535" s="7"/>
      <c r="FE535" s="7"/>
      <c r="FF535" s="7"/>
      <c r="FG535" s="7"/>
      <c r="FH535" s="7"/>
      <c r="FI535" s="7"/>
      <c r="FJ535" s="7"/>
      <c r="FK535" s="7"/>
      <c r="FL535" s="7"/>
      <c r="FM535" s="7"/>
      <c r="FN535" s="7"/>
      <c r="FO535" s="7"/>
      <c r="FP535" s="7"/>
      <c r="FQ535" s="7"/>
      <c r="FR535" s="7"/>
      <c r="FS535" s="7"/>
      <c r="FT535" s="7"/>
      <c r="FU535" s="7"/>
      <c r="FV535" s="7"/>
      <c r="FW535" s="7"/>
      <c r="FX535" s="7"/>
      <c r="FY535" s="7"/>
      <c r="FZ535" s="7"/>
      <c r="GA535" s="7"/>
      <c r="GB535" s="7"/>
      <c r="GC535" s="7"/>
      <c r="GD535" s="7"/>
      <c r="GE535" s="7"/>
      <c r="GF535" s="7"/>
      <c r="GG535" s="7"/>
      <c r="GH535" s="7"/>
      <c r="GI535" s="7"/>
      <c r="GJ535" s="7"/>
      <c r="GK535" s="7"/>
      <c r="GL535" s="7"/>
      <c r="GM535" s="7"/>
      <c r="GN535" s="7"/>
      <c r="GO535" s="7"/>
      <c r="GP535" s="7"/>
      <c r="GQ535" s="7"/>
      <c r="GR535" s="7"/>
      <c r="GS535" s="7"/>
      <c r="GT535" s="7"/>
      <c r="GU535" s="7"/>
      <c r="GV535" s="7"/>
      <c r="GW535" s="7"/>
      <c r="GX535" s="7"/>
      <c r="GY535" s="7"/>
      <c r="GZ535" s="7"/>
      <c r="HA535" s="7"/>
      <c r="HB535" s="7"/>
      <c r="HC535" s="7"/>
      <c r="HD535" s="7"/>
      <c r="HE535" s="7"/>
      <c r="HF535" s="7"/>
      <c r="HG535" s="7"/>
      <c r="HH535" s="7"/>
      <c r="HI535" s="7"/>
      <c r="HJ535" s="7"/>
      <c r="HK535" s="7"/>
      <c r="HL535" s="7"/>
      <c r="HM535" s="7"/>
      <c r="HN535" s="7"/>
      <c r="HO535" s="7"/>
      <c r="HP535" s="7"/>
      <c r="HQ535" s="7"/>
      <c r="HR535" s="7"/>
      <c r="HS535" s="7"/>
      <c r="HT535" s="7"/>
      <c r="HU535" s="7"/>
      <c r="HV535" s="7"/>
      <c r="HW535" s="7"/>
      <c r="HX535" s="7"/>
      <c r="HY535" s="7"/>
      <c r="HZ535" s="7"/>
      <c r="IA535" s="7"/>
      <c r="IB535" s="7"/>
      <c r="IC535" s="7"/>
      <c r="ID535" s="7"/>
      <c r="IE535" s="7"/>
      <c r="IF535" s="7"/>
      <c r="IG535" s="7"/>
      <c r="IH535" s="7"/>
      <c r="II535" s="7"/>
      <c r="IJ535" s="7"/>
      <c r="IK535" s="7"/>
      <c r="IL535" s="7"/>
      <c r="IM535" s="7"/>
      <c r="IN535" s="7"/>
      <c r="IO535" s="7"/>
      <c r="IP535" s="7"/>
      <c r="IQ535" s="7"/>
      <c r="IR535" s="7"/>
      <c r="IS535" s="7"/>
      <c r="IT535" s="7"/>
      <c r="IU535" s="7"/>
      <c r="IV535" s="7"/>
      <c r="IW535" s="7"/>
      <c r="IX535" s="7"/>
      <c r="IY535" s="7"/>
      <c r="IZ535" s="7"/>
      <c r="JA535" s="7"/>
      <c r="JB535" s="7"/>
      <c r="JC535" s="7"/>
      <c r="JD535" s="7"/>
      <c r="JE535" s="7"/>
      <c r="JF535" s="7"/>
      <c r="JG535" s="7"/>
      <c r="JH535" s="7"/>
      <c r="JI535" s="7"/>
      <c r="JJ535" s="7"/>
      <c r="JK535" s="7"/>
      <c r="JL535" s="7"/>
      <c r="JM535" s="7"/>
      <c r="JN535" s="7"/>
      <c r="JO535" s="7"/>
      <c r="JP535" s="7"/>
      <c r="JQ535" s="7"/>
      <c r="JR535" s="7"/>
      <c r="JS535" s="7"/>
      <c r="JT535" s="7"/>
      <c r="JU535" s="7"/>
      <c r="JV535" s="7"/>
      <c r="JW535" s="7"/>
      <c r="JX535" s="7"/>
      <c r="JY535" s="7"/>
      <c r="JZ535" s="7"/>
      <c r="KA535" s="7"/>
      <c r="KB535" s="7"/>
      <c r="KC535" s="7"/>
      <c r="KD535" s="7"/>
      <c r="KE535" s="7"/>
      <c r="KF535" s="7"/>
      <c r="KG535" s="7"/>
      <c r="KH535" s="7"/>
      <c r="KI535" s="7"/>
      <c r="KJ535" s="7"/>
      <c r="KK535" s="7"/>
      <c r="KL535" s="7"/>
      <c r="KM535" s="7"/>
      <c r="KN535" s="7"/>
    </row>
    <row r="536">
      <c r="A536" s="6"/>
      <c r="B536" s="6" t="s">
        <v>536</v>
      </c>
      <c r="C536" s="3" t="str">
        <f t="shared" si="3"/>
        <v>clear silver</v>
      </c>
      <c r="D536" s="3" t="str">
        <f t="shared" si="17"/>
        <v>ZZZ</v>
      </c>
      <c r="E536" s="3" t="b">
        <f t="array" ref="E536">OR(ISNUMBER(SEARCH(D$2:D$30,$B536,5)))</f>
        <v>0</v>
      </c>
      <c r="G536" s="3" t="str">
        <f t="shared" si="4"/>
        <v>ZZZ</v>
      </c>
      <c r="H536" s="3" t="b">
        <f t="array" ref="H536">OR(ISNUMBER(SEARCH(G$2:G$30,$B536,5)))</f>
        <v>0</v>
      </c>
      <c r="J536" s="3" t="str">
        <f t="shared" si="5"/>
        <v>ZZZ</v>
      </c>
      <c r="K536" s="3" t="b">
        <f t="array" ref="K536">OR(ISNUMBER(SEARCH(J$2:J$30,$B536,5)))</f>
        <v>0</v>
      </c>
      <c r="M536" s="3" t="str">
        <f t="shared" si="6"/>
        <v>ZZZ</v>
      </c>
      <c r="N536" s="3" t="b">
        <f t="array" ref="N536">OR(ISNUMBER(SEARCH(M$2:M$30,$B536,5)))</f>
        <v>0</v>
      </c>
      <c r="P536" s="3" t="str">
        <f t="shared" si="7"/>
        <v>ZZZ</v>
      </c>
      <c r="Q536" s="3" t="b">
        <f t="array" ref="Q536">OR(ISNUMBER(SEARCH(P$2:P$50,$B536,5)))</f>
        <v>0</v>
      </c>
      <c r="S536" s="3" t="str">
        <f t="shared" si="8"/>
        <v>ZZZ</v>
      </c>
      <c r="T536" s="3" t="b">
        <f t="array" ref="T536">OR(ISNUMBER(SEARCH(S$2:S$100,$B536,5)))</f>
        <v>0</v>
      </c>
      <c r="V536" s="3" t="str">
        <f t="shared" si="9"/>
        <v>ZZZ</v>
      </c>
      <c r="W536" s="3" t="b">
        <f t="array" ref="W536">OR(ISNUMBER(SEARCH(V$2:V$100,$B536,5)))</f>
        <v>0</v>
      </c>
      <c r="Y536" s="3" t="str">
        <f t="shared" si="10"/>
        <v>ZZZ</v>
      </c>
      <c r="Z536" s="3" t="b">
        <f t="array" ref="Z536">OR(ISNUMBER(SEARCH(Y$2:Y$100,$B536,5)))</f>
        <v>0</v>
      </c>
      <c r="AB536" s="3" t="str">
        <f t="shared" si="11"/>
        <v>ZZZ</v>
      </c>
      <c r="AC536" s="3" t="b">
        <f t="array" ref="AC536">OR(ISNUMBER(SEARCH(AB$2:AB$100,$B536,5)))</f>
        <v>0</v>
      </c>
      <c r="AE536" s="3" t="str">
        <f t="shared" si="12"/>
        <v>ZZZ</v>
      </c>
      <c r="AF536" s="3" t="b">
        <f t="array" ref="AF536">OR(ISNUMBER(SEARCH(AE$2:AE$100,$B536,5)))</f>
        <v>0</v>
      </c>
      <c r="AH536" s="3" t="str">
        <f t="shared" si="13"/>
        <v>ZZZ</v>
      </c>
      <c r="AI536" s="3" t="b">
        <f t="array" ref="AI536">OR(ISNUMBER(SEARCH(AH$2:AH$100,$B536,5)))</f>
        <v>0</v>
      </c>
      <c r="AK536" s="3" t="str">
        <f t="shared" si="14"/>
        <v>ZZZ</v>
      </c>
      <c r="AL536" s="3" t="b">
        <f t="array" ref="AL536">OR(ISNUMBER(SEARCH(AK$2:AK$100,$B536,5)))</f>
        <v>0</v>
      </c>
      <c r="AU536" s="8"/>
      <c r="AV536" s="6"/>
      <c r="AW536" s="8"/>
      <c r="AX536" s="8"/>
      <c r="AY536" s="6"/>
      <c r="AZ536" s="8"/>
      <c r="BA536" s="8"/>
      <c r="BB536" s="6"/>
      <c r="BC536" s="8"/>
      <c r="BD536" s="8"/>
      <c r="BE536" s="6"/>
      <c r="BF536" s="8"/>
      <c r="BG536" s="8"/>
      <c r="BH536" s="6"/>
      <c r="BI536" s="8"/>
      <c r="BJ536" s="8"/>
      <c r="BK536" s="6"/>
      <c r="BL536" s="8"/>
      <c r="BM536" s="8"/>
      <c r="BN536" s="6"/>
      <c r="BO536" s="8"/>
      <c r="BP536" s="8"/>
      <c r="BQ536" s="6"/>
      <c r="BR536" s="8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  <c r="ES536" s="7"/>
      <c r="ET536" s="7"/>
      <c r="EU536" s="7"/>
      <c r="EV536" s="7"/>
      <c r="EW536" s="7"/>
      <c r="EX536" s="7"/>
      <c r="EY536" s="7"/>
      <c r="EZ536" s="7"/>
      <c r="FA536" s="7"/>
      <c r="FB536" s="7"/>
      <c r="FC536" s="7"/>
      <c r="FD536" s="7"/>
      <c r="FE536" s="7"/>
      <c r="FF536" s="7"/>
      <c r="FG536" s="7"/>
      <c r="FH536" s="7"/>
      <c r="FI536" s="7"/>
      <c r="FJ536" s="7"/>
      <c r="FK536" s="7"/>
      <c r="FL536" s="7"/>
      <c r="FM536" s="7"/>
      <c r="FN536" s="7"/>
      <c r="FO536" s="7"/>
      <c r="FP536" s="7"/>
      <c r="FQ536" s="7"/>
      <c r="FR536" s="7"/>
      <c r="FS536" s="7"/>
      <c r="FT536" s="7"/>
      <c r="FU536" s="7"/>
      <c r="FV536" s="7"/>
      <c r="FW536" s="7"/>
      <c r="FX536" s="7"/>
      <c r="FY536" s="7"/>
      <c r="FZ536" s="7"/>
      <c r="GA536" s="7"/>
      <c r="GB536" s="7"/>
      <c r="GC536" s="7"/>
      <c r="GD536" s="7"/>
      <c r="GE536" s="7"/>
      <c r="GF536" s="7"/>
      <c r="GG536" s="7"/>
      <c r="GH536" s="7"/>
      <c r="GI536" s="7"/>
      <c r="GJ536" s="7"/>
      <c r="GK536" s="7"/>
      <c r="GL536" s="7"/>
      <c r="GM536" s="7"/>
      <c r="GN536" s="7"/>
      <c r="GO536" s="7"/>
      <c r="GP536" s="7"/>
      <c r="GQ536" s="7"/>
      <c r="GR536" s="7"/>
      <c r="GS536" s="7"/>
      <c r="GT536" s="7"/>
      <c r="GU536" s="7"/>
      <c r="GV536" s="7"/>
      <c r="GW536" s="7"/>
      <c r="GX536" s="7"/>
      <c r="GY536" s="7"/>
      <c r="GZ536" s="7"/>
      <c r="HA536" s="7"/>
      <c r="HB536" s="7"/>
      <c r="HC536" s="7"/>
      <c r="HD536" s="7"/>
      <c r="HE536" s="7"/>
      <c r="HF536" s="7"/>
      <c r="HG536" s="7"/>
      <c r="HH536" s="7"/>
      <c r="HI536" s="7"/>
      <c r="HJ536" s="7"/>
      <c r="HK536" s="7"/>
      <c r="HL536" s="7"/>
      <c r="HM536" s="7"/>
      <c r="HN536" s="7"/>
      <c r="HO536" s="7"/>
      <c r="HP536" s="7"/>
      <c r="HQ536" s="7"/>
      <c r="HR536" s="7"/>
      <c r="HS536" s="7"/>
      <c r="HT536" s="7"/>
      <c r="HU536" s="7"/>
      <c r="HV536" s="7"/>
      <c r="HW536" s="7"/>
      <c r="HX536" s="7"/>
      <c r="HY536" s="7"/>
      <c r="HZ536" s="7"/>
      <c r="IA536" s="7"/>
      <c r="IB536" s="7"/>
      <c r="IC536" s="7"/>
      <c r="ID536" s="7"/>
      <c r="IE536" s="7"/>
      <c r="IF536" s="7"/>
      <c r="IG536" s="7"/>
      <c r="IH536" s="7"/>
      <c r="II536" s="7"/>
      <c r="IJ536" s="7"/>
      <c r="IK536" s="7"/>
      <c r="IL536" s="7"/>
      <c r="IM536" s="7"/>
      <c r="IN536" s="7"/>
      <c r="IO536" s="7"/>
      <c r="IP536" s="7"/>
      <c r="IQ536" s="7"/>
      <c r="IR536" s="7"/>
      <c r="IS536" s="7"/>
      <c r="IT536" s="7"/>
      <c r="IU536" s="7"/>
      <c r="IV536" s="7"/>
      <c r="IW536" s="7"/>
      <c r="IX536" s="7"/>
      <c r="IY536" s="7"/>
      <c r="IZ536" s="7"/>
      <c r="JA536" s="7"/>
      <c r="JB536" s="7"/>
      <c r="JC536" s="7"/>
      <c r="JD536" s="7"/>
      <c r="JE536" s="7"/>
      <c r="JF536" s="7"/>
      <c r="JG536" s="7"/>
      <c r="JH536" s="7"/>
      <c r="JI536" s="7"/>
      <c r="JJ536" s="7"/>
      <c r="JK536" s="7"/>
      <c r="JL536" s="7"/>
      <c r="JM536" s="7"/>
      <c r="JN536" s="7"/>
      <c r="JO536" s="7"/>
      <c r="JP536" s="7"/>
      <c r="JQ536" s="7"/>
      <c r="JR536" s="7"/>
      <c r="JS536" s="7"/>
      <c r="JT536" s="7"/>
      <c r="JU536" s="7"/>
      <c r="JV536" s="7"/>
      <c r="JW536" s="7"/>
      <c r="JX536" s="7"/>
      <c r="JY536" s="7"/>
      <c r="JZ536" s="7"/>
      <c r="KA536" s="7"/>
      <c r="KB536" s="7"/>
      <c r="KC536" s="7"/>
      <c r="KD536" s="7"/>
      <c r="KE536" s="7"/>
      <c r="KF536" s="7"/>
      <c r="KG536" s="7"/>
      <c r="KH536" s="7"/>
      <c r="KI536" s="7"/>
      <c r="KJ536" s="7"/>
      <c r="KK536" s="7"/>
      <c r="KL536" s="7"/>
      <c r="KM536" s="7"/>
      <c r="KN536" s="7"/>
    </row>
    <row r="537">
      <c r="A537" s="6"/>
      <c r="B537" s="6" t="s">
        <v>537</v>
      </c>
      <c r="C537" s="3" t="str">
        <f t="shared" si="3"/>
        <v>muted white</v>
      </c>
      <c r="D537" s="3" t="str">
        <f t="shared" si="17"/>
        <v>ZZZ</v>
      </c>
      <c r="E537" s="3" t="b">
        <f t="array" ref="E537">OR(ISNUMBER(SEARCH(D$2:D$30,$B537,5)))</f>
        <v>0</v>
      </c>
      <c r="G537" s="3" t="str">
        <f t="shared" si="4"/>
        <v>ZZZ</v>
      </c>
      <c r="H537" s="3" t="b">
        <f t="array" ref="H537">OR(ISNUMBER(SEARCH(G$2:G$30,$B537,5)))</f>
        <v>0</v>
      </c>
      <c r="J537" s="3" t="str">
        <f t="shared" si="5"/>
        <v>ZZZ</v>
      </c>
      <c r="K537" s="3" t="b">
        <f t="array" ref="K537">OR(ISNUMBER(SEARCH(J$2:J$30,$B537,5)))</f>
        <v>0</v>
      </c>
      <c r="M537" s="3" t="str">
        <f t="shared" si="6"/>
        <v>ZZZ</v>
      </c>
      <c r="N537" s="3" t="b">
        <f t="array" ref="N537">OR(ISNUMBER(SEARCH(M$2:M$30,$B537,5)))</f>
        <v>0</v>
      </c>
      <c r="P537" s="3" t="str">
        <f t="shared" si="7"/>
        <v>ZZZ</v>
      </c>
      <c r="Q537" s="3" t="b">
        <f t="array" ref="Q537">OR(ISNUMBER(SEARCH(P$2:P$50,$B537,5)))</f>
        <v>0</v>
      </c>
      <c r="S537" s="3" t="str">
        <f t="shared" si="8"/>
        <v>ZZZ</v>
      </c>
      <c r="T537" s="3" t="b">
        <f t="array" ref="T537">OR(ISNUMBER(SEARCH(S$2:S$100,$B537,5)))</f>
        <v>0</v>
      </c>
      <c r="V537" s="3" t="str">
        <f t="shared" si="9"/>
        <v>ZZZ</v>
      </c>
      <c r="W537" s="3" t="b">
        <f t="array" ref="W537">OR(ISNUMBER(SEARCH(V$2:V$100,$B537,5)))</f>
        <v>0</v>
      </c>
      <c r="Y537" s="3" t="str">
        <f t="shared" si="10"/>
        <v>ZZZ</v>
      </c>
      <c r="Z537" s="3" t="b">
        <f t="array" ref="Z537">OR(ISNUMBER(SEARCH(Y$2:Y$100,$B537,5)))</f>
        <v>0</v>
      </c>
      <c r="AB537" s="3" t="str">
        <f t="shared" si="11"/>
        <v>ZZZ</v>
      </c>
      <c r="AC537" s="3" t="b">
        <f t="array" ref="AC537">OR(ISNUMBER(SEARCH(AB$2:AB$100,$B537,5)))</f>
        <v>0</v>
      </c>
      <c r="AE537" s="3" t="str">
        <f t="shared" si="12"/>
        <v>ZZZ</v>
      </c>
      <c r="AF537" s="3" t="b">
        <f t="array" ref="AF537">OR(ISNUMBER(SEARCH(AE$2:AE$100,$B537,5)))</f>
        <v>0</v>
      </c>
      <c r="AH537" s="3" t="str">
        <f t="shared" si="13"/>
        <v>ZZZ</v>
      </c>
      <c r="AI537" s="3" t="b">
        <f t="array" ref="AI537">OR(ISNUMBER(SEARCH(AH$2:AH$100,$B537,5)))</f>
        <v>0</v>
      </c>
      <c r="AK537" s="3" t="str">
        <f t="shared" si="14"/>
        <v>ZZZ</v>
      </c>
      <c r="AL537" s="3" t="b">
        <f t="array" ref="AL537">OR(ISNUMBER(SEARCH(AK$2:AK$100,$B537,5)))</f>
        <v>0</v>
      </c>
      <c r="AU537" s="8"/>
      <c r="AV537" s="6"/>
      <c r="AW537" s="8"/>
      <c r="AX537" s="8"/>
      <c r="AY537" s="6"/>
      <c r="AZ537" s="8"/>
      <c r="BA537" s="8"/>
      <c r="BB537" s="6"/>
      <c r="BC537" s="8"/>
      <c r="BD537" s="8"/>
      <c r="BE537" s="6"/>
      <c r="BF537" s="8"/>
      <c r="BG537" s="8"/>
      <c r="BH537" s="6"/>
      <c r="BI537" s="8"/>
      <c r="BJ537" s="8"/>
      <c r="BK537" s="6"/>
      <c r="BL537" s="8"/>
      <c r="BM537" s="8"/>
      <c r="BN537" s="6"/>
      <c r="BO537" s="8"/>
      <c r="BP537" s="8"/>
      <c r="BQ537" s="6"/>
      <c r="BR537" s="8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  <c r="ES537" s="7"/>
      <c r="ET537" s="7"/>
      <c r="EU537" s="7"/>
      <c r="EV537" s="7"/>
      <c r="EW537" s="7"/>
      <c r="EX537" s="7"/>
      <c r="EY537" s="7"/>
      <c r="EZ537" s="7"/>
      <c r="FA537" s="7"/>
      <c r="FB537" s="7"/>
      <c r="FC537" s="7"/>
      <c r="FD537" s="7"/>
      <c r="FE537" s="7"/>
      <c r="FF537" s="7"/>
      <c r="FG537" s="7"/>
      <c r="FH537" s="7"/>
      <c r="FI537" s="7"/>
      <c r="FJ537" s="7"/>
      <c r="FK537" s="7"/>
      <c r="FL537" s="7"/>
      <c r="FM537" s="7"/>
      <c r="FN537" s="7"/>
      <c r="FO537" s="7"/>
      <c r="FP537" s="7"/>
      <c r="FQ537" s="7"/>
      <c r="FR537" s="7"/>
      <c r="FS537" s="7"/>
      <c r="FT537" s="7"/>
      <c r="FU537" s="7"/>
      <c r="FV537" s="7"/>
      <c r="FW537" s="7"/>
      <c r="FX537" s="7"/>
      <c r="FY537" s="7"/>
      <c r="FZ537" s="7"/>
      <c r="GA537" s="7"/>
      <c r="GB537" s="7"/>
      <c r="GC537" s="7"/>
      <c r="GD537" s="7"/>
      <c r="GE537" s="7"/>
      <c r="GF537" s="7"/>
      <c r="GG537" s="7"/>
      <c r="GH537" s="7"/>
      <c r="GI537" s="7"/>
      <c r="GJ537" s="7"/>
      <c r="GK537" s="7"/>
      <c r="GL537" s="7"/>
      <c r="GM537" s="7"/>
      <c r="GN537" s="7"/>
      <c r="GO537" s="7"/>
      <c r="GP537" s="7"/>
      <c r="GQ537" s="7"/>
      <c r="GR537" s="7"/>
      <c r="GS537" s="7"/>
      <c r="GT537" s="7"/>
      <c r="GU537" s="7"/>
      <c r="GV537" s="7"/>
      <c r="GW537" s="7"/>
      <c r="GX537" s="7"/>
      <c r="GY537" s="7"/>
      <c r="GZ537" s="7"/>
      <c r="HA537" s="7"/>
      <c r="HB537" s="7"/>
      <c r="HC537" s="7"/>
      <c r="HD537" s="7"/>
      <c r="HE537" s="7"/>
      <c r="HF537" s="7"/>
      <c r="HG537" s="7"/>
      <c r="HH537" s="7"/>
      <c r="HI537" s="7"/>
      <c r="HJ537" s="7"/>
      <c r="HK537" s="7"/>
      <c r="HL537" s="7"/>
      <c r="HM537" s="7"/>
      <c r="HN537" s="7"/>
      <c r="HO537" s="7"/>
      <c r="HP537" s="7"/>
      <c r="HQ537" s="7"/>
      <c r="HR537" s="7"/>
      <c r="HS537" s="7"/>
      <c r="HT537" s="7"/>
      <c r="HU537" s="7"/>
      <c r="HV537" s="7"/>
      <c r="HW537" s="7"/>
      <c r="HX537" s="7"/>
      <c r="HY537" s="7"/>
      <c r="HZ537" s="7"/>
      <c r="IA537" s="7"/>
      <c r="IB537" s="7"/>
      <c r="IC537" s="7"/>
      <c r="ID537" s="7"/>
      <c r="IE537" s="7"/>
      <c r="IF537" s="7"/>
      <c r="IG537" s="7"/>
      <c r="IH537" s="7"/>
      <c r="II537" s="7"/>
      <c r="IJ537" s="7"/>
      <c r="IK537" s="7"/>
      <c r="IL537" s="7"/>
      <c r="IM537" s="7"/>
      <c r="IN537" s="7"/>
      <c r="IO537" s="7"/>
      <c r="IP537" s="7"/>
      <c r="IQ537" s="7"/>
      <c r="IR537" s="7"/>
      <c r="IS537" s="7"/>
      <c r="IT537" s="7"/>
      <c r="IU537" s="7"/>
      <c r="IV537" s="7"/>
      <c r="IW537" s="7"/>
      <c r="IX537" s="7"/>
      <c r="IY537" s="7"/>
      <c r="IZ537" s="7"/>
      <c r="JA537" s="7"/>
      <c r="JB537" s="7"/>
      <c r="JC537" s="7"/>
      <c r="JD537" s="7"/>
      <c r="JE537" s="7"/>
      <c r="JF537" s="7"/>
      <c r="JG537" s="7"/>
      <c r="JH537" s="7"/>
      <c r="JI537" s="7"/>
      <c r="JJ537" s="7"/>
      <c r="JK537" s="7"/>
      <c r="JL537" s="7"/>
      <c r="JM537" s="7"/>
      <c r="JN537" s="7"/>
      <c r="JO537" s="7"/>
      <c r="JP537" s="7"/>
      <c r="JQ537" s="7"/>
      <c r="JR537" s="7"/>
      <c r="JS537" s="7"/>
      <c r="JT537" s="7"/>
      <c r="JU537" s="7"/>
      <c r="JV537" s="7"/>
      <c r="JW537" s="7"/>
      <c r="JX537" s="7"/>
      <c r="JY537" s="7"/>
      <c r="JZ537" s="7"/>
      <c r="KA537" s="7"/>
      <c r="KB537" s="7"/>
      <c r="KC537" s="7"/>
      <c r="KD537" s="7"/>
      <c r="KE537" s="7"/>
      <c r="KF537" s="7"/>
      <c r="KG537" s="7"/>
      <c r="KH537" s="7"/>
      <c r="KI537" s="7"/>
      <c r="KJ537" s="7"/>
      <c r="KK537" s="7"/>
      <c r="KL537" s="7"/>
      <c r="KM537" s="7"/>
      <c r="KN537" s="7"/>
    </row>
    <row r="538">
      <c r="A538" s="6"/>
      <c r="B538" s="6" t="s">
        <v>538</v>
      </c>
      <c r="C538" s="3" t="str">
        <f t="shared" si="3"/>
        <v>dim tomato</v>
      </c>
      <c r="D538" s="3" t="str">
        <f t="shared" si="17"/>
        <v>ZZZ</v>
      </c>
      <c r="E538" s="3" t="b">
        <f t="array" ref="E538">OR(ISNUMBER(SEARCH(D$2:D$30,$B538,5)))</f>
        <v>0</v>
      </c>
      <c r="G538" s="3" t="str">
        <f t="shared" si="4"/>
        <v>ZZZ</v>
      </c>
      <c r="H538" s="3" t="b">
        <f t="array" ref="H538">OR(ISNUMBER(SEARCH(G$2:G$30,$B538,5)))</f>
        <v>0</v>
      </c>
      <c r="J538" s="3" t="str">
        <f t="shared" si="5"/>
        <v>ZZZ</v>
      </c>
      <c r="K538" s="3" t="b">
        <f t="array" ref="K538">OR(ISNUMBER(SEARCH(J$2:J$30,$B538,5)))</f>
        <v>0</v>
      </c>
      <c r="M538" s="3" t="str">
        <f t="shared" si="6"/>
        <v>ZZZ</v>
      </c>
      <c r="N538" s="3" t="b">
        <f t="array" ref="N538">OR(ISNUMBER(SEARCH(M$2:M$30,$B538,5)))</f>
        <v>0</v>
      </c>
      <c r="P538" s="3" t="str">
        <f t="shared" si="7"/>
        <v>ZZZ</v>
      </c>
      <c r="Q538" s="3" t="b">
        <f t="array" ref="Q538">OR(ISNUMBER(SEARCH(P$2:P$50,$B538,5)))</f>
        <v>0</v>
      </c>
      <c r="S538" s="3" t="str">
        <f t="shared" si="8"/>
        <v>ZZZ</v>
      </c>
      <c r="T538" s="3" t="b">
        <f t="array" ref="T538">OR(ISNUMBER(SEARCH(S$2:S$100,$B538,5)))</f>
        <v>0</v>
      </c>
      <c r="V538" s="3" t="str">
        <f t="shared" si="9"/>
        <v>ZZZ</v>
      </c>
      <c r="W538" s="3" t="b">
        <f t="array" ref="W538">OR(ISNUMBER(SEARCH(V$2:V$100,$B538,5)))</f>
        <v>0</v>
      </c>
      <c r="Y538" s="3" t="str">
        <f t="shared" si="10"/>
        <v>ZZZ</v>
      </c>
      <c r="Z538" s="3" t="b">
        <f t="array" ref="Z538">OR(ISNUMBER(SEARCH(Y$2:Y$100,$B538,5)))</f>
        <v>0</v>
      </c>
      <c r="AB538" s="3" t="str">
        <f t="shared" si="11"/>
        <v>ZZZ</v>
      </c>
      <c r="AC538" s="3" t="b">
        <f t="array" ref="AC538">OR(ISNUMBER(SEARCH(AB$2:AB$100,$B538,5)))</f>
        <v>0</v>
      </c>
      <c r="AE538" s="3" t="str">
        <f t="shared" si="12"/>
        <v>ZZZ</v>
      </c>
      <c r="AF538" s="3" t="b">
        <f t="array" ref="AF538">OR(ISNUMBER(SEARCH(AE$2:AE$100,$B538,5)))</f>
        <v>0</v>
      </c>
      <c r="AH538" s="3" t="str">
        <f t="shared" si="13"/>
        <v>ZZZ</v>
      </c>
      <c r="AI538" s="3" t="b">
        <f t="array" ref="AI538">OR(ISNUMBER(SEARCH(AH$2:AH$100,$B538,5)))</f>
        <v>0</v>
      </c>
      <c r="AK538" s="3" t="str">
        <f t="shared" si="14"/>
        <v>ZZZ</v>
      </c>
      <c r="AL538" s="3" t="b">
        <f t="array" ref="AL538">OR(ISNUMBER(SEARCH(AK$2:AK$100,$B538,5)))</f>
        <v>0</v>
      </c>
      <c r="AU538" s="8"/>
      <c r="AV538" s="6"/>
      <c r="AW538" s="8"/>
      <c r="AX538" s="8"/>
      <c r="AY538" s="6"/>
      <c r="AZ538" s="8"/>
      <c r="BA538" s="8"/>
      <c r="BB538" s="6"/>
      <c r="BC538" s="8"/>
      <c r="BD538" s="8"/>
      <c r="BE538" s="6"/>
      <c r="BF538" s="8"/>
      <c r="BG538" s="8"/>
      <c r="BH538" s="6"/>
      <c r="BI538" s="8"/>
      <c r="BJ538" s="8"/>
      <c r="BK538" s="6"/>
      <c r="BL538" s="8"/>
      <c r="BM538" s="8"/>
      <c r="BN538" s="6"/>
      <c r="BO538" s="8"/>
      <c r="BP538" s="8"/>
      <c r="BQ538" s="6"/>
      <c r="BR538" s="8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  <c r="EX538" s="7"/>
      <c r="EY538" s="7"/>
      <c r="EZ538" s="7"/>
      <c r="FA538" s="7"/>
      <c r="FB538" s="7"/>
      <c r="FC538" s="7"/>
      <c r="FD538" s="7"/>
      <c r="FE538" s="7"/>
      <c r="FF538" s="7"/>
      <c r="FG538" s="7"/>
      <c r="FH538" s="7"/>
      <c r="FI538" s="7"/>
      <c r="FJ538" s="7"/>
      <c r="FK538" s="7"/>
      <c r="FL538" s="7"/>
      <c r="FM538" s="7"/>
      <c r="FN538" s="7"/>
      <c r="FO538" s="7"/>
      <c r="FP538" s="7"/>
      <c r="FQ538" s="7"/>
      <c r="FR538" s="7"/>
      <c r="FS538" s="7"/>
      <c r="FT538" s="7"/>
      <c r="FU538" s="7"/>
      <c r="FV538" s="7"/>
      <c r="FW538" s="7"/>
      <c r="FX538" s="7"/>
      <c r="FY538" s="7"/>
      <c r="FZ538" s="7"/>
      <c r="GA538" s="7"/>
      <c r="GB538" s="7"/>
      <c r="GC538" s="7"/>
      <c r="GD538" s="7"/>
      <c r="GE538" s="7"/>
      <c r="GF538" s="7"/>
      <c r="GG538" s="7"/>
      <c r="GH538" s="7"/>
      <c r="GI538" s="7"/>
      <c r="GJ538" s="7"/>
      <c r="GK538" s="7"/>
      <c r="GL538" s="7"/>
      <c r="GM538" s="7"/>
      <c r="GN538" s="7"/>
      <c r="GO538" s="7"/>
      <c r="GP538" s="7"/>
      <c r="GQ538" s="7"/>
      <c r="GR538" s="7"/>
      <c r="GS538" s="7"/>
      <c r="GT538" s="7"/>
      <c r="GU538" s="7"/>
      <c r="GV538" s="7"/>
      <c r="GW538" s="7"/>
      <c r="GX538" s="7"/>
      <c r="GY538" s="7"/>
      <c r="GZ538" s="7"/>
      <c r="HA538" s="7"/>
      <c r="HB538" s="7"/>
      <c r="HC538" s="7"/>
      <c r="HD538" s="7"/>
      <c r="HE538" s="7"/>
      <c r="HF538" s="7"/>
      <c r="HG538" s="7"/>
      <c r="HH538" s="7"/>
      <c r="HI538" s="7"/>
      <c r="HJ538" s="7"/>
      <c r="HK538" s="7"/>
      <c r="HL538" s="7"/>
      <c r="HM538" s="7"/>
      <c r="HN538" s="7"/>
      <c r="HO538" s="7"/>
      <c r="HP538" s="7"/>
      <c r="HQ538" s="7"/>
      <c r="HR538" s="7"/>
      <c r="HS538" s="7"/>
      <c r="HT538" s="7"/>
      <c r="HU538" s="7"/>
      <c r="HV538" s="7"/>
      <c r="HW538" s="7"/>
      <c r="HX538" s="7"/>
      <c r="HY538" s="7"/>
      <c r="HZ538" s="7"/>
      <c r="IA538" s="7"/>
      <c r="IB538" s="7"/>
      <c r="IC538" s="7"/>
      <c r="ID538" s="7"/>
      <c r="IE538" s="7"/>
      <c r="IF538" s="7"/>
      <c r="IG538" s="7"/>
      <c r="IH538" s="7"/>
      <c r="II538" s="7"/>
      <c r="IJ538" s="7"/>
      <c r="IK538" s="7"/>
      <c r="IL538" s="7"/>
      <c r="IM538" s="7"/>
      <c r="IN538" s="7"/>
      <c r="IO538" s="7"/>
      <c r="IP538" s="7"/>
      <c r="IQ538" s="7"/>
      <c r="IR538" s="7"/>
      <c r="IS538" s="7"/>
      <c r="IT538" s="7"/>
      <c r="IU538" s="7"/>
      <c r="IV538" s="7"/>
      <c r="IW538" s="7"/>
      <c r="IX538" s="7"/>
      <c r="IY538" s="7"/>
      <c r="IZ538" s="7"/>
      <c r="JA538" s="7"/>
      <c r="JB538" s="7"/>
      <c r="JC538" s="7"/>
      <c r="JD538" s="7"/>
      <c r="JE538" s="7"/>
      <c r="JF538" s="7"/>
      <c r="JG538" s="7"/>
      <c r="JH538" s="7"/>
      <c r="JI538" s="7"/>
      <c r="JJ538" s="7"/>
      <c r="JK538" s="7"/>
      <c r="JL538" s="7"/>
      <c r="JM538" s="7"/>
      <c r="JN538" s="7"/>
      <c r="JO538" s="7"/>
      <c r="JP538" s="7"/>
      <c r="JQ538" s="7"/>
      <c r="JR538" s="7"/>
      <c r="JS538" s="7"/>
      <c r="JT538" s="7"/>
      <c r="JU538" s="7"/>
      <c r="JV538" s="7"/>
      <c r="JW538" s="7"/>
      <c r="JX538" s="7"/>
      <c r="JY538" s="7"/>
      <c r="JZ538" s="7"/>
      <c r="KA538" s="7"/>
      <c r="KB538" s="7"/>
      <c r="KC538" s="7"/>
      <c r="KD538" s="7"/>
      <c r="KE538" s="7"/>
      <c r="KF538" s="7"/>
      <c r="KG538" s="7"/>
      <c r="KH538" s="7"/>
      <c r="KI538" s="7"/>
      <c r="KJ538" s="7"/>
      <c r="KK538" s="7"/>
      <c r="KL538" s="7"/>
      <c r="KM538" s="7"/>
      <c r="KN538" s="7"/>
    </row>
    <row r="539">
      <c r="A539" s="6"/>
      <c r="B539" s="6" t="s">
        <v>539</v>
      </c>
      <c r="C539" s="3" t="str">
        <f t="shared" si="3"/>
        <v>drab beige</v>
      </c>
      <c r="D539" s="3" t="str">
        <f t="shared" si="17"/>
        <v>ZZZ</v>
      </c>
      <c r="E539" s="3" t="b">
        <f t="array" ref="E539">OR(ISNUMBER(SEARCH(D$2:D$30,$B539,5)))</f>
        <v>0</v>
      </c>
      <c r="G539" s="3" t="str">
        <f t="shared" si="4"/>
        <v>ZZZ</v>
      </c>
      <c r="H539" s="3" t="b">
        <f t="array" ref="H539">OR(ISNUMBER(SEARCH(G$2:G$30,$B539,5)))</f>
        <v>0</v>
      </c>
      <c r="J539" s="3" t="str">
        <f t="shared" si="5"/>
        <v>ZZZ</v>
      </c>
      <c r="K539" s="3" t="b">
        <f t="array" ref="K539">OR(ISNUMBER(SEARCH(J$2:J$30,$B539,5)))</f>
        <v>0</v>
      </c>
      <c r="M539" s="3" t="str">
        <f t="shared" si="6"/>
        <v>ZZZ</v>
      </c>
      <c r="N539" s="3" t="b">
        <f t="array" ref="N539">OR(ISNUMBER(SEARCH(M$2:M$30,$B539,5)))</f>
        <v>0</v>
      </c>
      <c r="P539" s="3" t="str">
        <f t="shared" si="7"/>
        <v>ZZZ</v>
      </c>
      <c r="Q539" s="3" t="b">
        <f t="array" ref="Q539">OR(ISNUMBER(SEARCH(P$2:P$50,$B539,5)))</f>
        <v>0</v>
      </c>
      <c r="S539" s="3" t="str">
        <f t="shared" si="8"/>
        <v>ZZZ</v>
      </c>
      <c r="T539" s="3" t="b">
        <f t="array" ref="T539">OR(ISNUMBER(SEARCH(S$2:S$100,$B539,5)))</f>
        <v>1</v>
      </c>
      <c r="V539" s="3" t="str">
        <f t="shared" si="9"/>
        <v>ZZZ</v>
      </c>
      <c r="W539" s="3" t="b">
        <f t="array" ref="W539">OR(ISNUMBER(SEARCH(V$2:V$100,$B539,5)))</f>
        <v>0</v>
      </c>
      <c r="Y539" s="3" t="str">
        <f t="shared" si="10"/>
        <v>ZZZ</v>
      </c>
      <c r="Z539" s="3" t="b">
        <f t="array" ref="Z539">OR(ISNUMBER(SEARCH(Y$2:Y$100,$B539,5)))</f>
        <v>0</v>
      </c>
      <c r="AB539" s="3" t="str">
        <f t="shared" si="11"/>
        <v>ZZZ</v>
      </c>
      <c r="AC539" s="3" t="b">
        <f t="array" ref="AC539">OR(ISNUMBER(SEARCH(AB$2:AB$100,$B539,5)))</f>
        <v>0</v>
      </c>
      <c r="AE539" s="3" t="str">
        <f t="shared" si="12"/>
        <v>ZZZ</v>
      </c>
      <c r="AF539" s="3" t="b">
        <f t="array" ref="AF539">OR(ISNUMBER(SEARCH(AE$2:AE$100,$B539,5)))</f>
        <v>0</v>
      </c>
      <c r="AH539" s="3" t="str">
        <f t="shared" si="13"/>
        <v>ZZZ</v>
      </c>
      <c r="AI539" s="3" t="b">
        <f t="array" ref="AI539">OR(ISNUMBER(SEARCH(AH$2:AH$100,$B539,5)))</f>
        <v>0</v>
      </c>
      <c r="AK539" s="3" t="str">
        <f t="shared" si="14"/>
        <v>ZZZ</v>
      </c>
      <c r="AL539" s="3" t="b">
        <f t="array" ref="AL539">OR(ISNUMBER(SEARCH(AK$2:AK$100,$B539,5)))</f>
        <v>0</v>
      </c>
      <c r="AU539" s="8"/>
      <c r="AV539" s="6"/>
      <c r="AW539" s="8"/>
      <c r="AX539" s="8"/>
      <c r="AY539" s="6"/>
      <c r="AZ539" s="8"/>
      <c r="BA539" s="8"/>
      <c r="BB539" s="6"/>
      <c r="BC539" s="8"/>
      <c r="BD539" s="8"/>
      <c r="BE539" s="6"/>
      <c r="BF539" s="8"/>
      <c r="BG539" s="8"/>
      <c r="BH539" s="6"/>
      <c r="BI539" s="8"/>
      <c r="BJ539" s="8"/>
      <c r="BK539" s="6"/>
      <c r="BL539" s="8"/>
      <c r="BM539" s="8"/>
      <c r="BN539" s="6"/>
      <c r="BO539" s="8"/>
      <c r="BP539" s="8"/>
      <c r="BQ539" s="6"/>
      <c r="BR539" s="8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  <c r="ES539" s="7"/>
      <c r="ET539" s="7"/>
      <c r="EU539" s="7"/>
      <c r="EV539" s="7"/>
      <c r="EW539" s="7"/>
      <c r="EX539" s="7"/>
      <c r="EY539" s="7"/>
      <c r="EZ539" s="7"/>
      <c r="FA539" s="7"/>
      <c r="FB539" s="7"/>
      <c r="FC539" s="7"/>
      <c r="FD539" s="7"/>
      <c r="FE539" s="7"/>
      <c r="FF539" s="7"/>
      <c r="FG539" s="7"/>
      <c r="FH539" s="7"/>
      <c r="FI539" s="7"/>
      <c r="FJ539" s="7"/>
      <c r="FK539" s="7"/>
      <c r="FL539" s="7"/>
      <c r="FM539" s="7"/>
      <c r="FN539" s="7"/>
      <c r="FO539" s="7"/>
      <c r="FP539" s="7"/>
      <c r="FQ539" s="7"/>
      <c r="FR539" s="7"/>
      <c r="FS539" s="7"/>
      <c r="FT539" s="7"/>
      <c r="FU539" s="7"/>
      <c r="FV539" s="7"/>
      <c r="FW539" s="7"/>
      <c r="FX539" s="7"/>
      <c r="FY539" s="7"/>
      <c r="FZ539" s="7"/>
      <c r="GA539" s="7"/>
      <c r="GB539" s="7"/>
      <c r="GC539" s="7"/>
      <c r="GD539" s="7"/>
      <c r="GE539" s="7"/>
      <c r="GF539" s="7"/>
      <c r="GG539" s="7"/>
      <c r="GH539" s="7"/>
      <c r="GI539" s="7"/>
      <c r="GJ539" s="7"/>
      <c r="GK539" s="7"/>
      <c r="GL539" s="7"/>
      <c r="GM539" s="7"/>
      <c r="GN539" s="7"/>
      <c r="GO539" s="7"/>
      <c r="GP539" s="7"/>
      <c r="GQ539" s="7"/>
      <c r="GR539" s="7"/>
      <c r="GS539" s="7"/>
      <c r="GT539" s="7"/>
      <c r="GU539" s="7"/>
      <c r="GV539" s="7"/>
      <c r="GW539" s="7"/>
      <c r="GX539" s="7"/>
      <c r="GY539" s="7"/>
      <c r="GZ539" s="7"/>
      <c r="HA539" s="7"/>
      <c r="HB539" s="7"/>
      <c r="HC539" s="7"/>
      <c r="HD539" s="7"/>
      <c r="HE539" s="7"/>
      <c r="HF539" s="7"/>
      <c r="HG539" s="7"/>
      <c r="HH539" s="7"/>
      <c r="HI539" s="7"/>
      <c r="HJ539" s="7"/>
      <c r="HK539" s="7"/>
      <c r="HL539" s="7"/>
      <c r="HM539" s="7"/>
      <c r="HN539" s="7"/>
      <c r="HO539" s="7"/>
      <c r="HP539" s="7"/>
      <c r="HQ539" s="7"/>
      <c r="HR539" s="7"/>
      <c r="HS539" s="7"/>
      <c r="HT539" s="7"/>
      <c r="HU539" s="7"/>
      <c r="HV539" s="7"/>
      <c r="HW539" s="7"/>
      <c r="HX539" s="7"/>
      <c r="HY539" s="7"/>
      <c r="HZ539" s="7"/>
      <c r="IA539" s="7"/>
      <c r="IB539" s="7"/>
      <c r="IC539" s="7"/>
      <c r="ID539" s="7"/>
      <c r="IE539" s="7"/>
      <c r="IF539" s="7"/>
      <c r="IG539" s="7"/>
      <c r="IH539" s="7"/>
      <c r="II539" s="7"/>
      <c r="IJ539" s="7"/>
      <c r="IK539" s="7"/>
      <c r="IL539" s="7"/>
      <c r="IM539" s="7"/>
      <c r="IN539" s="7"/>
      <c r="IO539" s="7"/>
      <c r="IP539" s="7"/>
      <c r="IQ539" s="7"/>
      <c r="IR539" s="7"/>
      <c r="IS539" s="7"/>
      <c r="IT539" s="7"/>
      <c r="IU539" s="7"/>
      <c r="IV539" s="7"/>
      <c r="IW539" s="7"/>
      <c r="IX539" s="7"/>
      <c r="IY539" s="7"/>
      <c r="IZ539" s="7"/>
      <c r="JA539" s="7"/>
      <c r="JB539" s="7"/>
      <c r="JC539" s="7"/>
      <c r="JD539" s="7"/>
      <c r="JE539" s="7"/>
      <c r="JF539" s="7"/>
      <c r="JG539" s="7"/>
      <c r="JH539" s="7"/>
      <c r="JI539" s="7"/>
      <c r="JJ539" s="7"/>
      <c r="JK539" s="7"/>
      <c r="JL539" s="7"/>
      <c r="JM539" s="7"/>
      <c r="JN539" s="7"/>
      <c r="JO539" s="7"/>
      <c r="JP539" s="7"/>
      <c r="JQ539" s="7"/>
      <c r="JR539" s="7"/>
      <c r="JS539" s="7"/>
      <c r="JT539" s="7"/>
      <c r="JU539" s="7"/>
      <c r="JV539" s="7"/>
      <c r="JW539" s="7"/>
      <c r="JX539" s="7"/>
      <c r="JY539" s="7"/>
      <c r="JZ539" s="7"/>
      <c r="KA539" s="7"/>
      <c r="KB539" s="7"/>
      <c r="KC539" s="7"/>
      <c r="KD539" s="7"/>
      <c r="KE539" s="7"/>
      <c r="KF539" s="7"/>
      <c r="KG539" s="7"/>
      <c r="KH539" s="7"/>
      <c r="KI539" s="7"/>
      <c r="KJ539" s="7"/>
      <c r="KK539" s="7"/>
      <c r="KL539" s="7"/>
      <c r="KM539" s="7"/>
      <c r="KN539" s="7"/>
    </row>
    <row r="540">
      <c r="A540" s="6"/>
      <c r="B540" s="6" t="s">
        <v>540</v>
      </c>
      <c r="C540" s="3" t="str">
        <f t="shared" si="3"/>
        <v>clear gold</v>
      </c>
      <c r="D540" s="3" t="str">
        <f t="shared" si="17"/>
        <v>ZZZ</v>
      </c>
      <c r="E540" s="3" t="b">
        <f t="array" ref="E540">OR(ISNUMBER(SEARCH(D$2:D$30,$B540,5)))</f>
        <v>0</v>
      </c>
      <c r="G540" s="3" t="str">
        <f t="shared" si="4"/>
        <v>ZZZ</v>
      </c>
      <c r="H540" s="3" t="b">
        <f t="array" ref="H540">OR(ISNUMBER(SEARCH(G$2:G$30,$B540,5)))</f>
        <v>0</v>
      </c>
      <c r="J540" s="3" t="str">
        <f t="shared" si="5"/>
        <v>ZZZ</v>
      </c>
      <c r="K540" s="3" t="b">
        <f t="array" ref="K540">OR(ISNUMBER(SEARCH(J$2:J$30,$B540,5)))</f>
        <v>0</v>
      </c>
      <c r="M540" s="3" t="str">
        <f t="shared" si="6"/>
        <v>ZZZ</v>
      </c>
      <c r="N540" s="3" t="b">
        <f t="array" ref="N540">OR(ISNUMBER(SEARCH(M$2:M$30,$B540,5)))</f>
        <v>1</v>
      </c>
      <c r="P540" s="3" t="str">
        <f t="shared" si="7"/>
        <v>ZZZ</v>
      </c>
      <c r="Q540" s="3" t="b">
        <f t="array" ref="Q540">OR(ISNUMBER(SEARCH(P$2:P$50,$B540,5)))</f>
        <v>0</v>
      </c>
      <c r="S540" s="3" t="str">
        <f t="shared" si="8"/>
        <v>ZZZ</v>
      </c>
      <c r="T540" s="3" t="b">
        <f t="array" ref="T540">OR(ISNUMBER(SEARCH(S$2:S$100,$B540,5)))</f>
        <v>0</v>
      </c>
      <c r="V540" s="3" t="str">
        <f t="shared" si="9"/>
        <v>ZZZ</v>
      </c>
      <c r="W540" s="3" t="b">
        <f t="array" ref="W540">OR(ISNUMBER(SEARCH(V$2:V$100,$B540,5)))</f>
        <v>0</v>
      </c>
      <c r="Y540" s="3" t="str">
        <f t="shared" si="10"/>
        <v>ZZZ</v>
      </c>
      <c r="Z540" s="3" t="b">
        <f t="array" ref="Z540">OR(ISNUMBER(SEARCH(Y$2:Y$100,$B540,5)))</f>
        <v>0</v>
      </c>
      <c r="AB540" s="3" t="str">
        <f t="shared" si="11"/>
        <v>ZZZ</v>
      </c>
      <c r="AC540" s="3" t="b">
        <f t="array" ref="AC540">OR(ISNUMBER(SEARCH(AB$2:AB$100,$B540,5)))</f>
        <v>0</v>
      </c>
      <c r="AE540" s="3" t="str">
        <f t="shared" si="12"/>
        <v>ZZZ</v>
      </c>
      <c r="AF540" s="3" t="b">
        <f t="array" ref="AF540">OR(ISNUMBER(SEARCH(AE$2:AE$100,$B540,5)))</f>
        <v>0</v>
      </c>
      <c r="AH540" s="3" t="str">
        <f t="shared" si="13"/>
        <v>ZZZ</v>
      </c>
      <c r="AI540" s="3" t="b">
        <f t="array" ref="AI540">OR(ISNUMBER(SEARCH(AH$2:AH$100,$B540,5)))</f>
        <v>0</v>
      </c>
      <c r="AK540" s="3" t="str">
        <f t="shared" si="14"/>
        <v>ZZZ</v>
      </c>
      <c r="AL540" s="3" t="b">
        <f t="array" ref="AL540">OR(ISNUMBER(SEARCH(AK$2:AK$100,$B540,5)))</f>
        <v>0</v>
      </c>
      <c r="AU540" s="8"/>
      <c r="AV540" s="6"/>
      <c r="AW540" s="8"/>
      <c r="AX540" s="8"/>
      <c r="AY540" s="6"/>
      <c r="AZ540" s="8"/>
      <c r="BA540" s="8"/>
      <c r="BB540" s="6"/>
      <c r="BC540" s="8"/>
      <c r="BD540" s="8"/>
      <c r="BE540" s="6"/>
      <c r="BF540" s="8"/>
      <c r="BG540" s="8"/>
      <c r="BH540" s="6"/>
      <c r="BI540" s="8"/>
      <c r="BJ540" s="8"/>
      <c r="BK540" s="6"/>
      <c r="BL540" s="8"/>
      <c r="BM540" s="8"/>
      <c r="BN540" s="6"/>
      <c r="BO540" s="8"/>
      <c r="BP540" s="8"/>
      <c r="BQ540" s="6"/>
      <c r="BR540" s="8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  <c r="EX540" s="7"/>
      <c r="EY540" s="7"/>
      <c r="EZ540" s="7"/>
      <c r="FA540" s="7"/>
      <c r="FB540" s="7"/>
      <c r="FC540" s="7"/>
      <c r="FD540" s="7"/>
      <c r="FE540" s="7"/>
      <c r="FF540" s="7"/>
      <c r="FG540" s="7"/>
      <c r="FH540" s="7"/>
      <c r="FI540" s="7"/>
      <c r="FJ540" s="7"/>
      <c r="FK540" s="7"/>
      <c r="FL540" s="7"/>
      <c r="FM540" s="7"/>
      <c r="FN540" s="7"/>
      <c r="FO540" s="7"/>
      <c r="FP540" s="7"/>
      <c r="FQ540" s="7"/>
      <c r="FR540" s="7"/>
      <c r="FS540" s="7"/>
      <c r="FT540" s="7"/>
      <c r="FU540" s="7"/>
      <c r="FV540" s="7"/>
      <c r="FW540" s="7"/>
      <c r="FX540" s="7"/>
      <c r="FY540" s="7"/>
      <c r="FZ540" s="7"/>
      <c r="GA540" s="7"/>
      <c r="GB540" s="7"/>
      <c r="GC540" s="7"/>
      <c r="GD540" s="7"/>
      <c r="GE540" s="7"/>
      <c r="GF540" s="7"/>
      <c r="GG540" s="7"/>
      <c r="GH540" s="7"/>
      <c r="GI540" s="7"/>
      <c r="GJ540" s="7"/>
      <c r="GK540" s="7"/>
      <c r="GL540" s="7"/>
      <c r="GM540" s="7"/>
      <c r="GN540" s="7"/>
      <c r="GO540" s="7"/>
      <c r="GP540" s="7"/>
      <c r="GQ540" s="7"/>
      <c r="GR540" s="7"/>
      <c r="GS540" s="7"/>
      <c r="GT540" s="7"/>
      <c r="GU540" s="7"/>
      <c r="GV540" s="7"/>
      <c r="GW540" s="7"/>
      <c r="GX540" s="7"/>
      <c r="GY540" s="7"/>
      <c r="GZ540" s="7"/>
      <c r="HA540" s="7"/>
      <c r="HB540" s="7"/>
      <c r="HC540" s="7"/>
      <c r="HD540" s="7"/>
      <c r="HE540" s="7"/>
      <c r="HF540" s="7"/>
      <c r="HG540" s="7"/>
      <c r="HH540" s="7"/>
      <c r="HI540" s="7"/>
      <c r="HJ540" s="7"/>
      <c r="HK540" s="7"/>
      <c r="HL540" s="7"/>
      <c r="HM540" s="7"/>
      <c r="HN540" s="7"/>
      <c r="HO540" s="7"/>
      <c r="HP540" s="7"/>
      <c r="HQ540" s="7"/>
      <c r="HR540" s="7"/>
      <c r="HS540" s="7"/>
      <c r="HT540" s="7"/>
      <c r="HU540" s="7"/>
      <c r="HV540" s="7"/>
      <c r="HW540" s="7"/>
      <c r="HX540" s="7"/>
      <c r="HY540" s="7"/>
      <c r="HZ540" s="7"/>
      <c r="IA540" s="7"/>
      <c r="IB540" s="7"/>
      <c r="IC540" s="7"/>
      <c r="ID540" s="7"/>
      <c r="IE540" s="7"/>
      <c r="IF540" s="7"/>
      <c r="IG540" s="7"/>
      <c r="IH540" s="7"/>
      <c r="II540" s="7"/>
      <c r="IJ540" s="7"/>
      <c r="IK540" s="7"/>
      <c r="IL540" s="7"/>
      <c r="IM540" s="7"/>
      <c r="IN540" s="7"/>
      <c r="IO540" s="7"/>
      <c r="IP540" s="7"/>
      <c r="IQ540" s="7"/>
      <c r="IR540" s="7"/>
      <c r="IS540" s="7"/>
      <c r="IT540" s="7"/>
      <c r="IU540" s="7"/>
      <c r="IV540" s="7"/>
      <c r="IW540" s="7"/>
      <c r="IX540" s="7"/>
      <c r="IY540" s="7"/>
      <c r="IZ540" s="7"/>
      <c r="JA540" s="7"/>
      <c r="JB540" s="7"/>
      <c r="JC540" s="7"/>
      <c r="JD540" s="7"/>
      <c r="JE540" s="7"/>
      <c r="JF540" s="7"/>
      <c r="JG540" s="7"/>
      <c r="JH540" s="7"/>
      <c r="JI540" s="7"/>
      <c r="JJ540" s="7"/>
      <c r="JK540" s="7"/>
      <c r="JL540" s="7"/>
      <c r="JM540" s="7"/>
      <c r="JN540" s="7"/>
      <c r="JO540" s="7"/>
      <c r="JP540" s="7"/>
      <c r="JQ540" s="7"/>
      <c r="JR540" s="7"/>
      <c r="JS540" s="7"/>
      <c r="JT540" s="7"/>
      <c r="JU540" s="7"/>
      <c r="JV540" s="7"/>
      <c r="JW540" s="7"/>
      <c r="JX540" s="7"/>
      <c r="JY540" s="7"/>
      <c r="JZ540" s="7"/>
      <c r="KA540" s="7"/>
      <c r="KB540" s="7"/>
      <c r="KC540" s="7"/>
      <c r="KD540" s="7"/>
      <c r="KE540" s="7"/>
      <c r="KF540" s="7"/>
      <c r="KG540" s="7"/>
      <c r="KH540" s="7"/>
      <c r="KI540" s="7"/>
      <c r="KJ540" s="7"/>
      <c r="KK540" s="7"/>
      <c r="KL540" s="7"/>
      <c r="KM540" s="7"/>
      <c r="KN540" s="7"/>
    </row>
    <row r="541">
      <c r="A541" s="6"/>
      <c r="B541" s="6" t="s">
        <v>541</v>
      </c>
      <c r="C541" s="3" t="str">
        <f t="shared" si="3"/>
        <v>vibrant orange</v>
      </c>
      <c r="D541" s="3" t="str">
        <f t="shared" si="17"/>
        <v>ZZZ</v>
      </c>
      <c r="E541" s="3" t="b">
        <f t="array" ref="E541">OR(ISNUMBER(SEARCH(D$2:D$30,$B541,5)))</f>
        <v>0</v>
      </c>
      <c r="G541" s="3" t="str">
        <f t="shared" si="4"/>
        <v>ZZZ</v>
      </c>
      <c r="H541" s="3" t="b">
        <f t="array" ref="H541">OR(ISNUMBER(SEARCH(G$2:G$30,$B541,5)))</f>
        <v>0</v>
      </c>
      <c r="J541" s="3" t="str">
        <f t="shared" si="5"/>
        <v>ZZZ</v>
      </c>
      <c r="K541" s="3" t="b">
        <f t="array" ref="K541">OR(ISNUMBER(SEARCH(J$2:J$30,$B541,5)))</f>
        <v>0</v>
      </c>
      <c r="M541" s="3" t="str">
        <f t="shared" si="6"/>
        <v>ZZZ</v>
      </c>
      <c r="N541" s="3" t="b">
        <f t="array" ref="N541">OR(ISNUMBER(SEARCH(M$2:M$30,$B541,5)))</f>
        <v>0</v>
      </c>
      <c r="P541" s="3" t="str">
        <f t="shared" si="7"/>
        <v>ZZZ</v>
      </c>
      <c r="Q541" s="3" t="b">
        <f t="array" ref="Q541">OR(ISNUMBER(SEARCH(P$2:P$50,$B541,5)))</f>
        <v>0</v>
      </c>
      <c r="S541" s="3" t="str">
        <f t="shared" si="8"/>
        <v>ZZZ</v>
      </c>
      <c r="T541" s="3" t="b">
        <f t="array" ref="T541">OR(ISNUMBER(SEARCH(S$2:S$100,$B541,5)))</f>
        <v>0</v>
      </c>
      <c r="V541" s="3" t="str">
        <f t="shared" si="9"/>
        <v>ZZZ</v>
      </c>
      <c r="W541" s="3" t="b">
        <f t="array" ref="W541">OR(ISNUMBER(SEARCH(V$2:V$100,$B541,5)))</f>
        <v>0</v>
      </c>
      <c r="Y541" s="3" t="str">
        <f t="shared" si="10"/>
        <v>ZZZ</v>
      </c>
      <c r="Z541" s="3" t="b">
        <f t="array" ref="Z541">OR(ISNUMBER(SEARCH(Y$2:Y$100,$B541,5)))</f>
        <v>0</v>
      </c>
      <c r="AB541" s="3" t="str">
        <f t="shared" si="11"/>
        <v>ZZZ</v>
      </c>
      <c r="AC541" s="3" t="b">
        <f t="array" ref="AC541">OR(ISNUMBER(SEARCH(AB$2:AB$100,$B541,5)))</f>
        <v>0</v>
      </c>
      <c r="AE541" s="3" t="str">
        <f t="shared" si="12"/>
        <v>ZZZ</v>
      </c>
      <c r="AF541" s="3" t="b">
        <f t="array" ref="AF541">OR(ISNUMBER(SEARCH(AE$2:AE$100,$B541,5)))</f>
        <v>0</v>
      </c>
      <c r="AH541" s="3" t="str">
        <f t="shared" si="13"/>
        <v>ZZZ</v>
      </c>
      <c r="AI541" s="3" t="b">
        <f t="array" ref="AI541">OR(ISNUMBER(SEARCH(AH$2:AH$100,$B541,5)))</f>
        <v>0</v>
      </c>
      <c r="AK541" s="3" t="str">
        <f t="shared" si="14"/>
        <v>ZZZ</v>
      </c>
      <c r="AL541" s="3" t="b">
        <f t="array" ref="AL541">OR(ISNUMBER(SEARCH(AK$2:AK$100,$B541,5)))</f>
        <v>0</v>
      </c>
      <c r="AU541" s="8"/>
      <c r="AV541" s="6"/>
      <c r="AW541" s="8"/>
      <c r="AX541" s="8"/>
      <c r="AY541" s="6"/>
      <c r="AZ541" s="8"/>
      <c r="BA541" s="8"/>
      <c r="BB541" s="6"/>
      <c r="BC541" s="8"/>
      <c r="BD541" s="8"/>
      <c r="BE541" s="6"/>
      <c r="BF541" s="8"/>
      <c r="BG541" s="8"/>
      <c r="BH541" s="6"/>
      <c r="BI541" s="8"/>
      <c r="BJ541" s="8"/>
      <c r="BK541" s="6"/>
      <c r="BL541" s="8"/>
      <c r="BM541" s="8"/>
      <c r="BN541" s="6"/>
      <c r="BO541" s="8"/>
      <c r="BP541" s="8"/>
      <c r="BQ541" s="6"/>
      <c r="BR541" s="8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7"/>
      <c r="EM541" s="7"/>
      <c r="EN541" s="7"/>
      <c r="EO541" s="7"/>
      <c r="EP541" s="7"/>
      <c r="EQ541" s="7"/>
      <c r="ER541" s="7"/>
      <c r="ES541" s="7"/>
      <c r="ET541" s="7"/>
      <c r="EU541" s="7"/>
      <c r="EV541" s="7"/>
      <c r="EW541" s="7"/>
      <c r="EX541" s="7"/>
      <c r="EY541" s="7"/>
      <c r="EZ541" s="7"/>
      <c r="FA541" s="7"/>
      <c r="FB541" s="7"/>
      <c r="FC541" s="7"/>
      <c r="FD541" s="7"/>
      <c r="FE541" s="7"/>
      <c r="FF541" s="7"/>
      <c r="FG541" s="7"/>
      <c r="FH541" s="7"/>
      <c r="FI541" s="7"/>
      <c r="FJ541" s="7"/>
      <c r="FK541" s="7"/>
      <c r="FL541" s="7"/>
      <c r="FM541" s="7"/>
      <c r="FN541" s="7"/>
      <c r="FO541" s="7"/>
      <c r="FP541" s="7"/>
      <c r="FQ541" s="7"/>
      <c r="FR541" s="7"/>
      <c r="FS541" s="7"/>
      <c r="FT541" s="7"/>
      <c r="FU541" s="7"/>
      <c r="FV541" s="7"/>
      <c r="FW541" s="7"/>
      <c r="FX541" s="7"/>
      <c r="FY541" s="7"/>
      <c r="FZ541" s="7"/>
      <c r="GA541" s="7"/>
      <c r="GB541" s="7"/>
      <c r="GC541" s="7"/>
      <c r="GD541" s="7"/>
      <c r="GE541" s="7"/>
      <c r="GF541" s="7"/>
      <c r="GG541" s="7"/>
      <c r="GH541" s="7"/>
      <c r="GI541" s="7"/>
      <c r="GJ541" s="7"/>
      <c r="GK541" s="7"/>
      <c r="GL541" s="7"/>
      <c r="GM541" s="7"/>
      <c r="GN541" s="7"/>
      <c r="GO541" s="7"/>
      <c r="GP541" s="7"/>
      <c r="GQ541" s="7"/>
      <c r="GR541" s="7"/>
      <c r="GS541" s="7"/>
      <c r="GT541" s="7"/>
      <c r="GU541" s="7"/>
      <c r="GV541" s="7"/>
      <c r="GW541" s="7"/>
      <c r="GX541" s="7"/>
      <c r="GY541" s="7"/>
      <c r="GZ541" s="7"/>
      <c r="HA541" s="7"/>
      <c r="HB541" s="7"/>
      <c r="HC541" s="7"/>
      <c r="HD541" s="7"/>
      <c r="HE541" s="7"/>
      <c r="HF541" s="7"/>
      <c r="HG541" s="7"/>
      <c r="HH541" s="7"/>
      <c r="HI541" s="7"/>
      <c r="HJ541" s="7"/>
      <c r="HK541" s="7"/>
      <c r="HL541" s="7"/>
      <c r="HM541" s="7"/>
      <c r="HN541" s="7"/>
      <c r="HO541" s="7"/>
      <c r="HP541" s="7"/>
      <c r="HQ541" s="7"/>
      <c r="HR541" s="7"/>
      <c r="HS541" s="7"/>
      <c r="HT541" s="7"/>
      <c r="HU541" s="7"/>
      <c r="HV541" s="7"/>
      <c r="HW541" s="7"/>
      <c r="HX541" s="7"/>
      <c r="HY541" s="7"/>
      <c r="HZ541" s="7"/>
      <c r="IA541" s="7"/>
      <c r="IB541" s="7"/>
      <c r="IC541" s="7"/>
      <c r="ID541" s="7"/>
      <c r="IE541" s="7"/>
      <c r="IF541" s="7"/>
      <c r="IG541" s="7"/>
      <c r="IH541" s="7"/>
      <c r="II541" s="7"/>
      <c r="IJ541" s="7"/>
      <c r="IK541" s="7"/>
      <c r="IL541" s="7"/>
      <c r="IM541" s="7"/>
      <c r="IN541" s="7"/>
      <c r="IO541" s="7"/>
      <c r="IP541" s="7"/>
      <c r="IQ541" s="7"/>
      <c r="IR541" s="7"/>
      <c r="IS541" s="7"/>
      <c r="IT541" s="7"/>
      <c r="IU541" s="7"/>
      <c r="IV541" s="7"/>
      <c r="IW541" s="7"/>
      <c r="IX541" s="7"/>
      <c r="IY541" s="7"/>
      <c r="IZ541" s="7"/>
      <c r="JA541" s="7"/>
      <c r="JB541" s="7"/>
      <c r="JC541" s="7"/>
      <c r="JD541" s="7"/>
      <c r="JE541" s="7"/>
      <c r="JF541" s="7"/>
      <c r="JG541" s="7"/>
      <c r="JH541" s="7"/>
      <c r="JI541" s="7"/>
      <c r="JJ541" s="7"/>
      <c r="JK541" s="7"/>
      <c r="JL541" s="7"/>
      <c r="JM541" s="7"/>
      <c r="JN541" s="7"/>
      <c r="JO541" s="7"/>
      <c r="JP541" s="7"/>
      <c r="JQ541" s="7"/>
      <c r="JR541" s="7"/>
      <c r="JS541" s="7"/>
      <c r="JT541" s="7"/>
      <c r="JU541" s="7"/>
      <c r="JV541" s="7"/>
      <c r="JW541" s="7"/>
      <c r="JX541" s="7"/>
      <c r="JY541" s="7"/>
      <c r="JZ541" s="7"/>
      <c r="KA541" s="7"/>
      <c r="KB541" s="7"/>
      <c r="KC541" s="7"/>
      <c r="KD541" s="7"/>
      <c r="KE541" s="7"/>
      <c r="KF541" s="7"/>
      <c r="KG541" s="7"/>
      <c r="KH541" s="7"/>
      <c r="KI541" s="7"/>
      <c r="KJ541" s="7"/>
      <c r="KK541" s="7"/>
      <c r="KL541" s="7"/>
      <c r="KM541" s="7"/>
      <c r="KN541" s="7"/>
    </row>
    <row r="542">
      <c r="A542" s="6"/>
      <c r="B542" s="6" t="s">
        <v>542</v>
      </c>
      <c r="C542" s="3" t="str">
        <f t="shared" si="3"/>
        <v>striped tan</v>
      </c>
      <c r="D542" s="3" t="str">
        <f t="shared" si="17"/>
        <v>ZZZ</v>
      </c>
      <c r="E542" s="3" t="b">
        <f t="array" ref="E542">OR(ISNUMBER(SEARCH(D$2:D$30,$B542,5)))</f>
        <v>0</v>
      </c>
      <c r="G542" s="3" t="str">
        <f t="shared" si="4"/>
        <v>ZZZ</v>
      </c>
      <c r="H542" s="3" t="b">
        <f t="array" ref="H542">OR(ISNUMBER(SEARCH(G$2:G$30,$B542,5)))</f>
        <v>0</v>
      </c>
      <c r="J542" s="3" t="str">
        <f t="shared" si="5"/>
        <v>ZZZ</v>
      </c>
      <c r="K542" s="3" t="b">
        <f t="array" ref="K542">OR(ISNUMBER(SEARCH(J$2:J$30,$B542,5)))</f>
        <v>0</v>
      </c>
      <c r="M542" s="3" t="str">
        <f t="shared" si="6"/>
        <v>ZZZ</v>
      </c>
      <c r="N542" s="3" t="b">
        <f t="array" ref="N542">OR(ISNUMBER(SEARCH(M$2:M$30,$B542,5)))</f>
        <v>0</v>
      </c>
      <c r="P542" s="3" t="str">
        <f t="shared" si="7"/>
        <v>ZZZ</v>
      </c>
      <c r="Q542" s="3" t="b">
        <f t="array" ref="Q542">OR(ISNUMBER(SEARCH(P$2:P$50,$B542,5)))</f>
        <v>0</v>
      </c>
      <c r="S542" s="3" t="str">
        <f t="shared" si="8"/>
        <v>ZZZ</v>
      </c>
      <c r="T542" s="3" t="b">
        <f t="array" ref="T542">OR(ISNUMBER(SEARCH(S$2:S$100,$B542,5)))</f>
        <v>0</v>
      </c>
      <c r="V542" s="3" t="str">
        <f t="shared" si="9"/>
        <v>ZZZ</v>
      </c>
      <c r="W542" s="3" t="b">
        <f t="array" ref="W542">OR(ISNUMBER(SEARCH(V$2:V$100,$B542,5)))</f>
        <v>0</v>
      </c>
      <c r="Y542" s="3" t="str">
        <f t="shared" si="10"/>
        <v>ZZZ</v>
      </c>
      <c r="Z542" s="3" t="b">
        <f t="array" ref="Z542">OR(ISNUMBER(SEARCH(Y$2:Y$100,$B542,5)))</f>
        <v>0</v>
      </c>
      <c r="AB542" s="3" t="str">
        <f t="shared" si="11"/>
        <v>ZZZ</v>
      </c>
      <c r="AC542" s="3" t="b">
        <f t="array" ref="AC542">OR(ISNUMBER(SEARCH(AB$2:AB$100,$B542,5)))</f>
        <v>0</v>
      </c>
      <c r="AE542" s="3" t="str">
        <f t="shared" si="12"/>
        <v>ZZZ</v>
      </c>
      <c r="AF542" s="3" t="b">
        <f t="array" ref="AF542">OR(ISNUMBER(SEARCH(AE$2:AE$100,$B542,5)))</f>
        <v>0</v>
      </c>
      <c r="AH542" s="3" t="str">
        <f t="shared" si="13"/>
        <v>ZZZ</v>
      </c>
      <c r="AI542" s="3" t="b">
        <f t="array" ref="AI542">OR(ISNUMBER(SEARCH(AH$2:AH$100,$B542,5)))</f>
        <v>0</v>
      </c>
      <c r="AK542" s="3" t="str">
        <f t="shared" si="14"/>
        <v>ZZZ</v>
      </c>
      <c r="AL542" s="3" t="b">
        <f t="array" ref="AL542">OR(ISNUMBER(SEARCH(AK$2:AK$100,$B542,5)))</f>
        <v>0</v>
      </c>
      <c r="AU542" s="8"/>
      <c r="AV542" s="6"/>
      <c r="AW542" s="8"/>
      <c r="AX542" s="8"/>
      <c r="AY542" s="6"/>
      <c r="AZ542" s="8"/>
      <c r="BA542" s="8"/>
      <c r="BB542" s="6"/>
      <c r="BC542" s="8"/>
      <c r="BD542" s="8"/>
      <c r="BE542" s="6"/>
      <c r="BF542" s="8"/>
      <c r="BG542" s="8"/>
      <c r="BH542" s="6"/>
      <c r="BI542" s="8"/>
      <c r="BJ542" s="8"/>
      <c r="BK542" s="6"/>
      <c r="BL542" s="8"/>
      <c r="BM542" s="8"/>
      <c r="BN542" s="6"/>
      <c r="BO542" s="8"/>
      <c r="BP542" s="8"/>
      <c r="BQ542" s="6"/>
      <c r="BR542" s="8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  <c r="ES542" s="7"/>
      <c r="ET542" s="7"/>
      <c r="EU542" s="7"/>
      <c r="EV542" s="7"/>
      <c r="EW542" s="7"/>
      <c r="EX542" s="7"/>
      <c r="EY542" s="7"/>
      <c r="EZ542" s="7"/>
      <c r="FA542" s="7"/>
      <c r="FB542" s="7"/>
      <c r="FC542" s="7"/>
      <c r="FD542" s="7"/>
      <c r="FE542" s="7"/>
      <c r="FF542" s="7"/>
      <c r="FG542" s="7"/>
      <c r="FH542" s="7"/>
      <c r="FI542" s="7"/>
      <c r="FJ542" s="7"/>
      <c r="FK542" s="7"/>
      <c r="FL542" s="7"/>
      <c r="FM542" s="7"/>
      <c r="FN542" s="7"/>
      <c r="FO542" s="7"/>
      <c r="FP542" s="7"/>
      <c r="FQ542" s="7"/>
      <c r="FR542" s="7"/>
      <c r="FS542" s="7"/>
      <c r="FT542" s="7"/>
      <c r="FU542" s="7"/>
      <c r="FV542" s="7"/>
      <c r="FW542" s="7"/>
      <c r="FX542" s="7"/>
      <c r="FY542" s="7"/>
      <c r="FZ542" s="7"/>
      <c r="GA542" s="7"/>
      <c r="GB542" s="7"/>
      <c r="GC542" s="7"/>
      <c r="GD542" s="7"/>
      <c r="GE542" s="7"/>
      <c r="GF542" s="7"/>
      <c r="GG542" s="7"/>
      <c r="GH542" s="7"/>
      <c r="GI542" s="7"/>
      <c r="GJ542" s="7"/>
      <c r="GK542" s="7"/>
      <c r="GL542" s="7"/>
      <c r="GM542" s="7"/>
      <c r="GN542" s="7"/>
      <c r="GO542" s="7"/>
      <c r="GP542" s="7"/>
      <c r="GQ542" s="7"/>
      <c r="GR542" s="7"/>
      <c r="GS542" s="7"/>
      <c r="GT542" s="7"/>
      <c r="GU542" s="7"/>
      <c r="GV542" s="7"/>
      <c r="GW542" s="7"/>
      <c r="GX542" s="7"/>
      <c r="GY542" s="7"/>
      <c r="GZ542" s="7"/>
      <c r="HA542" s="7"/>
      <c r="HB542" s="7"/>
      <c r="HC542" s="7"/>
      <c r="HD542" s="7"/>
      <c r="HE542" s="7"/>
      <c r="HF542" s="7"/>
      <c r="HG542" s="7"/>
      <c r="HH542" s="7"/>
      <c r="HI542" s="7"/>
      <c r="HJ542" s="7"/>
      <c r="HK542" s="7"/>
      <c r="HL542" s="7"/>
      <c r="HM542" s="7"/>
      <c r="HN542" s="7"/>
      <c r="HO542" s="7"/>
      <c r="HP542" s="7"/>
      <c r="HQ542" s="7"/>
      <c r="HR542" s="7"/>
      <c r="HS542" s="7"/>
      <c r="HT542" s="7"/>
      <c r="HU542" s="7"/>
      <c r="HV542" s="7"/>
      <c r="HW542" s="7"/>
      <c r="HX542" s="7"/>
      <c r="HY542" s="7"/>
      <c r="HZ542" s="7"/>
      <c r="IA542" s="7"/>
      <c r="IB542" s="7"/>
      <c r="IC542" s="7"/>
      <c r="ID542" s="7"/>
      <c r="IE542" s="7"/>
      <c r="IF542" s="7"/>
      <c r="IG542" s="7"/>
      <c r="IH542" s="7"/>
      <c r="II542" s="7"/>
      <c r="IJ542" s="7"/>
      <c r="IK542" s="7"/>
      <c r="IL542" s="7"/>
      <c r="IM542" s="7"/>
      <c r="IN542" s="7"/>
      <c r="IO542" s="7"/>
      <c r="IP542" s="7"/>
      <c r="IQ542" s="7"/>
      <c r="IR542" s="7"/>
      <c r="IS542" s="7"/>
      <c r="IT542" s="7"/>
      <c r="IU542" s="7"/>
      <c r="IV542" s="7"/>
      <c r="IW542" s="7"/>
      <c r="IX542" s="7"/>
      <c r="IY542" s="7"/>
      <c r="IZ542" s="7"/>
      <c r="JA542" s="7"/>
      <c r="JB542" s="7"/>
      <c r="JC542" s="7"/>
      <c r="JD542" s="7"/>
      <c r="JE542" s="7"/>
      <c r="JF542" s="7"/>
      <c r="JG542" s="7"/>
      <c r="JH542" s="7"/>
      <c r="JI542" s="7"/>
      <c r="JJ542" s="7"/>
      <c r="JK542" s="7"/>
      <c r="JL542" s="7"/>
      <c r="JM542" s="7"/>
      <c r="JN542" s="7"/>
      <c r="JO542" s="7"/>
      <c r="JP542" s="7"/>
      <c r="JQ542" s="7"/>
      <c r="JR542" s="7"/>
      <c r="JS542" s="7"/>
      <c r="JT542" s="7"/>
      <c r="JU542" s="7"/>
      <c r="JV542" s="7"/>
      <c r="JW542" s="7"/>
      <c r="JX542" s="7"/>
      <c r="JY542" s="7"/>
      <c r="JZ542" s="7"/>
      <c r="KA542" s="7"/>
      <c r="KB542" s="7"/>
      <c r="KC542" s="7"/>
      <c r="KD542" s="7"/>
      <c r="KE542" s="7"/>
      <c r="KF542" s="7"/>
      <c r="KG542" s="7"/>
      <c r="KH542" s="7"/>
      <c r="KI542" s="7"/>
      <c r="KJ542" s="7"/>
      <c r="KK542" s="7"/>
      <c r="KL542" s="7"/>
      <c r="KM542" s="7"/>
      <c r="KN542" s="7"/>
    </row>
    <row r="543">
      <c r="A543" s="6"/>
      <c r="B543" s="6" t="s">
        <v>543</v>
      </c>
      <c r="C543" s="3" t="str">
        <f t="shared" si="3"/>
        <v>bright lime</v>
      </c>
      <c r="D543" s="3" t="str">
        <f t="shared" si="17"/>
        <v>ZZZ</v>
      </c>
      <c r="E543" s="3" t="b">
        <f t="array" ref="E543">OR(ISNUMBER(SEARCH(D$2:D$30,$B543,5)))</f>
        <v>0</v>
      </c>
      <c r="G543" s="3" t="str">
        <f t="shared" si="4"/>
        <v>ZZZ</v>
      </c>
      <c r="H543" s="3" t="b">
        <f t="array" ref="H543">OR(ISNUMBER(SEARCH(G$2:G$30,$B543,5)))</f>
        <v>0</v>
      </c>
      <c r="J543" s="3" t="str">
        <f t="shared" si="5"/>
        <v>ZZZ</v>
      </c>
      <c r="K543" s="3" t="b">
        <f t="array" ref="K543">OR(ISNUMBER(SEARCH(J$2:J$30,$B543,5)))</f>
        <v>0</v>
      </c>
      <c r="M543" s="3" t="str">
        <f t="shared" si="6"/>
        <v>ZZZ</v>
      </c>
      <c r="N543" s="3" t="b">
        <f t="array" ref="N543">OR(ISNUMBER(SEARCH(M$2:M$30,$B543,5)))</f>
        <v>0</v>
      </c>
      <c r="P543" s="3" t="str">
        <f t="shared" si="7"/>
        <v>ZZZ</v>
      </c>
      <c r="Q543" s="3" t="b">
        <f t="array" ref="Q543">OR(ISNUMBER(SEARCH(P$2:P$50,$B543,5)))</f>
        <v>0</v>
      </c>
      <c r="S543" s="3" t="str">
        <f t="shared" si="8"/>
        <v>ZZZ</v>
      </c>
      <c r="T543" s="3" t="b">
        <f t="array" ref="T543">OR(ISNUMBER(SEARCH(S$2:S$100,$B543,5)))</f>
        <v>0</v>
      </c>
      <c r="V543" s="3" t="str">
        <f t="shared" si="9"/>
        <v>ZZZ</v>
      </c>
      <c r="W543" s="3" t="b">
        <f t="array" ref="W543">OR(ISNUMBER(SEARCH(V$2:V$100,$B543,5)))</f>
        <v>0</v>
      </c>
      <c r="Y543" s="3" t="str">
        <f t="shared" si="10"/>
        <v>ZZZ</v>
      </c>
      <c r="Z543" s="3" t="b">
        <f t="array" ref="Z543">OR(ISNUMBER(SEARCH(Y$2:Y$100,$B543,5)))</f>
        <v>0</v>
      </c>
      <c r="AB543" s="3" t="str">
        <f t="shared" si="11"/>
        <v>ZZZ</v>
      </c>
      <c r="AC543" s="3" t="b">
        <f t="array" ref="AC543">OR(ISNUMBER(SEARCH(AB$2:AB$100,$B543,5)))</f>
        <v>0</v>
      </c>
      <c r="AE543" s="3" t="str">
        <f t="shared" si="12"/>
        <v>ZZZ</v>
      </c>
      <c r="AF543" s="3" t="b">
        <f t="array" ref="AF543">OR(ISNUMBER(SEARCH(AE$2:AE$100,$B543,5)))</f>
        <v>0</v>
      </c>
      <c r="AH543" s="3" t="str">
        <f t="shared" si="13"/>
        <v>ZZZ</v>
      </c>
      <c r="AI543" s="3" t="b">
        <f t="array" ref="AI543">OR(ISNUMBER(SEARCH(AH$2:AH$100,$B543,5)))</f>
        <v>0</v>
      </c>
      <c r="AK543" s="3" t="str">
        <f t="shared" si="14"/>
        <v>ZZZ</v>
      </c>
      <c r="AL543" s="3" t="b">
        <f t="array" ref="AL543">OR(ISNUMBER(SEARCH(AK$2:AK$100,$B543,5)))</f>
        <v>0</v>
      </c>
      <c r="AU543" s="8"/>
      <c r="AV543" s="6"/>
      <c r="AW543" s="8"/>
      <c r="AX543" s="8"/>
      <c r="AY543" s="6"/>
      <c r="AZ543" s="8"/>
      <c r="BA543" s="8"/>
      <c r="BB543" s="6"/>
      <c r="BC543" s="8"/>
      <c r="BD543" s="8"/>
      <c r="BE543" s="6"/>
      <c r="BF543" s="8"/>
      <c r="BG543" s="8"/>
      <c r="BH543" s="6"/>
      <c r="BI543" s="8"/>
      <c r="BJ543" s="8"/>
      <c r="BK543" s="6"/>
      <c r="BL543" s="8"/>
      <c r="BM543" s="8"/>
      <c r="BN543" s="6"/>
      <c r="BO543" s="8"/>
      <c r="BP543" s="8"/>
      <c r="BQ543" s="6"/>
      <c r="BR543" s="8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  <c r="EX543" s="7"/>
      <c r="EY543" s="7"/>
      <c r="EZ543" s="7"/>
      <c r="FA543" s="7"/>
      <c r="FB543" s="7"/>
      <c r="FC543" s="7"/>
      <c r="FD543" s="7"/>
      <c r="FE543" s="7"/>
      <c r="FF543" s="7"/>
      <c r="FG543" s="7"/>
      <c r="FH543" s="7"/>
      <c r="FI543" s="7"/>
      <c r="FJ543" s="7"/>
      <c r="FK543" s="7"/>
      <c r="FL543" s="7"/>
      <c r="FM543" s="7"/>
      <c r="FN543" s="7"/>
      <c r="FO543" s="7"/>
      <c r="FP543" s="7"/>
      <c r="FQ543" s="7"/>
      <c r="FR543" s="7"/>
      <c r="FS543" s="7"/>
      <c r="FT543" s="7"/>
      <c r="FU543" s="7"/>
      <c r="FV543" s="7"/>
      <c r="FW543" s="7"/>
      <c r="FX543" s="7"/>
      <c r="FY543" s="7"/>
      <c r="FZ543" s="7"/>
      <c r="GA543" s="7"/>
      <c r="GB543" s="7"/>
      <c r="GC543" s="7"/>
      <c r="GD543" s="7"/>
      <c r="GE543" s="7"/>
      <c r="GF543" s="7"/>
      <c r="GG543" s="7"/>
      <c r="GH543" s="7"/>
      <c r="GI543" s="7"/>
      <c r="GJ543" s="7"/>
      <c r="GK543" s="7"/>
      <c r="GL543" s="7"/>
      <c r="GM543" s="7"/>
      <c r="GN543" s="7"/>
      <c r="GO543" s="7"/>
      <c r="GP543" s="7"/>
      <c r="GQ543" s="7"/>
      <c r="GR543" s="7"/>
      <c r="GS543" s="7"/>
      <c r="GT543" s="7"/>
      <c r="GU543" s="7"/>
      <c r="GV543" s="7"/>
      <c r="GW543" s="7"/>
      <c r="GX543" s="7"/>
      <c r="GY543" s="7"/>
      <c r="GZ543" s="7"/>
      <c r="HA543" s="7"/>
      <c r="HB543" s="7"/>
      <c r="HC543" s="7"/>
      <c r="HD543" s="7"/>
      <c r="HE543" s="7"/>
      <c r="HF543" s="7"/>
      <c r="HG543" s="7"/>
      <c r="HH543" s="7"/>
      <c r="HI543" s="7"/>
      <c r="HJ543" s="7"/>
      <c r="HK543" s="7"/>
      <c r="HL543" s="7"/>
      <c r="HM543" s="7"/>
      <c r="HN543" s="7"/>
      <c r="HO543" s="7"/>
      <c r="HP543" s="7"/>
      <c r="HQ543" s="7"/>
      <c r="HR543" s="7"/>
      <c r="HS543" s="7"/>
      <c r="HT543" s="7"/>
      <c r="HU543" s="7"/>
      <c r="HV543" s="7"/>
      <c r="HW543" s="7"/>
      <c r="HX543" s="7"/>
      <c r="HY543" s="7"/>
      <c r="HZ543" s="7"/>
      <c r="IA543" s="7"/>
      <c r="IB543" s="7"/>
      <c r="IC543" s="7"/>
      <c r="ID543" s="7"/>
      <c r="IE543" s="7"/>
      <c r="IF543" s="7"/>
      <c r="IG543" s="7"/>
      <c r="IH543" s="7"/>
      <c r="II543" s="7"/>
      <c r="IJ543" s="7"/>
      <c r="IK543" s="7"/>
      <c r="IL543" s="7"/>
      <c r="IM543" s="7"/>
      <c r="IN543" s="7"/>
      <c r="IO543" s="7"/>
      <c r="IP543" s="7"/>
      <c r="IQ543" s="7"/>
      <c r="IR543" s="7"/>
      <c r="IS543" s="7"/>
      <c r="IT543" s="7"/>
      <c r="IU543" s="7"/>
      <c r="IV543" s="7"/>
      <c r="IW543" s="7"/>
      <c r="IX543" s="7"/>
      <c r="IY543" s="7"/>
      <c r="IZ543" s="7"/>
      <c r="JA543" s="7"/>
      <c r="JB543" s="7"/>
      <c r="JC543" s="7"/>
      <c r="JD543" s="7"/>
      <c r="JE543" s="7"/>
      <c r="JF543" s="7"/>
      <c r="JG543" s="7"/>
      <c r="JH543" s="7"/>
      <c r="JI543" s="7"/>
      <c r="JJ543" s="7"/>
      <c r="JK543" s="7"/>
      <c r="JL543" s="7"/>
      <c r="JM543" s="7"/>
      <c r="JN543" s="7"/>
      <c r="JO543" s="7"/>
      <c r="JP543" s="7"/>
      <c r="JQ543" s="7"/>
      <c r="JR543" s="7"/>
      <c r="JS543" s="7"/>
      <c r="JT543" s="7"/>
      <c r="JU543" s="7"/>
      <c r="JV543" s="7"/>
      <c r="JW543" s="7"/>
      <c r="JX543" s="7"/>
      <c r="JY543" s="7"/>
      <c r="JZ543" s="7"/>
      <c r="KA543" s="7"/>
      <c r="KB543" s="7"/>
      <c r="KC543" s="7"/>
      <c r="KD543" s="7"/>
      <c r="KE543" s="7"/>
      <c r="KF543" s="7"/>
      <c r="KG543" s="7"/>
      <c r="KH543" s="7"/>
      <c r="KI543" s="7"/>
      <c r="KJ543" s="7"/>
      <c r="KK543" s="7"/>
      <c r="KL543" s="7"/>
      <c r="KM543" s="7"/>
      <c r="KN543" s="7"/>
    </row>
    <row r="544">
      <c r="A544" s="6"/>
      <c r="B544" s="6" t="s">
        <v>544</v>
      </c>
      <c r="C544" s="3" t="str">
        <f t="shared" si="3"/>
        <v>bright red</v>
      </c>
      <c r="D544" s="3" t="str">
        <f t="shared" si="17"/>
        <v>ZZZ</v>
      </c>
      <c r="E544" s="3" t="b">
        <f t="array" ref="E544">OR(ISNUMBER(SEARCH(D$2:D$30,$B544,5)))</f>
        <v>0</v>
      </c>
      <c r="G544" s="3" t="str">
        <f t="shared" si="4"/>
        <v>ZZZ</v>
      </c>
      <c r="H544" s="3" t="b">
        <f t="array" ref="H544">OR(ISNUMBER(SEARCH(G$2:G$30,$B544,5)))</f>
        <v>0</v>
      </c>
      <c r="J544" s="3" t="str">
        <f t="shared" si="5"/>
        <v>ZZZ</v>
      </c>
      <c r="K544" s="3" t="b">
        <f t="array" ref="K544">OR(ISNUMBER(SEARCH(J$2:J$30,$B544,5)))</f>
        <v>0</v>
      </c>
      <c r="M544" s="3" t="str">
        <f t="shared" si="6"/>
        <v>ZZZ</v>
      </c>
      <c r="N544" s="3" t="b">
        <f t="array" ref="N544">OR(ISNUMBER(SEARCH(M$2:M$30,$B544,5)))</f>
        <v>1</v>
      </c>
      <c r="P544" s="3" t="str">
        <f t="shared" si="7"/>
        <v>ZZZ</v>
      </c>
      <c r="Q544" s="3" t="b">
        <f t="array" ref="Q544">OR(ISNUMBER(SEARCH(P$2:P$50,$B544,5)))</f>
        <v>0</v>
      </c>
      <c r="S544" s="3" t="str">
        <f t="shared" si="8"/>
        <v>ZZZ</v>
      </c>
      <c r="T544" s="3" t="b">
        <f t="array" ref="T544">OR(ISNUMBER(SEARCH(S$2:S$100,$B544,5)))</f>
        <v>0</v>
      </c>
      <c r="V544" s="3" t="str">
        <f t="shared" si="9"/>
        <v>ZZZ</v>
      </c>
      <c r="W544" s="3" t="b">
        <f t="array" ref="W544">OR(ISNUMBER(SEARCH(V$2:V$100,$B544,5)))</f>
        <v>0</v>
      </c>
      <c r="Y544" s="3" t="str">
        <f t="shared" si="10"/>
        <v>ZZZ</v>
      </c>
      <c r="Z544" s="3" t="b">
        <f t="array" ref="Z544">OR(ISNUMBER(SEARCH(Y$2:Y$100,$B544,5)))</f>
        <v>0</v>
      </c>
      <c r="AB544" s="3" t="str">
        <f t="shared" si="11"/>
        <v>ZZZ</v>
      </c>
      <c r="AC544" s="3" t="b">
        <f t="array" ref="AC544">OR(ISNUMBER(SEARCH(AB$2:AB$100,$B544,5)))</f>
        <v>0</v>
      </c>
      <c r="AE544" s="3" t="str">
        <f t="shared" si="12"/>
        <v>ZZZ</v>
      </c>
      <c r="AF544" s="3" t="b">
        <f t="array" ref="AF544">OR(ISNUMBER(SEARCH(AE$2:AE$100,$B544,5)))</f>
        <v>0</v>
      </c>
      <c r="AH544" s="3" t="str">
        <f t="shared" si="13"/>
        <v>ZZZ</v>
      </c>
      <c r="AI544" s="3" t="b">
        <f t="array" ref="AI544">OR(ISNUMBER(SEARCH(AH$2:AH$100,$B544,5)))</f>
        <v>0</v>
      </c>
      <c r="AK544" s="3" t="str">
        <f t="shared" si="14"/>
        <v>ZZZ</v>
      </c>
      <c r="AL544" s="3" t="b">
        <f t="array" ref="AL544">OR(ISNUMBER(SEARCH(AK$2:AK$100,$B544,5)))</f>
        <v>0</v>
      </c>
      <c r="AU544" s="8"/>
      <c r="AV544" s="6"/>
      <c r="AW544" s="8"/>
      <c r="AX544" s="8"/>
      <c r="AY544" s="6"/>
      <c r="AZ544" s="8"/>
      <c r="BA544" s="8"/>
      <c r="BB544" s="6"/>
      <c r="BC544" s="8"/>
      <c r="BD544" s="8"/>
      <c r="BE544" s="6"/>
      <c r="BF544" s="8"/>
      <c r="BG544" s="8"/>
      <c r="BH544" s="6"/>
      <c r="BI544" s="8"/>
      <c r="BJ544" s="8"/>
      <c r="BK544" s="6"/>
      <c r="BL544" s="8"/>
      <c r="BM544" s="8"/>
      <c r="BN544" s="6"/>
      <c r="BO544" s="8"/>
      <c r="BP544" s="8"/>
      <c r="BQ544" s="6"/>
      <c r="BR544" s="8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  <c r="EX544" s="7"/>
      <c r="EY544" s="7"/>
      <c r="EZ544" s="7"/>
      <c r="FA544" s="7"/>
      <c r="FB544" s="7"/>
      <c r="FC544" s="7"/>
      <c r="FD544" s="7"/>
      <c r="FE544" s="7"/>
      <c r="FF544" s="7"/>
      <c r="FG544" s="7"/>
      <c r="FH544" s="7"/>
      <c r="FI544" s="7"/>
      <c r="FJ544" s="7"/>
      <c r="FK544" s="7"/>
      <c r="FL544" s="7"/>
      <c r="FM544" s="7"/>
      <c r="FN544" s="7"/>
      <c r="FO544" s="7"/>
      <c r="FP544" s="7"/>
      <c r="FQ544" s="7"/>
      <c r="FR544" s="7"/>
      <c r="FS544" s="7"/>
      <c r="FT544" s="7"/>
      <c r="FU544" s="7"/>
      <c r="FV544" s="7"/>
      <c r="FW544" s="7"/>
      <c r="FX544" s="7"/>
      <c r="FY544" s="7"/>
      <c r="FZ544" s="7"/>
      <c r="GA544" s="7"/>
      <c r="GB544" s="7"/>
      <c r="GC544" s="7"/>
      <c r="GD544" s="7"/>
      <c r="GE544" s="7"/>
      <c r="GF544" s="7"/>
      <c r="GG544" s="7"/>
      <c r="GH544" s="7"/>
      <c r="GI544" s="7"/>
      <c r="GJ544" s="7"/>
      <c r="GK544" s="7"/>
      <c r="GL544" s="7"/>
      <c r="GM544" s="7"/>
      <c r="GN544" s="7"/>
      <c r="GO544" s="7"/>
      <c r="GP544" s="7"/>
      <c r="GQ544" s="7"/>
      <c r="GR544" s="7"/>
      <c r="GS544" s="7"/>
      <c r="GT544" s="7"/>
      <c r="GU544" s="7"/>
      <c r="GV544" s="7"/>
      <c r="GW544" s="7"/>
      <c r="GX544" s="7"/>
      <c r="GY544" s="7"/>
      <c r="GZ544" s="7"/>
      <c r="HA544" s="7"/>
      <c r="HB544" s="7"/>
      <c r="HC544" s="7"/>
      <c r="HD544" s="7"/>
      <c r="HE544" s="7"/>
      <c r="HF544" s="7"/>
      <c r="HG544" s="7"/>
      <c r="HH544" s="7"/>
      <c r="HI544" s="7"/>
      <c r="HJ544" s="7"/>
      <c r="HK544" s="7"/>
      <c r="HL544" s="7"/>
      <c r="HM544" s="7"/>
      <c r="HN544" s="7"/>
      <c r="HO544" s="7"/>
      <c r="HP544" s="7"/>
      <c r="HQ544" s="7"/>
      <c r="HR544" s="7"/>
      <c r="HS544" s="7"/>
      <c r="HT544" s="7"/>
      <c r="HU544" s="7"/>
      <c r="HV544" s="7"/>
      <c r="HW544" s="7"/>
      <c r="HX544" s="7"/>
      <c r="HY544" s="7"/>
      <c r="HZ544" s="7"/>
      <c r="IA544" s="7"/>
      <c r="IB544" s="7"/>
      <c r="IC544" s="7"/>
      <c r="ID544" s="7"/>
      <c r="IE544" s="7"/>
      <c r="IF544" s="7"/>
      <c r="IG544" s="7"/>
      <c r="IH544" s="7"/>
      <c r="II544" s="7"/>
      <c r="IJ544" s="7"/>
      <c r="IK544" s="7"/>
      <c r="IL544" s="7"/>
      <c r="IM544" s="7"/>
      <c r="IN544" s="7"/>
      <c r="IO544" s="7"/>
      <c r="IP544" s="7"/>
      <c r="IQ544" s="7"/>
      <c r="IR544" s="7"/>
      <c r="IS544" s="7"/>
      <c r="IT544" s="7"/>
      <c r="IU544" s="7"/>
      <c r="IV544" s="7"/>
      <c r="IW544" s="7"/>
      <c r="IX544" s="7"/>
      <c r="IY544" s="7"/>
      <c r="IZ544" s="7"/>
      <c r="JA544" s="7"/>
      <c r="JB544" s="7"/>
      <c r="JC544" s="7"/>
      <c r="JD544" s="7"/>
      <c r="JE544" s="7"/>
      <c r="JF544" s="7"/>
      <c r="JG544" s="7"/>
      <c r="JH544" s="7"/>
      <c r="JI544" s="7"/>
      <c r="JJ544" s="7"/>
      <c r="JK544" s="7"/>
      <c r="JL544" s="7"/>
      <c r="JM544" s="7"/>
      <c r="JN544" s="7"/>
      <c r="JO544" s="7"/>
      <c r="JP544" s="7"/>
      <c r="JQ544" s="7"/>
      <c r="JR544" s="7"/>
      <c r="JS544" s="7"/>
      <c r="JT544" s="7"/>
      <c r="JU544" s="7"/>
      <c r="JV544" s="7"/>
      <c r="JW544" s="7"/>
      <c r="JX544" s="7"/>
      <c r="JY544" s="7"/>
      <c r="JZ544" s="7"/>
      <c r="KA544" s="7"/>
      <c r="KB544" s="7"/>
      <c r="KC544" s="7"/>
      <c r="KD544" s="7"/>
      <c r="KE544" s="7"/>
      <c r="KF544" s="7"/>
      <c r="KG544" s="7"/>
      <c r="KH544" s="7"/>
      <c r="KI544" s="7"/>
      <c r="KJ544" s="7"/>
      <c r="KK544" s="7"/>
      <c r="KL544" s="7"/>
      <c r="KM544" s="7"/>
      <c r="KN544" s="7"/>
    </row>
    <row r="545">
      <c r="A545" s="6"/>
      <c r="B545" s="6" t="s">
        <v>545</v>
      </c>
      <c r="C545" s="3" t="str">
        <f t="shared" si="3"/>
        <v>vibrant green</v>
      </c>
      <c r="D545" s="3" t="str">
        <f t="shared" si="17"/>
        <v>ZZZ</v>
      </c>
      <c r="E545" s="3" t="b">
        <f t="array" ref="E545">OR(ISNUMBER(SEARCH(D$2:D$30,$B545,5)))</f>
        <v>0</v>
      </c>
      <c r="G545" s="3" t="str">
        <f t="shared" si="4"/>
        <v>ZZZ</v>
      </c>
      <c r="H545" s="3" t="b">
        <f t="array" ref="H545">OR(ISNUMBER(SEARCH(G$2:G$30,$B545,5)))</f>
        <v>0</v>
      </c>
      <c r="J545" s="3" t="str">
        <f t="shared" si="5"/>
        <v>ZZZ</v>
      </c>
      <c r="K545" s="3" t="b">
        <f t="array" ref="K545">OR(ISNUMBER(SEARCH(J$2:J$30,$B545,5)))</f>
        <v>0</v>
      </c>
      <c r="M545" s="3" t="str">
        <f t="shared" si="6"/>
        <v>ZZZ</v>
      </c>
      <c r="N545" s="3" t="b">
        <f t="array" ref="N545">OR(ISNUMBER(SEARCH(M$2:M$30,$B545,5)))</f>
        <v>0</v>
      </c>
      <c r="P545" s="3" t="str">
        <f t="shared" si="7"/>
        <v>ZZZ</v>
      </c>
      <c r="Q545" s="3" t="b">
        <f t="array" ref="Q545">OR(ISNUMBER(SEARCH(P$2:P$50,$B545,5)))</f>
        <v>0</v>
      </c>
      <c r="S545" s="3" t="str">
        <f t="shared" si="8"/>
        <v>ZZZ</v>
      </c>
      <c r="T545" s="3" t="b">
        <f t="array" ref="T545">OR(ISNUMBER(SEARCH(S$2:S$100,$B545,5)))</f>
        <v>0</v>
      </c>
      <c r="V545" s="3" t="str">
        <f t="shared" si="9"/>
        <v>ZZZ</v>
      </c>
      <c r="W545" s="3" t="b">
        <f t="array" ref="W545">OR(ISNUMBER(SEARCH(V$2:V$100,$B545,5)))</f>
        <v>0</v>
      </c>
      <c r="Y545" s="3" t="str">
        <f t="shared" si="10"/>
        <v>ZZZ</v>
      </c>
      <c r="Z545" s="3" t="b">
        <f t="array" ref="Z545">OR(ISNUMBER(SEARCH(Y$2:Y$100,$B545,5)))</f>
        <v>0</v>
      </c>
      <c r="AB545" s="3" t="str">
        <f t="shared" si="11"/>
        <v>ZZZ</v>
      </c>
      <c r="AC545" s="3" t="b">
        <f t="array" ref="AC545">OR(ISNUMBER(SEARCH(AB$2:AB$100,$B545,5)))</f>
        <v>0</v>
      </c>
      <c r="AE545" s="3" t="str">
        <f t="shared" si="12"/>
        <v>ZZZ</v>
      </c>
      <c r="AF545" s="3" t="b">
        <f t="array" ref="AF545">OR(ISNUMBER(SEARCH(AE$2:AE$100,$B545,5)))</f>
        <v>0</v>
      </c>
      <c r="AH545" s="3" t="str">
        <f t="shared" si="13"/>
        <v>ZZZ</v>
      </c>
      <c r="AI545" s="3" t="b">
        <f t="array" ref="AI545">OR(ISNUMBER(SEARCH(AH$2:AH$100,$B545,5)))</f>
        <v>0</v>
      </c>
      <c r="AK545" s="3" t="str">
        <f t="shared" si="14"/>
        <v>ZZZ</v>
      </c>
      <c r="AL545" s="3" t="b">
        <f t="array" ref="AL545">OR(ISNUMBER(SEARCH(AK$2:AK$100,$B545,5)))</f>
        <v>0</v>
      </c>
      <c r="AU545" s="8"/>
      <c r="AV545" s="6"/>
      <c r="AW545" s="8"/>
      <c r="AX545" s="8"/>
      <c r="AY545" s="6"/>
      <c r="AZ545" s="8"/>
      <c r="BA545" s="8"/>
      <c r="BB545" s="6"/>
      <c r="BC545" s="8"/>
      <c r="BD545" s="8"/>
      <c r="BE545" s="6"/>
      <c r="BF545" s="8"/>
      <c r="BG545" s="8"/>
      <c r="BH545" s="6"/>
      <c r="BI545" s="8"/>
      <c r="BJ545" s="8"/>
      <c r="BK545" s="6"/>
      <c r="BL545" s="8"/>
      <c r="BM545" s="8"/>
      <c r="BN545" s="6"/>
      <c r="BO545" s="8"/>
      <c r="BP545" s="8"/>
      <c r="BQ545" s="6"/>
      <c r="BR545" s="8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  <c r="ES545" s="7"/>
      <c r="ET545" s="7"/>
      <c r="EU545" s="7"/>
      <c r="EV545" s="7"/>
      <c r="EW545" s="7"/>
      <c r="EX545" s="7"/>
      <c r="EY545" s="7"/>
      <c r="EZ545" s="7"/>
      <c r="FA545" s="7"/>
      <c r="FB545" s="7"/>
      <c r="FC545" s="7"/>
      <c r="FD545" s="7"/>
      <c r="FE545" s="7"/>
      <c r="FF545" s="7"/>
      <c r="FG545" s="7"/>
      <c r="FH545" s="7"/>
      <c r="FI545" s="7"/>
      <c r="FJ545" s="7"/>
      <c r="FK545" s="7"/>
      <c r="FL545" s="7"/>
      <c r="FM545" s="7"/>
      <c r="FN545" s="7"/>
      <c r="FO545" s="7"/>
      <c r="FP545" s="7"/>
      <c r="FQ545" s="7"/>
      <c r="FR545" s="7"/>
      <c r="FS545" s="7"/>
      <c r="FT545" s="7"/>
      <c r="FU545" s="7"/>
      <c r="FV545" s="7"/>
      <c r="FW545" s="7"/>
      <c r="FX545" s="7"/>
      <c r="FY545" s="7"/>
      <c r="FZ545" s="7"/>
      <c r="GA545" s="7"/>
      <c r="GB545" s="7"/>
      <c r="GC545" s="7"/>
      <c r="GD545" s="7"/>
      <c r="GE545" s="7"/>
      <c r="GF545" s="7"/>
      <c r="GG545" s="7"/>
      <c r="GH545" s="7"/>
      <c r="GI545" s="7"/>
      <c r="GJ545" s="7"/>
      <c r="GK545" s="7"/>
      <c r="GL545" s="7"/>
      <c r="GM545" s="7"/>
      <c r="GN545" s="7"/>
      <c r="GO545" s="7"/>
      <c r="GP545" s="7"/>
      <c r="GQ545" s="7"/>
      <c r="GR545" s="7"/>
      <c r="GS545" s="7"/>
      <c r="GT545" s="7"/>
      <c r="GU545" s="7"/>
      <c r="GV545" s="7"/>
      <c r="GW545" s="7"/>
      <c r="GX545" s="7"/>
      <c r="GY545" s="7"/>
      <c r="GZ545" s="7"/>
      <c r="HA545" s="7"/>
      <c r="HB545" s="7"/>
      <c r="HC545" s="7"/>
      <c r="HD545" s="7"/>
      <c r="HE545" s="7"/>
      <c r="HF545" s="7"/>
      <c r="HG545" s="7"/>
      <c r="HH545" s="7"/>
      <c r="HI545" s="7"/>
      <c r="HJ545" s="7"/>
      <c r="HK545" s="7"/>
      <c r="HL545" s="7"/>
      <c r="HM545" s="7"/>
      <c r="HN545" s="7"/>
      <c r="HO545" s="7"/>
      <c r="HP545" s="7"/>
      <c r="HQ545" s="7"/>
      <c r="HR545" s="7"/>
      <c r="HS545" s="7"/>
      <c r="HT545" s="7"/>
      <c r="HU545" s="7"/>
      <c r="HV545" s="7"/>
      <c r="HW545" s="7"/>
      <c r="HX545" s="7"/>
      <c r="HY545" s="7"/>
      <c r="HZ545" s="7"/>
      <c r="IA545" s="7"/>
      <c r="IB545" s="7"/>
      <c r="IC545" s="7"/>
      <c r="ID545" s="7"/>
      <c r="IE545" s="7"/>
      <c r="IF545" s="7"/>
      <c r="IG545" s="7"/>
      <c r="IH545" s="7"/>
      <c r="II545" s="7"/>
      <c r="IJ545" s="7"/>
      <c r="IK545" s="7"/>
      <c r="IL545" s="7"/>
      <c r="IM545" s="7"/>
      <c r="IN545" s="7"/>
      <c r="IO545" s="7"/>
      <c r="IP545" s="7"/>
      <c r="IQ545" s="7"/>
      <c r="IR545" s="7"/>
      <c r="IS545" s="7"/>
      <c r="IT545" s="7"/>
      <c r="IU545" s="7"/>
      <c r="IV545" s="7"/>
      <c r="IW545" s="7"/>
      <c r="IX545" s="7"/>
      <c r="IY545" s="7"/>
      <c r="IZ545" s="7"/>
      <c r="JA545" s="7"/>
      <c r="JB545" s="7"/>
      <c r="JC545" s="7"/>
      <c r="JD545" s="7"/>
      <c r="JE545" s="7"/>
      <c r="JF545" s="7"/>
      <c r="JG545" s="7"/>
      <c r="JH545" s="7"/>
      <c r="JI545" s="7"/>
      <c r="JJ545" s="7"/>
      <c r="JK545" s="7"/>
      <c r="JL545" s="7"/>
      <c r="JM545" s="7"/>
      <c r="JN545" s="7"/>
      <c r="JO545" s="7"/>
      <c r="JP545" s="7"/>
      <c r="JQ545" s="7"/>
      <c r="JR545" s="7"/>
      <c r="JS545" s="7"/>
      <c r="JT545" s="7"/>
      <c r="JU545" s="7"/>
      <c r="JV545" s="7"/>
      <c r="JW545" s="7"/>
      <c r="JX545" s="7"/>
      <c r="JY545" s="7"/>
      <c r="JZ545" s="7"/>
      <c r="KA545" s="7"/>
      <c r="KB545" s="7"/>
      <c r="KC545" s="7"/>
      <c r="KD545" s="7"/>
      <c r="KE545" s="7"/>
      <c r="KF545" s="7"/>
      <c r="KG545" s="7"/>
      <c r="KH545" s="7"/>
      <c r="KI545" s="7"/>
      <c r="KJ545" s="7"/>
      <c r="KK545" s="7"/>
      <c r="KL545" s="7"/>
      <c r="KM545" s="7"/>
      <c r="KN545" s="7"/>
    </row>
    <row r="546">
      <c r="A546" s="6"/>
      <c r="B546" s="6" t="s">
        <v>546</v>
      </c>
      <c r="C546" s="3" t="str">
        <f t="shared" si="3"/>
        <v>light tan</v>
      </c>
      <c r="D546" s="3" t="str">
        <f t="shared" si="17"/>
        <v>ZZZ</v>
      </c>
      <c r="E546" s="3" t="b">
        <f t="array" ref="E546">OR(ISNUMBER(SEARCH(D$2:D$30,$B546,5)))</f>
        <v>0</v>
      </c>
      <c r="G546" s="3" t="str">
        <f t="shared" si="4"/>
        <v>ZZZ</v>
      </c>
      <c r="H546" s="3" t="b">
        <f t="array" ref="H546">OR(ISNUMBER(SEARCH(G$2:G$30,$B546,5)))</f>
        <v>0</v>
      </c>
      <c r="J546" s="3" t="str">
        <f t="shared" si="5"/>
        <v>ZZZ</v>
      </c>
      <c r="K546" s="3" t="b">
        <f t="array" ref="K546">OR(ISNUMBER(SEARCH(J$2:J$30,$B546,5)))</f>
        <v>0</v>
      </c>
      <c r="M546" s="3" t="str">
        <f t="shared" si="6"/>
        <v>ZZZ</v>
      </c>
      <c r="N546" s="3" t="b">
        <f t="array" ref="N546">OR(ISNUMBER(SEARCH(M$2:M$30,$B546,5)))</f>
        <v>0</v>
      </c>
      <c r="P546" s="3" t="str">
        <f t="shared" si="7"/>
        <v>ZZZ</v>
      </c>
      <c r="Q546" s="3" t="b">
        <f t="array" ref="Q546">OR(ISNUMBER(SEARCH(P$2:P$50,$B546,5)))</f>
        <v>0</v>
      </c>
      <c r="S546" s="3" t="str">
        <f t="shared" si="8"/>
        <v>ZZZ</v>
      </c>
      <c r="T546" s="3" t="b">
        <f t="array" ref="T546">OR(ISNUMBER(SEARCH(S$2:S$100,$B546,5)))</f>
        <v>0</v>
      </c>
      <c r="V546" s="3" t="str">
        <f t="shared" si="9"/>
        <v>ZZZ</v>
      </c>
      <c r="W546" s="3" t="b">
        <f t="array" ref="W546">OR(ISNUMBER(SEARCH(V$2:V$100,$B546,5)))</f>
        <v>0</v>
      </c>
      <c r="Y546" s="3" t="str">
        <f t="shared" si="10"/>
        <v>ZZZ</v>
      </c>
      <c r="Z546" s="3" t="b">
        <f t="array" ref="Z546">OR(ISNUMBER(SEARCH(Y$2:Y$100,$B546,5)))</f>
        <v>0</v>
      </c>
      <c r="AB546" s="3" t="str">
        <f t="shared" si="11"/>
        <v>ZZZ</v>
      </c>
      <c r="AC546" s="3" t="b">
        <f t="array" ref="AC546">OR(ISNUMBER(SEARCH(AB$2:AB$100,$B546,5)))</f>
        <v>0</v>
      </c>
      <c r="AE546" s="3" t="str">
        <f t="shared" si="12"/>
        <v>ZZZ</v>
      </c>
      <c r="AF546" s="3" t="b">
        <f t="array" ref="AF546">OR(ISNUMBER(SEARCH(AE$2:AE$100,$B546,5)))</f>
        <v>0</v>
      </c>
      <c r="AH546" s="3" t="str">
        <f t="shared" si="13"/>
        <v>ZZZ</v>
      </c>
      <c r="AI546" s="3" t="b">
        <f t="array" ref="AI546">OR(ISNUMBER(SEARCH(AH$2:AH$100,$B546,5)))</f>
        <v>0</v>
      </c>
      <c r="AK546" s="3" t="str">
        <f t="shared" si="14"/>
        <v>ZZZ</v>
      </c>
      <c r="AL546" s="3" t="b">
        <f t="array" ref="AL546">OR(ISNUMBER(SEARCH(AK$2:AK$100,$B546,5)))</f>
        <v>0</v>
      </c>
      <c r="AU546" s="8"/>
      <c r="AV546" s="6"/>
      <c r="AW546" s="8"/>
      <c r="AX546" s="8"/>
      <c r="AY546" s="6"/>
      <c r="AZ546" s="8"/>
      <c r="BA546" s="8"/>
      <c r="BB546" s="6"/>
      <c r="BC546" s="8"/>
      <c r="BD546" s="8"/>
      <c r="BE546" s="6"/>
      <c r="BF546" s="8"/>
      <c r="BG546" s="8"/>
      <c r="BH546" s="6"/>
      <c r="BI546" s="8"/>
      <c r="BJ546" s="8"/>
      <c r="BK546" s="6"/>
      <c r="BL546" s="8"/>
      <c r="BM546" s="8"/>
      <c r="BN546" s="6"/>
      <c r="BO546" s="8"/>
      <c r="BP546" s="8"/>
      <c r="BQ546" s="6"/>
      <c r="BR546" s="8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  <c r="EQ546" s="7"/>
      <c r="ER546" s="7"/>
      <c r="ES546" s="7"/>
      <c r="ET546" s="7"/>
      <c r="EU546" s="7"/>
      <c r="EV546" s="7"/>
      <c r="EW546" s="7"/>
      <c r="EX546" s="7"/>
      <c r="EY546" s="7"/>
      <c r="EZ546" s="7"/>
      <c r="FA546" s="7"/>
      <c r="FB546" s="7"/>
      <c r="FC546" s="7"/>
      <c r="FD546" s="7"/>
      <c r="FE546" s="7"/>
      <c r="FF546" s="7"/>
      <c r="FG546" s="7"/>
      <c r="FH546" s="7"/>
      <c r="FI546" s="7"/>
      <c r="FJ546" s="7"/>
      <c r="FK546" s="7"/>
      <c r="FL546" s="7"/>
      <c r="FM546" s="7"/>
      <c r="FN546" s="7"/>
      <c r="FO546" s="7"/>
      <c r="FP546" s="7"/>
      <c r="FQ546" s="7"/>
      <c r="FR546" s="7"/>
      <c r="FS546" s="7"/>
      <c r="FT546" s="7"/>
      <c r="FU546" s="7"/>
      <c r="FV546" s="7"/>
      <c r="FW546" s="7"/>
      <c r="FX546" s="7"/>
      <c r="FY546" s="7"/>
      <c r="FZ546" s="7"/>
      <c r="GA546" s="7"/>
      <c r="GB546" s="7"/>
      <c r="GC546" s="7"/>
      <c r="GD546" s="7"/>
      <c r="GE546" s="7"/>
      <c r="GF546" s="7"/>
      <c r="GG546" s="7"/>
      <c r="GH546" s="7"/>
      <c r="GI546" s="7"/>
      <c r="GJ546" s="7"/>
      <c r="GK546" s="7"/>
      <c r="GL546" s="7"/>
      <c r="GM546" s="7"/>
      <c r="GN546" s="7"/>
      <c r="GO546" s="7"/>
      <c r="GP546" s="7"/>
      <c r="GQ546" s="7"/>
      <c r="GR546" s="7"/>
      <c r="GS546" s="7"/>
      <c r="GT546" s="7"/>
      <c r="GU546" s="7"/>
      <c r="GV546" s="7"/>
      <c r="GW546" s="7"/>
      <c r="GX546" s="7"/>
      <c r="GY546" s="7"/>
      <c r="GZ546" s="7"/>
      <c r="HA546" s="7"/>
      <c r="HB546" s="7"/>
      <c r="HC546" s="7"/>
      <c r="HD546" s="7"/>
      <c r="HE546" s="7"/>
      <c r="HF546" s="7"/>
      <c r="HG546" s="7"/>
      <c r="HH546" s="7"/>
      <c r="HI546" s="7"/>
      <c r="HJ546" s="7"/>
      <c r="HK546" s="7"/>
      <c r="HL546" s="7"/>
      <c r="HM546" s="7"/>
      <c r="HN546" s="7"/>
      <c r="HO546" s="7"/>
      <c r="HP546" s="7"/>
      <c r="HQ546" s="7"/>
      <c r="HR546" s="7"/>
      <c r="HS546" s="7"/>
      <c r="HT546" s="7"/>
      <c r="HU546" s="7"/>
      <c r="HV546" s="7"/>
      <c r="HW546" s="7"/>
      <c r="HX546" s="7"/>
      <c r="HY546" s="7"/>
      <c r="HZ546" s="7"/>
      <c r="IA546" s="7"/>
      <c r="IB546" s="7"/>
      <c r="IC546" s="7"/>
      <c r="ID546" s="7"/>
      <c r="IE546" s="7"/>
      <c r="IF546" s="7"/>
      <c r="IG546" s="7"/>
      <c r="IH546" s="7"/>
      <c r="II546" s="7"/>
      <c r="IJ546" s="7"/>
      <c r="IK546" s="7"/>
      <c r="IL546" s="7"/>
      <c r="IM546" s="7"/>
      <c r="IN546" s="7"/>
      <c r="IO546" s="7"/>
      <c r="IP546" s="7"/>
      <c r="IQ546" s="7"/>
      <c r="IR546" s="7"/>
      <c r="IS546" s="7"/>
      <c r="IT546" s="7"/>
      <c r="IU546" s="7"/>
      <c r="IV546" s="7"/>
      <c r="IW546" s="7"/>
      <c r="IX546" s="7"/>
      <c r="IY546" s="7"/>
      <c r="IZ546" s="7"/>
      <c r="JA546" s="7"/>
      <c r="JB546" s="7"/>
      <c r="JC546" s="7"/>
      <c r="JD546" s="7"/>
      <c r="JE546" s="7"/>
      <c r="JF546" s="7"/>
      <c r="JG546" s="7"/>
      <c r="JH546" s="7"/>
      <c r="JI546" s="7"/>
      <c r="JJ546" s="7"/>
      <c r="JK546" s="7"/>
      <c r="JL546" s="7"/>
      <c r="JM546" s="7"/>
      <c r="JN546" s="7"/>
      <c r="JO546" s="7"/>
      <c r="JP546" s="7"/>
      <c r="JQ546" s="7"/>
      <c r="JR546" s="7"/>
      <c r="JS546" s="7"/>
      <c r="JT546" s="7"/>
      <c r="JU546" s="7"/>
      <c r="JV546" s="7"/>
      <c r="JW546" s="7"/>
      <c r="JX546" s="7"/>
      <c r="JY546" s="7"/>
      <c r="JZ546" s="7"/>
      <c r="KA546" s="7"/>
      <c r="KB546" s="7"/>
      <c r="KC546" s="7"/>
      <c r="KD546" s="7"/>
      <c r="KE546" s="7"/>
      <c r="KF546" s="7"/>
      <c r="KG546" s="7"/>
      <c r="KH546" s="7"/>
      <c r="KI546" s="7"/>
      <c r="KJ546" s="7"/>
      <c r="KK546" s="7"/>
      <c r="KL546" s="7"/>
      <c r="KM546" s="7"/>
      <c r="KN546" s="7"/>
    </row>
    <row r="547">
      <c r="A547" s="6"/>
      <c r="B547" s="6" t="s">
        <v>547</v>
      </c>
      <c r="C547" s="3" t="str">
        <f t="shared" si="3"/>
        <v>striped white</v>
      </c>
      <c r="D547" s="3" t="str">
        <f t="shared" si="17"/>
        <v>ZZZ</v>
      </c>
      <c r="E547" s="3" t="b">
        <f t="array" ref="E547">OR(ISNUMBER(SEARCH(D$2:D$30,$B547,5)))</f>
        <v>0</v>
      </c>
      <c r="G547" s="3" t="str">
        <f t="shared" si="4"/>
        <v>ZZZ</v>
      </c>
      <c r="H547" s="3" t="b">
        <f t="array" ref="H547">OR(ISNUMBER(SEARCH(G$2:G$30,$B547,5)))</f>
        <v>0</v>
      </c>
      <c r="J547" s="3" t="str">
        <f t="shared" si="5"/>
        <v>ZZZ</v>
      </c>
      <c r="K547" s="3" t="b">
        <f t="array" ref="K547">OR(ISNUMBER(SEARCH(J$2:J$30,$B547,5)))</f>
        <v>0</v>
      </c>
      <c r="M547" s="3" t="str">
        <f t="shared" si="6"/>
        <v>ZZZ</v>
      </c>
      <c r="N547" s="3" t="b">
        <f t="array" ref="N547">OR(ISNUMBER(SEARCH(M$2:M$30,$B547,5)))</f>
        <v>0</v>
      </c>
      <c r="P547" s="3" t="str">
        <f t="shared" si="7"/>
        <v>ZZZ</v>
      </c>
      <c r="Q547" s="3" t="b">
        <f t="array" ref="Q547">OR(ISNUMBER(SEARCH(P$2:P$50,$B547,5)))</f>
        <v>0</v>
      </c>
      <c r="S547" s="3" t="str">
        <f t="shared" si="8"/>
        <v>ZZZ</v>
      </c>
      <c r="T547" s="3" t="b">
        <f t="array" ref="T547">OR(ISNUMBER(SEARCH(S$2:S$100,$B547,5)))</f>
        <v>0</v>
      </c>
      <c r="V547" s="3" t="str">
        <f t="shared" si="9"/>
        <v>ZZZ</v>
      </c>
      <c r="W547" s="3" t="b">
        <f t="array" ref="W547">OR(ISNUMBER(SEARCH(V$2:V$100,$B547,5)))</f>
        <v>0</v>
      </c>
      <c r="Y547" s="3" t="str">
        <f t="shared" si="10"/>
        <v>ZZZ</v>
      </c>
      <c r="Z547" s="3" t="b">
        <f t="array" ref="Z547">OR(ISNUMBER(SEARCH(Y$2:Y$100,$B547,5)))</f>
        <v>0</v>
      </c>
      <c r="AB547" s="3" t="str">
        <f t="shared" si="11"/>
        <v>ZZZ</v>
      </c>
      <c r="AC547" s="3" t="b">
        <f t="array" ref="AC547">OR(ISNUMBER(SEARCH(AB$2:AB$100,$B547,5)))</f>
        <v>0</v>
      </c>
      <c r="AE547" s="3" t="str">
        <f t="shared" si="12"/>
        <v>ZZZ</v>
      </c>
      <c r="AF547" s="3" t="b">
        <f t="array" ref="AF547">OR(ISNUMBER(SEARCH(AE$2:AE$100,$B547,5)))</f>
        <v>0</v>
      </c>
      <c r="AH547" s="3" t="str">
        <f t="shared" si="13"/>
        <v>ZZZ</v>
      </c>
      <c r="AI547" s="3" t="b">
        <f t="array" ref="AI547">OR(ISNUMBER(SEARCH(AH$2:AH$100,$B547,5)))</f>
        <v>0</v>
      </c>
      <c r="AK547" s="3" t="str">
        <f t="shared" si="14"/>
        <v>ZZZ</v>
      </c>
      <c r="AL547" s="3" t="b">
        <f t="array" ref="AL547">OR(ISNUMBER(SEARCH(AK$2:AK$100,$B547,5)))</f>
        <v>0</v>
      </c>
      <c r="AU547" s="8"/>
      <c r="AV547" s="6"/>
      <c r="AW547" s="8"/>
      <c r="AX547" s="8"/>
      <c r="AY547" s="6"/>
      <c r="AZ547" s="8"/>
      <c r="BA547" s="8"/>
      <c r="BB547" s="6"/>
      <c r="BC547" s="8"/>
      <c r="BD547" s="8"/>
      <c r="BE547" s="6"/>
      <c r="BF547" s="8"/>
      <c r="BG547" s="8"/>
      <c r="BH547" s="6"/>
      <c r="BI547" s="8"/>
      <c r="BJ547" s="8"/>
      <c r="BK547" s="6"/>
      <c r="BL547" s="8"/>
      <c r="BM547" s="8"/>
      <c r="BN547" s="6"/>
      <c r="BO547" s="8"/>
      <c r="BP547" s="8"/>
      <c r="BQ547" s="6"/>
      <c r="BR547" s="8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  <c r="EQ547" s="7"/>
      <c r="ER547" s="7"/>
      <c r="ES547" s="7"/>
      <c r="ET547" s="7"/>
      <c r="EU547" s="7"/>
      <c r="EV547" s="7"/>
      <c r="EW547" s="7"/>
      <c r="EX547" s="7"/>
      <c r="EY547" s="7"/>
      <c r="EZ547" s="7"/>
      <c r="FA547" s="7"/>
      <c r="FB547" s="7"/>
      <c r="FC547" s="7"/>
      <c r="FD547" s="7"/>
      <c r="FE547" s="7"/>
      <c r="FF547" s="7"/>
      <c r="FG547" s="7"/>
      <c r="FH547" s="7"/>
      <c r="FI547" s="7"/>
      <c r="FJ547" s="7"/>
      <c r="FK547" s="7"/>
      <c r="FL547" s="7"/>
      <c r="FM547" s="7"/>
      <c r="FN547" s="7"/>
      <c r="FO547" s="7"/>
      <c r="FP547" s="7"/>
      <c r="FQ547" s="7"/>
      <c r="FR547" s="7"/>
      <c r="FS547" s="7"/>
      <c r="FT547" s="7"/>
      <c r="FU547" s="7"/>
      <c r="FV547" s="7"/>
      <c r="FW547" s="7"/>
      <c r="FX547" s="7"/>
      <c r="FY547" s="7"/>
      <c r="FZ547" s="7"/>
      <c r="GA547" s="7"/>
      <c r="GB547" s="7"/>
      <c r="GC547" s="7"/>
      <c r="GD547" s="7"/>
      <c r="GE547" s="7"/>
      <c r="GF547" s="7"/>
      <c r="GG547" s="7"/>
      <c r="GH547" s="7"/>
      <c r="GI547" s="7"/>
      <c r="GJ547" s="7"/>
      <c r="GK547" s="7"/>
      <c r="GL547" s="7"/>
      <c r="GM547" s="7"/>
      <c r="GN547" s="7"/>
      <c r="GO547" s="7"/>
      <c r="GP547" s="7"/>
      <c r="GQ547" s="7"/>
      <c r="GR547" s="7"/>
      <c r="GS547" s="7"/>
      <c r="GT547" s="7"/>
      <c r="GU547" s="7"/>
      <c r="GV547" s="7"/>
      <c r="GW547" s="7"/>
      <c r="GX547" s="7"/>
      <c r="GY547" s="7"/>
      <c r="GZ547" s="7"/>
      <c r="HA547" s="7"/>
      <c r="HB547" s="7"/>
      <c r="HC547" s="7"/>
      <c r="HD547" s="7"/>
      <c r="HE547" s="7"/>
      <c r="HF547" s="7"/>
      <c r="HG547" s="7"/>
      <c r="HH547" s="7"/>
      <c r="HI547" s="7"/>
      <c r="HJ547" s="7"/>
      <c r="HK547" s="7"/>
      <c r="HL547" s="7"/>
      <c r="HM547" s="7"/>
      <c r="HN547" s="7"/>
      <c r="HO547" s="7"/>
      <c r="HP547" s="7"/>
      <c r="HQ547" s="7"/>
      <c r="HR547" s="7"/>
      <c r="HS547" s="7"/>
      <c r="HT547" s="7"/>
      <c r="HU547" s="7"/>
      <c r="HV547" s="7"/>
      <c r="HW547" s="7"/>
      <c r="HX547" s="7"/>
      <c r="HY547" s="7"/>
      <c r="HZ547" s="7"/>
      <c r="IA547" s="7"/>
      <c r="IB547" s="7"/>
      <c r="IC547" s="7"/>
      <c r="ID547" s="7"/>
      <c r="IE547" s="7"/>
      <c r="IF547" s="7"/>
      <c r="IG547" s="7"/>
      <c r="IH547" s="7"/>
      <c r="II547" s="7"/>
      <c r="IJ547" s="7"/>
      <c r="IK547" s="7"/>
      <c r="IL547" s="7"/>
      <c r="IM547" s="7"/>
      <c r="IN547" s="7"/>
      <c r="IO547" s="7"/>
      <c r="IP547" s="7"/>
      <c r="IQ547" s="7"/>
      <c r="IR547" s="7"/>
      <c r="IS547" s="7"/>
      <c r="IT547" s="7"/>
      <c r="IU547" s="7"/>
      <c r="IV547" s="7"/>
      <c r="IW547" s="7"/>
      <c r="IX547" s="7"/>
      <c r="IY547" s="7"/>
      <c r="IZ547" s="7"/>
      <c r="JA547" s="7"/>
      <c r="JB547" s="7"/>
      <c r="JC547" s="7"/>
      <c r="JD547" s="7"/>
      <c r="JE547" s="7"/>
      <c r="JF547" s="7"/>
      <c r="JG547" s="7"/>
      <c r="JH547" s="7"/>
      <c r="JI547" s="7"/>
      <c r="JJ547" s="7"/>
      <c r="JK547" s="7"/>
      <c r="JL547" s="7"/>
      <c r="JM547" s="7"/>
      <c r="JN547" s="7"/>
      <c r="JO547" s="7"/>
      <c r="JP547" s="7"/>
      <c r="JQ547" s="7"/>
      <c r="JR547" s="7"/>
      <c r="JS547" s="7"/>
      <c r="JT547" s="7"/>
      <c r="JU547" s="7"/>
      <c r="JV547" s="7"/>
      <c r="JW547" s="7"/>
      <c r="JX547" s="7"/>
      <c r="JY547" s="7"/>
      <c r="JZ547" s="7"/>
      <c r="KA547" s="7"/>
      <c r="KB547" s="7"/>
      <c r="KC547" s="7"/>
      <c r="KD547" s="7"/>
      <c r="KE547" s="7"/>
      <c r="KF547" s="7"/>
      <c r="KG547" s="7"/>
      <c r="KH547" s="7"/>
      <c r="KI547" s="7"/>
      <c r="KJ547" s="7"/>
      <c r="KK547" s="7"/>
      <c r="KL547" s="7"/>
      <c r="KM547" s="7"/>
      <c r="KN547" s="7"/>
    </row>
    <row r="548">
      <c r="A548" s="6"/>
      <c r="B548" s="6" t="s">
        <v>548</v>
      </c>
      <c r="C548" s="3" t="str">
        <f t="shared" si="3"/>
        <v>dull violet</v>
      </c>
      <c r="D548" s="3" t="str">
        <f t="shared" si="17"/>
        <v>ZZZ</v>
      </c>
      <c r="E548" s="3" t="b">
        <f t="array" ref="E548">OR(ISNUMBER(SEARCH(D$2:D$30,$B548,5)))</f>
        <v>0</v>
      </c>
      <c r="G548" s="3" t="str">
        <f t="shared" si="4"/>
        <v>ZZZ</v>
      </c>
      <c r="H548" s="3" t="b">
        <f t="array" ref="H548">OR(ISNUMBER(SEARCH(G$2:G$30,$B548,5)))</f>
        <v>0</v>
      </c>
      <c r="J548" s="3" t="str">
        <f t="shared" si="5"/>
        <v>ZZZ</v>
      </c>
      <c r="K548" s="3" t="b">
        <f t="array" ref="K548">OR(ISNUMBER(SEARCH(J$2:J$30,$B548,5)))</f>
        <v>0</v>
      </c>
      <c r="M548" s="3" t="str">
        <f t="shared" si="6"/>
        <v>ZZZ</v>
      </c>
      <c r="N548" s="3" t="b">
        <f t="array" ref="N548">OR(ISNUMBER(SEARCH(M$2:M$30,$B548,5)))</f>
        <v>0</v>
      </c>
      <c r="P548" s="3" t="str">
        <f t="shared" si="7"/>
        <v>ZZZ</v>
      </c>
      <c r="Q548" s="3" t="b">
        <f t="array" ref="Q548">OR(ISNUMBER(SEARCH(P$2:P$50,$B548,5)))</f>
        <v>0</v>
      </c>
      <c r="S548" s="3" t="str">
        <f t="shared" si="8"/>
        <v>ZZZ</v>
      </c>
      <c r="T548" s="3" t="b">
        <f t="array" ref="T548">OR(ISNUMBER(SEARCH(S$2:S$100,$B548,5)))</f>
        <v>0</v>
      </c>
      <c r="V548" s="3" t="str">
        <f t="shared" si="9"/>
        <v>ZZZ</v>
      </c>
      <c r="W548" s="3" t="b">
        <f t="array" ref="W548">OR(ISNUMBER(SEARCH(V$2:V$100,$B548,5)))</f>
        <v>0</v>
      </c>
      <c r="Y548" s="3" t="str">
        <f t="shared" si="10"/>
        <v>ZZZ</v>
      </c>
      <c r="Z548" s="3" t="b">
        <f t="array" ref="Z548">OR(ISNUMBER(SEARCH(Y$2:Y$100,$B548,5)))</f>
        <v>0</v>
      </c>
      <c r="AB548" s="3" t="str">
        <f t="shared" si="11"/>
        <v>ZZZ</v>
      </c>
      <c r="AC548" s="3" t="b">
        <f t="array" ref="AC548">OR(ISNUMBER(SEARCH(AB$2:AB$100,$B548,5)))</f>
        <v>0</v>
      </c>
      <c r="AE548" s="3" t="str">
        <f t="shared" si="12"/>
        <v>ZZZ</v>
      </c>
      <c r="AF548" s="3" t="b">
        <f t="array" ref="AF548">OR(ISNUMBER(SEARCH(AE$2:AE$100,$B548,5)))</f>
        <v>0</v>
      </c>
      <c r="AH548" s="3" t="str">
        <f t="shared" si="13"/>
        <v>ZZZ</v>
      </c>
      <c r="AI548" s="3" t="b">
        <f t="array" ref="AI548">OR(ISNUMBER(SEARCH(AH$2:AH$100,$B548,5)))</f>
        <v>0</v>
      </c>
      <c r="AK548" s="3" t="str">
        <f t="shared" si="14"/>
        <v>ZZZ</v>
      </c>
      <c r="AL548" s="3" t="b">
        <f t="array" ref="AL548">OR(ISNUMBER(SEARCH(AK$2:AK$100,$B548,5)))</f>
        <v>0</v>
      </c>
      <c r="AU548" s="8"/>
      <c r="AV548" s="6"/>
      <c r="AW548" s="8"/>
      <c r="AX548" s="8"/>
      <c r="AY548" s="6"/>
      <c r="AZ548" s="8"/>
      <c r="BA548" s="8"/>
      <c r="BB548" s="6"/>
      <c r="BC548" s="8"/>
      <c r="BD548" s="8"/>
      <c r="BE548" s="6"/>
      <c r="BF548" s="8"/>
      <c r="BG548" s="8"/>
      <c r="BH548" s="6"/>
      <c r="BI548" s="8"/>
      <c r="BJ548" s="8"/>
      <c r="BK548" s="6"/>
      <c r="BL548" s="8"/>
      <c r="BM548" s="8"/>
      <c r="BN548" s="6"/>
      <c r="BO548" s="8"/>
      <c r="BP548" s="8"/>
      <c r="BQ548" s="6"/>
      <c r="BR548" s="8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  <c r="EQ548" s="7"/>
      <c r="ER548" s="7"/>
      <c r="ES548" s="7"/>
      <c r="ET548" s="7"/>
      <c r="EU548" s="7"/>
      <c r="EV548" s="7"/>
      <c r="EW548" s="7"/>
      <c r="EX548" s="7"/>
      <c r="EY548" s="7"/>
      <c r="EZ548" s="7"/>
      <c r="FA548" s="7"/>
      <c r="FB548" s="7"/>
      <c r="FC548" s="7"/>
      <c r="FD548" s="7"/>
      <c r="FE548" s="7"/>
      <c r="FF548" s="7"/>
      <c r="FG548" s="7"/>
      <c r="FH548" s="7"/>
      <c r="FI548" s="7"/>
      <c r="FJ548" s="7"/>
      <c r="FK548" s="7"/>
      <c r="FL548" s="7"/>
      <c r="FM548" s="7"/>
      <c r="FN548" s="7"/>
      <c r="FO548" s="7"/>
      <c r="FP548" s="7"/>
      <c r="FQ548" s="7"/>
      <c r="FR548" s="7"/>
      <c r="FS548" s="7"/>
      <c r="FT548" s="7"/>
      <c r="FU548" s="7"/>
      <c r="FV548" s="7"/>
      <c r="FW548" s="7"/>
      <c r="FX548" s="7"/>
      <c r="FY548" s="7"/>
      <c r="FZ548" s="7"/>
      <c r="GA548" s="7"/>
      <c r="GB548" s="7"/>
      <c r="GC548" s="7"/>
      <c r="GD548" s="7"/>
      <c r="GE548" s="7"/>
      <c r="GF548" s="7"/>
      <c r="GG548" s="7"/>
      <c r="GH548" s="7"/>
      <c r="GI548" s="7"/>
      <c r="GJ548" s="7"/>
      <c r="GK548" s="7"/>
      <c r="GL548" s="7"/>
      <c r="GM548" s="7"/>
      <c r="GN548" s="7"/>
      <c r="GO548" s="7"/>
      <c r="GP548" s="7"/>
      <c r="GQ548" s="7"/>
      <c r="GR548" s="7"/>
      <c r="GS548" s="7"/>
      <c r="GT548" s="7"/>
      <c r="GU548" s="7"/>
      <c r="GV548" s="7"/>
      <c r="GW548" s="7"/>
      <c r="GX548" s="7"/>
      <c r="GY548" s="7"/>
      <c r="GZ548" s="7"/>
      <c r="HA548" s="7"/>
      <c r="HB548" s="7"/>
      <c r="HC548" s="7"/>
      <c r="HD548" s="7"/>
      <c r="HE548" s="7"/>
      <c r="HF548" s="7"/>
      <c r="HG548" s="7"/>
      <c r="HH548" s="7"/>
      <c r="HI548" s="7"/>
      <c r="HJ548" s="7"/>
      <c r="HK548" s="7"/>
      <c r="HL548" s="7"/>
      <c r="HM548" s="7"/>
      <c r="HN548" s="7"/>
      <c r="HO548" s="7"/>
      <c r="HP548" s="7"/>
      <c r="HQ548" s="7"/>
      <c r="HR548" s="7"/>
      <c r="HS548" s="7"/>
      <c r="HT548" s="7"/>
      <c r="HU548" s="7"/>
      <c r="HV548" s="7"/>
      <c r="HW548" s="7"/>
      <c r="HX548" s="7"/>
      <c r="HY548" s="7"/>
      <c r="HZ548" s="7"/>
      <c r="IA548" s="7"/>
      <c r="IB548" s="7"/>
      <c r="IC548" s="7"/>
      <c r="ID548" s="7"/>
      <c r="IE548" s="7"/>
      <c r="IF548" s="7"/>
      <c r="IG548" s="7"/>
      <c r="IH548" s="7"/>
      <c r="II548" s="7"/>
      <c r="IJ548" s="7"/>
      <c r="IK548" s="7"/>
      <c r="IL548" s="7"/>
      <c r="IM548" s="7"/>
      <c r="IN548" s="7"/>
      <c r="IO548" s="7"/>
      <c r="IP548" s="7"/>
      <c r="IQ548" s="7"/>
      <c r="IR548" s="7"/>
      <c r="IS548" s="7"/>
      <c r="IT548" s="7"/>
      <c r="IU548" s="7"/>
      <c r="IV548" s="7"/>
      <c r="IW548" s="7"/>
      <c r="IX548" s="7"/>
      <c r="IY548" s="7"/>
      <c r="IZ548" s="7"/>
      <c r="JA548" s="7"/>
      <c r="JB548" s="7"/>
      <c r="JC548" s="7"/>
      <c r="JD548" s="7"/>
      <c r="JE548" s="7"/>
      <c r="JF548" s="7"/>
      <c r="JG548" s="7"/>
      <c r="JH548" s="7"/>
      <c r="JI548" s="7"/>
      <c r="JJ548" s="7"/>
      <c r="JK548" s="7"/>
      <c r="JL548" s="7"/>
      <c r="JM548" s="7"/>
      <c r="JN548" s="7"/>
      <c r="JO548" s="7"/>
      <c r="JP548" s="7"/>
      <c r="JQ548" s="7"/>
      <c r="JR548" s="7"/>
      <c r="JS548" s="7"/>
      <c r="JT548" s="7"/>
      <c r="JU548" s="7"/>
      <c r="JV548" s="7"/>
      <c r="JW548" s="7"/>
      <c r="JX548" s="7"/>
      <c r="JY548" s="7"/>
      <c r="JZ548" s="7"/>
      <c r="KA548" s="7"/>
      <c r="KB548" s="7"/>
      <c r="KC548" s="7"/>
      <c r="KD548" s="7"/>
      <c r="KE548" s="7"/>
      <c r="KF548" s="7"/>
      <c r="KG548" s="7"/>
      <c r="KH548" s="7"/>
      <c r="KI548" s="7"/>
      <c r="KJ548" s="7"/>
      <c r="KK548" s="7"/>
      <c r="KL548" s="7"/>
      <c r="KM548" s="7"/>
      <c r="KN548" s="7"/>
    </row>
    <row r="549">
      <c r="A549" s="6"/>
      <c r="B549" s="6" t="s">
        <v>549</v>
      </c>
      <c r="C549" s="3" t="str">
        <f t="shared" si="3"/>
        <v>drab salmon</v>
      </c>
      <c r="D549" s="3" t="str">
        <f t="shared" si="17"/>
        <v>ZZZ</v>
      </c>
      <c r="E549" s="3" t="b">
        <f t="array" ref="E549">OR(ISNUMBER(SEARCH(D$2:D$30,$B549,5)))</f>
        <v>0</v>
      </c>
      <c r="G549" s="3" t="str">
        <f t="shared" si="4"/>
        <v>ZZZ</v>
      </c>
      <c r="H549" s="3" t="b">
        <f t="array" ref="H549">OR(ISNUMBER(SEARCH(G$2:G$30,$B549,5)))</f>
        <v>0</v>
      </c>
      <c r="J549" s="3" t="str">
        <f t="shared" si="5"/>
        <v>ZZZ</v>
      </c>
      <c r="K549" s="3" t="b">
        <f t="array" ref="K549">OR(ISNUMBER(SEARCH(J$2:J$30,$B549,5)))</f>
        <v>0</v>
      </c>
      <c r="M549" s="3" t="str">
        <f t="shared" si="6"/>
        <v>ZZZ</v>
      </c>
      <c r="N549" s="3" t="b">
        <f t="array" ref="N549">OR(ISNUMBER(SEARCH(M$2:M$30,$B549,5)))</f>
        <v>0</v>
      </c>
      <c r="P549" s="3" t="str">
        <f t="shared" si="7"/>
        <v>ZZZ</v>
      </c>
      <c r="Q549" s="3" t="b">
        <f t="array" ref="Q549">OR(ISNUMBER(SEARCH(P$2:P$50,$B549,5)))</f>
        <v>0</v>
      </c>
      <c r="S549" s="3" t="str">
        <f t="shared" si="8"/>
        <v>ZZZ</v>
      </c>
      <c r="T549" s="3" t="b">
        <f t="array" ref="T549">OR(ISNUMBER(SEARCH(S$2:S$100,$B549,5)))</f>
        <v>0</v>
      </c>
      <c r="V549" s="3" t="str">
        <f t="shared" si="9"/>
        <v>ZZZ</v>
      </c>
      <c r="W549" s="3" t="b">
        <f t="array" ref="W549">OR(ISNUMBER(SEARCH(V$2:V$100,$B549,5)))</f>
        <v>0</v>
      </c>
      <c r="Y549" s="3" t="str">
        <f t="shared" si="10"/>
        <v>ZZZ</v>
      </c>
      <c r="Z549" s="3" t="b">
        <f t="array" ref="Z549">OR(ISNUMBER(SEARCH(Y$2:Y$100,$B549,5)))</f>
        <v>0</v>
      </c>
      <c r="AB549" s="3" t="str">
        <f t="shared" si="11"/>
        <v>ZZZ</v>
      </c>
      <c r="AC549" s="3" t="b">
        <f t="array" ref="AC549">OR(ISNUMBER(SEARCH(AB$2:AB$100,$B549,5)))</f>
        <v>0</v>
      </c>
      <c r="AE549" s="3" t="str">
        <f t="shared" si="12"/>
        <v>ZZZ</v>
      </c>
      <c r="AF549" s="3" t="b">
        <f t="array" ref="AF549">OR(ISNUMBER(SEARCH(AE$2:AE$100,$B549,5)))</f>
        <v>0</v>
      </c>
      <c r="AH549" s="3" t="str">
        <f t="shared" si="13"/>
        <v>ZZZ</v>
      </c>
      <c r="AI549" s="3" t="b">
        <f t="array" ref="AI549">OR(ISNUMBER(SEARCH(AH$2:AH$100,$B549,5)))</f>
        <v>0</v>
      </c>
      <c r="AK549" s="3" t="str">
        <f t="shared" si="14"/>
        <v>ZZZ</v>
      </c>
      <c r="AL549" s="3" t="b">
        <f t="array" ref="AL549">OR(ISNUMBER(SEARCH(AK$2:AK$100,$B549,5)))</f>
        <v>0</v>
      </c>
      <c r="AU549" s="8"/>
      <c r="AV549" s="6"/>
      <c r="AW549" s="8"/>
      <c r="AX549" s="8"/>
      <c r="AY549" s="6"/>
      <c r="AZ549" s="8"/>
      <c r="BA549" s="8"/>
      <c r="BB549" s="6"/>
      <c r="BC549" s="8"/>
      <c r="BD549" s="8"/>
      <c r="BE549" s="6"/>
      <c r="BF549" s="8"/>
      <c r="BG549" s="8"/>
      <c r="BH549" s="6"/>
      <c r="BI549" s="8"/>
      <c r="BJ549" s="8"/>
      <c r="BK549" s="6"/>
      <c r="BL549" s="8"/>
      <c r="BM549" s="8"/>
      <c r="BN549" s="6"/>
      <c r="BO549" s="8"/>
      <c r="BP549" s="8"/>
      <c r="BQ549" s="6"/>
      <c r="BR549" s="8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  <c r="EX549" s="7"/>
      <c r="EY549" s="7"/>
      <c r="EZ549" s="7"/>
      <c r="FA549" s="7"/>
      <c r="FB549" s="7"/>
      <c r="FC549" s="7"/>
      <c r="FD549" s="7"/>
      <c r="FE549" s="7"/>
      <c r="FF549" s="7"/>
      <c r="FG549" s="7"/>
      <c r="FH549" s="7"/>
      <c r="FI549" s="7"/>
      <c r="FJ549" s="7"/>
      <c r="FK549" s="7"/>
      <c r="FL549" s="7"/>
      <c r="FM549" s="7"/>
      <c r="FN549" s="7"/>
      <c r="FO549" s="7"/>
      <c r="FP549" s="7"/>
      <c r="FQ549" s="7"/>
      <c r="FR549" s="7"/>
      <c r="FS549" s="7"/>
      <c r="FT549" s="7"/>
      <c r="FU549" s="7"/>
      <c r="FV549" s="7"/>
      <c r="FW549" s="7"/>
      <c r="FX549" s="7"/>
      <c r="FY549" s="7"/>
      <c r="FZ549" s="7"/>
      <c r="GA549" s="7"/>
      <c r="GB549" s="7"/>
      <c r="GC549" s="7"/>
      <c r="GD549" s="7"/>
      <c r="GE549" s="7"/>
      <c r="GF549" s="7"/>
      <c r="GG549" s="7"/>
      <c r="GH549" s="7"/>
      <c r="GI549" s="7"/>
      <c r="GJ549" s="7"/>
      <c r="GK549" s="7"/>
      <c r="GL549" s="7"/>
      <c r="GM549" s="7"/>
      <c r="GN549" s="7"/>
      <c r="GO549" s="7"/>
      <c r="GP549" s="7"/>
      <c r="GQ549" s="7"/>
      <c r="GR549" s="7"/>
      <c r="GS549" s="7"/>
      <c r="GT549" s="7"/>
      <c r="GU549" s="7"/>
      <c r="GV549" s="7"/>
      <c r="GW549" s="7"/>
      <c r="GX549" s="7"/>
      <c r="GY549" s="7"/>
      <c r="GZ549" s="7"/>
      <c r="HA549" s="7"/>
      <c r="HB549" s="7"/>
      <c r="HC549" s="7"/>
      <c r="HD549" s="7"/>
      <c r="HE549" s="7"/>
      <c r="HF549" s="7"/>
      <c r="HG549" s="7"/>
      <c r="HH549" s="7"/>
      <c r="HI549" s="7"/>
      <c r="HJ549" s="7"/>
      <c r="HK549" s="7"/>
      <c r="HL549" s="7"/>
      <c r="HM549" s="7"/>
      <c r="HN549" s="7"/>
      <c r="HO549" s="7"/>
      <c r="HP549" s="7"/>
      <c r="HQ549" s="7"/>
      <c r="HR549" s="7"/>
      <c r="HS549" s="7"/>
      <c r="HT549" s="7"/>
      <c r="HU549" s="7"/>
      <c r="HV549" s="7"/>
      <c r="HW549" s="7"/>
      <c r="HX549" s="7"/>
      <c r="HY549" s="7"/>
      <c r="HZ549" s="7"/>
      <c r="IA549" s="7"/>
      <c r="IB549" s="7"/>
      <c r="IC549" s="7"/>
      <c r="ID549" s="7"/>
      <c r="IE549" s="7"/>
      <c r="IF549" s="7"/>
      <c r="IG549" s="7"/>
      <c r="IH549" s="7"/>
      <c r="II549" s="7"/>
      <c r="IJ549" s="7"/>
      <c r="IK549" s="7"/>
      <c r="IL549" s="7"/>
      <c r="IM549" s="7"/>
      <c r="IN549" s="7"/>
      <c r="IO549" s="7"/>
      <c r="IP549" s="7"/>
      <c r="IQ549" s="7"/>
      <c r="IR549" s="7"/>
      <c r="IS549" s="7"/>
      <c r="IT549" s="7"/>
      <c r="IU549" s="7"/>
      <c r="IV549" s="7"/>
      <c r="IW549" s="7"/>
      <c r="IX549" s="7"/>
      <c r="IY549" s="7"/>
      <c r="IZ549" s="7"/>
      <c r="JA549" s="7"/>
      <c r="JB549" s="7"/>
      <c r="JC549" s="7"/>
      <c r="JD549" s="7"/>
      <c r="JE549" s="7"/>
      <c r="JF549" s="7"/>
      <c r="JG549" s="7"/>
      <c r="JH549" s="7"/>
      <c r="JI549" s="7"/>
      <c r="JJ549" s="7"/>
      <c r="JK549" s="7"/>
      <c r="JL549" s="7"/>
      <c r="JM549" s="7"/>
      <c r="JN549" s="7"/>
      <c r="JO549" s="7"/>
      <c r="JP549" s="7"/>
      <c r="JQ549" s="7"/>
      <c r="JR549" s="7"/>
      <c r="JS549" s="7"/>
      <c r="JT549" s="7"/>
      <c r="JU549" s="7"/>
      <c r="JV549" s="7"/>
      <c r="JW549" s="7"/>
      <c r="JX549" s="7"/>
      <c r="JY549" s="7"/>
      <c r="JZ549" s="7"/>
      <c r="KA549" s="7"/>
      <c r="KB549" s="7"/>
      <c r="KC549" s="7"/>
      <c r="KD549" s="7"/>
      <c r="KE549" s="7"/>
      <c r="KF549" s="7"/>
      <c r="KG549" s="7"/>
      <c r="KH549" s="7"/>
      <c r="KI549" s="7"/>
      <c r="KJ549" s="7"/>
      <c r="KK549" s="7"/>
      <c r="KL549" s="7"/>
      <c r="KM549" s="7"/>
      <c r="KN549" s="7"/>
    </row>
    <row r="550">
      <c r="A550" s="6"/>
      <c r="B550" s="6" t="s">
        <v>550</v>
      </c>
      <c r="C550" s="3" t="str">
        <f t="shared" si="3"/>
        <v>mirrored cyan</v>
      </c>
      <c r="D550" s="3" t="str">
        <f t="shared" si="17"/>
        <v>ZZZ</v>
      </c>
      <c r="E550" s="3" t="b">
        <f t="array" ref="E550">OR(ISNUMBER(SEARCH(D$2:D$30,$B550,5)))</f>
        <v>0</v>
      </c>
      <c r="G550" s="3" t="str">
        <f t="shared" si="4"/>
        <v>ZZZ</v>
      </c>
      <c r="H550" s="3" t="b">
        <f t="array" ref="H550">OR(ISNUMBER(SEARCH(G$2:G$30,$B550,5)))</f>
        <v>0</v>
      </c>
      <c r="J550" s="3" t="str">
        <f t="shared" si="5"/>
        <v>ZZZ</v>
      </c>
      <c r="K550" s="3" t="b">
        <f t="array" ref="K550">OR(ISNUMBER(SEARCH(J$2:J$30,$B550,5)))</f>
        <v>0</v>
      </c>
      <c r="M550" s="3" t="str">
        <f t="shared" si="6"/>
        <v>ZZZ</v>
      </c>
      <c r="N550" s="3" t="b">
        <f t="array" ref="N550">OR(ISNUMBER(SEARCH(M$2:M$30,$B550,5)))</f>
        <v>0</v>
      </c>
      <c r="P550" s="3" t="str">
        <f t="shared" si="7"/>
        <v>ZZZ</v>
      </c>
      <c r="Q550" s="3" t="b">
        <f t="array" ref="Q550">OR(ISNUMBER(SEARCH(P$2:P$50,$B550,5)))</f>
        <v>0</v>
      </c>
      <c r="S550" s="3" t="str">
        <f t="shared" si="8"/>
        <v>ZZZ</v>
      </c>
      <c r="T550" s="3" t="b">
        <f t="array" ref="T550">OR(ISNUMBER(SEARCH(S$2:S$100,$B550,5)))</f>
        <v>0</v>
      </c>
      <c r="V550" s="3" t="str">
        <f t="shared" si="9"/>
        <v>ZZZ</v>
      </c>
      <c r="W550" s="3" t="b">
        <f t="array" ref="W550">OR(ISNUMBER(SEARCH(V$2:V$100,$B550,5)))</f>
        <v>0</v>
      </c>
      <c r="Y550" s="3" t="str">
        <f t="shared" si="10"/>
        <v>ZZZ</v>
      </c>
      <c r="Z550" s="3" t="b">
        <f t="array" ref="Z550">OR(ISNUMBER(SEARCH(Y$2:Y$100,$B550,5)))</f>
        <v>0</v>
      </c>
      <c r="AB550" s="3" t="str">
        <f t="shared" si="11"/>
        <v>ZZZ</v>
      </c>
      <c r="AC550" s="3" t="b">
        <f t="array" ref="AC550">OR(ISNUMBER(SEARCH(AB$2:AB$100,$B550,5)))</f>
        <v>0</v>
      </c>
      <c r="AE550" s="3" t="str">
        <f t="shared" si="12"/>
        <v>ZZZ</v>
      </c>
      <c r="AF550" s="3" t="b">
        <f t="array" ref="AF550">OR(ISNUMBER(SEARCH(AE$2:AE$100,$B550,5)))</f>
        <v>0</v>
      </c>
      <c r="AH550" s="3" t="str">
        <f t="shared" si="13"/>
        <v>ZZZ</v>
      </c>
      <c r="AI550" s="3" t="b">
        <f t="array" ref="AI550">OR(ISNUMBER(SEARCH(AH$2:AH$100,$B550,5)))</f>
        <v>0</v>
      </c>
      <c r="AK550" s="3" t="str">
        <f t="shared" si="14"/>
        <v>ZZZ</v>
      </c>
      <c r="AL550" s="3" t="b">
        <f t="array" ref="AL550">OR(ISNUMBER(SEARCH(AK$2:AK$100,$B550,5)))</f>
        <v>0</v>
      </c>
      <c r="AU550" s="8"/>
      <c r="AV550" s="6"/>
      <c r="AW550" s="8"/>
      <c r="AX550" s="8"/>
      <c r="AY550" s="6"/>
      <c r="AZ550" s="8"/>
      <c r="BA550" s="8"/>
      <c r="BB550" s="6"/>
      <c r="BC550" s="8"/>
      <c r="BD550" s="8"/>
      <c r="BE550" s="6"/>
      <c r="BF550" s="8"/>
      <c r="BG550" s="8"/>
      <c r="BH550" s="6"/>
      <c r="BI550" s="8"/>
      <c r="BJ550" s="8"/>
      <c r="BK550" s="6"/>
      <c r="BL550" s="8"/>
      <c r="BM550" s="8"/>
      <c r="BN550" s="6"/>
      <c r="BO550" s="8"/>
      <c r="BP550" s="8"/>
      <c r="BQ550" s="6"/>
      <c r="BR550" s="8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  <c r="EQ550" s="7"/>
      <c r="ER550" s="7"/>
      <c r="ES550" s="7"/>
      <c r="ET550" s="7"/>
      <c r="EU550" s="7"/>
      <c r="EV550" s="7"/>
      <c r="EW550" s="7"/>
      <c r="EX550" s="7"/>
      <c r="EY550" s="7"/>
      <c r="EZ550" s="7"/>
      <c r="FA550" s="7"/>
      <c r="FB550" s="7"/>
      <c r="FC550" s="7"/>
      <c r="FD550" s="7"/>
      <c r="FE550" s="7"/>
      <c r="FF550" s="7"/>
      <c r="FG550" s="7"/>
      <c r="FH550" s="7"/>
      <c r="FI550" s="7"/>
      <c r="FJ550" s="7"/>
      <c r="FK550" s="7"/>
      <c r="FL550" s="7"/>
      <c r="FM550" s="7"/>
      <c r="FN550" s="7"/>
      <c r="FO550" s="7"/>
      <c r="FP550" s="7"/>
      <c r="FQ550" s="7"/>
      <c r="FR550" s="7"/>
      <c r="FS550" s="7"/>
      <c r="FT550" s="7"/>
      <c r="FU550" s="7"/>
      <c r="FV550" s="7"/>
      <c r="FW550" s="7"/>
      <c r="FX550" s="7"/>
      <c r="FY550" s="7"/>
      <c r="FZ550" s="7"/>
      <c r="GA550" s="7"/>
      <c r="GB550" s="7"/>
      <c r="GC550" s="7"/>
      <c r="GD550" s="7"/>
      <c r="GE550" s="7"/>
      <c r="GF550" s="7"/>
      <c r="GG550" s="7"/>
      <c r="GH550" s="7"/>
      <c r="GI550" s="7"/>
      <c r="GJ550" s="7"/>
      <c r="GK550" s="7"/>
      <c r="GL550" s="7"/>
      <c r="GM550" s="7"/>
      <c r="GN550" s="7"/>
      <c r="GO550" s="7"/>
      <c r="GP550" s="7"/>
      <c r="GQ550" s="7"/>
      <c r="GR550" s="7"/>
      <c r="GS550" s="7"/>
      <c r="GT550" s="7"/>
      <c r="GU550" s="7"/>
      <c r="GV550" s="7"/>
      <c r="GW550" s="7"/>
      <c r="GX550" s="7"/>
      <c r="GY550" s="7"/>
      <c r="GZ550" s="7"/>
      <c r="HA550" s="7"/>
      <c r="HB550" s="7"/>
      <c r="HC550" s="7"/>
      <c r="HD550" s="7"/>
      <c r="HE550" s="7"/>
      <c r="HF550" s="7"/>
      <c r="HG550" s="7"/>
      <c r="HH550" s="7"/>
      <c r="HI550" s="7"/>
      <c r="HJ550" s="7"/>
      <c r="HK550" s="7"/>
      <c r="HL550" s="7"/>
      <c r="HM550" s="7"/>
      <c r="HN550" s="7"/>
      <c r="HO550" s="7"/>
      <c r="HP550" s="7"/>
      <c r="HQ550" s="7"/>
      <c r="HR550" s="7"/>
      <c r="HS550" s="7"/>
      <c r="HT550" s="7"/>
      <c r="HU550" s="7"/>
      <c r="HV550" s="7"/>
      <c r="HW550" s="7"/>
      <c r="HX550" s="7"/>
      <c r="HY550" s="7"/>
      <c r="HZ550" s="7"/>
      <c r="IA550" s="7"/>
      <c r="IB550" s="7"/>
      <c r="IC550" s="7"/>
      <c r="ID550" s="7"/>
      <c r="IE550" s="7"/>
      <c r="IF550" s="7"/>
      <c r="IG550" s="7"/>
      <c r="IH550" s="7"/>
      <c r="II550" s="7"/>
      <c r="IJ550" s="7"/>
      <c r="IK550" s="7"/>
      <c r="IL550" s="7"/>
      <c r="IM550" s="7"/>
      <c r="IN550" s="7"/>
      <c r="IO550" s="7"/>
      <c r="IP550" s="7"/>
      <c r="IQ550" s="7"/>
      <c r="IR550" s="7"/>
      <c r="IS550" s="7"/>
      <c r="IT550" s="7"/>
      <c r="IU550" s="7"/>
      <c r="IV550" s="7"/>
      <c r="IW550" s="7"/>
      <c r="IX550" s="7"/>
      <c r="IY550" s="7"/>
      <c r="IZ550" s="7"/>
      <c r="JA550" s="7"/>
      <c r="JB550" s="7"/>
      <c r="JC550" s="7"/>
      <c r="JD550" s="7"/>
      <c r="JE550" s="7"/>
      <c r="JF550" s="7"/>
      <c r="JG550" s="7"/>
      <c r="JH550" s="7"/>
      <c r="JI550" s="7"/>
      <c r="JJ550" s="7"/>
      <c r="JK550" s="7"/>
      <c r="JL550" s="7"/>
      <c r="JM550" s="7"/>
      <c r="JN550" s="7"/>
      <c r="JO550" s="7"/>
      <c r="JP550" s="7"/>
      <c r="JQ550" s="7"/>
      <c r="JR550" s="7"/>
      <c r="JS550" s="7"/>
      <c r="JT550" s="7"/>
      <c r="JU550" s="7"/>
      <c r="JV550" s="7"/>
      <c r="JW550" s="7"/>
      <c r="JX550" s="7"/>
      <c r="JY550" s="7"/>
      <c r="JZ550" s="7"/>
      <c r="KA550" s="7"/>
      <c r="KB550" s="7"/>
      <c r="KC550" s="7"/>
      <c r="KD550" s="7"/>
      <c r="KE550" s="7"/>
      <c r="KF550" s="7"/>
      <c r="KG550" s="7"/>
      <c r="KH550" s="7"/>
      <c r="KI550" s="7"/>
      <c r="KJ550" s="7"/>
      <c r="KK550" s="7"/>
      <c r="KL550" s="7"/>
      <c r="KM550" s="7"/>
      <c r="KN550" s="7"/>
    </row>
    <row r="551">
      <c r="A551" s="6"/>
      <c r="B551" s="6" t="s">
        <v>551</v>
      </c>
      <c r="C551" s="3" t="str">
        <f t="shared" si="3"/>
        <v>wavy teal</v>
      </c>
      <c r="D551" s="3" t="str">
        <f t="shared" si="17"/>
        <v>ZZZ</v>
      </c>
      <c r="E551" s="3" t="b">
        <f t="array" ref="E551">OR(ISNUMBER(SEARCH(D$2:D$30,$B551,5)))</f>
        <v>0</v>
      </c>
      <c r="G551" s="3" t="str">
        <f t="shared" si="4"/>
        <v>ZZZ</v>
      </c>
      <c r="H551" s="3" t="b">
        <f t="array" ref="H551">OR(ISNUMBER(SEARCH(G$2:G$30,$B551,5)))</f>
        <v>0</v>
      </c>
      <c r="J551" s="3" t="str">
        <f t="shared" si="5"/>
        <v>ZZZ</v>
      </c>
      <c r="K551" s="3" t="b">
        <f t="array" ref="K551">OR(ISNUMBER(SEARCH(J$2:J$30,$B551,5)))</f>
        <v>0</v>
      </c>
      <c r="M551" s="3" t="str">
        <f t="shared" si="6"/>
        <v>ZZZ</v>
      </c>
      <c r="N551" s="3" t="b">
        <f t="array" ref="N551">OR(ISNUMBER(SEARCH(M$2:M$30,$B551,5)))</f>
        <v>0</v>
      </c>
      <c r="P551" s="3" t="str">
        <f t="shared" si="7"/>
        <v>ZZZ</v>
      </c>
      <c r="Q551" s="3" t="b">
        <f t="array" ref="Q551">OR(ISNUMBER(SEARCH(P$2:P$50,$B551,5)))</f>
        <v>0</v>
      </c>
      <c r="S551" s="3" t="str">
        <f t="shared" si="8"/>
        <v>ZZZ</v>
      </c>
      <c r="T551" s="3" t="b">
        <f t="array" ref="T551">OR(ISNUMBER(SEARCH(S$2:S$100,$B551,5)))</f>
        <v>0</v>
      </c>
      <c r="V551" s="3" t="str">
        <f t="shared" si="9"/>
        <v>ZZZ</v>
      </c>
      <c r="W551" s="3" t="b">
        <f t="array" ref="W551">OR(ISNUMBER(SEARCH(V$2:V$100,$B551,5)))</f>
        <v>0</v>
      </c>
      <c r="Y551" s="3" t="str">
        <f t="shared" si="10"/>
        <v>ZZZ</v>
      </c>
      <c r="Z551" s="3" t="b">
        <f t="array" ref="Z551">OR(ISNUMBER(SEARCH(Y$2:Y$100,$B551,5)))</f>
        <v>0</v>
      </c>
      <c r="AB551" s="3" t="str">
        <f t="shared" si="11"/>
        <v>ZZZ</v>
      </c>
      <c r="AC551" s="3" t="b">
        <f t="array" ref="AC551">OR(ISNUMBER(SEARCH(AB$2:AB$100,$B551,5)))</f>
        <v>0</v>
      </c>
      <c r="AE551" s="3" t="str">
        <f t="shared" si="12"/>
        <v>ZZZ</v>
      </c>
      <c r="AF551" s="3" t="b">
        <f t="array" ref="AF551">OR(ISNUMBER(SEARCH(AE$2:AE$100,$B551,5)))</f>
        <v>0</v>
      </c>
      <c r="AH551" s="3" t="str">
        <f t="shared" si="13"/>
        <v>ZZZ</v>
      </c>
      <c r="AI551" s="3" t="b">
        <f t="array" ref="AI551">OR(ISNUMBER(SEARCH(AH$2:AH$100,$B551,5)))</f>
        <v>0</v>
      </c>
      <c r="AK551" s="3" t="str">
        <f t="shared" si="14"/>
        <v>ZZZ</v>
      </c>
      <c r="AL551" s="3" t="b">
        <f t="array" ref="AL551">OR(ISNUMBER(SEARCH(AK$2:AK$100,$B551,5)))</f>
        <v>0</v>
      </c>
      <c r="AU551" s="8"/>
      <c r="AV551" s="6"/>
      <c r="AW551" s="8"/>
      <c r="AX551" s="8"/>
      <c r="AY551" s="6"/>
      <c r="AZ551" s="8"/>
      <c r="BA551" s="8"/>
      <c r="BB551" s="6"/>
      <c r="BC551" s="8"/>
      <c r="BD551" s="8"/>
      <c r="BE551" s="6"/>
      <c r="BF551" s="8"/>
      <c r="BG551" s="8"/>
      <c r="BH551" s="6"/>
      <c r="BI551" s="8"/>
      <c r="BJ551" s="8"/>
      <c r="BK551" s="6"/>
      <c r="BL551" s="8"/>
      <c r="BM551" s="8"/>
      <c r="BN551" s="6"/>
      <c r="BO551" s="8"/>
      <c r="BP551" s="8"/>
      <c r="BQ551" s="6"/>
      <c r="BR551" s="8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  <c r="EQ551" s="7"/>
      <c r="ER551" s="7"/>
      <c r="ES551" s="7"/>
      <c r="ET551" s="7"/>
      <c r="EU551" s="7"/>
      <c r="EV551" s="7"/>
      <c r="EW551" s="7"/>
      <c r="EX551" s="7"/>
      <c r="EY551" s="7"/>
      <c r="EZ551" s="7"/>
      <c r="FA551" s="7"/>
      <c r="FB551" s="7"/>
      <c r="FC551" s="7"/>
      <c r="FD551" s="7"/>
      <c r="FE551" s="7"/>
      <c r="FF551" s="7"/>
      <c r="FG551" s="7"/>
      <c r="FH551" s="7"/>
      <c r="FI551" s="7"/>
      <c r="FJ551" s="7"/>
      <c r="FK551" s="7"/>
      <c r="FL551" s="7"/>
      <c r="FM551" s="7"/>
      <c r="FN551" s="7"/>
      <c r="FO551" s="7"/>
      <c r="FP551" s="7"/>
      <c r="FQ551" s="7"/>
      <c r="FR551" s="7"/>
      <c r="FS551" s="7"/>
      <c r="FT551" s="7"/>
      <c r="FU551" s="7"/>
      <c r="FV551" s="7"/>
      <c r="FW551" s="7"/>
      <c r="FX551" s="7"/>
      <c r="FY551" s="7"/>
      <c r="FZ551" s="7"/>
      <c r="GA551" s="7"/>
      <c r="GB551" s="7"/>
      <c r="GC551" s="7"/>
      <c r="GD551" s="7"/>
      <c r="GE551" s="7"/>
      <c r="GF551" s="7"/>
      <c r="GG551" s="7"/>
      <c r="GH551" s="7"/>
      <c r="GI551" s="7"/>
      <c r="GJ551" s="7"/>
      <c r="GK551" s="7"/>
      <c r="GL551" s="7"/>
      <c r="GM551" s="7"/>
      <c r="GN551" s="7"/>
      <c r="GO551" s="7"/>
      <c r="GP551" s="7"/>
      <c r="GQ551" s="7"/>
      <c r="GR551" s="7"/>
      <c r="GS551" s="7"/>
      <c r="GT551" s="7"/>
      <c r="GU551" s="7"/>
      <c r="GV551" s="7"/>
      <c r="GW551" s="7"/>
      <c r="GX551" s="7"/>
      <c r="GY551" s="7"/>
      <c r="GZ551" s="7"/>
      <c r="HA551" s="7"/>
      <c r="HB551" s="7"/>
      <c r="HC551" s="7"/>
      <c r="HD551" s="7"/>
      <c r="HE551" s="7"/>
      <c r="HF551" s="7"/>
      <c r="HG551" s="7"/>
      <c r="HH551" s="7"/>
      <c r="HI551" s="7"/>
      <c r="HJ551" s="7"/>
      <c r="HK551" s="7"/>
      <c r="HL551" s="7"/>
      <c r="HM551" s="7"/>
      <c r="HN551" s="7"/>
      <c r="HO551" s="7"/>
      <c r="HP551" s="7"/>
      <c r="HQ551" s="7"/>
      <c r="HR551" s="7"/>
      <c r="HS551" s="7"/>
      <c r="HT551" s="7"/>
      <c r="HU551" s="7"/>
      <c r="HV551" s="7"/>
      <c r="HW551" s="7"/>
      <c r="HX551" s="7"/>
      <c r="HY551" s="7"/>
      <c r="HZ551" s="7"/>
      <c r="IA551" s="7"/>
      <c r="IB551" s="7"/>
      <c r="IC551" s="7"/>
      <c r="ID551" s="7"/>
      <c r="IE551" s="7"/>
      <c r="IF551" s="7"/>
      <c r="IG551" s="7"/>
      <c r="IH551" s="7"/>
      <c r="II551" s="7"/>
      <c r="IJ551" s="7"/>
      <c r="IK551" s="7"/>
      <c r="IL551" s="7"/>
      <c r="IM551" s="7"/>
      <c r="IN551" s="7"/>
      <c r="IO551" s="7"/>
      <c r="IP551" s="7"/>
      <c r="IQ551" s="7"/>
      <c r="IR551" s="7"/>
      <c r="IS551" s="7"/>
      <c r="IT551" s="7"/>
      <c r="IU551" s="7"/>
      <c r="IV551" s="7"/>
      <c r="IW551" s="7"/>
      <c r="IX551" s="7"/>
      <c r="IY551" s="7"/>
      <c r="IZ551" s="7"/>
      <c r="JA551" s="7"/>
      <c r="JB551" s="7"/>
      <c r="JC551" s="7"/>
      <c r="JD551" s="7"/>
      <c r="JE551" s="7"/>
      <c r="JF551" s="7"/>
      <c r="JG551" s="7"/>
      <c r="JH551" s="7"/>
      <c r="JI551" s="7"/>
      <c r="JJ551" s="7"/>
      <c r="JK551" s="7"/>
      <c r="JL551" s="7"/>
      <c r="JM551" s="7"/>
      <c r="JN551" s="7"/>
      <c r="JO551" s="7"/>
      <c r="JP551" s="7"/>
      <c r="JQ551" s="7"/>
      <c r="JR551" s="7"/>
      <c r="JS551" s="7"/>
      <c r="JT551" s="7"/>
      <c r="JU551" s="7"/>
      <c r="JV551" s="7"/>
      <c r="JW551" s="7"/>
      <c r="JX551" s="7"/>
      <c r="JY551" s="7"/>
      <c r="JZ551" s="7"/>
      <c r="KA551" s="7"/>
      <c r="KB551" s="7"/>
      <c r="KC551" s="7"/>
      <c r="KD551" s="7"/>
      <c r="KE551" s="7"/>
      <c r="KF551" s="7"/>
      <c r="KG551" s="7"/>
      <c r="KH551" s="7"/>
      <c r="KI551" s="7"/>
      <c r="KJ551" s="7"/>
      <c r="KK551" s="7"/>
      <c r="KL551" s="7"/>
      <c r="KM551" s="7"/>
      <c r="KN551" s="7"/>
    </row>
    <row r="552">
      <c r="A552" s="6"/>
      <c r="B552" s="6" t="s">
        <v>552</v>
      </c>
      <c r="C552" s="3" t="str">
        <f t="shared" si="3"/>
        <v>vibrant purple</v>
      </c>
      <c r="D552" s="3" t="str">
        <f t="shared" si="17"/>
        <v>ZZZ</v>
      </c>
      <c r="E552" s="3" t="b">
        <f t="array" ref="E552">OR(ISNUMBER(SEARCH(D$2:D$30,$B552,5)))</f>
        <v>0</v>
      </c>
      <c r="G552" s="3" t="str">
        <f t="shared" si="4"/>
        <v>ZZZ</v>
      </c>
      <c r="H552" s="3" t="b">
        <f t="array" ref="H552">OR(ISNUMBER(SEARCH(G$2:G$30,$B552,5)))</f>
        <v>0</v>
      </c>
      <c r="J552" s="3" t="str">
        <f t="shared" si="5"/>
        <v>ZZZ</v>
      </c>
      <c r="K552" s="3" t="b">
        <f t="array" ref="K552">OR(ISNUMBER(SEARCH(J$2:J$30,$B552,5)))</f>
        <v>0</v>
      </c>
      <c r="M552" s="3" t="str">
        <f t="shared" si="6"/>
        <v>ZZZ</v>
      </c>
      <c r="N552" s="3" t="b">
        <f t="array" ref="N552">OR(ISNUMBER(SEARCH(M$2:M$30,$B552,5)))</f>
        <v>0</v>
      </c>
      <c r="P552" s="3" t="str">
        <f t="shared" si="7"/>
        <v>ZZZ</v>
      </c>
      <c r="Q552" s="3" t="b">
        <f t="array" ref="Q552">OR(ISNUMBER(SEARCH(P$2:P$50,$B552,5)))</f>
        <v>0</v>
      </c>
      <c r="S552" s="3" t="str">
        <f t="shared" si="8"/>
        <v>ZZZ</v>
      </c>
      <c r="T552" s="3" t="b">
        <f t="array" ref="T552">OR(ISNUMBER(SEARCH(S$2:S$100,$B552,5)))</f>
        <v>0</v>
      </c>
      <c r="V552" s="3" t="str">
        <f t="shared" si="9"/>
        <v>ZZZ</v>
      </c>
      <c r="W552" s="3" t="b">
        <f t="array" ref="W552">OR(ISNUMBER(SEARCH(V$2:V$100,$B552,5)))</f>
        <v>0</v>
      </c>
      <c r="Y552" s="3" t="str">
        <f t="shared" si="10"/>
        <v>ZZZ</v>
      </c>
      <c r="Z552" s="3" t="b">
        <f t="array" ref="Z552">OR(ISNUMBER(SEARCH(Y$2:Y$100,$B552,5)))</f>
        <v>0</v>
      </c>
      <c r="AB552" s="3" t="str">
        <f t="shared" si="11"/>
        <v>ZZZ</v>
      </c>
      <c r="AC552" s="3" t="b">
        <f t="array" ref="AC552">OR(ISNUMBER(SEARCH(AB$2:AB$100,$B552,5)))</f>
        <v>0</v>
      </c>
      <c r="AE552" s="3" t="str">
        <f t="shared" si="12"/>
        <v>ZZZ</v>
      </c>
      <c r="AF552" s="3" t="b">
        <f t="array" ref="AF552">OR(ISNUMBER(SEARCH(AE$2:AE$100,$B552,5)))</f>
        <v>0</v>
      </c>
      <c r="AH552" s="3" t="str">
        <f t="shared" si="13"/>
        <v>ZZZ</v>
      </c>
      <c r="AI552" s="3" t="b">
        <f t="array" ref="AI552">OR(ISNUMBER(SEARCH(AH$2:AH$100,$B552,5)))</f>
        <v>0</v>
      </c>
      <c r="AK552" s="3" t="str">
        <f t="shared" si="14"/>
        <v>ZZZ</v>
      </c>
      <c r="AL552" s="3" t="b">
        <f t="array" ref="AL552">OR(ISNUMBER(SEARCH(AK$2:AK$100,$B552,5)))</f>
        <v>0</v>
      </c>
      <c r="AU552" s="8"/>
      <c r="AV552" s="6"/>
      <c r="AW552" s="8"/>
      <c r="AX552" s="8"/>
      <c r="AY552" s="6"/>
      <c r="AZ552" s="8"/>
      <c r="BA552" s="8"/>
      <c r="BB552" s="6"/>
      <c r="BC552" s="8"/>
      <c r="BD552" s="8"/>
      <c r="BE552" s="6"/>
      <c r="BF552" s="8"/>
      <c r="BG552" s="8"/>
      <c r="BH552" s="6"/>
      <c r="BI552" s="8"/>
      <c r="BJ552" s="8"/>
      <c r="BK552" s="6"/>
      <c r="BL552" s="8"/>
      <c r="BM552" s="8"/>
      <c r="BN552" s="6"/>
      <c r="BO552" s="8"/>
      <c r="BP552" s="8"/>
      <c r="BQ552" s="6"/>
      <c r="BR552" s="8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  <c r="ES552" s="7"/>
      <c r="ET552" s="7"/>
      <c r="EU552" s="7"/>
      <c r="EV552" s="7"/>
      <c r="EW552" s="7"/>
      <c r="EX552" s="7"/>
      <c r="EY552" s="7"/>
      <c r="EZ552" s="7"/>
      <c r="FA552" s="7"/>
      <c r="FB552" s="7"/>
      <c r="FC552" s="7"/>
      <c r="FD552" s="7"/>
      <c r="FE552" s="7"/>
      <c r="FF552" s="7"/>
      <c r="FG552" s="7"/>
      <c r="FH552" s="7"/>
      <c r="FI552" s="7"/>
      <c r="FJ552" s="7"/>
      <c r="FK552" s="7"/>
      <c r="FL552" s="7"/>
      <c r="FM552" s="7"/>
      <c r="FN552" s="7"/>
      <c r="FO552" s="7"/>
      <c r="FP552" s="7"/>
      <c r="FQ552" s="7"/>
      <c r="FR552" s="7"/>
      <c r="FS552" s="7"/>
      <c r="FT552" s="7"/>
      <c r="FU552" s="7"/>
      <c r="FV552" s="7"/>
      <c r="FW552" s="7"/>
      <c r="FX552" s="7"/>
      <c r="FY552" s="7"/>
      <c r="FZ552" s="7"/>
      <c r="GA552" s="7"/>
      <c r="GB552" s="7"/>
      <c r="GC552" s="7"/>
      <c r="GD552" s="7"/>
      <c r="GE552" s="7"/>
      <c r="GF552" s="7"/>
      <c r="GG552" s="7"/>
      <c r="GH552" s="7"/>
      <c r="GI552" s="7"/>
      <c r="GJ552" s="7"/>
      <c r="GK552" s="7"/>
      <c r="GL552" s="7"/>
      <c r="GM552" s="7"/>
      <c r="GN552" s="7"/>
      <c r="GO552" s="7"/>
      <c r="GP552" s="7"/>
      <c r="GQ552" s="7"/>
      <c r="GR552" s="7"/>
      <c r="GS552" s="7"/>
      <c r="GT552" s="7"/>
      <c r="GU552" s="7"/>
      <c r="GV552" s="7"/>
      <c r="GW552" s="7"/>
      <c r="GX552" s="7"/>
      <c r="GY552" s="7"/>
      <c r="GZ552" s="7"/>
      <c r="HA552" s="7"/>
      <c r="HB552" s="7"/>
      <c r="HC552" s="7"/>
      <c r="HD552" s="7"/>
      <c r="HE552" s="7"/>
      <c r="HF552" s="7"/>
      <c r="HG552" s="7"/>
      <c r="HH552" s="7"/>
      <c r="HI552" s="7"/>
      <c r="HJ552" s="7"/>
      <c r="HK552" s="7"/>
      <c r="HL552" s="7"/>
      <c r="HM552" s="7"/>
      <c r="HN552" s="7"/>
      <c r="HO552" s="7"/>
      <c r="HP552" s="7"/>
      <c r="HQ552" s="7"/>
      <c r="HR552" s="7"/>
      <c r="HS552" s="7"/>
      <c r="HT552" s="7"/>
      <c r="HU552" s="7"/>
      <c r="HV552" s="7"/>
      <c r="HW552" s="7"/>
      <c r="HX552" s="7"/>
      <c r="HY552" s="7"/>
      <c r="HZ552" s="7"/>
      <c r="IA552" s="7"/>
      <c r="IB552" s="7"/>
      <c r="IC552" s="7"/>
      <c r="ID552" s="7"/>
      <c r="IE552" s="7"/>
      <c r="IF552" s="7"/>
      <c r="IG552" s="7"/>
      <c r="IH552" s="7"/>
      <c r="II552" s="7"/>
      <c r="IJ552" s="7"/>
      <c r="IK552" s="7"/>
      <c r="IL552" s="7"/>
      <c r="IM552" s="7"/>
      <c r="IN552" s="7"/>
      <c r="IO552" s="7"/>
      <c r="IP552" s="7"/>
      <c r="IQ552" s="7"/>
      <c r="IR552" s="7"/>
      <c r="IS552" s="7"/>
      <c r="IT552" s="7"/>
      <c r="IU552" s="7"/>
      <c r="IV552" s="7"/>
      <c r="IW552" s="7"/>
      <c r="IX552" s="7"/>
      <c r="IY552" s="7"/>
      <c r="IZ552" s="7"/>
      <c r="JA552" s="7"/>
      <c r="JB552" s="7"/>
      <c r="JC552" s="7"/>
      <c r="JD552" s="7"/>
      <c r="JE552" s="7"/>
      <c r="JF552" s="7"/>
      <c r="JG552" s="7"/>
      <c r="JH552" s="7"/>
      <c r="JI552" s="7"/>
      <c r="JJ552" s="7"/>
      <c r="JK552" s="7"/>
      <c r="JL552" s="7"/>
      <c r="JM552" s="7"/>
      <c r="JN552" s="7"/>
      <c r="JO552" s="7"/>
      <c r="JP552" s="7"/>
      <c r="JQ552" s="7"/>
      <c r="JR552" s="7"/>
      <c r="JS552" s="7"/>
      <c r="JT552" s="7"/>
      <c r="JU552" s="7"/>
      <c r="JV552" s="7"/>
      <c r="JW552" s="7"/>
      <c r="JX552" s="7"/>
      <c r="JY552" s="7"/>
      <c r="JZ552" s="7"/>
      <c r="KA552" s="7"/>
      <c r="KB552" s="7"/>
      <c r="KC552" s="7"/>
      <c r="KD552" s="7"/>
      <c r="KE552" s="7"/>
      <c r="KF552" s="7"/>
      <c r="KG552" s="7"/>
      <c r="KH552" s="7"/>
      <c r="KI552" s="7"/>
      <c r="KJ552" s="7"/>
      <c r="KK552" s="7"/>
      <c r="KL552" s="7"/>
      <c r="KM552" s="7"/>
      <c r="KN552" s="7"/>
    </row>
    <row r="553">
      <c r="A553" s="6"/>
      <c r="B553" s="6" t="s">
        <v>553</v>
      </c>
      <c r="C553" s="3" t="str">
        <f t="shared" si="3"/>
        <v>faded beige</v>
      </c>
      <c r="D553" s="3" t="str">
        <f t="shared" si="17"/>
        <v>ZZZ</v>
      </c>
      <c r="E553" s="3" t="b">
        <f t="array" ref="E553">OR(ISNUMBER(SEARCH(D$2:D$30,$B553,5)))</f>
        <v>0</v>
      </c>
      <c r="G553" s="3" t="str">
        <f t="shared" si="4"/>
        <v>ZZZ</v>
      </c>
      <c r="H553" s="3" t="b">
        <f t="array" ref="H553">OR(ISNUMBER(SEARCH(G$2:G$30,$B553,5)))</f>
        <v>0</v>
      </c>
      <c r="J553" s="3" t="str">
        <f t="shared" si="5"/>
        <v>ZZZ</v>
      </c>
      <c r="K553" s="3" t="b">
        <f t="array" ref="K553">OR(ISNUMBER(SEARCH(J$2:J$30,$B553,5)))</f>
        <v>0</v>
      </c>
      <c r="M553" s="3" t="str">
        <f t="shared" si="6"/>
        <v>ZZZ</v>
      </c>
      <c r="N553" s="3" t="b">
        <f t="array" ref="N553">OR(ISNUMBER(SEARCH(M$2:M$30,$B553,5)))</f>
        <v>0</v>
      </c>
      <c r="P553" s="3" t="str">
        <f t="shared" si="7"/>
        <v>ZZZ</v>
      </c>
      <c r="Q553" s="3" t="b">
        <f t="array" ref="Q553">OR(ISNUMBER(SEARCH(P$2:P$50,$B553,5)))</f>
        <v>0</v>
      </c>
      <c r="S553" s="3" t="str">
        <f t="shared" si="8"/>
        <v>ZZZ</v>
      </c>
      <c r="T553" s="3" t="b">
        <f t="array" ref="T553">OR(ISNUMBER(SEARCH(S$2:S$100,$B553,5)))</f>
        <v>0</v>
      </c>
      <c r="V553" s="3" t="str">
        <f t="shared" si="9"/>
        <v>ZZZ</v>
      </c>
      <c r="W553" s="3" t="b">
        <f t="array" ref="W553">OR(ISNUMBER(SEARCH(V$2:V$100,$B553,5)))</f>
        <v>0</v>
      </c>
      <c r="Y553" s="3" t="str">
        <f t="shared" si="10"/>
        <v>ZZZ</v>
      </c>
      <c r="Z553" s="3" t="b">
        <f t="array" ref="Z553">OR(ISNUMBER(SEARCH(Y$2:Y$100,$B553,5)))</f>
        <v>0</v>
      </c>
      <c r="AB553" s="3" t="str">
        <f t="shared" si="11"/>
        <v>ZZZ</v>
      </c>
      <c r="AC553" s="3" t="b">
        <f t="array" ref="AC553">OR(ISNUMBER(SEARCH(AB$2:AB$100,$B553,5)))</f>
        <v>0</v>
      </c>
      <c r="AE553" s="3" t="str">
        <f t="shared" si="12"/>
        <v>ZZZ</v>
      </c>
      <c r="AF553" s="3" t="b">
        <f t="array" ref="AF553">OR(ISNUMBER(SEARCH(AE$2:AE$100,$B553,5)))</f>
        <v>0</v>
      </c>
      <c r="AH553" s="3" t="str">
        <f t="shared" si="13"/>
        <v>ZZZ</v>
      </c>
      <c r="AI553" s="3" t="b">
        <f t="array" ref="AI553">OR(ISNUMBER(SEARCH(AH$2:AH$100,$B553,5)))</f>
        <v>0</v>
      </c>
      <c r="AK553" s="3" t="str">
        <f t="shared" si="14"/>
        <v>ZZZ</v>
      </c>
      <c r="AL553" s="3" t="b">
        <f t="array" ref="AL553">OR(ISNUMBER(SEARCH(AK$2:AK$100,$B553,5)))</f>
        <v>0</v>
      </c>
      <c r="AU553" s="8"/>
      <c r="AV553" s="6"/>
      <c r="AW553" s="8"/>
      <c r="AX553" s="8"/>
      <c r="AY553" s="6"/>
      <c r="AZ553" s="8"/>
      <c r="BA553" s="8"/>
      <c r="BB553" s="6"/>
      <c r="BC553" s="8"/>
      <c r="BD553" s="8"/>
      <c r="BE553" s="6"/>
      <c r="BF553" s="8"/>
      <c r="BG553" s="8"/>
      <c r="BH553" s="6"/>
      <c r="BI553" s="8"/>
      <c r="BJ553" s="8"/>
      <c r="BK553" s="6"/>
      <c r="BL553" s="8"/>
      <c r="BM553" s="8"/>
      <c r="BN553" s="6"/>
      <c r="BO553" s="8"/>
      <c r="BP553" s="8"/>
      <c r="BQ553" s="6"/>
      <c r="BR553" s="8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F553" s="7"/>
      <c r="FG553" s="7"/>
      <c r="FH553" s="7"/>
      <c r="FI553" s="7"/>
      <c r="FJ553" s="7"/>
      <c r="FK553" s="7"/>
      <c r="FL553" s="7"/>
      <c r="FM553" s="7"/>
      <c r="FN553" s="7"/>
      <c r="FO553" s="7"/>
      <c r="FP553" s="7"/>
      <c r="FQ553" s="7"/>
      <c r="FR553" s="7"/>
      <c r="FS553" s="7"/>
      <c r="FT553" s="7"/>
      <c r="FU553" s="7"/>
      <c r="FV553" s="7"/>
      <c r="FW553" s="7"/>
      <c r="FX553" s="7"/>
      <c r="FY553" s="7"/>
      <c r="FZ553" s="7"/>
      <c r="GA553" s="7"/>
      <c r="GB553" s="7"/>
      <c r="GC553" s="7"/>
      <c r="GD553" s="7"/>
      <c r="GE553" s="7"/>
      <c r="GF553" s="7"/>
      <c r="GG553" s="7"/>
      <c r="GH553" s="7"/>
      <c r="GI553" s="7"/>
      <c r="GJ553" s="7"/>
      <c r="GK553" s="7"/>
      <c r="GL553" s="7"/>
      <c r="GM553" s="7"/>
      <c r="GN553" s="7"/>
      <c r="GO553" s="7"/>
      <c r="GP553" s="7"/>
      <c r="GQ553" s="7"/>
      <c r="GR553" s="7"/>
      <c r="GS553" s="7"/>
      <c r="GT553" s="7"/>
      <c r="GU553" s="7"/>
      <c r="GV553" s="7"/>
      <c r="GW553" s="7"/>
      <c r="GX553" s="7"/>
      <c r="GY553" s="7"/>
      <c r="GZ553" s="7"/>
      <c r="HA553" s="7"/>
      <c r="HB553" s="7"/>
      <c r="HC553" s="7"/>
      <c r="HD553" s="7"/>
      <c r="HE553" s="7"/>
      <c r="HF553" s="7"/>
      <c r="HG553" s="7"/>
      <c r="HH553" s="7"/>
      <c r="HI553" s="7"/>
      <c r="HJ553" s="7"/>
      <c r="HK553" s="7"/>
      <c r="HL553" s="7"/>
      <c r="HM553" s="7"/>
      <c r="HN553" s="7"/>
      <c r="HO553" s="7"/>
      <c r="HP553" s="7"/>
      <c r="HQ553" s="7"/>
      <c r="HR553" s="7"/>
      <c r="HS553" s="7"/>
      <c r="HT553" s="7"/>
      <c r="HU553" s="7"/>
      <c r="HV553" s="7"/>
      <c r="HW553" s="7"/>
      <c r="HX553" s="7"/>
      <c r="HY553" s="7"/>
      <c r="HZ553" s="7"/>
      <c r="IA553" s="7"/>
      <c r="IB553" s="7"/>
      <c r="IC553" s="7"/>
      <c r="ID553" s="7"/>
      <c r="IE553" s="7"/>
      <c r="IF553" s="7"/>
      <c r="IG553" s="7"/>
      <c r="IH553" s="7"/>
      <c r="II553" s="7"/>
      <c r="IJ553" s="7"/>
      <c r="IK553" s="7"/>
      <c r="IL553" s="7"/>
      <c r="IM553" s="7"/>
      <c r="IN553" s="7"/>
      <c r="IO553" s="7"/>
      <c r="IP553" s="7"/>
      <c r="IQ553" s="7"/>
      <c r="IR553" s="7"/>
      <c r="IS553" s="7"/>
      <c r="IT553" s="7"/>
      <c r="IU553" s="7"/>
      <c r="IV553" s="7"/>
      <c r="IW553" s="7"/>
      <c r="IX553" s="7"/>
      <c r="IY553" s="7"/>
      <c r="IZ553" s="7"/>
      <c r="JA553" s="7"/>
      <c r="JB553" s="7"/>
      <c r="JC553" s="7"/>
      <c r="JD553" s="7"/>
      <c r="JE553" s="7"/>
      <c r="JF553" s="7"/>
      <c r="JG553" s="7"/>
      <c r="JH553" s="7"/>
      <c r="JI553" s="7"/>
      <c r="JJ553" s="7"/>
      <c r="JK553" s="7"/>
      <c r="JL553" s="7"/>
      <c r="JM553" s="7"/>
      <c r="JN553" s="7"/>
      <c r="JO553" s="7"/>
      <c r="JP553" s="7"/>
      <c r="JQ553" s="7"/>
      <c r="JR553" s="7"/>
      <c r="JS553" s="7"/>
      <c r="JT553" s="7"/>
      <c r="JU553" s="7"/>
      <c r="JV553" s="7"/>
      <c r="JW553" s="7"/>
      <c r="JX553" s="7"/>
      <c r="JY553" s="7"/>
      <c r="JZ553" s="7"/>
      <c r="KA553" s="7"/>
      <c r="KB553" s="7"/>
      <c r="KC553" s="7"/>
      <c r="KD553" s="7"/>
      <c r="KE553" s="7"/>
      <c r="KF553" s="7"/>
      <c r="KG553" s="7"/>
      <c r="KH553" s="7"/>
      <c r="KI553" s="7"/>
      <c r="KJ553" s="7"/>
      <c r="KK553" s="7"/>
      <c r="KL553" s="7"/>
      <c r="KM553" s="7"/>
      <c r="KN553" s="7"/>
    </row>
    <row r="554">
      <c r="A554" s="6"/>
      <c r="B554" s="6" t="s">
        <v>554</v>
      </c>
      <c r="C554" s="3" t="str">
        <f t="shared" si="3"/>
        <v>faded lime</v>
      </c>
      <c r="D554" s="3" t="str">
        <f t="shared" si="17"/>
        <v>ZZZ</v>
      </c>
      <c r="E554" s="3" t="b">
        <f t="array" ref="E554">OR(ISNUMBER(SEARCH(D$2:D$30,$B554,5)))</f>
        <v>0</v>
      </c>
      <c r="G554" s="3" t="str">
        <f t="shared" si="4"/>
        <v>ZZZ</v>
      </c>
      <c r="H554" s="3" t="b">
        <f t="array" ref="H554">OR(ISNUMBER(SEARCH(G$2:G$30,$B554,5)))</f>
        <v>0</v>
      </c>
      <c r="J554" s="3" t="str">
        <f t="shared" si="5"/>
        <v>ZZZ</v>
      </c>
      <c r="K554" s="3" t="b">
        <f t="array" ref="K554">OR(ISNUMBER(SEARCH(J$2:J$30,$B554,5)))</f>
        <v>0</v>
      </c>
      <c r="M554" s="3" t="str">
        <f t="shared" si="6"/>
        <v>ZZZ</v>
      </c>
      <c r="N554" s="3" t="b">
        <f t="array" ref="N554">OR(ISNUMBER(SEARCH(M$2:M$30,$B554,5)))</f>
        <v>0</v>
      </c>
      <c r="P554" s="3" t="str">
        <f t="shared" si="7"/>
        <v>ZZZ</v>
      </c>
      <c r="Q554" s="3" t="b">
        <f t="array" ref="Q554">OR(ISNUMBER(SEARCH(P$2:P$50,$B554,5)))</f>
        <v>0</v>
      </c>
      <c r="S554" s="3" t="str">
        <f t="shared" si="8"/>
        <v>ZZZ</v>
      </c>
      <c r="T554" s="3" t="b">
        <f t="array" ref="T554">OR(ISNUMBER(SEARCH(S$2:S$100,$B554,5)))</f>
        <v>0</v>
      </c>
      <c r="V554" s="3" t="str">
        <f t="shared" si="9"/>
        <v>ZZZ</v>
      </c>
      <c r="W554" s="3" t="b">
        <f t="array" ref="W554">OR(ISNUMBER(SEARCH(V$2:V$100,$B554,5)))</f>
        <v>1</v>
      </c>
      <c r="Y554" s="3" t="str">
        <f t="shared" si="10"/>
        <v>ZZZ</v>
      </c>
      <c r="Z554" s="3" t="b">
        <f t="array" ref="Z554">OR(ISNUMBER(SEARCH(Y$2:Y$100,$B554,5)))</f>
        <v>0</v>
      </c>
      <c r="AB554" s="3" t="str">
        <f t="shared" si="11"/>
        <v>ZZZ</v>
      </c>
      <c r="AC554" s="3" t="b">
        <f t="array" ref="AC554">OR(ISNUMBER(SEARCH(AB$2:AB$100,$B554,5)))</f>
        <v>1</v>
      </c>
      <c r="AE554" s="3" t="str">
        <f t="shared" si="12"/>
        <v>ZZZ</v>
      </c>
      <c r="AF554" s="3" t="b">
        <f t="array" ref="AF554">OR(ISNUMBER(SEARCH(AE$2:AE$100,$B554,5)))</f>
        <v>0</v>
      </c>
      <c r="AH554" s="3" t="str">
        <f t="shared" si="13"/>
        <v>ZZZ</v>
      </c>
      <c r="AI554" s="3" t="b">
        <f t="array" ref="AI554">OR(ISNUMBER(SEARCH(AH$2:AH$100,$B554,5)))</f>
        <v>0</v>
      </c>
      <c r="AK554" s="3" t="str">
        <f t="shared" si="14"/>
        <v>ZZZ</v>
      </c>
      <c r="AL554" s="3" t="b">
        <f t="array" ref="AL554">OR(ISNUMBER(SEARCH(AK$2:AK$100,$B554,5)))</f>
        <v>0</v>
      </c>
      <c r="AU554" s="8"/>
      <c r="AV554" s="6"/>
      <c r="AW554" s="8"/>
      <c r="AX554" s="8"/>
      <c r="AY554" s="6"/>
      <c r="AZ554" s="8"/>
      <c r="BA554" s="8"/>
      <c r="BB554" s="6"/>
      <c r="BC554" s="8"/>
      <c r="BD554" s="8"/>
      <c r="BE554" s="6"/>
      <c r="BF554" s="8"/>
      <c r="BG554" s="8"/>
      <c r="BH554" s="6"/>
      <c r="BI554" s="8"/>
      <c r="BJ554" s="8"/>
      <c r="BK554" s="6"/>
      <c r="BL554" s="8"/>
      <c r="BM554" s="8"/>
      <c r="BN554" s="6"/>
      <c r="BO554" s="8"/>
      <c r="BP554" s="8"/>
      <c r="BQ554" s="6"/>
      <c r="BR554" s="8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  <c r="EX554" s="7"/>
      <c r="EY554" s="7"/>
      <c r="EZ554" s="7"/>
      <c r="FA554" s="7"/>
      <c r="FB554" s="7"/>
      <c r="FC554" s="7"/>
      <c r="FD554" s="7"/>
      <c r="FE554" s="7"/>
      <c r="FF554" s="7"/>
      <c r="FG554" s="7"/>
      <c r="FH554" s="7"/>
      <c r="FI554" s="7"/>
      <c r="FJ554" s="7"/>
      <c r="FK554" s="7"/>
      <c r="FL554" s="7"/>
      <c r="FM554" s="7"/>
      <c r="FN554" s="7"/>
      <c r="FO554" s="7"/>
      <c r="FP554" s="7"/>
      <c r="FQ554" s="7"/>
      <c r="FR554" s="7"/>
      <c r="FS554" s="7"/>
      <c r="FT554" s="7"/>
      <c r="FU554" s="7"/>
      <c r="FV554" s="7"/>
      <c r="FW554" s="7"/>
      <c r="FX554" s="7"/>
      <c r="FY554" s="7"/>
      <c r="FZ554" s="7"/>
      <c r="GA554" s="7"/>
      <c r="GB554" s="7"/>
      <c r="GC554" s="7"/>
      <c r="GD554" s="7"/>
      <c r="GE554" s="7"/>
      <c r="GF554" s="7"/>
      <c r="GG554" s="7"/>
      <c r="GH554" s="7"/>
      <c r="GI554" s="7"/>
      <c r="GJ554" s="7"/>
      <c r="GK554" s="7"/>
      <c r="GL554" s="7"/>
      <c r="GM554" s="7"/>
      <c r="GN554" s="7"/>
      <c r="GO554" s="7"/>
      <c r="GP554" s="7"/>
      <c r="GQ554" s="7"/>
      <c r="GR554" s="7"/>
      <c r="GS554" s="7"/>
      <c r="GT554" s="7"/>
      <c r="GU554" s="7"/>
      <c r="GV554" s="7"/>
      <c r="GW554" s="7"/>
      <c r="GX554" s="7"/>
      <c r="GY554" s="7"/>
      <c r="GZ554" s="7"/>
      <c r="HA554" s="7"/>
      <c r="HB554" s="7"/>
      <c r="HC554" s="7"/>
      <c r="HD554" s="7"/>
      <c r="HE554" s="7"/>
      <c r="HF554" s="7"/>
      <c r="HG554" s="7"/>
      <c r="HH554" s="7"/>
      <c r="HI554" s="7"/>
      <c r="HJ554" s="7"/>
      <c r="HK554" s="7"/>
      <c r="HL554" s="7"/>
      <c r="HM554" s="7"/>
      <c r="HN554" s="7"/>
      <c r="HO554" s="7"/>
      <c r="HP554" s="7"/>
      <c r="HQ554" s="7"/>
      <c r="HR554" s="7"/>
      <c r="HS554" s="7"/>
      <c r="HT554" s="7"/>
      <c r="HU554" s="7"/>
      <c r="HV554" s="7"/>
      <c r="HW554" s="7"/>
      <c r="HX554" s="7"/>
      <c r="HY554" s="7"/>
      <c r="HZ554" s="7"/>
      <c r="IA554" s="7"/>
      <c r="IB554" s="7"/>
      <c r="IC554" s="7"/>
      <c r="ID554" s="7"/>
      <c r="IE554" s="7"/>
      <c r="IF554" s="7"/>
      <c r="IG554" s="7"/>
      <c r="IH554" s="7"/>
      <c r="II554" s="7"/>
      <c r="IJ554" s="7"/>
      <c r="IK554" s="7"/>
      <c r="IL554" s="7"/>
      <c r="IM554" s="7"/>
      <c r="IN554" s="7"/>
      <c r="IO554" s="7"/>
      <c r="IP554" s="7"/>
      <c r="IQ554" s="7"/>
      <c r="IR554" s="7"/>
      <c r="IS554" s="7"/>
      <c r="IT554" s="7"/>
      <c r="IU554" s="7"/>
      <c r="IV554" s="7"/>
      <c r="IW554" s="7"/>
      <c r="IX554" s="7"/>
      <c r="IY554" s="7"/>
      <c r="IZ554" s="7"/>
      <c r="JA554" s="7"/>
      <c r="JB554" s="7"/>
      <c r="JC554" s="7"/>
      <c r="JD554" s="7"/>
      <c r="JE554" s="7"/>
      <c r="JF554" s="7"/>
      <c r="JG554" s="7"/>
      <c r="JH554" s="7"/>
      <c r="JI554" s="7"/>
      <c r="JJ554" s="7"/>
      <c r="JK554" s="7"/>
      <c r="JL554" s="7"/>
      <c r="JM554" s="7"/>
      <c r="JN554" s="7"/>
      <c r="JO554" s="7"/>
      <c r="JP554" s="7"/>
      <c r="JQ554" s="7"/>
      <c r="JR554" s="7"/>
      <c r="JS554" s="7"/>
      <c r="JT554" s="7"/>
      <c r="JU554" s="7"/>
      <c r="JV554" s="7"/>
      <c r="JW554" s="7"/>
      <c r="JX554" s="7"/>
      <c r="JY554" s="7"/>
      <c r="JZ554" s="7"/>
      <c r="KA554" s="7"/>
      <c r="KB554" s="7"/>
      <c r="KC554" s="7"/>
      <c r="KD554" s="7"/>
      <c r="KE554" s="7"/>
      <c r="KF554" s="7"/>
      <c r="KG554" s="7"/>
      <c r="KH554" s="7"/>
      <c r="KI554" s="7"/>
      <c r="KJ554" s="7"/>
      <c r="KK554" s="7"/>
      <c r="KL554" s="7"/>
      <c r="KM554" s="7"/>
      <c r="KN554" s="7"/>
    </row>
    <row r="555">
      <c r="A555" s="6"/>
      <c r="B555" s="6" t="s">
        <v>555</v>
      </c>
      <c r="C555" s="3" t="str">
        <f t="shared" si="3"/>
        <v>mirrored green</v>
      </c>
      <c r="D555" s="3" t="str">
        <f t="shared" si="17"/>
        <v>ZZZ</v>
      </c>
      <c r="E555" s="3" t="b">
        <f t="array" ref="E555">OR(ISNUMBER(SEARCH(D$2:D$30,$B555,5)))</f>
        <v>0</v>
      </c>
      <c r="G555" s="3" t="str">
        <f t="shared" si="4"/>
        <v>ZZZ</v>
      </c>
      <c r="H555" s="3" t="b">
        <f t="array" ref="H555">OR(ISNUMBER(SEARCH(G$2:G$30,$B555,5)))</f>
        <v>0</v>
      </c>
      <c r="J555" s="3" t="str">
        <f t="shared" si="5"/>
        <v>ZZZ</v>
      </c>
      <c r="K555" s="3" t="b">
        <f t="array" ref="K555">OR(ISNUMBER(SEARCH(J$2:J$30,$B555,5)))</f>
        <v>0</v>
      </c>
      <c r="M555" s="3" t="str">
        <f t="shared" si="6"/>
        <v>ZZZ</v>
      </c>
      <c r="N555" s="3" t="b">
        <f t="array" ref="N555">OR(ISNUMBER(SEARCH(M$2:M$30,$B555,5)))</f>
        <v>0</v>
      </c>
      <c r="P555" s="3" t="str">
        <f t="shared" si="7"/>
        <v>ZZZ</v>
      </c>
      <c r="Q555" s="3" t="b">
        <f t="array" ref="Q555">OR(ISNUMBER(SEARCH(P$2:P$50,$B555,5)))</f>
        <v>0</v>
      </c>
      <c r="S555" s="3" t="str">
        <f t="shared" si="8"/>
        <v>ZZZ</v>
      </c>
      <c r="T555" s="3" t="b">
        <f t="array" ref="T555">OR(ISNUMBER(SEARCH(S$2:S$100,$B555,5)))</f>
        <v>0</v>
      </c>
      <c r="V555" s="3" t="str">
        <f t="shared" si="9"/>
        <v>ZZZ</v>
      </c>
      <c r="W555" s="3" t="b">
        <f t="array" ref="W555">OR(ISNUMBER(SEARCH(V$2:V$100,$B555,5)))</f>
        <v>0</v>
      </c>
      <c r="Y555" s="3" t="str">
        <f t="shared" si="10"/>
        <v>ZZZ</v>
      </c>
      <c r="Z555" s="3" t="b">
        <f t="array" ref="Z555">OR(ISNUMBER(SEARCH(Y$2:Y$100,$B555,5)))</f>
        <v>0</v>
      </c>
      <c r="AB555" s="3" t="str">
        <f t="shared" si="11"/>
        <v>ZZZ</v>
      </c>
      <c r="AC555" s="3" t="b">
        <f t="array" ref="AC555">OR(ISNUMBER(SEARCH(AB$2:AB$100,$B555,5)))</f>
        <v>0</v>
      </c>
      <c r="AE555" s="3" t="str">
        <f t="shared" si="12"/>
        <v>ZZZ</v>
      </c>
      <c r="AF555" s="3" t="b">
        <f t="array" ref="AF555">OR(ISNUMBER(SEARCH(AE$2:AE$100,$B555,5)))</f>
        <v>0</v>
      </c>
      <c r="AH555" s="3" t="str">
        <f t="shared" si="13"/>
        <v>ZZZ</v>
      </c>
      <c r="AI555" s="3" t="b">
        <f t="array" ref="AI555">OR(ISNUMBER(SEARCH(AH$2:AH$100,$B555,5)))</f>
        <v>0</v>
      </c>
      <c r="AK555" s="3" t="str">
        <f t="shared" si="14"/>
        <v>ZZZ</v>
      </c>
      <c r="AL555" s="3" t="b">
        <f t="array" ref="AL555">OR(ISNUMBER(SEARCH(AK$2:AK$100,$B555,5)))</f>
        <v>0</v>
      </c>
      <c r="AU555" s="8"/>
      <c r="AV555" s="6"/>
      <c r="AW555" s="8"/>
      <c r="AX555" s="8"/>
      <c r="AY555" s="6"/>
      <c r="AZ555" s="8"/>
      <c r="BA555" s="8"/>
      <c r="BB555" s="6"/>
      <c r="BC555" s="8"/>
      <c r="BD555" s="8"/>
      <c r="BE555" s="6"/>
      <c r="BF555" s="8"/>
      <c r="BG555" s="8"/>
      <c r="BH555" s="6"/>
      <c r="BI555" s="8"/>
      <c r="BJ555" s="8"/>
      <c r="BK555" s="6"/>
      <c r="BL555" s="8"/>
      <c r="BM555" s="8"/>
      <c r="BN555" s="6"/>
      <c r="BO555" s="8"/>
      <c r="BP555" s="8"/>
      <c r="BQ555" s="6"/>
      <c r="BR555" s="8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  <c r="EX555" s="7"/>
      <c r="EY555" s="7"/>
      <c r="EZ555" s="7"/>
      <c r="FA555" s="7"/>
      <c r="FB555" s="7"/>
      <c r="FC555" s="7"/>
      <c r="FD555" s="7"/>
      <c r="FE555" s="7"/>
      <c r="FF555" s="7"/>
      <c r="FG555" s="7"/>
      <c r="FH555" s="7"/>
      <c r="FI555" s="7"/>
      <c r="FJ555" s="7"/>
      <c r="FK555" s="7"/>
      <c r="FL555" s="7"/>
      <c r="FM555" s="7"/>
      <c r="FN555" s="7"/>
      <c r="FO555" s="7"/>
      <c r="FP555" s="7"/>
      <c r="FQ555" s="7"/>
      <c r="FR555" s="7"/>
      <c r="FS555" s="7"/>
      <c r="FT555" s="7"/>
      <c r="FU555" s="7"/>
      <c r="FV555" s="7"/>
      <c r="FW555" s="7"/>
      <c r="FX555" s="7"/>
      <c r="FY555" s="7"/>
      <c r="FZ555" s="7"/>
      <c r="GA555" s="7"/>
      <c r="GB555" s="7"/>
      <c r="GC555" s="7"/>
      <c r="GD555" s="7"/>
      <c r="GE555" s="7"/>
      <c r="GF555" s="7"/>
      <c r="GG555" s="7"/>
      <c r="GH555" s="7"/>
      <c r="GI555" s="7"/>
      <c r="GJ555" s="7"/>
      <c r="GK555" s="7"/>
      <c r="GL555" s="7"/>
      <c r="GM555" s="7"/>
      <c r="GN555" s="7"/>
      <c r="GO555" s="7"/>
      <c r="GP555" s="7"/>
      <c r="GQ555" s="7"/>
      <c r="GR555" s="7"/>
      <c r="GS555" s="7"/>
      <c r="GT555" s="7"/>
      <c r="GU555" s="7"/>
      <c r="GV555" s="7"/>
      <c r="GW555" s="7"/>
      <c r="GX555" s="7"/>
      <c r="GY555" s="7"/>
      <c r="GZ555" s="7"/>
      <c r="HA555" s="7"/>
      <c r="HB555" s="7"/>
      <c r="HC555" s="7"/>
      <c r="HD555" s="7"/>
      <c r="HE555" s="7"/>
      <c r="HF555" s="7"/>
      <c r="HG555" s="7"/>
      <c r="HH555" s="7"/>
      <c r="HI555" s="7"/>
      <c r="HJ555" s="7"/>
      <c r="HK555" s="7"/>
      <c r="HL555" s="7"/>
      <c r="HM555" s="7"/>
      <c r="HN555" s="7"/>
      <c r="HO555" s="7"/>
      <c r="HP555" s="7"/>
      <c r="HQ555" s="7"/>
      <c r="HR555" s="7"/>
      <c r="HS555" s="7"/>
      <c r="HT555" s="7"/>
      <c r="HU555" s="7"/>
      <c r="HV555" s="7"/>
      <c r="HW555" s="7"/>
      <c r="HX555" s="7"/>
      <c r="HY555" s="7"/>
      <c r="HZ555" s="7"/>
      <c r="IA555" s="7"/>
      <c r="IB555" s="7"/>
      <c r="IC555" s="7"/>
      <c r="ID555" s="7"/>
      <c r="IE555" s="7"/>
      <c r="IF555" s="7"/>
      <c r="IG555" s="7"/>
      <c r="IH555" s="7"/>
      <c r="II555" s="7"/>
      <c r="IJ555" s="7"/>
      <c r="IK555" s="7"/>
      <c r="IL555" s="7"/>
      <c r="IM555" s="7"/>
      <c r="IN555" s="7"/>
      <c r="IO555" s="7"/>
      <c r="IP555" s="7"/>
      <c r="IQ555" s="7"/>
      <c r="IR555" s="7"/>
      <c r="IS555" s="7"/>
      <c r="IT555" s="7"/>
      <c r="IU555" s="7"/>
      <c r="IV555" s="7"/>
      <c r="IW555" s="7"/>
      <c r="IX555" s="7"/>
      <c r="IY555" s="7"/>
      <c r="IZ555" s="7"/>
      <c r="JA555" s="7"/>
      <c r="JB555" s="7"/>
      <c r="JC555" s="7"/>
      <c r="JD555" s="7"/>
      <c r="JE555" s="7"/>
      <c r="JF555" s="7"/>
      <c r="JG555" s="7"/>
      <c r="JH555" s="7"/>
      <c r="JI555" s="7"/>
      <c r="JJ555" s="7"/>
      <c r="JK555" s="7"/>
      <c r="JL555" s="7"/>
      <c r="JM555" s="7"/>
      <c r="JN555" s="7"/>
      <c r="JO555" s="7"/>
      <c r="JP555" s="7"/>
      <c r="JQ555" s="7"/>
      <c r="JR555" s="7"/>
      <c r="JS555" s="7"/>
      <c r="JT555" s="7"/>
      <c r="JU555" s="7"/>
      <c r="JV555" s="7"/>
      <c r="JW555" s="7"/>
      <c r="JX555" s="7"/>
      <c r="JY555" s="7"/>
      <c r="JZ555" s="7"/>
      <c r="KA555" s="7"/>
      <c r="KB555" s="7"/>
      <c r="KC555" s="7"/>
      <c r="KD555" s="7"/>
      <c r="KE555" s="7"/>
      <c r="KF555" s="7"/>
      <c r="KG555" s="7"/>
      <c r="KH555" s="7"/>
      <c r="KI555" s="7"/>
      <c r="KJ555" s="7"/>
      <c r="KK555" s="7"/>
      <c r="KL555" s="7"/>
      <c r="KM555" s="7"/>
      <c r="KN555" s="7"/>
    </row>
    <row r="556">
      <c r="A556" s="6"/>
      <c r="B556" s="6" t="s">
        <v>556</v>
      </c>
      <c r="C556" s="3" t="str">
        <f t="shared" si="3"/>
        <v>light green</v>
      </c>
      <c r="D556" s="3" t="str">
        <f t="shared" si="17"/>
        <v>ZZZ</v>
      </c>
      <c r="E556" s="3" t="b">
        <f t="array" ref="E556">OR(ISNUMBER(SEARCH(D$2:D$30,$B556,5)))</f>
        <v>0</v>
      </c>
      <c r="G556" s="3" t="str">
        <f t="shared" si="4"/>
        <v>ZZZ</v>
      </c>
      <c r="H556" s="3" t="b">
        <f t="array" ref="H556">OR(ISNUMBER(SEARCH(G$2:G$30,$B556,5)))</f>
        <v>0</v>
      </c>
      <c r="J556" s="3" t="str">
        <f t="shared" si="5"/>
        <v>ZZZ</v>
      </c>
      <c r="K556" s="3" t="b">
        <f t="array" ref="K556">OR(ISNUMBER(SEARCH(J$2:J$30,$B556,5)))</f>
        <v>0</v>
      </c>
      <c r="M556" s="3" t="str">
        <f t="shared" si="6"/>
        <v>ZZZ</v>
      </c>
      <c r="N556" s="3" t="b">
        <f t="array" ref="N556">OR(ISNUMBER(SEARCH(M$2:M$30,$B556,5)))</f>
        <v>0</v>
      </c>
      <c r="P556" s="3" t="str">
        <f t="shared" si="7"/>
        <v>ZZZ</v>
      </c>
      <c r="Q556" s="3" t="b">
        <f t="array" ref="Q556">OR(ISNUMBER(SEARCH(P$2:P$50,$B556,5)))</f>
        <v>0</v>
      </c>
      <c r="S556" s="3" t="str">
        <f t="shared" si="8"/>
        <v>ZZZ</v>
      </c>
      <c r="T556" s="3" t="b">
        <f t="array" ref="T556">OR(ISNUMBER(SEARCH(S$2:S$100,$B556,5)))</f>
        <v>0</v>
      </c>
      <c r="V556" s="3" t="str">
        <f t="shared" si="9"/>
        <v>ZZZ</v>
      </c>
      <c r="W556" s="3" t="b">
        <f t="array" ref="W556">OR(ISNUMBER(SEARCH(V$2:V$100,$B556,5)))</f>
        <v>0</v>
      </c>
      <c r="Y556" s="3" t="str">
        <f t="shared" si="10"/>
        <v>ZZZ</v>
      </c>
      <c r="Z556" s="3" t="b">
        <f t="array" ref="Z556">OR(ISNUMBER(SEARCH(Y$2:Y$100,$B556,5)))</f>
        <v>0</v>
      </c>
      <c r="AB556" s="3" t="str">
        <f t="shared" si="11"/>
        <v>ZZZ</v>
      </c>
      <c r="AC556" s="3" t="b">
        <f t="array" ref="AC556">OR(ISNUMBER(SEARCH(AB$2:AB$100,$B556,5)))</f>
        <v>0</v>
      </c>
      <c r="AE556" s="3" t="str">
        <f t="shared" si="12"/>
        <v>ZZZ</v>
      </c>
      <c r="AF556" s="3" t="b">
        <f t="array" ref="AF556">OR(ISNUMBER(SEARCH(AE$2:AE$100,$B556,5)))</f>
        <v>0</v>
      </c>
      <c r="AH556" s="3" t="str">
        <f t="shared" si="13"/>
        <v>ZZZ</v>
      </c>
      <c r="AI556" s="3" t="b">
        <f t="array" ref="AI556">OR(ISNUMBER(SEARCH(AH$2:AH$100,$B556,5)))</f>
        <v>0</v>
      </c>
      <c r="AK556" s="3" t="str">
        <f t="shared" si="14"/>
        <v>ZZZ</v>
      </c>
      <c r="AL556" s="3" t="b">
        <f t="array" ref="AL556">OR(ISNUMBER(SEARCH(AK$2:AK$100,$B556,5)))</f>
        <v>0</v>
      </c>
      <c r="AU556" s="8"/>
      <c r="AV556" s="6"/>
      <c r="AW556" s="8"/>
      <c r="AX556" s="8"/>
      <c r="AY556" s="6"/>
      <c r="AZ556" s="8"/>
      <c r="BA556" s="8"/>
      <c r="BB556" s="6"/>
      <c r="BC556" s="8"/>
      <c r="BD556" s="8"/>
      <c r="BE556" s="6"/>
      <c r="BF556" s="8"/>
      <c r="BG556" s="8"/>
      <c r="BH556" s="6"/>
      <c r="BI556" s="8"/>
      <c r="BJ556" s="8"/>
      <c r="BK556" s="6"/>
      <c r="BL556" s="8"/>
      <c r="BM556" s="8"/>
      <c r="BN556" s="6"/>
      <c r="BO556" s="8"/>
      <c r="BP556" s="8"/>
      <c r="BQ556" s="6"/>
      <c r="BR556" s="8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  <c r="ES556" s="7"/>
      <c r="ET556" s="7"/>
      <c r="EU556" s="7"/>
      <c r="EV556" s="7"/>
      <c r="EW556" s="7"/>
      <c r="EX556" s="7"/>
      <c r="EY556" s="7"/>
      <c r="EZ556" s="7"/>
      <c r="FA556" s="7"/>
      <c r="FB556" s="7"/>
      <c r="FC556" s="7"/>
      <c r="FD556" s="7"/>
      <c r="FE556" s="7"/>
      <c r="FF556" s="7"/>
      <c r="FG556" s="7"/>
      <c r="FH556" s="7"/>
      <c r="FI556" s="7"/>
      <c r="FJ556" s="7"/>
      <c r="FK556" s="7"/>
      <c r="FL556" s="7"/>
      <c r="FM556" s="7"/>
      <c r="FN556" s="7"/>
      <c r="FO556" s="7"/>
      <c r="FP556" s="7"/>
      <c r="FQ556" s="7"/>
      <c r="FR556" s="7"/>
      <c r="FS556" s="7"/>
      <c r="FT556" s="7"/>
      <c r="FU556" s="7"/>
      <c r="FV556" s="7"/>
      <c r="FW556" s="7"/>
      <c r="FX556" s="7"/>
      <c r="FY556" s="7"/>
      <c r="FZ556" s="7"/>
      <c r="GA556" s="7"/>
      <c r="GB556" s="7"/>
      <c r="GC556" s="7"/>
      <c r="GD556" s="7"/>
      <c r="GE556" s="7"/>
      <c r="GF556" s="7"/>
      <c r="GG556" s="7"/>
      <c r="GH556" s="7"/>
      <c r="GI556" s="7"/>
      <c r="GJ556" s="7"/>
      <c r="GK556" s="7"/>
      <c r="GL556" s="7"/>
      <c r="GM556" s="7"/>
      <c r="GN556" s="7"/>
      <c r="GO556" s="7"/>
      <c r="GP556" s="7"/>
      <c r="GQ556" s="7"/>
      <c r="GR556" s="7"/>
      <c r="GS556" s="7"/>
      <c r="GT556" s="7"/>
      <c r="GU556" s="7"/>
      <c r="GV556" s="7"/>
      <c r="GW556" s="7"/>
      <c r="GX556" s="7"/>
      <c r="GY556" s="7"/>
      <c r="GZ556" s="7"/>
      <c r="HA556" s="7"/>
      <c r="HB556" s="7"/>
      <c r="HC556" s="7"/>
      <c r="HD556" s="7"/>
      <c r="HE556" s="7"/>
      <c r="HF556" s="7"/>
      <c r="HG556" s="7"/>
      <c r="HH556" s="7"/>
      <c r="HI556" s="7"/>
      <c r="HJ556" s="7"/>
      <c r="HK556" s="7"/>
      <c r="HL556" s="7"/>
      <c r="HM556" s="7"/>
      <c r="HN556" s="7"/>
      <c r="HO556" s="7"/>
      <c r="HP556" s="7"/>
      <c r="HQ556" s="7"/>
      <c r="HR556" s="7"/>
      <c r="HS556" s="7"/>
      <c r="HT556" s="7"/>
      <c r="HU556" s="7"/>
      <c r="HV556" s="7"/>
      <c r="HW556" s="7"/>
      <c r="HX556" s="7"/>
      <c r="HY556" s="7"/>
      <c r="HZ556" s="7"/>
      <c r="IA556" s="7"/>
      <c r="IB556" s="7"/>
      <c r="IC556" s="7"/>
      <c r="ID556" s="7"/>
      <c r="IE556" s="7"/>
      <c r="IF556" s="7"/>
      <c r="IG556" s="7"/>
      <c r="IH556" s="7"/>
      <c r="II556" s="7"/>
      <c r="IJ556" s="7"/>
      <c r="IK556" s="7"/>
      <c r="IL556" s="7"/>
      <c r="IM556" s="7"/>
      <c r="IN556" s="7"/>
      <c r="IO556" s="7"/>
      <c r="IP556" s="7"/>
      <c r="IQ556" s="7"/>
      <c r="IR556" s="7"/>
      <c r="IS556" s="7"/>
      <c r="IT556" s="7"/>
      <c r="IU556" s="7"/>
      <c r="IV556" s="7"/>
      <c r="IW556" s="7"/>
      <c r="IX556" s="7"/>
      <c r="IY556" s="7"/>
      <c r="IZ556" s="7"/>
      <c r="JA556" s="7"/>
      <c r="JB556" s="7"/>
      <c r="JC556" s="7"/>
      <c r="JD556" s="7"/>
      <c r="JE556" s="7"/>
      <c r="JF556" s="7"/>
      <c r="JG556" s="7"/>
      <c r="JH556" s="7"/>
      <c r="JI556" s="7"/>
      <c r="JJ556" s="7"/>
      <c r="JK556" s="7"/>
      <c r="JL556" s="7"/>
      <c r="JM556" s="7"/>
      <c r="JN556" s="7"/>
      <c r="JO556" s="7"/>
      <c r="JP556" s="7"/>
      <c r="JQ556" s="7"/>
      <c r="JR556" s="7"/>
      <c r="JS556" s="7"/>
      <c r="JT556" s="7"/>
      <c r="JU556" s="7"/>
      <c r="JV556" s="7"/>
      <c r="JW556" s="7"/>
      <c r="JX556" s="7"/>
      <c r="JY556" s="7"/>
      <c r="JZ556" s="7"/>
      <c r="KA556" s="7"/>
      <c r="KB556" s="7"/>
      <c r="KC556" s="7"/>
      <c r="KD556" s="7"/>
      <c r="KE556" s="7"/>
      <c r="KF556" s="7"/>
      <c r="KG556" s="7"/>
      <c r="KH556" s="7"/>
      <c r="KI556" s="7"/>
      <c r="KJ556" s="7"/>
      <c r="KK556" s="7"/>
      <c r="KL556" s="7"/>
      <c r="KM556" s="7"/>
      <c r="KN556" s="7"/>
    </row>
    <row r="557">
      <c r="A557" s="6"/>
      <c r="B557" s="6" t="s">
        <v>557</v>
      </c>
      <c r="C557" s="3" t="str">
        <f t="shared" si="3"/>
        <v>pale crimson</v>
      </c>
      <c r="D557" s="3" t="str">
        <f t="shared" si="17"/>
        <v>ZZZ</v>
      </c>
      <c r="E557" s="3" t="b">
        <f t="array" ref="E557">OR(ISNUMBER(SEARCH(D$2:D$30,$B557,5)))</f>
        <v>0</v>
      </c>
      <c r="G557" s="3" t="str">
        <f t="shared" si="4"/>
        <v>ZZZ</v>
      </c>
      <c r="H557" s="3" t="b">
        <f t="array" ref="H557">OR(ISNUMBER(SEARCH(G$2:G$30,$B557,5)))</f>
        <v>0</v>
      </c>
      <c r="J557" s="3" t="str">
        <f t="shared" si="5"/>
        <v>ZZZ</v>
      </c>
      <c r="K557" s="3" t="b">
        <f t="array" ref="K557">OR(ISNUMBER(SEARCH(J$2:J$30,$B557,5)))</f>
        <v>0</v>
      </c>
      <c r="M557" s="3" t="str">
        <f t="shared" si="6"/>
        <v>ZZZ</v>
      </c>
      <c r="N557" s="3" t="b">
        <f t="array" ref="N557">OR(ISNUMBER(SEARCH(M$2:M$30,$B557,5)))</f>
        <v>0</v>
      </c>
      <c r="P557" s="3" t="str">
        <f t="shared" si="7"/>
        <v>ZZZ</v>
      </c>
      <c r="Q557" s="3" t="b">
        <f t="array" ref="Q557">OR(ISNUMBER(SEARCH(P$2:P$50,$B557,5)))</f>
        <v>1</v>
      </c>
      <c r="S557" s="3" t="str">
        <f t="shared" si="8"/>
        <v>ZZZ</v>
      </c>
      <c r="T557" s="3" t="b">
        <f t="array" ref="T557">OR(ISNUMBER(SEARCH(S$2:S$100,$B557,5)))</f>
        <v>0</v>
      </c>
      <c r="V557" s="3" t="str">
        <f t="shared" si="9"/>
        <v>ZZZ</v>
      </c>
      <c r="W557" s="3" t="b">
        <f t="array" ref="W557">OR(ISNUMBER(SEARCH(V$2:V$100,$B557,5)))</f>
        <v>0</v>
      </c>
      <c r="Y557" s="3" t="str">
        <f t="shared" si="10"/>
        <v>ZZZ</v>
      </c>
      <c r="Z557" s="3" t="b">
        <f t="array" ref="Z557">OR(ISNUMBER(SEARCH(Y$2:Y$100,$B557,5)))</f>
        <v>0</v>
      </c>
      <c r="AB557" s="3" t="str">
        <f t="shared" si="11"/>
        <v>ZZZ</v>
      </c>
      <c r="AC557" s="3" t="b">
        <f t="array" ref="AC557">OR(ISNUMBER(SEARCH(AB$2:AB$100,$B557,5)))</f>
        <v>0</v>
      </c>
      <c r="AE557" s="3" t="str">
        <f t="shared" si="12"/>
        <v>ZZZ</v>
      </c>
      <c r="AF557" s="3" t="b">
        <f t="array" ref="AF557">OR(ISNUMBER(SEARCH(AE$2:AE$100,$B557,5)))</f>
        <v>0</v>
      </c>
      <c r="AH557" s="3" t="str">
        <f t="shared" si="13"/>
        <v>ZZZ</v>
      </c>
      <c r="AI557" s="3" t="b">
        <f t="array" ref="AI557">OR(ISNUMBER(SEARCH(AH$2:AH$100,$B557,5)))</f>
        <v>0</v>
      </c>
      <c r="AK557" s="3" t="str">
        <f t="shared" si="14"/>
        <v>ZZZ</v>
      </c>
      <c r="AL557" s="3" t="b">
        <f t="array" ref="AL557">OR(ISNUMBER(SEARCH(AK$2:AK$100,$B557,5)))</f>
        <v>0</v>
      </c>
      <c r="AU557" s="8"/>
      <c r="AV557" s="6"/>
      <c r="AW557" s="8"/>
      <c r="AX557" s="8"/>
      <c r="AY557" s="6"/>
      <c r="AZ557" s="8"/>
      <c r="BA557" s="8"/>
      <c r="BB557" s="6"/>
      <c r="BC557" s="8"/>
      <c r="BD557" s="8"/>
      <c r="BE557" s="6"/>
      <c r="BF557" s="8"/>
      <c r="BG557" s="8"/>
      <c r="BH557" s="6"/>
      <c r="BI557" s="8"/>
      <c r="BJ557" s="8"/>
      <c r="BK557" s="6"/>
      <c r="BL557" s="8"/>
      <c r="BM557" s="8"/>
      <c r="BN557" s="6"/>
      <c r="BO557" s="8"/>
      <c r="BP557" s="8"/>
      <c r="BQ557" s="6"/>
      <c r="BR557" s="8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  <c r="ES557" s="7"/>
      <c r="ET557" s="7"/>
      <c r="EU557" s="7"/>
      <c r="EV557" s="7"/>
      <c r="EW557" s="7"/>
      <c r="EX557" s="7"/>
      <c r="EY557" s="7"/>
      <c r="EZ557" s="7"/>
      <c r="FA557" s="7"/>
      <c r="FB557" s="7"/>
      <c r="FC557" s="7"/>
      <c r="FD557" s="7"/>
      <c r="FE557" s="7"/>
      <c r="FF557" s="7"/>
      <c r="FG557" s="7"/>
      <c r="FH557" s="7"/>
      <c r="FI557" s="7"/>
      <c r="FJ557" s="7"/>
      <c r="FK557" s="7"/>
      <c r="FL557" s="7"/>
      <c r="FM557" s="7"/>
      <c r="FN557" s="7"/>
      <c r="FO557" s="7"/>
      <c r="FP557" s="7"/>
      <c r="FQ557" s="7"/>
      <c r="FR557" s="7"/>
      <c r="FS557" s="7"/>
      <c r="FT557" s="7"/>
      <c r="FU557" s="7"/>
      <c r="FV557" s="7"/>
      <c r="FW557" s="7"/>
      <c r="FX557" s="7"/>
      <c r="FY557" s="7"/>
      <c r="FZ557" s="7"/>
      <c r="GA557" s="7"/>
      <c r="GB557" s="7"/>
      <c r="GC557" s="7"/>
      <c r="GD557" s="7"/>
      <c r="GE557" s="7"/>
      <c r="GF557" s="7"/>
      <c r="GG557" s="7"/>
      <c r="GH557" s="7"/>
      <c r="GI557" s="7"/>
      <c r="GJ557" s="7"/>
      <c r="GK557" s="7"/>
      <c r="GL557" s="7"/>
      <c r="GM557" s="7"/>
      <c r="GN557" s="7"/>
      <c r="GO557" s="7"/>
      <c r="GP557" s="7"/>
      <c r="GQ557" s="7"/>
      <c r="GR557" s="7"/>
      <c r="GS557" s="7"/>
      <c r="GT557" s="7"/>
      <c r="GU557" s="7"/>
      <c r="GV557" s="7"/>
      <c r="GW557" s="7"/>
      <c r="GX557" s="7"/>
      <c r="GY557" s="7"/>
      <c r="GZ557" s="7"/>
      <c r="HA557" s="7"/>
      <c r="HB557" s="7"/>
      <c r="HC557" s="7"/>
      <c r="HD557" s="7"/>
      <c r="HE557" s="7"/>
      <c r="HF557" s="7"/>
      <c r="HG557" s="7"/>
      <c r="HH557" s="7"/>
      <c r="HI557" s="7"/>
      <c r="HJ557" s="7"/>
      <c r="HK557" s="7"/>
      <c r="HL557" s="7"/>
      <c r="HM557" s="7"/>
      <c r="HN557" s="7"/>
      <c r="HO557" s="7"/>
      <c r="HP557" s="7"/>
      <c r="HQ557" s="7"/>
      <c r="HR557" s="7"/>
      <c r="HS557" s="7"/>
      <c r="HT557" s="7"/>
      <c r="HU557" s="7"/>
      <c r="HV557" s="7"/>
      <c r="HW557" s="7"/>
      <c r="HX557" s="7"/>
      <c r="HY557" s="7"/>
      <c r="HZ557" s="7"/>
      <c r="IA557" s="7"/>
      <c r="IB557" s="7"/>
      <c r="IC557" s="7"/>
      <c r="ID557" s="7"/>
      <c r="IE557" s="7"/>
      <c r="IF557" s="7"/>
      <c r="IG557" s="7"/>
      <c r="IH557" s="7"/>
      <c r="II557" s="7"/>
      <c r="IJ557" s="7"/>
      <c r="IK557" s="7"/>
      <c r="IL557" s="7"/>
      <c r="IM557" s="7"/>
      <c r="IN557" s="7"/>
      <c r="IO557" s="7"/>
      <c r="IP557" s="7"/>
      <c r="IQ557" s="7"/>
      <c r="IR557" s="7"/>
      <c r="IS557" s="7"/>
      <c r="IT557" s="7"/>
      <c r="IU557" s="7"/>
      <c r="IV557" s="7"/>
      <c r="IW557" s="7"/>
      <c r="IX557" s="7"/>
      <c r="IY557" s="7"/>
      <c r="IZ557" s="7"/>
      <c r="JA557" s="7"/>
      <c r="JB557" s="7"/>
      <c r="JC557" s="7"/>
      <c r="JD557" s="7"/>
      <c r="JE557" s="7"/>
      <c r="JF557" s="7"/>
      <c r="JG557" s="7"/>
      <c r="JH557" s="7"/>
      <c r="JI557" s="7"/>
      <c r="JJ557" s="7"/>
      <c r="JK557" s="7"/>
      <c r="JL557" s="7"/>
      <c r="JM557" s="7"/>
      <c r="JN557" s="7"/>
      <c r="JO557" s="7"/>
      <c r="JP557" s="7"/>
      <c r="JQ557" s="7"/>
      <c r="JR557" s="7"/>
      <c r="JS557" s="7"/>
      <c r="JT557" s="7"/>
      <c r="JU557" s="7"/>
      <c r="JV557" s="7"/>
      <c r="JW557" s="7"/>
      <c r="JX557" s="7"/>
      <c r="JY557" s="7"/>
      <c r="JZ557" s="7"/>
      <c r="KA557" s="7"/>
      <c r="KB557" s="7"/>
      <c r="KC557" s="7"/>
      <c r="KD557" s="7"/>
      <c r="KE557" s="7"/>
      <c r="KF557" s="7"/>
      <c r="KG557" s="7"/>
      <c r="KH557" s="7"/>
      <c r="KI557" s="7"/>
      <c r="KJ557" s="7"/>
      <c r="KK557" s="7"/>
      <c r="KL557" s="7"/>
      <c r="KM557" s="7"/>
      <c r="KN557" s="7"/>
    </row>
    <row r="558">
      <c r="A558" s="6"/>
      <c r="B558" s="6" t="s">
        <v>558</v>
      </c>
      <c r="C558" s="3" t="str">
        <f t="shared" si="3"/>
        <v>mirrored aqua</v>
      </c>
      <c r="D558" s="3" t="str">
        <f t="shared" si="17"/>
        <v>ZZZ</v>
      </c>
      <c r="E558" s="3" t="b">
        <f t="array" ref="E558">OR(ISNUMBER(SEARCH(D$2:D$30,$B558,5)))</f>
        <v>0</v>
      </c>
      <c r="G558" s="3" t="str">
        <f t="shared" si="4"/>
        <v>ZZZ</v>
      </c>
      <c r="H558" s="3" t="b">
        <f t="array" ref="H558">OR(ISNUMBER(SEARCH(G$2:G$30,$B558,5)))</f>
        <v>0</v>
      </c>
      <c r="J558" s="3" t="str">
        <f t="shared" si="5"/>
        <v>ZZZ</v>
      </c>
      <c r="K558" s="3" t="b">
        <f t="array" ref="K558">OR(ISNUMBER(SEARCH(J$2:J$30,$B558,5)))</f>
        <v>0</v>
      </c>
      <c r="M558" s="3" t="str">
        <f t="shared" si="6"/>
        <v>ZZZ</v>
      </c>
      <c r="N558" s="3" t="b">
        <f t="array" ref="N558">OR(ISNUMBER(SEARCH(M$2:M$30,$B558,5)))</f>
        <v>0</v>
      </c>
      <c r="P558" s="3" t="str">
        <f t="shared" si="7"/>
        <v>ZZZ</v>
      </c>
      <c r="Q558" s="3" t="b">
        <f t="array" ref="Q558">OR(ISNUMBER(SEARCH(P$2:P$50,$B558,5)))</f>
        <v>0</v>
      </c>
      <c r="S558" s="3" t="str">
        <f t="shared" si="8"/>
        <v>ZZZ</v>
      </c>
      <c r="T558" s="3" t="b">
        <f t="array" ref="T558">OR(ISNUMBER(SEARCH(S$2:S$100,$B558,5)))</f>
        <v>0</v>
      </c>
      <c r="V558" s="3" t="str">
        <f t="shared" si="9"/>
        <v>ZZZ</v>
      </c>
      <c r="W558" s="3" t="b">
        <f t="array" ref="W558">OR(ISNUMBER(SEARCH(V$2:V$100,$B558,5)))</f>
        <v>1</v>
      </c>
      <c r="Y558" s="3" t="str">
        <f t="shared" si="10"/>
        <v>ZZZ</v>
      </c>
      <c r="Z558" s="3" t="b">
        <f t="array" ref="Z558">OR(ISNUMBER(SEARCH(Y$2:Y$100,$B558,5)))</f>
        <v>0</v>
      </c>
      <c r="AB558" s="3" t="str">
        <f t="shared" si="11"/>
        <v>ZZZ</v>
      </c>
      <c r="AC558" s="3" t="b">
        <f t="array" ref="AC558">OR(ISNUMBER(SEARCH(AB$2:AB$100,$B558,5)))</f>
        <v>0</v>
      </c>
      <c r="AE558" s="3" t="str">
        <f t="shared" si="12"/>
        <v>ZZZ</v>
      </c>
      <c r="AF558" s="3" t="b">
        <f t="array" ref="AF558">OR(ISNUMBER(SEARCH(AE$2:AE$100,$B558,5)))</f>
        <v>0</v>
      </c>
      <c r="AH558" s="3" t="str">
        <f t="shared" si="13"/>
        <v>ZZZ</v>
      </c>
      <c r="AI558" s="3" t="b">
        <f t="array" ref="AI558">OR(ISNUMBER(SEARCH(AH$2:AH$100,$B558,5)))</f>
        <v>0</v>
      </c>
      <c r="AK558" s="3" t="str">
        <f t="shared" si="14"/>
        <v>ZZZ</v>
      </c>
      <c r="AL558" s="3" t="b">
        <f t="array" ref="AL558">OR(ISNUMBER(SEARCH(AK$2:AK$100,$B558,5)))</f>
        <v>0</v>
      </c>
      <c r="AU558" s="8"/>
      <c r="AV558" s="6"/>
      <c r="AW558" s="8"/>
      <c r="AX558" s="8"/>
      <c r="AY558" s="6"/>
      <c r="AZ558" s="8"/>
      <c r="BA558" s="8"/>
      <c r="BB558" s="6"/>
      <c r="BC558" s="8"/>
      <c r="BD558" s="8"/>
      <c r="BE558" s="6"/>
      <c r="BF558" s="8"/>
      <c r="BG558" s="8"/>
      <c r="BH558" s="6"/>
      <c r="BI558" s="8"/>
      <c r="BJ558" s="8"/>
      <c r="BK558" s="6"/>
      <c r="BL558" s="8"/>
      <c r="BM558" s="8"/>
      <c r="BN558" s="6"/>
      <c r="BO558" s="8"/>
      <c r="BP558" s="8"/>
      <c r="BQ558" s="6"/>
      <c r="BR558" s="8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  <c r="ES558" s="7"/>
      <c r="ET558" s="7"/>
      <c r="EU558" s="7"/>
      <c r="EV558" s="7"/>
      <c r="EW558" s="7"/>
      <c r="EX558" s="7"/>
      <c r="EY558" s="7"/>
      <c r="EZ558" s="7"/>
      <c r="FA558" s="7"/>
      <c r="FB558" s="7"/>
      <c r="FC558" s="7"/>
      <c r="FD558" s="7"/>
      <c r="FE558" s="7"/>
      <c r="FF558" s="7"/>
      <c r="FG558" s="7"/>
      <c r="FH558" s="7"/>
      <c r="FI558" s="7"/>
      <c r="FJ558" s="7"/>
      <c r="FK558" s="7"/>
      <c r="FL558" s="7"/>
      <c r="FM558" s="7"/>
      <c r="FN558" s="7"/>
      <c r="FO558" s="7"/>
      <c r="FP558" s="7"/>
      <c r="FQ558" s="7"/>
      <c r="FR558" s="7"/>
      <c r="FS558" s="7"/>
      <c r="FT558" s="7"/>
      <c r="FU558" s="7"/>
      <c r="FV558" s="7"/>
      <c r="FW558" s="7"/>
      <c r="FX558" s="7"/>
      <c r="FY558" s="7"/>
      <c r="FZ558" s="7"/>
      <c r="GA558" s="7"/>
      <c r="GB558" s="7"/>
      <c r="GC558" s="7"/>
      <c r="GD558" s="7"/>
      <c r="GE558" s="7"/>
      <c r="GF558" s="7"/>
      <c r="GG558" s="7"/>
      <c r="GH558" s="7"/>
      <c r="GI558" s="7"/>
      <c r="GJ558" s="7"/>
      <c r="GK558" s="7"/>
      <c r="GL558" s="7"/>
      <c r="GM558" s="7"/>
      <c r="GN558" s="7"/>
      <c r="GO558" s="7"/>
      <c r="GP558" s="7"/>
      <c r="GQ558" s="7"/>
      <c r="GR558" s="7"/>
      <c r="GS558" s="7"/>
      <c r="GT558" s="7"/>
      <c r="GU558" s="7"/>
      <c r="GV558" s="7"/>
      <c r="GW558" s="7"/>
      <c r="GX558" s="7"/>
      <c r="GY558" s="7"/>
      <c r="GZ558" s="7"/>
      <c r="HA558" s="7"/>
      <c r="HB558" s="7"/>
      <c r="HC558" s="7"/>
      <c r="HD558" s="7"/>
      <c r="HE558" s="7"/>
      <c r="HF558" s="7"/>
      <c r="HG558" s="7"/>
      <c r="HH558" s="7"/>
      <c r="HI558" s="7"/>
      <c r="HJ558" s="7"/>
      <c r="HK558" s="7"/>
      <c r="HL558" s="7"/>
      <c r="HM558" s="7"/>
      <c r="HN558" s="7"/>
      <c r="HO558" s="7"/>
      <c r="HP558" s="7"/>
      <c r="HQ558" s="7"/>
      <c r="HR558" s="7"/>
      <c r="HS558" s="7"/>
      <c r="HT558" s="7"/>
      <c r="HU558" s="7"/>
      <c r="HV558" s="7"/>
      <c r="HW558" s="7"/>
      <c r="HX558" s="7"/>
      <c r="HY558" s="7"/>
      <c r="HZ558" s="7"/>
      <c r="IA558" s="7"/>
      <c r="IB558" s="7"/>
      <c r="IC558" s="7"/>
      <c r="ID558" s="7"/>
      <c r="IE558" s="7"/>
      <c r="IF558" s="7"/>
      <c r="IG558" s="7"/>
      <c r="IH558" s="7"/>
      <c r="II558" s="7"/>
      <c r="IJ558" s="7"/>
      <c r="IK558" s="7"/>
      <c r="IL558" s="7"/>
      <c r="IM558" s="7"/>
      <c r="IN558" s="7"/>
      <c r="IO558" s="7"/>
      <c r="IP558" s="7"/>
      <c r="IQ558" s="7"/>
      <c r="IR558" s="7"/>
      <c r="IS558" s="7"/>
      <c r="IT558" s="7"/>
      <c r="IU558" s="7"/>
      <c r="IV558" s="7"/>
      <c r="IW558" s="7"/>
      <c r="IX558" s="7"/>
      <c r="IY558" s="7"/>
      <c r="IZ558" s="7"/>
      <c r="JA558" s="7"/>
      <c r="JB558" s="7"/>
      <c r="JC558" s="7"/>
      <c r="JD558" s="7"/>
      <c r="JE558" s="7"/>
      <c r="JF558" s="7"/>
      <c r="JG558" s="7"/>
      <c r="JH558" s="7"/>
      <c r="JI558" s="7"/>
      <c r="JJ558" s="7"/>
      <c r="JK558" s="7"/>
      <c r="JL558" s="7"/>
      <c r="JM558" s="7"/>
      <c r="JN558" s="7"/>
      <c r="JO558" s="7"/>
      <c r="JP558" s="7"/>
      <c r="JQ558" s="7"/>
      <c r="JR558" s="7"/>
      <c r="JS558" s="7"/>
      <c r="JT558" s="7"/>
      <c r="JU558" s="7"/>
      <c r="JV558" s="7"/>
      <c r="JW558" s="7"/>
      <c r="JX558" s="7"/>
      <c r="JY558" s="7"/>
      <c r="JZ558" s="7"/>
      <c r="KA558" s="7"/>
      <c r="KB558" s="7"/>
      <c r="KC558" s="7"/>
      <c r="KD558" s="7"/>
      <c r="KE558" s="7"/>
      <c r="KF558" s="7"/>
      <c r="KG558" s="7"/>
      <c r="KH558" s="7"/>
      <c r="KI558" s="7"/>
      <c r="KJ558" s="7"/>
      <c r="KK558" s="7"/>
      <c r="KL558" s="7"/>
      <c r="KM558" s="7"/>
      <c r="KN558" s="7"/>
    </row>
    <row r="559">
      <c r="A559" s="6"/>
      <c r="B559" s="6" t="s">
        <v>559</v>
      </c>
      <c r="C559" s="3" t="str">
        <f t="shared" si="3"/>
        <v>dull crimson</v>
      </c>
      <c r="D559" s="3" t="str">
        <f t="shared" si="17"/>
        <v>ZZZ</v>
      </c>
      <c r="E559" s="3" t="b">
        <f t="array" ref="E559">OR(ISNUMBER(SEARCH(D$2:D$30,$B559,5)))</f>
        <v>0</v>
      </c>
      <c r="G559" s="3" t="str">
        <f t="shared" si="4"/>
        <v>ZZZ</v>
      </c>
      <c r="H559" s="3" t="b">
        <f t="array" ref="H559">OR(ISNUMBER(SEARCH(G$2:G$30,$B559,5)))</f>
        <v>0</v>
      </c>
      <c r="J559" s="3" t="str">
        <f t="shared" si="5"/>
        <v>ZZZ</v>
      </c>
      <c r="K559" s="3" t="b">
        <f t="array" ref="K559">OR(ISNUMBER(SEARCH(J$2:J$30,$B559,5)))</f>
        <v>0</v>
      </c>
      <c r="M559" s="3" t="str">
        <f t="shared" si="6"/>
        <v>ZZZ</v>
      </c>
      <c r="N559" s="3" t="b">
        <f t="array" ref="N559">OR(ISNUMBER(SEARCH(M$2:M$30,$B559,5)))</f>
        <v>0</v>
      </c>
      <c r="P559" s="3" t="str">
        <f t="shared" si="7"/>
        <v>ZZZ</v>
      </c>
      <c r="Q559" s="3" t="b">
        <f t="array" ref="Q559">OR(ISNUMBER(SEARCH(P$2:P$50,$B559,5)))</f>
        <v>0</v>
      </c>
      <c r="S559" s="3" t="str">
        <f t="shared" si="8"/>
        <v>ZZZ</v>
      </c>
      <c r="T559" s="3" t="b">
        <f t="array" ref="T559">OR(ISNUMBER(SEARCH(S$2:S$100,$B559,5)))</f>
        <v>0</v>
      </c>
      <c r="V559" s="3" t="str">
        <f t="shared" si="9"/>
        <v>ZZZ</v>
      </c>
      <c r="W559" s="3" t="b">
        <f t="array" ref="W559">OR(ISNUMBER(SEARCH(V$2:V$100,$B559,5)))</f>
        <v>0</v>
      </c>
      <c r="Y559" s="3" t="str">
        <f t="shared" si="10"/>
        <v>ZZZ</v>
      </c>
      <c r="Z559" s="3" t="b">
        <f t="array" ref="Z559">OR(ISNUMBER(SEARCH(Y$2:Y$100,$B559,5)))</f>
        <v>0</v>
      </c>
      <c r="AB559" s="3" t="str">
        <f t="shared" si="11"/>
        <v>ZZZ</v>
      </c>
      <c r="AC559" s="3" t="b">
        <f t="array" ref="AC559">OR(ISNUMBER(SEARCH(AB$2:AB$100,$B559,5)))</f>
        <v>0</v>
      </c>
      <c r="AE559" s="3" t="str">
        <f t="shared" si="12"/>
        <v>ZZZ</v>
      </c>
      <c r="AF559" s="3" t="b">
        <f t="array" ref="AF559">OR(ISNUMBER(SEARCH(AE$2:AE$100,$B559,5)))</f>
        <v>0</v>
      </c>
      <c r="AH559" s="3" t="str">
        <f t="shared" si="13"/>
        <v>ZZZ</v>
      </c>
      <c r="AI559" s="3" t="b">
        <f t="array" ref="AI559">OR(ISNUMBER(SEARCH(AH$2:AH$100,$B559,5)))</f>
        <v>0</v>
      </c>
      <c r="AK559" s="3" t="str">
        <f t="shared" si="14"/>
        <v>ZZZ</v>
      </c>
      <c r="AL559" s="3" t="b">
        <f t="array" ref="AL559">OR(ISNUMBER(SEARCH(AK$2:AK$100,$B559,5)))</f>
        <v>0</v>
      </c>
      <c r="AU559" s="8"/>
      <c r="AV559" s="6"/>
      <c r="AW559" s="8"/>
      <c r="AX559" s="8"/>
      <c r="AY559" s="6"/>
      <c r="AZ559" s="8"/>
      <c r="BA559" s="8"/>
      <c r="BB559" s="6"/>
      <c r="BC559" s="8"/>
      <c r="BD559" s="8"/>
      <c r="BE559" s="6"/>
      <c r="BF559" s="8"/>
      <c r="BG559" s="8"/>
      <c r="BH559" s="6"/>
      <c r="BI559" s="8"/>
      <c r="BJ559" s="8"/>
      <c r="BK559" s="6"/>
      <c r="BL559" s="8"/>
      <c r="BM559" s="8"/>
      <c r="BN559" s="6"/>
      <c r="BO559" s="8"/>
      <c r="BP559" s="8"/>
      <c r="BQ559" s="6"/>
      <c r="BR559" s="8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  <c r="ES559" s="7"/>
      <c r="ET559" s="7"/>
      <c r="EU559" s="7"/>
      <c r="EV559" s="7"/>
      <c r="EW559" s="7"/>
      <c r="EX559" s="7"/>
      <c r="EY559" s="7"/>
      <c r="EZ559" s="7"/>
      <c r="FA559" s="7"/>
      <c r="FB559" s="7"/>
      <c r="FC559" s="7"/>
      <c r="FD559" s="7"/>
      <c r="FE559" s="7"/>
      <c r="FF559" s="7"/>
      <c r="FG559" s="7"/>
      <c r="FH559" s="7"/>
      <c r="FI559" s="7"/>
      <c r="FJ559" s="7"/>
      <c r="FK559" s="7"/>
      <c r="FL559" s="7"/>
      <c r="FM559" s="7"/>
      <c r="FN559" s="7"/>
      <c r="FO559" s="7"/>
      <c r="FP559" s="7"/>
      <c r="FQ559" s="7"/>
      <c r="FR559" s="7"/>
      <c r="FS559" s="7"/>
      <c r="FT559" s="7"/>
      <c r="FU559" s="7"/>
      <c r="FV559" s="7"/>
      <c r="FW559" s="7"/>
      <c r="FX559" s="7"/>
      <c r="FY559" s="7"/>
      <c r="FZ559" s="7"/>
      <c r="GA559" s="7"/>
      <c r="GB559" s="7"/>
      <c r="GC559" s="7"/>
      <c r="GD559" s="7"/>
      <c r="GE559" s="7"/>
      <c r="GF559" s="7"/>
      <c r="GG559" s="7"/>
      <c r="GH559" s="7"/>
      <c r="GI559" s="7"/>
      <c r="GJ559" s="7"/>
      <c r="GK559" s="7"/>
      <c r="GL559" s="7"/>
      <c r="GM559" s="7"/>
      <c r="GN559" s="7"/>
      <c r="GO559" s="7"/>
      <c r="GP559" s="7"/>
      <c r="GQ559" s="7"/>
      <c r="GR559" s="7"/>
      <c r="GS559" s="7"/>
      <c r="GT559" s="7"/>
      <c r="GU559" s="7"/>
      <c r="GV559" s="7"/>
      <c r="GW559" s="7"/>
      <c r="GX559" s="7"/>
      <c r="GY559" s="7"/>
      <c r="GZ559" s="7"/>
      <c r="HA559" s="7"/>
      <c r="HB559" s="7"/>
      <c r="HC559" s="7"/>
      <c r="HD559" s="7"/>
      <c r="HE559" s="7"/>
      <c r="HF559" s="7"/>
      <c r="HG559" s="7"/>
      <c r="HH559" s="7"/>
      <c r="HI559" s="7"/>
      <c r="HJ559" s="7"/>
      <c r="HK559" s="7"/>
      <c r="HL559" s="7"/>
      <c r="HM559" s="7"/>
      <c r="HN559" s="7"/>
      <c r="HO559" s="7"/>
      <c r="HP559" s="7"/>
      <c r="HQ559" s="7"/>
      <c r="HR559" s="7"/>
      <c r="HS559" s="7"/>
      <c r="HT559" s="7"/>
      <c r="HU559" s="7"/>
      <c r="HV559" s="7"/>
      <c r="HW559" s="7"/>
      <c r="HX559" s="7"/>
      <c r="HY559" s="7"/>
      <c r="HZ559" s="7"/>
      <c r="IA559" s="7"/>
      <c r="IB559" s="7"/>
      <c r="IC559" s="7"/>
      <c r="ID559" s="7"/>
      <c r="IE559" s="7"/>
      <c r="IF559" s="7"/>
      <c r="IG559" s="7"/>
      <c r="IH559" s="7"/>
      <c r="II559" s="7"/>
      <c r="IJ559" s="7"/>
      <c r="IK559" s="7"/>
      <c r="IL559" s="7"/>
      <c r="IM559" s="7"/>
      <c r="IN559" s="7"/>
      <c r="IO559" s="7"/>
      <c r="IP559" s="7"/>
      <c r="IQ559" s="7"/>
      <c r="IR559" s="7"/>
      <c r="IS559" s="7"/>
      <c r="IT559" s="7"/>
      <c r="IU559" s="7"/>
      <c r="IV559" s="7"/>
      <c r="IW559" s="7"/>
      <c r="IX559" s="7"/>
      <c r="IY559" s="7"/>
      <c r="IZ559" s="7"/>
      <c r="JA559" s="7"/>
      <c r="JB559" s="7"/>
      <c r="JC559" s="7"/>
      <c r="JD559" s="7"/>
      <c r="JE559" s="7"/>
      <c r="JF559" s="7"/>
      <c r="JG559" s="7"/>
      <c r="JH559" s="7"/>
      <c r="JI559" s="7"/>
      <c r="JJ559" s="7"/>
      <c r="JK559" s="7"/>
      <c r="JL559" s="7"/>
      <c r="JM559" s="7"/>
      <c r="JN559" s="7"/>
      <c r="JO559" s="7"/>
      <c r="JP559" s="7"/>
      <c r="JQ559" s="7"/>
      <c r="JR559" s="7"/>
      <c r="JS559" s="7"/>
      <c r="JT559" s="7"/>
      <c r="JU559" s="7"/>
      <c r="JV559" s="7"/>
      <c r="JW559" s="7"/>
      <c r="JX559" s="7"/>
      <c r="JY559" s="7"/>
      <c r="JZ559" s="7"/>
      <c r="KA559" s="7"/>
      <c r="KB559" s="7"/>
      <c r="KC559" s="7"/>
      <c r="KD559" s="7"/>
      <c r="KE559" s="7"/>
      <c r="KF559" s="7"/>
      <c r="KG559" s="7"/>
      <c r="KH559" s="7"/>
      <c r="KI559" s="7"/>
      <c r="KJ559" s="7"/>
      <c r="KK559" s="7"/>
      <c r="KL559" s="7"/>
      <c r="KM559" s="7"/>
      <c r="KN559" s="7"/>
    </row>
    <row r="560">
      <c r="A560" s="6"/>
      <c r="B560" s="6" t="s">
        <v>560</v>
      </c>
      <c r="C560" s="3" t="str">
        <f t="shared" si="3"/>
        <v>dull purple</v>
      </c>
      <c r="D560" s="3" t="str">
        <f t="shared" si="17"/>
        <v>ZZZ</v>
      </c>
      <c r="E560" s="3" t="b">
        <f t="array" ref="E560">OR(ISNUMBER(SEARCH(D$2:D$30,$B560,5)))</f>
        <v>0</v>
      </c>
      <c r="G560" s="3" t="str">
        <f t="shared" si="4"/>
        <v>ZZZ</v>
      </c>
      <c r="H560" s="3" t="b">
        <f t="array" ref="H560">OR(ISNUMBER(SEARCH(G$2:G$30,$B560,5)))</f>
        <v>0</v>
      </c>
      <c r="J560" s="3" t="str">
        <f t="shared" si="5"/>
        <v>ZZZ</v>
      </c>
      <c r="K560" s="3" t="b">
        <f t="array" ref="K560">OR(ISNUMBER(SEARCH(J$2:J$30,$B560,5)))</f>
        <v>0</v>
      </c>
      <c r="M560" s="3" t="str">
        <f t="shared" si="6"/>
        <v>ZZZ</v>
      </c>
      <c r="N560" s="3" t="b">
        <f t="array" ref="N560">OR(ISNUMBER(SEARCH(M$2:M$30,$B560,5)))</f>
        <v>0</v>
      </c>
      <c r="P560" s="3" t="str">
        <f t="shared" si="7"/>
        <v>ZZZ</v>
      </c>
      <c r="Q560" s="3" t="b">
        <f t="array" ref="Q560">OR(ISNUMBER(SEARCH(P$2:P$50,$B560,5)))</f>
        <v>0</v>
      </c>
      <c r="S560" s="3" t="str">
        <f t="shared" si="8"/>
        <v>ZZZ</v>
      </c>
      <c r="T560" s="3" t="b">
        <f t="array" ref="T560">OR(ISNUMBER(SEARCH(S$2:S$100,$B560,5)))</f>
        <v>0</v>
      </c>
      <c r="V560" s="3" t="str">
        <f t="shared" si="9"/>
        <v>ZZZ</v>
      </c>
      <c r="W560" s="3" t="b">
        <f t="array" ref="W560">OR(ISNUMBER(SEARCH(V$2:V$100,$B560,5)))</f>
        <v>0</v>
      </c>
      <c r="Y560" s="3" t="str">
        <f t="shared" si="10"/>
        <v>ZZZ</v>
      </c>
      <c r="Z560" s="3" t="b">
        <f t="array" ref="Z560">OR(ISNUMBER(SEARCH(Y$2:Y$100,$B560,5)))</f>
        <v>0</v>
      </c>
      <c r="AB560" s="3" t="str">
        <f t="shared" si="11"/>
        <v>ZZZ</v>
      </c>
      <c r="AC560" s="3" t="b">
        <f t="array" ref="AC560">OR(ISNUMBER(SEARCH(AB$2:AB$100,$B560,5)))</f>
        <v>0</v>
      </c>
      <c r="AE560" s="3" t="str">
        <f t="shared" si="12"/>
        <v>ZZZ</v>
      </c>
      <c r="AF560" s="3" t="b">
        <f t="array" ref="AF560">OR(ISNUMBER(SEARCH(AE$2:AE$100,$B560,5)))</f>
        <v>0</v>
      </c>
      <c r="AH560" s="3" t="str">
        <f t="shared" si="13"/>
        <v>ZZZ</v>
      </c>
      <c r="AI560" s="3" t="b">
        <f t="array" ref="AI560">OR(ISNUMBER(SEARCH(AH$2:AH$100,$B560,5)))</f>
        <v>0</v>
      </c>
      <c r="AK560" s="3" t="str">
        <f t="shared" si="14"/>
        <v>ZZZ</v>
      </c>
      <c r="AL560" s="3" t="b">
        <f t="array" ref="AL560">OR(ISNUMBER(SEARCH(AK$2:AK$100,$B560,5)))</f>
        <v>0</v>
      </c>
      <c r="AU560" s="8"/>
      <c r="AV560" s="6"/>
      <c r="AW560" s="8"/>
      <c r="AX560" s="8"/>
      <c r="AY560" s="6"/>
      <c r="AZ560" s="8"/>
      <c r="BA560" s="8"/>
      <c r="BB560" s="6"/>
      <c r="BC560" s="8"/>
      <c r="BD560" s="8"/>
      <c r="BE560" s="6"/>
      <c r="BF560" s="8"/>
      <c r="BG560" s="8"/>
      <c r="BH560" s="6"/>
      <c r="BI560" s="8"/>
      <c r="BJ560" s="8"/>
      <c r="BK560" s="6"/>
      <c r="BL560" s="8"/>
      <c r="BM560" s="8"/>
      <c r="BN560" s="6"/>
      <c r="BO560" s="8"/>
      <c r="BP560" s="8"/>
      <c r="BQ560" s="6"/>
      <c r="BR560" s="8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  <c r="EX560" s="7"/>
      <c r="EY560" s="7"/>
      <c r="EZ560" s="7"/>
      <c r="FA560" s="7"/>
      <c r="FB560" s="7"/>
      <c r="FC560" s="7"/>
      <c r="FD560" s="7"/>
      <c r="FE560" s="7"/>
      <c r="FF560" s="7"/>
      <c r="FG560" s="7"/>
      <c r="FH560" s="7"/>
      <c r="FI560" s="7"/>
      <c r="FJ560" s="7"/>
      <c r="FK560" s="7"/>
      <c r="FL560" s="7"/>
      <c r="FM560" s="7"/>
      <c r="FN560" s="7"/>
      <c r="FO560" s="7"/>
      <c r="FP560" s="7"/>
      <c r="FQ560" s="7"/>
      <c r="FR560" s="7"/>
      <c r="FS560" s="7"/>
      <c r="FT560" s="7"/>
      <c r="FU560" s="7"/>
      <c r="FV560" s="7"/>
      <c r="FW560" s="7"/>
      <c r="FX560" s="7"/>
      <c r="FY560" s="7"/>
      <c r="FZ560" s="7"/>
      <c r="GA560" s="7"/>
      <c r="GB560" s="7"/>
      <c r="GC560" s="7"/>
      <c r="GD560" s="7"/>
      <c r="GE560" s="7"/>
      <c r="GF560" s="7"/>
      <c r="GG560" s="7"/>
      <c r="GH560" s="7"/>
      <c r="GI560" s="7"/>
      <c r="GJ560" s="7"/>
      <c r="GK560" s="7"/>
      <c r="GL560" s="7"/>
      <c r="GM560" s="7"/>
      <c r="GN560" s="7"/>
      <c r="GO560" s="7"/>
      <c r="GP560" s="7"/>
      <c r="GQ560" s="7"/>
      <c r="GR560" s="7"/>
      <c r="GS560" s="7"/>
      <c r="GT560" s="7"/>
      <c r="GU560" s="7"/>
      <c r="GV560" s="7"/>
      <c r="GW560" s="7"/>
      <c r="GX560" s="7"/>
      <c r="GY560" s="7"/>
      <c r="GZ560" s="7"/>
      <c r="HA560" s="7"/>
      <c r="HB560" s="7"/>
      <c r="HC560" s="7"/>
      <c r="HD560" s="7"/>
      <c r="HE560" s="7"/>
      <c r="HF560" s="7"/>
      <c r="HG560" s="7"/>
      <c r="HH560" s="7"/>
      <c r="HI560" s="7"/>
      <c r="HJ560" s="7"/>
      <c r="HK560" s="7"/>
      <c r="HL560" s="7"/>
      <c r="HM560" s="7"/>
      <c r="HN560" s="7"/>
      <c r="HO560" s="7"/>
      <c r="HP560" s="7"/>
      <c r="HQ560" s="7"/>
      <c r="HR560" s="7"/>
      <c r="HS560" s="7"/>
      <c r="HT560" s="7"/>
      <c r="HU560" s="7"/>
      <c r="HV560" s="7"/>
      <c r="HW560" s="7"/>
      <c r="HX560" s="7"/>
      <c r="HY560" s="7"/>
      <c r="HZ560" s="7"/>
      <c r="IA560" s="7"/>
      <c r="IB560" s="7"/>
      <c r="IC560" s="7"/>
      <c r="ID560" s="7"/>
      <c r="IE560" s="7"/>
      <c r="IF560" s="7"/>
      <c r="IG560" s="7"/>
      <c r="IH560" s="7"/>
      <c r="II560" s="7"/>
      <c r="IJ560" s="7"/>
      <c r="IK560" s="7"/>
      <c r="IL560" s="7"/>
      <c r="IM560" s="7"/>
      <c r="IN560" s="7"/>
      <c r="IO560" s="7"/>
      <c r="IP560" s="7"/>
      <c r="IQ560" s="7"/>
      <c r="IR560" s="7"/>
      <c r="IS560" s="7"/>
      <c r="IT560" s="7"/>
      <c r="IU560" s="7"/>
      <c r="IV560" s="7"/>
      <c r="IW560" s="7"/>
      <c r="IX560" s="7"/>
      <c r="IY560" s="7"/>
      <c r="IZ560" s="7"/>
      <c r="JA560" s="7"/>
      <c r="JB560" s="7"/>
      <c r="JC560" s="7"/>
      <c r="JD560" s="7"/>
      <c r="JE560" s="7"/>
      <c r="JF560" s="7"/>
      <c r="JG560" s="7"/>
      <c r="JH560" s="7"/>
      <c r="JI560" s="7"/>
      <c r="JJ560" s="7"/>
      <c r="JK560" s="7"/>
      <c r="JL560" s="7"/>
      <c r="JM560" s="7"/>
      <c r="JN560" s="7"/>
      <c r="JO560" s="7"/>
      <c r="JP560" s="7"/>
      <c r="JQ560" s="7"/>
      <c r="JR560" s="7"/>
      <c r="JS560" s="7"/>
      <c r="JT560" s="7"/>
      <c r="JU560" s="7"/>
      <c r="JV560" s="7"/>
      <c r="JW560" s="7"/>
      <c r="JX560" s="7"/>
      <c r="JY560" s="7"/>
      <c r="JZ560" s="7"/>
      <c r="KA560" s="7"/>
      <c r="KB560" s="7"/>
      <c r="KC560" s="7"/>
      <c r="KD560" s="7"/>
      <c r="KE560" s="7"/>
      <c r="KF560" s="7"/>
      <c r="KG560" s="7"/>
      <c r="KH560" s="7"/>
      <c r="KI560" s="7"/>
      <c r="KJ560" s="7"/>
      <c r="KK560" s="7"/>
      <c r="KL560" s="7"/>
      <c r="KM560" s="7"/>
      <c r="KN560" s="7"/>
    </row>
    <row r="561">
      <c r="A561" s="6"/>
      <c r="B561" s="6" t="s">
        <v>561</v>
      </c>
      <c r="C561" s="3" t="str">
        <f t="shared" si="3"/>
        <v>bright white</v>
      </c>
      <c r="D561" s="3" t="str">
        <f t="shared" si="17"/>
        <v>ZZZ</v>
      </c>
      <c r="E561" s="3" t="b">
        <f t="array" ref="E561">OR(ISNUMBER(SEARCH(D$2:D$30,$B561,5)))</f>
        <v>0</v>
      </c>
      <c r="G561" s="3" t="str">
        <f t="shared" si="4"/>
        <v>ZZZ</v>
      </c>
      <c r="H561" s="3" t="b">
        <f t="array" ref="H561">OR(ISNUMBER(SEARCH(G$2:G$30,$B561,5)))</f>
        <v>0</v>
      </c>
      <c r="J561" s="3" t="str">
        <f t="shared" si="5"/>
        <v>ZZZ</v>
      </c>
      <c r="K561" s="3" t="b">
        <f t="array" ref="K561">OR(ISNUMBER(SEARCH(J$2:J$30,$B561,5)))</f>
        <v>0</v>
      </c>
      <c r="M561" s="3" t="str">
        <f t="shared" si="6"/>
        <v>ZZZ</v>
      </c>
      <c r="N561" s="3" t="b">
        <f t="array" ref="N561">OR(ISNUMBER(SEARCH(M$2:M$30,$B561,5)))</f>
        <v>0</v>
      </c>
      <c r="P561" s="3" t="str">
        <f t="shared" si="7"/>
        <v>ZZZ</v>
      </c>
      <c r="Q561" s="3" t="b">
        <f t="array" ref="Q561">OR(ISNUMBER(SEARCH(P$2:P$50,$B561,5)))</f>
        <v>0</v>
      </c>
      <c r="S561" s="3" t="str">
        <f t="shared" si="8"/>
        <v>ZZZ</v>
      </c>
      <c r="T561" s="3" t="b">
        <f t="array" ref="T561">OR(ISNUMBER(SEARCH(S$2:S$100,$B561,5)))</f>
        <v>0</v>
      </c>
      <c r="V561" s="3" t="str">
        <f t="shared" si="9"/>
        <v>ZZZ</v>
      </c>
      <c r="W561" s="3" t="b">
        <f t="array" ref="W561">OR(ISNUMBER(SEARCH(V$2:V$100,$B561,5)))</f>
        <v>0</v>
      </c>
      <c r="Y561" s="3" t="str">
        <f t="shared" si="10"/>
        <v>ZZZ</v>
      </c>
      <c r="Z561" s="3" t="b">
        <f t="array" ref="Z561">OR(ISNUMBER(SEARCH(Y$2:Y$100,$B561,5)))</f>
        <v>0</v>
      </c>
      <c r="AB561" s="3" t="str">
        <f t="shared" si="11"/>
        <v>ZZZ</v>
      </c>
      <c r="AC561" s="3" t="b">
        <f t="array" ref="AC561">OR(ISNUMBER(SEARCH(AB$2:AB$100,$B561,5)))</f>
        <v>0</v>
      </c>
      <c r="AE561" s="3" t="str">
        <f t="shared" si="12"/>
        <v>ZZZ</v>
      </c>
      <c r="AF561" s="3" t="b">
        <f t="array" ref="AF561">OR(ISNUMBER(SEARCH(AE$2:AE$100,$B561,5)))</f>
        <v>0</v>
      </c>
      <c r="AH561" s="3" t="str">
        <f t="shared" si="13"/>
        <v>ZZZ</v>
      </c>
      <c r="AI561" s="3" t="b">
        <f t="array" ref="AI561">OR(ISNUMBER(SEARCH(AH$2:AH$100,$B561,5)))</f>
        <v>0</v>
      </c>
      <c r="AK561" s="3" t="str">
        <f t="shared" si="14"/>
        <v>ZZZ</v>
      </c>
      <c r="AL561" s="3" t="b">
        <f t="array" ref="AL561">OR(ISNUMBER(SEARCH(AK$2:AK$100,$B561,5)))</f>
        <v>0</v>
      </c>
      <c r="AU561" s="8"/>
      <c r="AV561" s="6"/>
      <c r="AW561" s="8"/>
      <c r="AX561" s="8"/>
      <c r="AY561" s="6"/>
      <c r="AZ561" s="8"/>
      <c r="BA561" s="8"/>
      <c r="BB561" s="6"/>
      <c r="BC561" s="8"/>
      <c r="BD561" s="8"/>
      <c r="BE561" s="6"/>
      <c r="BF561" s="8"/>
      <c r="BG561" s="8"/>
      <c r="BH561" s="6"/>
      <c r="BI561" s="8"/>
      <c r="BJ561" s="8"/>
      <c r="BK561" s="6"/>
      <c r="BL561" s="8"/>
      <c r="BM561" s="8"/>
      <c r="BN561" s="6"/>
      <c r="BO561" s="8"/>
      <c r="BP561" s="8"/>
      <c r="BQ561" s="6"/>
      <c r="BR561" s="8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  <c r="ES561" s="7"/>
      <c r="ET561" s="7"/>
      <c r="EU561" s="7"/>
      <c r="EV561" s="7"/>
      <c r="EW561" s="7"/>
      <c r="EX561" s="7"/>
      <c r="EY561" s="7"/>
      <c r="EZ561" s="7"/>
      <c r="FA561" s="7"/>
      <c r="FB561" s="7"/>
      <c r="FC561" s="7"/>
      <c r="FD561" s="7"/>
      <c r="FE561" s="7"/>
      <c r="FF561" s="7"/>
      <c r="FG561" s="7"/>
      <c r="FH561" s="7"/>
      <c r="FI561" s="7"/>
      <c r="FJ561" s="7"/>
      <c r="FK561" s="7"/>
      <c r="FL561" s="7"/>
      <c r="FM561" s="7"/>
      <c r="FN561" s="7"/>
      <c r="FO561" s="7"/>
      <c r="FP561" s="7"/>
      <c r="FQ561" s="7"/>
      <c r="FR561" s="7"/>
      <c r="FS561" s="7"/>
      <c r="FT561" s="7"/>
      <c r="FU561" s="7"/>
      <c r="FV561" s="7"/>
      <c r="FW561" s="7"/>
      <c r="FX561" s="7"/>
      <c r="FY561" s="7"/>
      <c r="FZ561" s="7"/>
      <c r="GA561" s="7"/>
      <c r="GB561" s="7"/>
      <c r="GC561" s="7"/>
      <c r="GD561" s="7"/>
      <c r="GE561" s="7"/>
      <c r="GF561" s="7"/>
      <c r="GG561" s="7"/>
      <c r="GH561" s="7"/>
      <c r="GI561" s="7"/>
      <c r="GJ561" s="7"/>
      <c r="GK561" s="7"/>
      <c r="GL561" s="7"/>
      <c r="GM561" s="7"/>
      <c r="GN561" s="7"/>
      <c r="GO561" s="7"/>
      <c r="GP561" s="7"/>
      <c r="GQ561" s="7"/>
      <c r="GR561" s="7"/>
      <c r="GS561" s="7"/>
      <c r="GT561" s="7"/>
      <c r="GU561" s="7"/>
      <c r="GV561" s="7"/>
      <c r="GW561" s="7"/>
      <c r="GX561" s="7"/>
      <c r="GY561" s="7"/>
      <c r="GZ561" s="7"/>
      <c r="HA561" s="7"/>
      <c r="HB561" s="7"/>
      <c r="HC561" s="7"/>
      <c r="HD561" s="7"/>
      <c r="HE561" s="7"/>
      <c r="HF561" s="7"/>
      <c r="HG561" s="7"/>
      <c r="HH561" s="7"/>
      <c r="HI561" s="7"/>
      <c r="HJ561" s="7"/>
      <c r="HK561" s="7"/>
      <c r="HL561" s="7"/>
      <c r="HM561" s="7"/>
      <c r="HN561" s="7"/>
      <c r="HO561" s="7"/>
      <c r="HP561" s="7"/>
      <c r="HQ561" s="7"/>
      <c r="HR561" s="7"/>
      <c r="HS561" s="7"/>
      <c r="HT561" s="7"/>
      <c r="HU561" s="7"/>
      <c r="HV561" s="7"/>
      <c r="HW561" s="7"/>
      <c r="HX561" s="7"/>
      <c r="HY561" s="7"/>
      <c r="HZ561" s="7"/>
      <c r="IA561" s="7"/>
      <c r="IB561" s="7"/>
      <c r="IC561" s="7"/>
      <c r="ID561" s="7"/>
      <c r="IE561" s="7"/>
      <c r="IF561" s="7"/>
      <c r="IG561" s="7"/>
      <c r="IH561" s="7"/>
      <c r="II561" s="7"/>
      <c r="IJ561" s="7"/>
      <c r="IK561" s="7"/>
      <c r="IL561" s="7"/>
      <c r="IM561" s="7"/>
      <c r="IN561" s="7"/>
      <c r="IO561" s="7"/>
      <c r="IP561" s="7"/>
      <c r="IQ561" s="7"/>
      <c r="IR561" s="7"/>
      <c r="IS561" s="7"/>
      <c r="IT561" s="7"/>
      <c r="IU561" s="7"/>
      <c r="IV561" s="7"/>
      <c r="IW561" s="7"/>
      <c r="IX561" s="7"/>
      <c r="IY561" s="7"/>
      <c r="IZ561" s="7"/>
      <c r="JA561" s="7"/>
      <c r="JB561" s="7"/>
      <c r="JC561" s="7"/>
      <c r="JD561" s="7"/>
      <c r="JE561" s="7"/>
      <c r="JF561" s="7"/>
      <c r="JG561" s="7"/>
      <c r="JH561" s="7"/>
      <c r="JI561" s="7"/>
      <c r="JJ561" s="7"/>
      <c r="JK561" s="7"/>
      <c r="JL561" s="7"/>
      <c r="JM561" s="7"/>
      <c r="JN561" s="7"/>
      <c r="JO561" s="7"/>
      <c r="JP561" s="7"/>
      <c r="JQ561" s="7"/>
      <c r="JR561" s="7"/>
      <c r="JS561" s="7"/>
      <c r="JT561" s="7"/>
      <c r="JU561" s="7"/>
      <c r="JV561" s="7"/>
      <c r="JW561" s="7"/>
      <c r="JX561" s="7"/>
      <c r="JY561" s="7"/>
      <c r="JZ561" s="7"/>
      <c r="KA561" s="7"/>
      <c r="KB561" s="7"/>
      <c r="KC561" s="7"/>
      <c r="KD561" s="7"/>
      <c r="KE561" s="7"/>
      <c r="KF561" s="7"/>
      <c r="KG561" s="7"/>
      <c r="KH561" s="7"/>
      <c r="KI561" s="7"/>
      <c r="KJ561" s="7"/>
      <c r="KK561" s="7"/>
      <c r="KL561" s="7"/>
      <c r="KM561" s="7"/>
      <c r="KN561" s="7"/>
    </row>
    <row r="562">
      <c r="A562" s="6"/>
      <c r="B562" s="6" t="s">
        <v>562</v>
      </c>
      <c r="C562" s="3" t="str">
        <f t="shared" si="3"/>
        <v>drab indigo</v>
      </c>
      <c r="D562" s="3" t="str">
        <f t="shared" si="17"/>
        <v>ZZZ</v>
      </c>
      <c r="E562" s="3" t="b">
        <f t="array" ref="E562">OR(ISNUMBER(SEARCH(D$2:D$30,$B562,5)))</f>
        <v>0</v>
      </c>
      <c r="G562" s="3" t="str">
        <f t="shared" si="4"/>
        <v>ZZZ</v>
      </c>
      <c r="H562" s="3" t="b">
        <f t="array" ref="H562">OR(ISNUMBER(SEARCH(G$2:G$30,$B562,5)))</f>
        <v>0</v>
      </c>
      <c r="J562" s="3" t="str">
        <f t="shared" si="5"/>
        <v>ZZZ</v>
      </c>
      <c r="K562" s="3" t="b">
        <f t="array" ref="K562">OR(ISNUMBER(SEARCH(J$2:J$30,$B562,5)))</f>
        <v>0</v>
      </c>
      <c r="M562" s="3" t="str">
        <f t="shared" si="6"/>
        <v>ZZZ</v>
      </c>
      <c r="N562" s="3" t="b">
        <f t="array" ref="N562">OR(ISNUMBER(SEARCH(M$2:M$30,$B562,5)))</f>
        <v>0</v>
      </c>
      <c r="P562" s="3" t="str">
        <f t="shared" si="7"/>
        <v>ZZZ</v>
      </c>
      <c r="Q562" s="3" t="b">
        <f t="array" ref="Q562">OR(ISNUMBER(SEARCH(P$2:P$50,$B562,5)))</f>
        <v>0</v>
      </c>
      <c r="S562" s="3" t="str">
        <f t="shared" si="8"/>
        <v>ZZZ</v>
      </c>
      <c r="T562" s="3" t="b">
        <f t="array" ref="T562">OR(ISNUMBER(SEARCH(S$2:S$100,$B562,5)))</f>
        <v>0</v>
      </c>
      <c r="V562" s="3" t="str">
        <f t="shared" si="9"/>
        <v>ZZZ</v>
      </c>
      <c r="W562" s="3" t="b">
        <f t="array" ref="W562">OR(ISNUMBER(SEARCH(V$2:V$100,$B562,5)))</f>
        <v>0</v>
      </c>
      <c r="Y562" s="3" t="str">
        <f t="shared" si="10"/>
        <v>ZZZ</v>
      </c>
      <c r="Z562" s="3" t="b">
        <f t="array" ref="Z562">OR(ISNUMBER(SEARCH(Y$2:Y$100,$B562,5)))</f>
        <v>0</v>
      </c>
      <c r="AB562" s="3" t="str">
        <f t="shared" si="11"/>
        <v>ZZZ</v>
      </c>
      <c r="AC562" s="3" t="b">
        <f t="array" ref="AC562">OR(ISNUMBER(SEARCH(AB$2:AB$100,$B562,5)))</f>
        <v>0</v>
      </c>
      <c r="AE562" s="3" t="str">
        <f t="shared" si="12"/>
        <v>ZZZ</v>
      </c>
      <c r="AF562" s="3" t="b">
        <f t="array" ref="AF562">OR(ISNUMBER(SEARCH(AE$2:AE$100,$B562,5)))</f>
        <v>0</v>
      </c>
      <c r="AH562" s="3" t="str">
        <f t="shared" si="13"/>
        <v>ZZZ</v>
      </c>
      <c r="AI562" s="3" t="b">
        <f t="array" ref="AI562">OR(ISNUMBER(SEARCH(AH$2:AH$100,$B562,5)))</f>
        <v>0</v>
      </c>
      <c r="AK562" s="3" t="str">
        <f t="shared" si="14"/>
        <v>ZZZ</v>
      </c>
      <c r="AL562" s="3" t="b">
        <f t="array" ref="AL562">OR(ISNUMBER(SEARCH(AK$2:AK$100,$B562,5)))</f>
        <v>0</v>
      </c>
      <c r="AU562" s="8"/>
      <c r="AV562" s="6"/>
      <c r="AW562" s="8"/>
      <c r="AX562" s="8"/>
      <c r="AY562" s="6"/>
      <c r="AZ562" s="8"/>
      <c r="BA562" s="8"/>
      <c r="BB562" s="6"/>
      <c r="BC562" s="8"/>
      <c r="BD562" s="8"/>
      <c r="BE562" s="6"/>
      <c r="BF562" s="8"/>
      <c r="BG562" s="8"/>
      <c r="BH562" s="6"/>
      <c r="BI562" s="8"/>
      <c r="BJ562" s="8"/>
      <c r="BK562" s="6"/>
      <c r="BL562" s="8"/>
      <c r="BM562" s="8"/>
      <c r="BN562" s="6"/>
      <c r="BO562" s="8"/>
      <c r="BP562" s="8"/>
      <c r="BQ562" s="6"/>
      <c r="BR562" s="8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  <c r="EX562" s="7"/>
      <c r="EY562" s="7"/>
      <c r="EZ562" s="7"/>
      <c r="FA562" s="7"/>
      <c r="FB562" s="7"/>
      <c r="FC562" s="7"/>
      <c r="FD562" s="7"/>
      <c r="FE562" s="7"/>
      <c r="FF562" s="7"/>
      <c r="FG562" s="7"/>
      <c r="FH562" s="7"/>
      <c r="FI562" s="7"/>
      <c r="FJ562" s="7"/>
      <c r="FK562" s="7"/>
      <c r="FL562" s="7"/>
      <c r="FM562" s="7"/>
      <c r="FN562" s="7"/>
      <c r="FO562" s="7"/>
      <c r="FP562" s="7"/>
      <c r="FQ562" s="7"/>
      <c r="FR562" s="7"/>
      <c r="FS562" s="7"/>
      <c r="FT562" s="7"/>
      <c r="FU562" s="7"/>
      <c r="FV562" s="7"/>
      <c r="FW562" s="7"/>
      <c r="FX562" s="7"/>
      <c r="FY562" s="7"/>
      <c r="FZ562" s="7"/>
      <c r="GA562" s="7"/>
      <c r="GB562" s="7"/>
      <c r="GC562" s="7"/>
      <c r="GD562" s="7"/>
      <c r="GE562" s="7"/>
      <c r="GF562" s="7"/>
      <c r="GG562" s="7"/>
      <c r="GH562" s="7"/>
      <c r="GI562" s="7"/>
      <c r="GJ562" s="7"/>
      <c r="GK562" s="7"/>
      <c r="GL562" s="7"/>
      <c r="GM562" s="7"/>
      <c r="GN562" s="7"/>
      <c r="GO562" s="7"/>
      <c r="GP562" s="7"/>
      <c r="GQ562" s="7"/>
      <c r="GR562" s="7"/>
      <c r="GS562" s="7"/>
      <c r="GT562" s="7"/>
      <c r="GU562" s="7"/>
      <c r="GV562" s="7"/>
      <c r="GW562" s="7"/>
      <c r="GX562" s="7"/>
      <c r="GY562" s="7"/>
      <c r="GZ562" s="7"/>
      <c r="HA562" s="7"/>
      <c r="HB562" s="7"/>
      <c r="HC562" s="7"/>
      <c r="HD562" s="7"/>
      <c r="HE562" s="7"/>
      <c r="HF562" s="7"/>
      <c r="HG562" s="7"/>
      <c r="HH562" s="7"/>
      <c r="HI562" s="7"/>
      <c r="HJ562" s="7"/>
      <c r="HK562" s="7"/>
      <c r="HL562" s="7"/>
      <c r="HM562" s="7"/>
      <c r="HN562" s="7"/>
      <c r="HO562" s="7"/>
      <c r="HP562" s="7"/>
      <c r="HQ562" s="7"/>
      <c r="HR562" s="7"/>
      <c r="HS562" s="7"/>
      <c r="HT562" s="7"/>
      <c r="HU562" s="7"/>
      <c r="HV562" s="7"/>
      <c r="HW562" s="7"/>
      <c r="HX562" s="7"/>
      <c r="HY562" s="7"/>
      <c r="HZ562" s="7"/>
      <c r="IA562" s="7"/>
      <c r="IB562" s="7"/>
      <c r="IC562" s="7"/>
      <c r="ID562" s="7"/>
      <c r="IE562" s="7"/>
      <c r="IF562" s="7"/>
      <c r="IG562" s="7"/>
      <c r="IH562" s="7"/>
      <c r="II562" s="7"/>
      <c r="IJ562" s="7"/>
      <c r="IK562" s="7"/>
      <c r="IL562" s="7"/>
      <c r="IM562" s="7"/>
      <c r="IN562" s="7"/>
      <c r="IO562" s="7"/>
      <c r="IP562" s="7"/>
      <c r="IQ562" s="7"/>
      <c r="IR562" s="7"/>
      <c r="IS562" s="7"/>
      <c r="IT562" s="7"/>
      <c r="IU562" s="7"/>
      <c r="IV562" s="7"/>
      <c r="IW562" s="7"/>
      <c r="IX562" s="7"/>
      <c r="IY562" s="7"/>
      <c r="IZ562" s="7"/>
      <c r="JA562" s="7"/>
      <c r="JB562" s="7"/>
      <c r="JC562" s="7"/>
      <c r="JD562" s="7"/>
      <c r="JE562" s="7"/>
      <c r="JF562" s="7"/>
      <c r="JG562" s="7"/>
      <c r="JH562" s="7"/>
      <c r="JI562" s="7"/>
      <c r="JJ562" s="7"/>
      <c r="JK562" s="7"/>
      <c r="JL562" s="7"/>
      <c r="JM562" s="7"/>
      <c r="JN562" s="7"/>
      <c r="JO562" s="7"/>
      <c r="JP562" s="7"/>
      <c r="JQ562" s="7"/>
      <c r="JR562" s="7"/>
      <c r="JS562" s="7"/>
      <c r="JT562" s="7"/>
      <c r="JU562" s="7"/>
      <c r="JV562" s="7"/>
      <c r="JW562" s="7"/>
      <c r="JX562" s="7"/>
      <c r="JY562" s="7"/>
      <c r="JZ562" s="7"/>
      <c r="KA562" s="7"/>
      <c r="KB562" s="7"/>
      <c r="KC562" s="7"/>
      <c r="KD562" s="7"/>
      <c r="KE562" s="7"/>
      <c r="KF562" s="7"/>
      <c r="KG562" s="7"/>
      <c r="KH562" s="7"/>
      <c r="KI562" s="7"/>
      <c r="KJ562" s="7"/>
      <c r="KK562" s="7"/>
      <c r="KL562" s="7"/>
      <c r="KM562" s="7"/>
      <c r="KN562" s="7"/>
    </row>
    <row r="563">
      <c r="A563" s="6"/>
      <c r="B563" s="6" t="s">
        <v>563</v>
      </c>
      <c r="C563" s="3" t="str">
        <f t="shared" si="3"/>
        <v>striped fuchsia</v>
      </c>
      <c r="D563" s="3" t="str">
        <f t="shared" si="17"/>
        <v>ZZZ</v>
      </c>
      <c r="E563" s="3" t="b">
        <f t="array" ref="E563">OR(ISNUMBER(SEARCH(D$2:D$30,$B563,5)))</f>
        <v>0</v>
      </c>
      <c r="G563" s="3" t="str">
        <f t="shared" si="4"/>
        <v>ZZZ</v>
      </c>
      <c r="H563" s="3" t="b">
        <f t="array" ref="H563">OR(ISNUMBER(SEARCH(G$2:G$30,$B563,5)))</f>
        <v>0</v>
      </c>
      <c r="J563" s="3" t="str">
        <f t="shared" si="5"/>
        <v>ZZZ</v>
      </c>
      <c r="K563" s="3" t="b">
        <f t="array" ref="K563">OR(ISNUMBER(SEARCH(J$2:J$30,$B563,5)))</f>
        <v>0</v>
      </c>
      <c r="M563" s="3" t="str">
        <f t="shared" si="6"/>
        <v>ZZZ</v>
      </c>
      <c r="N563" s="3" t="b">
        <f t="array" ref="N563">OR(ISNUMBER(SEARCH(M$2:M$30,$B563,5)))</f>
        <v>0</v>
      </c>
      <c r="P563" s="3" t="str">
        <f t="shared" si="7"/>
        <v>ZZZ</v>
      </c>
      <c r="Q563" s="3" t="b">
        <f t="array" ref="Q563">OR(ISNUMBER(SEARCH(P$2:P$50,$B563,5)))</f>
        <v>0</v>
      </c>
      <c r="S563" s="3" t="str">
        <f t="shared" si="8"/>
        <v>ZZZ</v>
      </c>
      <c r="T563" s="3" t="b">
        <f t="array" ref="T563">OR(ISNUMBER(SEARCH(S$2:S$100,$B563,5)))</f>
        <v>1</v>
      </c>
      <c r="V563" s="3" t="str">
        <f t="shared" si="9"/>
        <v>ZZZ</v>
      </c>
      <c r="W563" s="3" t="b">
        <f t="array" ref="W563">OR(ISNUMBER(SEARCH(V$2:V$100,$B563,5)))</f>
        <v>0</v>
      </c>
      <c r="Y563" s="3" t="str">
        <f t="shared" si="10"/>
        <v>ZZZ</v>
      </c>
      <c r="Z563" s="3" t="b">
        <f t="array" ref="Z563">OR(ISNUMBER(SEARCH(Y$2:Y$100,$B563,5)))</f>
        <v>0</v>
      </c>
      <c r="AB563" s="3" t="str">
        <f t="shared" si="11"/>
        <v>ZZZ</v>
      </c>
      <c r="AC563" s="3" t="b">
        <f t="array" ref="AC563">OR(ISNUMBER(SEARCH(AB$2:AB$100,$B563,5)))</f>
        <v>0</v>
      </c>
      <c r="AE563" s="3" t="str">
        <f t="shared" si="12"/>
        <v>ZZZ</v>
      </c>
      <c r="AF563" s="3" t="b">
        <f t="array" ref="AF563">OR(ISNUMBER(SEARCH(AE$2:AE$100,$B563,5)))</f>
        <v>0</v>
      </c>
      <c r="AH563" s="3" t="str">
        <f t="shared" si="13"/>
        <v>ZZZ</v>
      </c>
      <c r="AI563" s="3" t="b">
        <f t="array" ref="AI563">OR(ISNUMBER(SEARCH(AH$2:AH$100,$B563,5)))</f>
        <v>0</v>
      </c>
      <c r="AK563" s="3" t="str">
        <f t="shared" si="14"/>
        <v>ZZZ</v>
      </c>
      <c r="AL563" s="3" t="b">
        <f t="array" ref="AL563">OR(ISNUMBER(SEARCH(AK$2:AK$100,$B563,5)))</f>
        <v>0</v>
      </c>
      <c r="AU563" s="8"/>
      <c r="AV563" s="6"/>
      <c r="AW563" s="8"/>
      <c r="AX563" s="8"/>
      <c r="AY563" s="6"/>
      <c r="AZ563" s="8"/>
      <c r="BA563" s="8"/>
      <c r="BB563" s="6"/>
      <c r="BC563" s="8"/>
      <c r="BD563" s="8"/>
      <c r="BE563" s="6"/>
      <c r="BF563" s="8"/>
      <c r="BG563" s="8"/>
      <c r="BH563" s="6"/>
      <c r="BI563" s="8"/>
      <c r="BJ563" s="8"/>
      <c r="BK563" s="6"/>
      <c r="BL563" s="8"/>
      <c r="BM563" s="8"/>
      <c r="BN563" s="6"/>
      <c r="BO563" s="8"/>
      <c r="BP563" s="8"/>
      <c r="BQ563" s="6"/>
      <c r="BR563" s="8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  <c r="EX563" s="7"/>
      <c r="EY563" s="7"/>
      <c r="EZ563" s="7"/>
      <c r="FA563" s="7"/>
      <c r="FB563" s="7"/>
      <c r="FC563" s="7"/>
      <c r="FD563" s="7"/>
      <c r="FE563" s="7"/>
      <c r="FF563" s="7"/>
      <c r="FG563" s="7"/>
      <c r="FH563" s="7"/>
      <c r="FI563" s="7"/>
      <c r="FJ563" s="7"/>
      <c r="FK563" s="7"/>
      <c r="FL563" s="7"/>
      <c r="FM563" s="7"/>
      <c r="FN563" s="7"/>
      <c r="FO563" s="7"/>
      <c r="FP563" s="7"/>
      <c r="FQ563" s="7"/>
      <c r="FR563" s="7"/>
      <c r="FS563" s="7"/>
      <c r="FT563" s="7"/>
      <c r="FU563" s="7"/>
      <c r="FV563" s="7"/>
      <c r="FW563" s="7"/>
      <c r="FX563" s="7"/>
      <c r="FY563" s="7"/>
      <c r="FZ563" s="7"/>
      <c r="GA563" s="7"/>
      <c r="GB563" s="7"/>
      <c r="GC563" s="7"/>
      <c r="GD563" s="7"/>
      <c r="GE563" s="7"/>
      <c r="GF563" s="7"/>
      <c r="GG563" s="7"/>
      <c r="GH563" s="7"/>
      <c r="GI563" s="7"/>
      <c r="GJ563" s="7"/>
      <c r="GK563" s="7"/>
      <c r="GL563" s="7"/>
      <c r="GM563" s="7"/>
      <c r="GN563" s="7"/>
      <c r="GO563" s="7"/>
      <c r="GP563" s="7"/>
      <c r="GQ563" s="7"/>
      <c r="GR563" s="7"/>
      <c r="GS563" s="7"/>
      <c r="GT563" s="7"/>
      <c r="GU563" s="7"/>
      <c r="GV563" s="7"/>
      <c r="GW563" s="7"/>
      <c r="GX563" s="7"/>
      <c r="GY563" s="7"/>
      <c r="GZ563" s="7"/>
      <c r="HA563" s="7"/>
      <c r="HB563" s="7"/>
      <c r="HC563" s="7"/>
      <c r="HD563" s="7"/>
      <c r="HE563" s="7"/>
      <c r="HF563" s="7"/>
      <c r="HG563" s="7"/>
      <c r="HH563" s="7"/>
      <c r="HI563" s="7"/>
      <c r="HJ563" s="7"/>
      <c r="HK563" s="7"/>
      <c r="HL563" s="7"/>
      <c r="HM563" s="7"/>
      <c r="HN563" s="7"/>
      <c r="HO563" s="7"/>
      <c r="HP563" s="7"/>
      <c r="HQ563" s="7"/>
      <c r="HR563" s="7"/>
      <c r="HS563" s="7"/>
      <c r="HT563" s="7"/>
      <c r="HU563" s="7"/>
      <c r="HV563" s="7"/>
      <c r="HW563" s="7"/>
      <c r="HX563" s="7"/>
      <c r="HY563" s="7"/>
      <c r="HZ563" s="7"/>
      <c r="IA563" s="7"/>
      <c r="IB563" s="7"/>
      <c r="IC563" s="7"/>
      <c r="ID563" s="7"/>
      <c r="IE563" s="7"/>
      <c r="IF563" s="7"/>
      <c r="IG563" s="7"/>
      <c r="IH563" s="7"/>
      <c r="II563" s="7"/>
      <c r="IJ563" s="7"/>
      <c r="IK563" s="7"/>
      <c r="IL563" s="7"/>
      <c r="IM563" s="7"/>
      <c r="IN563" s="7"/>
      <c r="IO563" s="7"/>
      <c r="IP563" s="7"/>
      <c r="IQ563" s="7"/>
      <c r="IR563" s="7"/>
      <c r="IS563" s="7"/>
      <c r="IT563" s="7"/>
      <c r="IU563" s="7"/>
      <c r="IV563" s="7"/>
      <c r="IW563" s="7"/>
      <c r="IX563" s="7"/>
      <c r="IY563" s="7"/>
      <c r="IZ563" s="7"/>
      <c r="JA563" s="7"/>
      <c r="JB563" s="7"/>
      <c r="JC563" s="7"/>
      <c r="JD563" s="7"/>
      <c r="JE563" s="7"/>
      <c r="JF563" s="7"/>
      <c r="JG563" s="7"/>
      <c r="JH563" s="7"/>
      <c r="JI563" s="7"/>
      <c r="JJ563" s="7"/>
      <c r="JK563" s="7"/>
      <c r="JL563" s="7"/>
      <c r="JM563" s="7"/>
      <c r="JN563" s="7"/>
      <c r="JO563" s="7"/>
      <c r="JP563" s="7"/>
      <c r="JQ563" s="7"/>
      <c r="JR563" s="7"/>
      <c r="JS563" s="7"/>
      <c r="JT563" s="7"/>
      <c r="JU563" s="7"/>
      <c r="JV563" s="7"/>
      <c r="JW563" s="7"/>
      <c r="JX563" s="7"/>
      <c r="JY563" s="7"/>
      <c r="JZ563" s="7"/>
      <c r="KA563" s="7"/>
      <c r="KB563" s="7"/>
      <c r="KC563" s="7"/>
      <c r="KD563" s="7"/>
      <c r="KE563" s="7"/>
      <c r="KF563" s="7"/>
      <c r="KG563" s="7"/>
      <c r="KH563" s="7"/>
      <c r="KI563" s="7"/>
      <c r="KJ563" s="7"/>
      <c r="KK563" s="7"/>
      <c r="KL563" s="7"/>
      <c r="KM563" s="7"/>
      <c r="KN563" s="7"/>
    </row>
    <row r="564">
      <c r="A564" s="6"/>
      <c r="B564" s="6" t="s">
        <v>564</v>
      </c>
      <c r="C564" s="3" t="str">
        <f t="shared" si="3"/>
        <v>dark tomato</v>
      </c>
      <c r="D564" s="3" t="str">
        <f t="shared" si="17"/>
        <v>ZZZ</v>
      </c>
      <c r="E564" s="3" t="b">
        <f t="array" ref="E564">OR(ISNUMBER(SEARCH(D$2:D$30,$B564,5)))</f>
        <v>0</v>
      </c>
      <c r="G564" s="3" t="str">
        <f t="shared" si="4"/>
        <v>ZZZ</v>
      </c>
      <c r="H564" s="3" t="b">
        <f t="array" ref="H564">OR(ISNUMBER(SEARCH(G$2:G$30,$B564,5)))</f>
        <v>0</v>
      </c>
      <c r="J564" s="3" t="str">
        <f t="shared" si="5"/>
        <v>ZZZ</v>
      </c>
      <c r="K564" s="3" t="b">
        <f t="array" ref="K564">OR(ISNUMBER(SEARCH(J$2:J$30,$B564,5)))</f>
        <v>0</v>
      </c>
      <c r="M564" s="3" t="str">
        <f t="shared" si="6"/>
        <v>ZZZ</v>
      </c>
      <c r="N564" s="3" t="b">
        <f t="array" ref="N564">OR(ISNUMBER(SEARCH(M$2:M$30,$B564,5)))</f>
        <v>0</v>
      </c>
      <c r="P564" s="3" t="str">
        <f t="shared" si="7"/>
        <v>ZZZ</v>
      </c>
      <c r="Q564" s="3" t="b">
        <f t="array" ref="Q564">OR(ISNUMBER(SEARCH(P$2:P$50,$B564,5)))</f>
        <v>0</v>
      </c>
      <c r="S564" s="3" t="str">
        <f t="shared" si="8"/>
        <v>ZZZ</v>
      </c>
      <c r="T564" s="3" t="b">
        <f t="array" ref="T564">OR(ISNUMBER(SEARCH(S$2:S$100,$B564,5)))</f>
        <v>1</v>
      </c>
      <c r="V564" s="3" t="str">
        <f t="shared" si="9"/>
        <v>ZZZ</v>
      </c>
      <c r="W564" s="3" t="b">
        <f t="array" ref="W564">OR(ISNUMBER(SEARCH(V$2:V$100,$B564,5)))</f>
        <v>1</v>
      </c>
      <c r="Y564" s="3" t="str">
        <f t="shared" si="10"/>
        <v>ZZZ</v>
      </c>
      <c r="Z564" s="3" t="b">
        <f t="array" ref="Z564">OR(ISNUMBER(SEARCH(Y$2:Y$100,$B564,5)))</f>
        <v>0</v>
      </c>
      <c r="AB564" s="3" t="str">
        <f t="shared" si="11"/>
        <v>ZZZ</v>
      </c>
      <c r="AC564" s="3" t="b">
        <f t="array" ref="AC564">OR(ISNUMBER(SEARCH(AB$2:AB$100,$B564,5)))</f>
        <v>0</v>
      </c>
      <c r="AE564" s="3" t="str">
        <f t="shared" si="12"/>
        <v>ZZZ</v>
      </c>
      <c r="AF564" s="3" t="b">
        <f t="array" ref="AF564">OR(ISNUMBER(SEARCH(AE$2:AE$100,$B564,5)))</f>
        <v>0</v>
      </c>
      <c r="AH564" s="3" t="str">
        <f t="shared" si="13"/>
        <v>ZZZ</v>
      </c>
      <c r="AI564" s="3" t="b">
        <f t="array" ref="AI564">OR(ISNUMBER(SEARCH(AH$2:AH$100,$B564,5)))</f>
        <v>0</v>
      </c>
      <c r="AK564" s="3" t="str">
        <f t="shared" si="14"/>
        <v>ZZZ</v>
      </c>
      <c r="AL564" s="3" t="b">
        <f t="array" ref="AL564">OR(ISNUMBER(SEARCH(AK$2:AK$100,$B564,5)))</f>
        <v>0</v>
      </c>
      <c r="AU564" s="8"/>
      <c r="AV564" s="6"/>
      <c r="AW564" s="8"/>
      <c r="AX564" s="8"/>
      <c r="AY564" s="6"/>
      <c r="AZ564" s="8"/>
      <c r="BA564" s="8"/>
      <c r="BB564" s="6"/>
      <c r="BC564" s="8"/>
      <c r="BD564" s="8"/>
      <c r="BE564" s="6"/>
      <c r="BF564" s="8"/>
      <c r="BG564" s="8"/>
      <c r="BH564" s="6"/>
      <c r="BI564" s="8"/>
      <c r="BJ564" s="8"/>
      <c r="BK564" s="6"/>
      <c r="BL564" s="8"/>
      <c r="BM564" s="8"/>
      <c r="BN564" s="6"/>
      <c r="BO564" s="8"/>
      <c r="BP564" s="8"/>
      <c r="BQ564" s="6"/>
      <c r="BR564" s="8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  <c r="EX564" s="7"/>
      <c r="EY564" s="7"/>
      <c r="EZ564" s="7"/>
      <c r="FA564" s="7"/>
      <c r="FB564" s="7"/>
      <c r="FC564" s="7"/>
      <c r="FD564" s="7"/>
      <c r="FE564" s="7"/>
      <c r="FF564" s="7"/>
      <c r="FG564" s="7"/>
      <c r="FH564" s="7"/>
      <c r="FI564" s="7"/>
      <c r="FJ564" s="7"/>
      <c r="FK564" s="7"/>
      <c r="FL564" s="7"/>
      <c r="FM564" s="7"/>
      <c r="FN564" s="7"/>
      <c r="FO564" s="7"/>
      <c r="FP564" s="7"/>
      <c r="FQ564" s="7"/>
      <c r="FR564" s="7"/>
      <c r="FS564" s="7"/>
      <c r="FT564" s="7"/>
      <c r="FU564" s="7"/>
      <c r="FV564" s="7"/>
      <c r="FW564" s="7"/>
      <c r="FX564" s="7"/>
      <c r="FY564" s="7"/>
      <c r="FZ564" s="7"/>
      <c r="GA564" s="7"/>
      <c r="GB564" s="7"/>
      <c r="GC564" s="7"/>
      <c r="GD564" s="7"/>
      <c r="GE564" s="7"/>
      <c r="GF564" s="7"/>
      <c r="GG564" s="7"/>
      <c r="GH564" s="7"/>
      <c r="GI564" s="7"/>
      <c r="GJ564" s="7"/>
      <c r="GK564" s="7"/>
      <c r="GL564" s="7"/>
      <c r="GM564" s="7"/>
      <c r="GN564" s="7"/>
      <c r="GO564" s="7"/>
      <c r="GP564" s="7"/>
      <c r="GQ564" s="7"/>
      <c r="GR564" s="7"/>
      <c r="GS564" s="7"/>
      <c r="GT564" s="7"/>
      <c r="GU564" s="7"/>
      <c r="GV564" s="7"/>
      <c r="GW564" s="7"/>
      <c r="GX564" s="7"/>
      <c r="GY564" s="7"/>
      <c r="GZ564" s="7"/>
      <c r="HA564" s="7"/>
      <c r="HB564" s="7"/>
      <c r="HC564" s="7"/>
      <c r="HD564" s="7"/>
      <c r="HE564" s="7"/>
      <c r="HF564" s="7"/>
      <c r="HG564" s="7"/>
      <c r="HH564" s="7"/>
      <c r="HI564" s="7"/>
      <c r="HJ564" s="7"/>
      <c r="HK564" s="7"/>
      <c r="HL564" s="7"/>
      <c r="HM564" s="7"/>
      <c r="HN564" s="7"/>
      <c r="HO564" s="7"/>
      <c r="HP564" s="7"/>
      <c r="HQ564" s="7"/>
      <c r="HR564" s="7"/>
      <c r="HS564" s="7"/>
      <c r="HT564" s="7"/>
      <c r="HU564" s="7"/>
      <c r="HV564" s="7"/>
      <c r="HW564" s="7"/>
      <c r="HX564" s="7"/>
      <c r="HY564" s="7"/>
      <c r="HZ564" s="7"/>
      <c r="IA564" s="7"/>
      <c r="IB564" s="7"/>
      <c r="IC564" s="7"/>
      <c r="ID564" s="7"/>
      <c r="IE564" s="7"/>
      <c r="IF564" s="7"/>
      <c r="IG564" s="7"/>
      <c r="IH564" s="7"/>
      <c r="II564" s="7"/>
      <c r="IJ564" s="7"/>
      <c r="IK564" s="7"/>
      <c r="IL564" s="7"/>
      <c r="IM564" s="7"/>
      <c r="IN564" s="7"/>
      <c r="IO564" s="7"/>
      <c r="IP564" s="7"/>
      <c r="IQ564" s="7"/>
      <c r="IR564" s="7"/>
      <c r="IS564" s="7"/>
      <c r="IT564" s="7"/>
      <c r="IU564" s="7"/>
      <c r="IV564" s="7"/>
      <c r="IW564" s="7"/>
      <c r="IX564" s="7"/>
      <c r="IY564" s="7"/>
      <c r="IZ564" s="7"/>
      <c r="JA564" s="7"/>
      <c r="JB564" s="7"/>
      <c r="JC564" s="7"/>
      <c r="JD564" s="7"/>
      <c r="JE564" s="7"/>
      <c r="JF564" s="7"/>
      <c r="JG564" s="7"/>
      <c r="JH564" s="7"/>
      <c r="JI564" s="7"/>
      <c r="JJ564" s="7"/>
      <c r="JK564" s="7"/>
      <c r="JL564" s="7"/>
      <c r="JM564" s="7"/>
      <c r="JN564" s="7"/>
      <c r="JO564" s="7"/>
      <c r="JP564" s="7"/>
      <c r="JQ564" s="7"/>
      <c r="JR564" s="7"/>
      <c r="JS564" s="7"/>
      <c r="JT564" s="7"/>
      <c r="JU564" s="7"/>
      <c r="JV564" s="7"/>
      <c r="JW564" s="7"/>
      <c r="JX564" s="7"/>
      <c r="JY564" s="7"/>
      <c r="JZ564" s="7"/>
      <c r="KA564" s="7"/>
      <c r="KB564" s="7"/>
      <c r="KC564" s="7"/>
      <c r="KD564" s="7"/>
      <c r="KE564" s="7"/>
      <c r="KF564" s="7"/>
      <c r="KG564" s="7"/>
      <c r="KH564" s="7"/>
      <c r="KI564" s="7"/>
      <c r="KJ564" s="7"/>
      <c r="KK564" s="7"/>
      <c r="KL564" s="7"/>
      <c r="KM564" s="7"/>
      <c r="KN564" s="7"/>
    </row>
    <row r="565">
      <c r="A565" s="6"/>
      <c r="B565" s="6" t="s">
        <v>565</v>
      </c>
      <c r="C565" s="3" t="str">
        <f t="shared" si="3"/>
        <v>mirrored tomato</v>
      </c>
      <c r="D565" s="3" t="str">
        <f t="shared" si="17"/>
        <v>ZZZ</v>
      </c>
      <c r="E565" s="3" t="b">
        <f t="array" ref="E565">OR(ISNUMBER(SEARCH(D$2:D$30,$B565,5)))</f>
        <v>0</v>
      </c>
      <c r="G565" s="3" t="str">
        <f t="shared" si="4"/>
        <v>ZZZ</v>
      </c>
      <c r="H565" s="3" t="b">
        <f t="array" ref="H565">OR(ISNUMBER(SEARCH(G$2:G$30,$B565,5)))</f>
        <v>0</v>
      </c>
      <c r="J565" s="3" t="str">
        <f t="shared" si="5"/>
        <v>ZZZ</v>
      </c>
      <c r="K565" s="3" t="b">
        <f t="array" ref="K565">OR(ISNUMBER(SEARCH(J$2:J$30,$B565,5)))</f>
        <v>0</v>
      </c>
      <c r="M565" s="3" t="str">
        <f t="shared" si="6"/>
        <v>ZZZ</v>
      </c>
      <c r="N565" s="3" t="b">
        <f t="array" ref="N565">OR(ISNUMBER(SEARCH(M$2:M$30,$B565,5)))</f>
        <v>0</v>
      </c>
      <c r="P565" s="3" t="str">
        <f t="shared" si="7"/>
        <v>ZZZ</v>
      </c>
      <c r="Q565" s="3" t="b">
        <f t="array" ref="Q565">OR(ISNUMBER(SEARCH(P$2:P$50,$B565,5)))</f>
        <v>0</v>
      </c>
      <c r="S565" s="3" t="str">
        <f t="shared" si="8"/>
        <v>ZZZ</v>
      </c>
      <c r="T565" s="3" t="b">
        <f t="array" ref="T565">OR(ISNUMBER(SEARCH(S$2:S$100,$B565,5)))</f>
        <v>1</v>
      </c>
      <c r="V565" s="3" t="str">
        <f t="shared" si="9"/>
        <v>ZZZ</v>
      </c>
      <c r="W565" s="3" t="b">
        <f t="array" ref="W565">OR(ISNUMBER(SEARCH(V$2:V$100,$B565,5)))</f>
        <v>0</v>
      </c>
      <c r="Y565" s="3" t="str">
        <f t="shared" si="10"/>
        <v>ZZZ</v>
      </c>
      <c r="Z565" s="3" t="b">
        <f t="array" ref="Z565">OR(ISNUMBER(SEARCH(Y$2:Y$100,$B565,5)))</f>
        <v>1</v>
      </c>
      <c r="AB565" s="3" t="str">
        <f t="shared" si="11"/>
        <v>ZZZ</v>
      </c>
      <c r="AC565" s="3" t="b">
        <f t="array" ref="AC565">OR(ISNUMBER(SEARCH(AB$2:AB$100,$B565,5)))</f>
        <v>0</v>
      </c>
      <c r="AE565" s="3" t="str">
        <f t="shared" si="12"/>
        <v>ZZZ</v>
      </c>
      <c r="AF565" s="3" t="b">
        <f t="array" ref="AF565">OR(ISNUMBER(SEARCH(AE$2:AE$100,$B565,5)))</f>
        <v>0</v>
      </c>
      <c r="AH565" s="3" t="str">
        <f t="shared" si="13"/>
        <v>ZZZ</v>
      </c>
      <c r="AI565" s="3" t="b">
        <f t="array" ref="AI565">OR(ISNUMBER(SEARCH(AH$2:AH$100,$B565,5)))</f>
        <v>0</v>
      </c>
      <c r="AK565" s="3" t="str">
        <f t="shared" si="14"/>
        <v>ZZZ</v>
      </c>
      <c r="AL565" s="3" t="b">
        <f t="array" ref="AL565">OR(ISNUMBER(SEARCH(AK$2:AK$100,$B565,5)))</f>
        <v>0</v>
      </c>
      <c r="AU565" s="8"/>
      <c r="AV565" s="6"/>
      <c r="AW565" s="8"/>
      <c r="AX565" s="8"/>
      <c r="AY565" s="6"/>
      <c r="AZ565" s="8"/>
      <c r="BA565" s="8"/>
      <c r="BB565" s="6"/>
      <c r="BC565" s="8"/>
      <c r="BD565" s="8"/>
      <c r="BE565" s="6"/>
      <c r="BF565" s="8"/>
      <c r="BG565" s="8"/>
      <c r="BH565" s="6"/>
      <c r="BI565" s="8"/>
      <c r="BJ565" s="8"/>
      <c r="BK565" s="6"/>
      <c r="BL565" s="8"/>
      <c r="BM565" s="8"/>
      <c r="BN565" s="6"/>
      <c r="BO565" s="8"/>
      <c r="BP565" s="8"/>
      <c r="BQ565" s="6"/>
      <c r="BR565" s="8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  <c r="EX565" s="7"/>
      <c r="EY565" s="7"/>
      <c r="EZ565" s="7"/>
      <c r="FA565" s="7"/>
      <c r="FB565" s="7"/>
      <c r="FC565" s="7"/>
      <c r="FD565" s="7"/>
      <c r="FE565" s="7"/>
      <c r="FF565" s="7"/>
      <c r="FG565" s="7"/>
      <c r="FH565" s="7"/>
      <c r="FI565" s="7"/>
      <c r="FJ565" s="7"/>
      <c r="FK565" s="7"/>
      <c r="FL565" s="7"/>
      <c r="FM565" s="7"/>
      <c r="FN565" s="7"/>
      <c r="FO565" s="7"/>
      <c r="FP565" s="7"/>
      <c r="FQ565" s="7"/>
      <c r="FR565" s="7"/>
      <c r="FS565" s="7"/>
      <c r="FT565" s="7"/>
      <c r="FU565" s="7"/>
      <c r="FV565" s="7"/>
      <c r="FW565" s="7"/>
      <c r="FX565" s="7"/>
      <c r="FY565" s="7"/>
      <c r="FZ565" s="7"/>
      <c r="GA565" s="7"/>
      <c r="GB565" s="7"/>
      <c r="GC565" s="7"/>
      <c r="GD565" s="7"/>
      <c r="GE565" s="7"/>
      <c r="GF565" s="7"/>
      <c r="GG565" s="7"/>
      <c r="GH565" s="7"/>
      <c r="GI565" s="7"/>
      <c r="GJ565" s="7"/>
      <c r="GK565" s="7"/>
      <c r="GL565" s="7"/>
      <c r="GM565" s="7"/>
      <c r="GN565" s="7"/>
      <c r="GO565" s="7"/>
      <c r="GP565" s="7"/>
      <c r="GQ565" s="7"/>
      <c r="GR565" s="7"/>
      <c r="GS565" s="7"/>
      <c r="GT565" s="7"/>
      <c r="GU565" s="7"/>
      <c r="GV565" s="7"/>
      <c r="GW565" s="7"/>
      <c r="GX565" s="7"/>
      <c r="GY565" s="7"/>
      <c r="GZ565" s="7"/>
      <c r="HA565" s="7"/>
      <c r="HB565" s="7"/>
      <c r="HC565" s="7"/>
      <c r="HD565" s="7"/>
      <c r="HE565" s="7"/>
      <c r="HF565" s="7"/>
      <c r="HG565" s="7"/>
      <c r="HH565" s="7"/>
      <c r="HI565" s="7"/>
      <c r="HJ565" s="7"/>
      <c r="HK565" s="7"/>
      <c r="HL565" s="7"/>
      <c r="HM565" s="7"/>
      <c r="HN565" s="7"/>
      <c r="HO565" s="7"/>
      <c r="HP565" s="7"/>
      <c r="HQ565" s="7"/>
      <c r="HR565" s="7"/>
      <c r="HS565" s="7"/>
      <c r="HT565" s="7"/>
      <c r="HU565" s="7"/>
      <c r="HV565" s="7"/>
      <c r="HW565" s="7"/>
      <c r="HX565" s="7"/>
      <c r="HY565" s="7"/>
      <c r="HZ565" s="7"/>
      <c r="IA565" s="7"/>
      <c r="IB565" s="7"/>
      <c r="IC565" s="7"/>
      <c r="ID565" s="7"/>
      <c r="IE565" s="7"/>
      <c r="IF565" s="7"/>
      <c r="IG565" s="7"/>
      <c r="IH565" s="7"/>
      <c r="II565" s="7"/>
      <c r="IJ565" s="7"/>
      <c r="IK565" s="7"/>
      <c r="IL565" s="7"/>
      <c r="IM565" s="7"/>
      <c r="IN565" s="7"/>
      <c r="IO565" s="7"/>
      <c r="IP565" s="7"/>
      <c r="IQ565" s="7"/>
      <c r="IR565" s="7"/>
      <c r="IS565" s="7"/>
      <c r="IT565" s="7"/>
      <c r="IU565" s="7"/>
      <c r="IV565" s="7"/>
      <c r="IW565" s="7"/>
      <c r="IX565" s="7"/>
      <c r="IY565" s="7"/>
      <c r="IZ565" s="7"/>
      <c r="JA565" s="7"/>
      <c r="JB565" s="7"/>
      <c r="JC565" s="7"/>
      <c r="JD565" s="7"/>
      <c r="JE565" s="7"/>
      <c r="JF565" s="7"/>
      <c r="JG565" s="7"/>
      <c r="JH565" s="7"/>
      <c r="JI565" s="7"/>
      <c r="JJ565" s="7"/>
      <c r="JK565" s="7"/>
      <c r="JL565" s="7"/>
      <c r="JM565" s="7"/>
      <c r="JN565" s="7"/>
      <c r="JO565" s="7"/>
      <c r="JP565" s="7"/>
      <c r="JQ565" s="7"/>
      <c r="JR565" s="7"/>
      <c r="JS565" s="7"/>
      <c r="JT565" s="7"/>
      <c r="JU565" s="7"/>
      <c r="JV565" s="7"/>
      <c r="JW565" s="7"/>
      <c r="JX565" s="7"/>
      <c r="JY565" s="7"/>
      <c r="JZ565" s="7"/>
      <c r="KA565" s="7"/>
      <c r="KB565" s="7"/>
      <c r="KC565" s="7"/>
      <c r="KD565" s="7"/>
      <c r="KE565" s="7"/>
      <c r="KF565" s="7"/>
      <c r="KG565" s="7"/>
      <c r="KH565" s="7"/>
      <c r="KI565" s="7"/>
      <c r="KJ565" s="7"/>
      <c r="KK565" s="7"/>
      <c r="KL565" s="7"/>
      <c r="KM565" s="7"/>
      <c r="KN565" s="7"/>
    </row>
    <row r="566">
      <c r="A566" s="6"/>
      <c r="B566" s="6" t="s">
        <v>566</v>
      </c>
      <c r="C566" s="3" t="str">
        <f t="shared" si="3"/>
        <v>dark plum</v>
      </c>
      <c r="D566" s="3" t="str">
        <f t="shared" si="17"/>
        <v>ZZZ</v>
      </c>
      <c r="E566" s="3" t="b">
        <f t="array" ref="E566">OR(ISNUMBER(SEARCH(D$2:D$30,$B566,5)))</f>
        <v>0</v>
      </c>
      <c r="G566" s="3" t="str">
        <f t="shared" si="4"/>
        <v>ZZZ</v>
      </c>
      <c r="H566" s="3" t="b">
        <f t="array" ref="H566">OR(ISNUMBER(SEARCH(G$2:G$30,$B566,5)))</f>
        <v>0</v>
      </c>
      <c r="J566" s="3" t="str">
        <f t="shared" si="5"/>
        <v>ZZZ</v>
      </c>
      <c r="K566" s="3" t="b">
        <f t="array" ref="K566">OR(ISNUMBER(SEARCH(J$2:J$30,$B566,5)))</f>
        <v>0</v>
      </c>
      <c r="M566" s="3" t="str">
        <f t="shared" si="6"/>
        <v>ZZZ</v>
      </c>
      <c r="N566" s="3" t="b">
        <f t="array" ref="N566">OR(ISNUMBER(SEARCH(M$2:M$30,$B566,5)))</f>
        <v>0</v>
      </c>
      <c r="P566" s="3" t="str">
        <f t="shared" si="7"/>
        <v>ZZZ</v>
      </c>
      <c r="Q566" s="3" t="b">
        <f t="array" ref="Q566">OR(ISNUMBER(SEARCH(P$2:P$50,$B566,5)))</f>
        <v>0</v>
      </c>
      <c r="S566" s="3" t="str">
        <f t="shared" si="8"/>
        <v>ZZZ</v>
      </c>
      <c r="T566" s="3" t="b">
        <f t="array" ref="T566">OR(ISNUMBER(SEARCH(S$2:S$100,$B566,5)))</f>
        <v>0</v>
      </c>
      <c r="V566" s="3" t="str">
        <f t="shared" si="9"/>
        <v>ZZZ</v>
      </c>
      <c r="W566" s="3" t="b">
        <f t="array" ref="W566">OR(ISNUMBER(SEARCH(V$2:V$100,$B566,5)))</f>
        <v>0</v>
      </c>
      <c r="Y566" s="3" t="str">
        <f t="shared" si="10"/>
        <v>ZZZ</v>
      </c>
      <c r="Z566" s="3" t="b">
        <f t="array" ref="Z566">OR(ISNUMBER(SEARCH(Y$2:Y$100,$B566,5)))</f>
        <v>0</v>
      </c>
      <c r="AB566" s="3" t="str">
        <f t="shared" si="11"/>
        <v>ZZZ</v>
      </c>
      <c r="AC566" s="3" t="b">
        <f t="array" ref="AC566">OR(ISNUMBER(SEARCH(AB$2:AB$100,$B566,5)))</f>
        <v>0</v>
      </c>
      <c r="AE566" s="3" t="str">
        <f t="shared" si="12"/>
        <v>ZZZ</v>
      </c>
      <c r="AF566" s="3" t="b">
        <f t="array" ref="AF566">OR(ISNUMBER(SEARCH(AE$2:AE$100,$B566,5)))</f>
        <v>0</v>
      </c>
      <c r="AH566" s="3" t="str">
        <f t="shared" si="13"/>
        <v>ZZZ</v>
      </c>
      <c r="AI566" s="3" t="b">
        <f t="array" ref="AI566">OR(ISNUMBER(SEARCH(AH$2:AH$100,$B566,5)))</f>
        <v>0</v>
      </c>
      <c r="AK566" s="3" t="str">
        <f t="shared" si="14"/>
        <v>ZZZ</v>
      </c>
      <c r="AL566" s="3" t="b">
        <f t="array" ref="AL566">OR(ISNUMBER(SEARCH(AK$2:AK$100,$B566,5)))</f>
        <v>0</v>
      </c>
      <c r="AU566" s="8"/>
      <c r="AV566" s="6"/>
      <c r="AW566" s="8"/>
      <c r="AX566" s="8"/>
      <c r="AY566" s="6"/>
      <c r="AZ566" s="8"/>
      <c r="BA566" s="8"/>
      <c r="BB566" s="6"/>
      <c r="BC566" s="8"/>
      <c r="BD566" s="8"/>
      <c r="BE566" s="6"/>
      <c r="BF566" s="8"/>
      <c r="BG566" s="8"/>
      <c r="BH566" s="6"/>
      <c r="BI566" s="8"/>
      <c r="BJ566" s="8"/>
      <c r="BK566" s="6"/>
      <c r="BL566" s="8"/>
      <c r="BM566" s="8"/>
      <c r="BN566" s="6"/>
      <c r="BO566" s="8"/>
      <c r="BP566" s="8"/>
      <c r="BQ566" s="6"/>
      <c r="BR566" s="8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  <c r="EQ566" s="7"/>
      <c r="ER566" s="7"/>
      <c r="ES566" s="7"/>
      <c r="ET566" s="7"/>
      <c r="EU566" s="7"/>
      <c r="EV566" s="7"/>
      <c r="EW566" s="7"/>
      <c r="EX566" s="7"/>
      <c r="EY566" s="7"/>
      <c r="EZ566" s="7"/>
      <c r="FA566" s="7"/>
      <c r="FB566" s="7"/>
      <c r="FC566" s="7"/>
      <c r="FD566" s="7"/>
      <c r="FE566" s="7"/>
      <c r="FF566" s="7"/>
      <c r="FG566" s="7"/>
      <c r="FH566" s="7"/>
      <c r="FI566" s="7"/>
      <c r="FJ566" s="7"/>
      <c r="FK566" s="7"/>
      <c r="FL566" s="7"/>
      <c r="FM566" s="7"/>
      <c r="FN566" s="7"/>
      <c r="FO566" s="7"/>
      <c r="FP566" s="7"/>
      <c r="FQ566" s="7"/>
      <c r="FR566" s="7"/>
      <c r="FS566" s="7"/>
      <c r="FT566" s="7"/>
      <c r="FU566" s="7"/>
      <c r="FV566" s="7"/>
      <c r="FW566" s="7"/>
      <c r="FX566" s="7"/>
      <c r="FY566" s="7"/>
      <c r="FZ566" s="7"/>
      <c r="GA566" s="7"/>
      <c r="GB566" s="7"/>
      <c r="GC566" s="7"/>
      <c r="GD566" s="7"/>
      <c r="GE566" s="7"/>
      <c r="GF566" s="7"/>
      <c r="GG566" s="7"/>
      <c r="GH566" s="7"/>
      <c r="GI566" s="7"/>
      <c r="GJ566" s="7"/>
      <c r="GK566" s="7"/>
      <c r="GL566" s="7"/>
      <c r="GM566" s="7"/>
      <c r="GN566" s="7"/>
      <c r="GO566" s="7"/>
      <c r="GP566" s="7"/>
      <c r="GQ566" s="7"/>
      <c r="GR566" s="7"/>
      <c r="GS566" s="7"/>
      <c r="GT566" s="7"/>
      <c r="GU566" s="7"/>
      <c r="GV566" s="7"/>
      <c r="GW566" s="7"/>
      <c r="GX566" s="7"/>
      <c r="GY566" s="7"/>
      <c r="GZ566" s="7"/>
      <c r="HA566" s="7"/>
      <c r="HB566" s="7"/>
      <c r="HC566" s="7"/>
      <c r="HD566" s="7"/>
      <c r="HE566" s="7"/>
      <c r="HF566" s="7"/>
      <c r="HG566" s="7"/>
      <c r="HH566" s="7"/>
      <c r="HI566" s="7"/>
      <c r="HJ566" s="7"/>
      <c r="HK566" s="7"/>
      <c r="HL566" s="7"/>
      <c r="HM566" s="7"/>
      <c r="HN566" s="7"/>
      <c r="HO566" s="7"/>
      <c r="HP566" s="7"/>
      <c r="HQ566" s="7"/>
      <c r="HR566" s="7"/>
      <c r="HS566" s="7"/>
      <c r="HT566" s="7"/>
      <c r="HU566" s="7"/>
      <c r="HV566" s="7"/>
      <c r="HW566" s="7"/>
      <c r="HX566" s="7"/>
      <c r="HY566" s="7"/>
      <c r="HZ566" s="7"/>
      <c r="IA566" s="7"/>
      <c r="IB566" s="7"/>
      <c r="IC566" s="7"/>
      <c r="ID566" s="7"/>
      <c r="IE566" s="7"/>
      <c r="IF566" s="7"/>
      <c r="IG566" s="7"/>
      <c r="IH566" s="7"/>
      <c r="II566" s="7"/>
      <c r="IJ566" s="7"/>
      <c r="IK566" s="7"/>
      <c r="IL566" s="7"/>
      <c r="IM566" s="7"/>
      <c r="IN566" s="7"/>
      <c r="IO566" s="7"/>
      <c r="IP566" s="7"/>
      <c r="IQ566" s="7"/>
      <c r="IR566" s="7"/>
      <c r="IS566" s="7"/>
      <c r="IT566" s="7"/>
      <c r="IU566" s="7"/>
      <c r="IV566" s="7"/>
      <c r="IW566" s="7"/>
      <c r="IX566" s="7"/>
      <c r="IY566" s="7"/>
      <c r="IZ566" s="7"/>
      <c r="JA566" s="7"/>
      <c r="JB566" s="7"/>
      <c r="JC566" s="7"/>
      <c r="JD566" s="7"/>
      <c r="JE566" s="7"/>
      <c r="JF566" s="7"/>
      <c r="JG566" s="7"/>
      <c r="JH566" s="7"/>
      <c r="JI566" s="7"/>
      <c r="JJ566" s="7"/>
      <c r="JK566" s="7"/>
      <c r="JL566" s="7"/>
      <c r="JM566" s="7"/>
      <c r="JN566" s="7"/>
      <c r="JO566" s="7"/>
      <c r="JP566" s="7"/>
      <c r="JQ566" s="7"/>
      <c r="JR566" s="7"/>
      <c r="JS566" s="7"/>
      <c r="JT566" s="7"/>
      <c r="JU566" s="7"/>
      <c r="JV566" s="7"/>
      <c r="JW566" s="7"/>
      <c r="JX566" s="7"/>
      <c r="JY566" s="7"/>
      <c r="JZ566" s="7"/>
      <c r="KA566" s="7"/>
      <c r="KB566" s="7"/>
      <c r="KC566" s="7"/>
      <c r="KD566" s="7"/>
      <c r="KE566" s="7"/>
      <c r="KF566" s="7"/>
      <c r="KG566" s="7"/>
      <c r="KH566" s="7"/>
      <c r="KI566" s="7"/>
      <c r="KJ566" s="7"/>
      <c r="KK566" s="7"/>
      <c r="KL566" s="7"/>
      <c r="KM566" s="7"/>
      <c r="KN566" s="7"/>
    </row>
    <row r="567">
      <c r="A567" s="6"/>
      <c r="B567" s="6" t="s">
        <v>567</v>
      </c>
      <c r="C567" s="3" t="str">
        <f t="shared" si="3"/>
        <v>dark salmon</v>
      </c>
      <c r="D567" s="3" t="str">
        <f t="shared" si="17"/>
        <v>ZZZ</v>
      </c>
      <c r="E567" s="3" t="b">
        <f t="array" ref="E567">OR(ISNUMBER(SEARCH(D$2:D$30,$B567,5)))</f>
        <v>0</v>
      </c>
      <c r="G567" s="3" t="str">
        <f t="shared" si="4"/>
        <v>ZZZ</v>
      </c>
      <c r="H567" s="3" t="b">
        <f t="array" ref="H567">OR(ISNUMBER(SEARCH(G$2:G$30,$B567,5)))</f>
        <v>0</v>
      </c>
      <c r="J567" s="3" t="str">
        <f t="shared" si="5"/>
        <v>ZZZ</v>
      </c>
      <c r="K567" s="3" t="b">
        <f t="array" ref="K567">OR(ISNUMBER(SEARCH(J$2:J$30,$B567,5)))</f>
        <v>0</v>
      </c>
      <c r="M567" s="3" t="str">
        <f t="shared" si="6"/>
        <v>ZZZ</v>
      </c>
      <c r="N567" s="3" t="b">
        <f t="array" ref="N567">OR(ISNUMBER(SEARCH(M$2:M$30,$B567,5)))</f>
        <v>0</v>
      </c>
      <c r="P567" s="3" t="str">
        <f t="shared" si="7"/>
        <v>ZZZ</v>
      </c>
      <c r="Q567" s="3" t="b">
        <f t="array" ref="Q567">OR(ISNUMBER(SEARCH(P$2:P$50,$B567,5)))</f>
        <v>1</v>
      </c>
      <c r="S567" s="3" t="str">
        <f t="shared" si="8"/>
        <v>ZZZ</v>
      </c>
      <c r="T567" s="3" t="b">
        <f t="array" ref="T567">OR(ISNUMBER(SEARCH(S$2:S$100,$B567,5)))</f>
        <v>0</v>
      </c>
      <c r="V567" s="3" t="str">
        <f t="shared" si="9"/>
        <v>ZZZ</v>
      </c>
      <c r="W567" s="3" t="b">
        <f t="array" ref="W567">OR(ISNUMBER(SEARCH(V$2:V$100,$B567,5)))</f>
        <v>1</v>
      </c>
      <c r="Y567" s="3" t="str">
        <f t="shared" si="10"/>
        <v>ZZZ</v>
      </c>
      <c r="Z567" s="3" t="b">
        <f t="array" ref="Z567">OR(ISNUMBER(SEARCH(Y$2:Y$100,$B567,5)))</f>
        <v>0</v>
      </c>
      <c r="AB567" s="3" t="str">
        <f t="shared" si="11"/>
        <v>ZZZ</v>
      </c>
      <c r="AC567" s="3" t="b">
        <f t="array" ref="AC567">OR(ISNUMBER(SEARCH(AB$2:AB$100,$B567,5)))</f>
        <v>0</v>
      </c>
      <c r="AE567" s="3" t="str">
        <f t="shared" si="12"/>
        <v>ZZZ</v>
      </c>
      <c r="AF567" s="3" t="b">
        <f t="array" ref="AF567">OR(ISNUMBER(SEARCH(AE$2:AE$100,$B567,5)))</f>
        <v>0</v>
      </c>
      <c r="AH567" s="3" t="str">
        <f t="shared" si="13"/>
        <v>ZZZ</v>
      </c>
      <c r="AI567" s="3" t="b">
        <f t="array" ref="AI567">OR(ISNUMBER(SEARCH(AH$2:AH$100,$B567,5)))</f>
        <v>0</v>
      </c>
      <c r="AK567" s="3" t="str">
        <f t="shared" si="14"/>
        <v>ZZZ</v>
      </c>
      <c r="AL567" s="3" t="b">
        <f t="array" ref="AL567">OR(ISNUMBER(SEARCH(AK$2:AK$100,$B567,5)))</f>
        <v>0</v>
      </c>
      <c r="AU567" s="8"/>
      <c r="AV567" s="6"/>
      <c r="AW567" s="8"/>
      <c r="AX567" s="8"/>
      <c r="AY567" s="6"/>
      <c r="AZ567" s="8"/>
      <c r="BA567" s="8"/>
      <c r="BB567" s="6"/>
      <c r="BC567" s="8"/>
      <c r="BD567" s="8"/>
      <c r="BE567" s="6"/>
      <c r="BF567" s="8"/>
      <c r="BG567" s="8"/>
      <c r="BH567" s="6"/>
      <c r="BI567" s="8"/>
      <c r="BJ567" s="8"/>
      <c r="BK567" s="6"/>
      <c r="BL567" s="8"/>
      <c r="BM567" s="8"/>
      <c r="BN567" s="6"/>
      <c r="BO567" s="8"/>
      <c r="BP567" s="8"/>
      <c r="BQ567" s="6"/>
      <c r="BR567" s="8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  <c r="EQ567" s="7"/>
      <c r="ER567" s="7"/>
      <c r="ES567" s="7"/>
      <c r="ET567" s="7"/>
      <c r="EU567" s="7"/>
      <c r="EV567" s="7"/>
      <c r="EW567" s="7"/>
      <c r="EX567" s="7"/>
      <c r="EY567" s="7"/>
      <c r="EZ567" s="7"/>
      <c r="FA567" s="7"/>
      <c r="FB567" s="7"/>
      <c r="FC567" s="7"/>
      <c r="FD567" s="7"/>
      <c r="FE567" s="7"/>
      <c r="FF567" s="7"/>
      <c r="FG567" s="7"/>
      <c r="FH567" s="7"/>
      <c r="FI567" s="7"/>
      <c r="FJ567" s="7"/>
      <c r="FK567" s="7"/>
      <c r="FL567" s="7"/>
      <c r="FM567" s="7"/>
      <c r="FN567" s="7"/>
      <c r="FO567" s="7"/>
      <c r="FP567" s="7"/>
      <c r="FQ567" s="7"/>
      <c r="FR567" s="7"/>
      <c r="FS567" s="7"/>
      <c r="FT567" s="7"/>
      <c r="FU567" s="7"/>
      <c r="FV567" s="7"/>
      <c r="FW567" s="7"/>
      <c r="FX567" s="7"/>
      <c r="FY567" s="7"/>
      <c r="FZ567" s="7"/>
      <c r="GA567" s="7"/>
      <c r="GB567" s="7"/>
      <c r="GC567" s="7"/>
      <c r="GD567" s="7"/>
      <c r="GE567" s="7"/>
      <c r="GF567" s="7"/>
      <c r="GG567" s="7"/>
      <c r="GH567" s="7"/>
      <c r="GI567" s="7"/>
      <c r="GJ567" s="7"/>
      <c r="GK567" s="7"/>
      <c r="GL567" s="7"/>
      <c r="GM567" s="7"/>
      <c r="GN567" s="7"/>
      <c r="GO567" s="7"/>
      <c r="GP567" s="7"/>
      <c r="GQ567" s="7"/>
      <c r="GR567" s="7"/>
      <c r="GS567" s="7"/>
      <c r="GT567" s="7"/>
      <c r="GU567" s="7"/>
      <c r="GV567" s="7"/>
      <c r="GW567" s="7"/>
      <c r="GX567" s="7"/>
      <c r="GY567" s="7"/>
      <c r="GZ567" s="7"/>
      <c r="HA567" s="7"/>
      <c r="HB567" s="7"/>
      <c r="HC567" s="7"/>
      <c r="HD567" s="7"/>
      <c r="HE567" s="7"/>
      <c r="HF567" s="7"/>
      <c r="HG567" s="7"/>
      <c r="HH567" s="7"/>
      <c r="HI567" s="7"/>
      <c r="HJ567" s="7"/>
      <c r="HK567" s="7"/>
      <c r="HL567" s="7"/>
      <c r="HM567" s="7"/>
      <c r="HN567" s="7"/>
      <c r="HO567" s="7"/>
      <c r="HP567" s="7"/>
      <c r="HQ567" s="7"/>
      <c r="HR567" s="7"/>
      <c r="HS567" s="7"/>
      <c r="HT567" s="7"/>
      <c r="HU567" s="7"/>
      <c r="HV567" s="7"/>
      <c r="HW567" s="7"/>
      <c r="HX567" s="7"/>
      <c r="HY567" s="7"/>
      <c r="HZ567" s="7"/>
      <c r="IA567" s="7"/>
      <c r="IB567" s="7"/>
      <c r="IC567" s="7"/>
      <c r="ID567" s="7"/>
      <c r="IE567" s="7"/>
      <c r="IF567" s="7"/>
      <c r="IG567" s="7"/>
      <c r="IH567" s="7"/>
      <c r="II567" s="7"/>
      <c r="IJ567" s="7"/>
      <c r="IK567" s="7"/>
      <c r="IL567" s="7"/>
      <c r="IM567" s="7"/>
      <c r="IN567" s="7"/>
      <c r="IO567" s="7"/>
      <c r="IP567" s="7"/>
      <c r="IQ567" s="7"/>
      <c r="IR567" s="7"/>
      <c r="IS567" s="7"/>
      <c r="IT567" s="7"/>
      <c r="IU567" s="7"/>
      <c r="IV567" s="7"/>
      <c r="IW567" s="7"/>
      <c r="IX567" s="7"/>
      <c r="IY567" s="7"/>
      <c r="IZ567" s="7"/>
      <c r="JA567" s="7"/>
      <c r="JB567" s="7"/>
      <c r="JC567" s="7"/>
      <c r="JD567" s="7"/>
      <c r="JE567" s="7"/>
      <c r="JF567" s="7"/>
      <c r="JG567" s="7"/>
      <c r="JH567" s="7"/>
      <c r="JI567" s="7"/>
      <c r="JJ567" s="7"/>
      <c r="JK567" s="7"/>
      <c r="JL567" s="7"/>
      <c r="JM567" s="7"/>
      <c r="JN567" s="7"/>
      <c r="JO567" s="7"/>
      <c r="JP567" s="7"/>
      <c r="JQ567" s="7"/>
      <c r="JR567" s="7"/>
      <c r="JS567" s="7"/>
      <c r="JT567" s="7"/>
      <c r="JU567" s="7"/>
      <c r="JV567" s="7"/>
      <c r="JW567" s="7"/>
      <c r="JX567" s="7"/>
      <c r="JY567" s="7"/>
      <c r="JZ567" s="7"/>
      <c r="KA567" s="7"/>
      <c r="KB567" s="7"/>
      <c r="KC567" s="7"/>
      <c r="KD567" s="7"/>
      <c r="KE567" s="7"/>
      <c r="KF567" s="7"/>
      <c r="KG567" s="7"/>
      <c r="KH567" s="7"/>
      <c r="KI567" s="7"/>
      <c r="KJ567" s="7"/>
      <c r="KK567" s="7"/>
      <c r="KL567" s="7"/>
      <c r="KM567" s="7"/>
      <c r="KN567" s="7"/>
    </row>
    <row r="568">
      <c r="A568" s="6"/>
      <c r="B568" s="6" t="s">
        <v>568</v>
      </c>
      <c r="C568" s="3" t="str">
        <f t="shared" si="3"/>
        <v>dotted lime</v>
      </c>
      <c r="D568" s="3" t="str">
        <f t="shared" si="17"/>
        <v>ZZZ</v>
      </c>
      <c r="E568" s="3" t="b">
        <f t="array" ref="E568">OR(ISNUMBER(SEARCH(D$2:D$30,$B568,5)))</f>
        <v>0</v>
      </c>
      <c r="G568" s="3" t="str">
        <f t="shared" si="4"/>
        <v>ZZZ</v>
      </c>
      <c r="H568" s="3" t="b">
        <f t="array" ref="H568">OR(ISNUMBER(SEARCH(G$2:G$30,$B568,5)))</f>
        <v>0</v>
      </c>
      <c r="J568" s="3" t="str">
        <f t="shared" si="5"/>
        <v>ZZZ</v>
      </c>
      <c r="K568" s="3" t="b">
        <f t="array" ref="K568">OR(ISNUMBER(SEARCH(J$2:J$30,$B568,5)))</f>
        <v>0</v>
      </c>
      <c r="M568" s="3" t="str">
        <f t="shared" si="6"/>
        <v>ZZZ</v>
      </c>
      <c r="N568" s="3" t="b">
        <f t="array" ref="N568">OR(ISNUMBER(SEARCH(M$2:M$30,$B568,5)))</f>
        <v>0</v>
      </c>
      <c r="P568" s="3" t="str">
        <f t="shared" si="7"/>
        <v>ZZZ</v>
      </c>
      <c r="Q568" s="3" t="b">
        <f t="array" ref="Q568">OR(ISNUMBER(SEARCH(P$2:P$50,$B568,5)))</f>
        <v>0</v>
      </c>
      <c r="S568" s="3" t="str">
        <f t="shared" si="8"/>
        <v>ZZZ</v>
      </c>
      <c r="T568" s="3" t="b">
        <f t="array" ref="T568">OR(ISNUMBER(SEARCH(S$2:S$100,$B568,5)))</f>
        <v>0</v>
      </c>
      <c r="V568" s="3" t="str">
        <f t="shared" si="9"/>
        <v>ZZZ</v>
      </c>
      <c r="W568" s="3" t="b">
        <f t="array" ref="W568">OR(ISNUMBER(SEARCH(V$2:V$100,$B568,5)))</f>
        <v>0</v>
      </c>
      <c r="Y568" s="3" t="str">
        <f t="shared" si="10"/>
        <v>ZZZ</v>
      </c>
      <c r="Z568" s="3" t="b">
        <f t="array" ref="Z568">OR(ISNUMBER(SEARCH(Y$2:Y$100,$B568,5)))</f>
        <v>1</v>
      </c>
      <c r="AB568" s="3" t="str">
        <f t="shared" si="11"/>
        <v>ZZZ</v>
      </c>
      <c r="AC568" s="3" t="b">
        <f t="array" ref="AC568">OR(ISNUMBER(SEARCH(AB$2:AB$100,$B568,5)))</f>
        <v>0</v>
      </c>
      <c r="AE568" s="3" t="str">
        <f t="shared" si="12"/>
        <v>ZZZ</v>
      </c>
      <c r="AF568" s="3" t="b">
        <f t="array" ref="AF568">OR(ISNUMBER(SEARCH(AE$2:AE$100,$B568,5)))</f>
        <v>0</v>
      </c>
      <c r="AH568" s="3" t="str">
        <f t="shared" si="13"/>
        <v>ZZZ</v>
      </c>
      <c r="AI568" s="3" t="b">
        <f t="array" ref="AI568">OR(ISNUMBER(SEARCH(AH$2:AH$100,$B568,5)))</f>
        <v>0</v>
      </c>
      <c r="AK568" s="3" t="str">
        <f t="shared" si="14"/>
        <v>ZZZ</v>
      </c>
      <c r="AL568" s="3" t="b">
        <f t="array" ref="AL568">OR(ISNUMBER(SEARCH(AK$2:AK$100,$B568,5)))</f>
        <v>0</v>
      </c>
      <c r="AU568" s="8"/>
      <c r="AV568" s="6"/>
      <c r="AW568" s="8"/>
      <c r="AX568" s="8"/>
      <c r="AY568" s="6"/>
      <c r="AZ568" s="8"/>
      <c r="BA568" s="8"/>
      <c r="BB568" s="6"/>
      <c r="BC568" s="8"/>
      <c r="BD568" s="8"/>
      <c r="BE568" s="6"/>
      <c r="BF568" s="8"/>
      <c r="BG568" s="8"/>
      <c r="BH568" s="6"/>
      <c r="BI568" s="8"/>
      <c r="BJ568" s="8"/>
      <c r="BK568" s="6"/>
      <c r="BL568" s="8"/>
      <c r="BM568" s="8"/>
      <c r="BN568" s="6"/>
      <c r="BO568" s="8"/>
      <c r="BP568" s="8"/>
      <c r="BQ568" s="6"/>
      <c r="BR568" s="8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  <c r="EX568" s="7"/>
      <c r="EY568" s="7"/>
      <c r="EZ568" s="7"/>
      <c r="FA568" s="7"/>
      <c r="FB568" s="7"/>
      <c r="FC568" s="7"/>
      <c r="FD568" s="7"/>
      <c r="FE568" s="7"/>
      <c r="FF568" s="7"/>
      <c r="FG568" s="7"/>
      <c r="FH568" s="7"/>
      <c r="FI568" s="7"/>
      <c r="FJ568" s="7"/>
      <c r="FK568" s="7"/>
      <c r="FL568" s="7"/>
      <c r="FM568" s="7"/>
      <c r="FN568" s="7"/>
      <c r="FO568" s="7"/>
      <c r="FP568" s="7"/>
      <c r="FQ568" s="7"/>
      <c r="FR568" s="7"/>
      <c r="FS568" s="7"/>
      <c r="FT568" s="7"/>
      <c r="FU568" s="7"/>
      <c r="FV568" s="7"/>
      <c r="FW568" s="7"/>
      <c r="FX568" s="7"/>
      <c r="FY568" s="7"/>
      <c r="FZ568" s="7"/>
      <c r="GA568" s="7"/>
      <c r="GB568" s="7"/>
      <c r="GC568" s="7"/>
      <c r="GD568" s="7"/>
      <c r="GE568" s="7"/>
      <c r="GF568" s="7"/>
      <c r="GG568" s="7"/>
      <c r="GH568" s="7"/>
      <c r="GI568" s="7"/>
      <c r="GJ568" s="7"/>
      <c r="GK568" s="7"/>
      <c r="GL568" s="7"/>
      <c r="GM568" s="7"/>
      <c r="GN568" s="7"/>
      <c r="GO568" s="7"/>
      <c r="GP568" s="7"/>
      <c r="GQ568" s="7"/>
      <c r="GR568" s="7"/>
      <c r="GS568" s="7"/>
      <c r="GT568" s="7"/>
      <c r="GU568" s="7"/>
      <c r="GV568" s="7"/>
      <c r="GW568" s="7"/>
      <c r="GX568" s="7"/>
      <c r="GY568" s="7"/>
      <c r="GZ568" s="7"/>
      <c r="HA568" s="7"/>
      <c r="HB568" s="7"/>
      <c r="HC568" s="7"/>
      <c r="HD568" s="7"/>
      <c r="HE568" s="7"/>
      <c r="HF568" s="7"/>
      <c r="HG568" s="7"/>
      <c r="HH568" s="7"/>
      <c r="HI568" s="7"/>
      <c r="HJ568" s="7"/>
      <c r="HK568" s="7"/>
      <c r="HL568" s="7"/>
      <c r="HM568" s="7"/>
      <c r="HN568" s="7"/>
      <c r="HO568" s="7"/>
      <c r="HP568" s="7"/>
      <c r="HQ568" s="7"/>
      <c r="HR568" s="7"/>
      <c r="HS568" s="7"/>
      <c r="HT568" s="7"/>
      <c r="HU568" s="7"/>
      <c r="HV568" s="7"/>
      <c r="HW568" s="7"/>
      <c r="HX568" s="7"/>
      <c r="HY568" s="7"/>
      <c r="HZ568" s="7"/>
      <c r="IA568" s="7"/>
      <c r="IB568" s="7"/>
      <c r="IC568" s="7"/>
      <c r="ID568" s="7"/>
      <c r="IE568" s="7"/>
      <c r="IF568" s="7"/>
      <c r="IG568" s="7"/>
      <c r="IH568" s="7"/>
      <c r="II568" s="7"/>
      <c r="IJ568" s="7"/>
      <c r="IK568" s="7"/>
      <c r="IL568" s="7"/>
      <c r="IM568" s="7"/>
      <c r="IN568" s="7"/>
      <c r="IO568" s="7"/>
      <c r="IP568" s="7"/>
      <c r="IQ568" s="7"/>
      <c r="IR568" s="7"/>
      <c r="IS568" s="7"/>
      <c r="IT568" s="7"/>
      <c r="IU568" s="7"/>
      <c r="IV568" s="7"/>
      <c r="IW568" s="7"/>
      <c r="IX568" s="7"/>
      <c r="IY568" s="7"/>
      <c r="IZ568" s="7"/>
      <c r="JA568" s="7"/>
      <c r="JB568" s="7"/>
      <c r="JC568" s="7"/>
      <c r="JD568" s="7"/>
      <c r="JE568" s="7"/>
      <c r="JF568" s="7"/>
      <c r="JG568" s="7"/>
      <c r="JH568" s="7"/>
      <c r="JI568" s="7"/>
      <c r="JJ568" s="7"/>
      <c r="JK568" s="7"/>
      <c r="JL568" s="7"/>
      <c r="JM568" s="7"/>
      <c r="JN568" s="7"/>
      <c r="JO568" s="7"/>
      <c r="JP568" s="7"/>
      <c r="JQ568" s="7"/>
      <c r="JR568" s="7"/>
      <c r="JS568" s="7"/>
      <c r="JT568" s="7"/>
      <c r="JU568" s="7"/>
      <c r="JV568" s="7"/>
      <c r="JW568" s="7"/>
      <c r="JX568" s="7"/>
      <c r="JY568" s="7"/>
      <c r="JZ568" s="7"/>
      <c r="KA568" s="7"/>
      <c r="KB568" s="7"/>
      <c r="KC568" s="7"/>
      <c r="KD568" s="7"/>
      <c r="KE568" s="7"/>
      <c r="KF568" s="7"/>
      <c r="KG568" s="7"/>
      <c r="KH568" s="7"/>
      <c r="KI568" s="7"/>
      <c r="KJ568" s="7"/>
      <c r="KK568" s="7"/>
      <c r="KL568" s="7"/>
      <c r="KM568" s="7"/>
      <c r="KN568" s="7"/>
    </row>
    <row r="569">
      <c r="A569" s="6"/>
      <c r="B569" s="6" t="s">
        <v>569</v>
      </c>
      <c r="C569" s="3" t="str">
        <f t="shared" si="3"/>
        <v>dark red</v>
      </c>
      <c r="D569" s="3" t="str">
        <f t="shared" si="17"/>
        <v>ZZZ</v>
      </c>
      <c r="E569" s="3" t="b">
        <f t="array" ref="E569">OR(ISNUMBER(SEARCH(D$2:D$30,$B569,5)))</f>
        <v>0</v>
      </c>
      <c r="G569" s="3" t="str">
        <f t="shared" si="4"/>
        <v>ZZZ</v>
      </c>
      <c r="H569" s="3" t="b">
        <f t="array" ref="H569">OR(ISNUMBER(SEARCH(G$2:G$30,$B569,5)))</f>
        <v>0</v>
      </c>
      <c r="J569" s="3" t="str">
        <f t="shared" si="5"/>
        <v>ZZZ</v>
      </c>
      <c r="K569" s="3" t="b">
        <f t="array" ref="K569">OR(ISNUMBER(SEARCH(J$2:J$30,$B569,5)))</f>
        <v>0</v>
      </c>
      <c r="M569" s="3" t="str">
        <f t="shared" si="6"/>
        <v>ZZZ</v>
      </c>
      <c r="N569" s="3" t="b">
        <f t="array" ref="N569">OR(ISNUMBER(SEARCH(M$2:M$30,$B569,5)))</f>
        <v>0</v>
      </c>
      <c r="P569" s="3" t="str">
        <f t="shared" si="7"/>
        <v>ZZZ</v>
      </c>
      <c r="Q569" s="3" t="b">
        <f t="array" ref="Q569">OR(ISNUMBER(SEARCH(P$2:P$50,$B569,5)))</f>
        <v>0</v>
      </c>
      <c r="S569" s="3" t="str">
        <f t="shared" si="8"/>
        <v>ZZZ</v>
      </c>
      <c r="T569" s="3" t="b">
        <f t="array" ref="T569">OR(ISNUMBER(SEARCH(S$2:S$100,$B569,5)))</f>
        <v>0</v>
      </c>
      <c r="V569" s="3" t="str">
        <f t="shared" si="9"/>
        <v>ZZZ</v>
      </c>
      <c r="W569" s="3" t="b">
        <f t="array" ref="W569">OR(ISNUMBER(SEARCH(V$2:V$100,$B569,5)))</f>
        <v>0</v>
      </c>
      <c r="Y569" s="3" t="str">
        <f t="shared" si="10"/>
        <v>ZZZ</v>
      </c>
      <c r="Z569" s="3" t="b">
        <f t="array" ref="Z569">OR(ISNUMBER(SEARCH(Y$2:Y$100,$B569,5)))</f>
        <v>0</v>
      </c>
      <c r="AB569" s="3" t="str">
        <f t="shared" si="11"/>
        <v>ZZZ</v>
      </c>
      <c r="AC569" s="3" t="b">
        <f t="array" ref="AC569">OR(ISNUMBER(SEARCH(AB$2:AB$100,$B569,5)))</f>
        <v>0</v>
      </c>
      <c r="AE569" s="3" t="str">
        <f t="shared" si="12"/>
        <v>ZZZ</v>
      </c>
      <c r="AF569" s="3" t="b">
        <f t="array" ref="AF569">OR(ISNUMBER(SEARCH(AE$2:AE$100,$B569,5)))</f>
        <v>0</v>
      </c>
      <c r="AH569" s="3" t="str">
        <f t="shared" si="13"/>
        <v>ZZZ</v>
      </c>
      <c r="AI569" s="3" t="b">
        <f t="array" ref="AI569">OR(ISNUMBER(SEARCH(AH$2:AH$100,$B569,5)))</f>
        <v>0</v>
      </c>
      <c r="AK569" s="3" t="str">
        <f t="shared" si="14"/>
        <v>ZZZ</v>
      </c>
      <c r="AL569" s="3" t="b">
        <f t="array" ref="AL569">OR(ISNUMBER(SEARCH(AK$2:AK$100,$B569,5)))</f>
        <v>0</v>
      </c>
      <c r="AU569" s="8"/>
      <c r="AV569" s="6"/>
      <c r="AW569" s="8"/>
      <c r="AX569" s="8"/>
      <c r="AY569" s="6"/>
      <c r="AZ569" s="8"/>
      <c r="BA569" s="8"/>
      <c r="BB569" s="6"/>
      <c r="BC569" s="8"/>
      <c r="BD569" s="8"/>
      <c r="BE569" s="6"/>
      <c r="BF569" s="8"/>
      <c r="BG569" s="8"/>
      <c r="BH569" s="6"/>
      <c r="BI569" s="8"/>
      <c r="BJ569" s="8"/>
      <c r="BK569" s="6"/>
      <c r="BL569" s="8"/>
      <c r="BM569" s="8"/>
      <c r="BN569" s="6"/>
      <c r="BO569" s="8"/>
      <c r="BP569" s="8"/>
      <c r="BQ569" s="6"/>
      <c r="BR569" s="8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  <c r="EK569" s="7"/>
      <c r="EL569" s="7"/>
      <c r="EM569" s="7"/>
      <c r="EN569" s="7"/>
      <c r="EO569" s="7"/>
      <c r="EP569" s="7"/>
      <c r="EQ569" s="7"/>
      <c r="ER569" s="7"/>
      <c r="ES569" s="7"/>
      <c r="ET569" s="7"/>
      <c r="EU569" s="7"/>
      <c r="EV569" s="7"/>
      <c r="EW569" s="7"/>
      <c r="EX569" s="7"/>
      <c r="EY569" s="7"/>
      <c r="EZ569" s="7"/>
      <c r="FA569" s="7"/>
      <c r="FB569" s="7"/>
      <c r="FC569" s="7"/>
      <c r="FD569" s="7"/>
      <c r="FE569" s="7"/>
      <c r="FF569" s="7"/>
      <c r="FG569" s="7"/>
      <c r="FH569" s="7"/>
      <c r="FI569" s="7"/>
      <c r="FJ569" s="7"/>
      <c r="FK569" s="7"/>
      <c r="FL569" s="7"/>
      <c r="FM569" s="7"/>
      <c r="FN569" s="7"/>
      <c r="FO569" s="7"/>
      <c r="FP569" s="7"/>
      <c r="FQ569" s="7"/>
      <c r="FR569" s="7"/>
      <c r="FS569" s="7"/>
      <c r="FT569" s="7"/>
      <c r="FU569" s="7"/>
      <c r="FV569" s="7"/>
      <c r="FW569" s="7"/>
      <c r="FX569" s="7"/>
      <c r="FY569" s="7"/>
      <c r="FZ569" s="7"/>
      <c r="GA569" s="7"/>
      <c r="GB569" s="7"/>
      <c r="GC569" s="7"/>
      <c r="GD569" s="7"/>
      <c r="GE569" s="7"/>
      <c r="GF569" s="7"/>
      <c r="GG569" s="7"/>
      <c r="GH569" s="7"/>
      <c r="GI569" s="7"/>
      <c r="GJ569" s="7"/>
      <c r="GK569" s="7"/>
      <c r="GL569" s="7"/>
      <c r="GM569" s="7"/>
      <c r="GN569" s="7"/>
      <c r="GO569" s="7"/>
      <c r="GP569" s="7"/>
      <c r="GQ569" s="7"/>
      <c r="GR569" s="7"/>
      <c r="GS569" s="7"/>
      <c r="GT569" s="7"/>
      <c r="GU569" s="7"/>
      <c r="GV569" s="7"/>
      <c r="GW569" s="7"/>
      <c r="GX569" s="7"/>
      <c r="GY569" s="7"/>
      <c r="GZ569" s="7"/>
      <c r="HA569" s="7"/>
      <c r="HB569" s="7"/>
      <c r="HC569" s="7"/>
      <c r="HD569" s="7"/>
      <c r="HE569" s="7"/>
      <c r="HF569" s="7"/>
      <c r="HG569" s="7"/>
      <c r="HH569" s="7"/>
      <c r="HI569" s="7"/>
      <c r="HJ569" s="7"/>
      <c r="HK569" s="7"/>
      <c r="HL569" s="7"/>
      <c r="HM569" s="7"/>
      <c r="HN569" s="7"/>
      <c r="HO569" s="7"/>
      <c r="HP569" s="7"/>
      <c r="HQ569" s="7"/>
      <c r="HR569" s="7"/>
      <c r="HS569" s="7"/>
      <c r="HT569" s="7"/>
      <c r="HU569" s="7"/>
      <c r="HV569" s="7"/>
      <c r="HW569" s="7"/>
      <c r="HX569" s="7"/>
      <c r="HY569" s="7"/>
      <c r="HZ569" s="7"/>
      <c r="IA569" s="7"/>
      <c r="IB569" s="7"/>
      <c r="IC569" s="7"/>
      <c r="ID569" s="7"/>
      <c r="IE569" s="7"/>
      <c r="IF569" s="7"/>
      <c r="IG569" s="7"/>
      <c r="IH569" s="7"/>
      <c r="II569" s="7"/>
      <c r="IJ569" s="7"/>
      <c r="IK569" s="7"/>
      <c r="IL569" s="7"/>
      <c r="IM569" s="7"/>
      <c r="IN569" s="7"/>
      <c r="IO569" s="7"/>
      <c r="IP569" s="7"/>
      <c r="IQ569" s="7"/>
      <c r="IR569" s="7"/>
      <c r="IS569" s="7"/>
      <c r="IT569" s="7"/>
      <c r="IU569" s="7"/>
      <c r="IV569" s="7"/>
      <c r="IW569" s="7"/>
      <c r="IX569" s="7"/>
      <c r="IY569" s="7"/>
      <c r="IZ569" s="7"/>
      <c r="JA569" s="7"/>
      <c r="JB569" s="7"/>
      <c r="JC569" s="7"/>
      <c r="JD569" s="7"/>
      <c r="JE569" s="7"/>
      <c r="JF569" s="7"/>
      <c r="JG569" s="7"/>
      <c r="JH569" s="7"/>
      <c r="JI569" s="7"/>
      <c r="JJ569" s="7"/>
      <c r="JK569" s="7"/>
      <c r="JL569" s="7"/>
      <c r="JM569" s="7"/>
      <c r="JN569" s="7"/>
      <c r="JO569" s="7"/>
      <c r="JP569" s="7"/>
      <c r="JQ569" s="7"/>
      <c r="JR569" s="7"/>
      <c r="JS569" s="7"/>
      <c r="JT569" s="7"/>
      <c r="JU569" s="7"/>
      <c r="JV569" s="7"/>
      <c r="JW569" s="7"/>
      <c r="JX569" s="7"/>
      <c r="JY569" s="7"/>
      <c r="JZ569" s="7"/>
      <c r="KA569" s="7"/>
      <c r="KB569" s="7"/>
      <c r="KC569" s="7"/>
      <c r="KD569" s="7"/>
      <c r="KE569" s="7"/>
      <c r="KF569" s="7"/>
      <c r="KG569" s="7"/>
      <c r="KH569" s="7"/>
      <c r="KI569" s="7"/>
      <c r="KJ569" s="7"/>
      <c r="KK569" s="7"/>
      <c r="KL569" s="7"/>
      <c r="KM569" s="7"/>
      <c r="KN569" s="7"/>
    </row>
    <row r="570">
      <c r="A570" s="6"/>
      <c r="B570" s="6" t="s">
        <v>570</v>
      </c>
      <c r="C570" s="3" t="str">
        <f t="shared" si="3"/>
        <v>dim lavender</v>
      </c>
      <c r="D570" s="3" t="str">
        <f t="shared" si="17"/>
        <v>ZZZ</v>
      </c>
      <c r="E570" s="3" t="b">
        <f t="array" ref="E570">OR(ISNUMBER(SEARCH(D$2:D$30,$B570,5)))</f>
        <v>0</v>
      </c>
      <c r="G570" s="3" t="str">
        <f t="shared" si="4"/>
        <v>ZZZ</v>
      </c>
      <c r="H570" s="3" t="b">
        <f t="array" ref="H570">OR(ISNUMBER(SEARCH(G$2:G$30,$B570,5)))</f>
        <v>0</v>
      </c>
      <c r="J570" s="3" t="str">
        <f t="shared" si="5"/>
        <v>ZZZ</v>
      </c>
      <c r="K570" s="3" t="b">
        <f t="array" ref="K570">OR(ISNUMBER(SEARCH(J$2:J$30,$B570,5)))</f>
        <v>0</v>
      </c>
      <c r="M570" s="3" t="str">
        <f t="shared" si="6"/>
        <v>ZZZ</v>
      </c>
      <c r="N570" s="3" t="b">
        <f t="array" ref="N570">OR(ISNUMBER(SEARCH(M$2:M$30,$B570,5)))</f>
        <v>0</v>
      </c>
      <c r="P570" s="3" t="str">
        <f t="shared" si="7"/>
        <v>ZZZ</v>
      </c>
      <c r="Q570" s="3" t="b">
        <f t="array" ref="Q570">OR(ISNUMBER(SEARCH(P$2:P$50,$B570,5)))</f>
        <v>0</v>
      </c>
      <c r="S570" s="3" t="str">
        <f t="shared" si="8"/>
        <v>ZZZ</v>
      </c>
      <c r="T570" s="3" t="b">
        <f t="array" ref="T570">OR(ISNUMBER(SEARCH(S$2:S$100,$B570,5)))</f>
        <v>0</v>
      </c>
      <c r="V570" s="3" t="str">
        <f t="shared" si="9"/>
        <v>ZZZ</v>
      </c>
      <c r="W570" s="3" t="b">
        <f t="array" ref="W570">OR(ISNUMBER(SEARCH(V$2:V$100,$B570,5)))</f>
        <v>0</v>
      </c>
      <c r="Y570" s="3" t="str">
        <f t="shared" si="10"/>
        <v>ZZZ</v>
      </c>
      <c r="Z570" s="3" t="b">
        <f t="array" ref="Z570">OR(ISNUMBER(SEARCH(Y$2:Y$100,$B570,5)))</f>
        <v>0</v>
      </c>
      <c r="AB570" s="3" t="str">
        <f t="shared" si="11"/>
        <v>ZZZ</v>
      </c>
      <c r="AC570" s="3" t="b">
        <f t="array" ref="AC570">OR(ISNUMBER(SEARCH(AB$2:AB$100,$B570,5)))</f>
        <v>0</v>
      </c>
      <c r="AE570" s="3" t="str">
        <f t="shared" si="12"/>
        <v>ZZZ</v>
      </c>
      <c r="AF570" s="3" t="b">
        <f t="array" ref="AF570">OR(ISNUMBER(SEARCH(AE$2:AE$100,$B570,5)))</f>
        <v>0</v>
      </c>
      <c r="AH570" s="3" t="str">
        <f t="shared" si="13"/>
        <v>ZZZ</v>
      </c>
      <c r="AI570" s="3" t="b">
        <f t="array" ref="AI570">OR(ISNUMBER(SEARCH(AH$2:AH$100,$B570,5)))</f>
        <v>0</v>
      </c>
      <c r="AK570" s="3" t="str">
        <f t="shared" si="14"/>
        <v>ZZZ</v>
      </c>
      <c r="AL570" s="3" t="b">
        <f t="array" ref="AL570">OR(ISNUMBER(SEARCH(AK$2:AK$100,$B570,5)))</f>
        <v>0</v>
      </c>
      <c r="AU570" s="8"/>
      <c r="AV570" s="6"/>
      <c r="AW570" s="8"/>
      <c r="AX570" s="8"/>
      <c r="AY570" s="6"/>
      <c r="AZ570" s="8"/>
      <c r="BA570" s="8"/>
      <c r="BB570" s="6"/>
      <c r="BC570" s="8"/>
      <c r="BD570" s="8"/>
      <c r="BE570" s="6"/>
      <c r="BF570" s="8"/>
      <c r="BG570" s="8"/>
      <c r="BH570" s="6"/>
      <c r="BI570" s="8"/>
      <c r="BJ570" s="8"/>
      <c r="BK570" s="6"/>
      <c r="BL570" s="8"/>
      <c r="BM570" s="8"/>
      <c r="BN570" s="6"/>
      <c r="BO570" s="8"/>
      <c r="BP570" s="8"/>
      <c r="BQ570" s="6"/>
      <c r="BR570" s="8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  <c r="ED570" s="7"/>
      <c r="EE570" s="7"/>
      <c r="EF570" s="7"/>
      <c r="EG570" s="7"/>
      <c r="EH570" s="7"/>
      <c r="EI570" s="7"/>
      <c r="EJ570" s="7"/>
      <c r="EK570" s="7"/>
      <c r="EL570" s="7"/>
      <c r="EM570" s="7"/>
      <c r="EN570" s="7"/>
      <c r="EO570" s="7"/>
      <c r="EP570" s="7"/>
      <c r="EQ570" s="7"/>
      <c r="ER570" s="7"/>
      <c r="ES570" s="7"/>
      <c r="ET570" s="7"/>
      <c r="EU570" s="7"/>
      <c r="EV570" s="7"/>
      <c r="EW570" s="7"/>
      <c r="EX570" s="7"/>
      <c r="EY570" s="7"/>
      <c r="EZ570" s="7"/>
      <c r="FA570" s="7"/>
      <c r="FB570" s="7"/>
      <c r="FC570" s="7"/>
      <c r="FD570" s="7"/>
      <c r="FE570" s="7"/>
      <c r="FF570" s="7"/>
      <c r="FG570" s="7"/>
      <c r="FH570" s="7"/>
      <c r="FI570" s="7"/>
      <c r="FJ570" s="7"/>
      <c r="FK570" s="7"/>
      <c r="FL570" s="7"/>
      <c r="FM570" s="7"/>
      <c r="FN570" s="7"/>
      <c r="FO570" s="7"/>
      <c r="FP570" s="7"/>
      <c r="FQ570" s="7"/>
      <c r="FR570" s="7"/>
      <c r="FS570" s="7"/>
      <c r="FT570" s="7"/>
      <c r="FU570" s="7"/>
      <c r="FV570" s="7"/>
      <c r="FW570" s="7"/>
      <c r="FX570" s="7"/>
      <c r="FY570" s="7"/>
      <c r="FZ570" s="7"/>
      <c r="GA570" s="7"/>
      <c r="GB570" s="7"/>
      <c r="GC570" s="7"/>
      <c r="GD570" s="7"/>
      <c r="GE570" s="7"/>
      <c r="GF570" s="7"/>
      <c r="GG570" s="7"/>
      <c r="GH570" s="7"/>
      <c r="GI570" s="7"/>
      <c r="GJ570" s="7"/>
      <c r="GK570" s="7"/>
      <c r="GL570" s="7"/>
      <c r="GM570" s="7"/>
      <c r="GN570" s="7"/>
      <c r="GO570" s="7"/>
      <c r="GP570" s="7"/>
      <c r="GQ570" s="7"/>
      <c r="GR570" s="7"/>
      <c r="GS570" s="7"/>
      <c r="GT570" s="7"/>
      <c r="GU570" s="7"/>
      <c r="GV570" s="7"/>
      <c r="GW570" s="7"/>
      <c r="GX570" s="7"/>
      <c r="GY570" s="7"/>
      <c r="GZ570" s="7"/>
      <c r="HA570" s="7"/>
      <c r="HB570" s="7"/>
      <c r="HC570" s="7"/>
      <c r="HD570" s="7"/>
      <c r="HE570" s="7"/>
      <c r="HF570" s="7"/>
      <c r="HG570" s="7"/>
      <c r="HH570" s="7"/>
      <c r="HI570" s="7"/>
      <c r="HJ570" s="7"/>
      <c r="HK570" s="7"/>
      <c r="HL570" s="7"/>
      <c r="HM570" s="7"/>
      <c r="HN570" s="7"/>
      <c r="HO570" s="7"/>
      <c r="HP570" s="7"/>
      <c r="HQ570" s="7"/>
      <c r="HR570" s="7"/>
      <c r="HS570" s="7"/>
      <c r="HT570" s="7"/>
      <c r="HU570" s="7"/>
      <c r="HV570" s="7"/>
      <c r="HW570" s="7"/>
      <c r="HX570" s="7"/>
      <c r="HY570" s="7"/>
      <c r="HZ570" s="7"/>
      <c r="IA570" s="7"/>
      <c r="IB570" s="7"/>
      <c r="IC570" s="7"/>
      <c r="ID570" s="7"/>
      <c r="IE570" s="7"/>
      <c r="IF570" s="7"/>
      <c r="IG570" s="7"/>
      <c r="IH570" s="7"/>
      <c r="II570" s="7"/>
      <c r="IJ570" s="7"/>
      <c r="IK570" s="7"/>
      <c r="IL570" s="7"/>
      <c r="IM570" s="7"/>
      <c r="IN570" s="7"/>
      <c r="IO570" s="7"/>
      <c r="IP570" s="7"/>
      <c r="IQ570" s="7"/>
      <c r="IR570" s="7"/>
      <c r="IS570" s="7"/>
      <c r="IT570" s="7"/>
      <c r="IU570" s="7"/>
      <c r="IV570" s="7"/>
      <c r="IW570" s="7"/>
      <c r="IX570" s="7"/>
      <c r="IY570" s="7"/>
      <c r="IZ570" s="7"/>
      <c r="JA570" s="7"/>
      <c r="JB570" s="7"/>
      <c r="JC570" s="7"/>
      <c r="JD570" s="7"/>
      <c r="JE570" s="7"/>
      <c r="JF570" s="7"/>
      <c r="JG570" s="7"/>
      <c r="JH570" s="7"/>
      <c r="JI570" s="7"/>
      <c r="JJ570" s="7"/>
      <c r="JK570" s="7"/>
      <c r="JL570" s="7"/>
      <c r="JM570" s="7"/>
      <c r="JN570" s="7"/>
      <c r="JO570" s="7"/>
      <c r="JP570" s="7"/>
      <c r="JQ570" s="7"/>
      <c r="JR570" s="7"/>
      <c r="JS570" s="7"/>
      <c r="JT570" s="7"/>
      <c r="JU570" s="7"/>
      <c r="JV570" s="7"/>
      <c r="JW570" s="7"/>
      <c r="JX570" s="7"/>
      <c r="JY570" s="7"/>
      <c r="JZ570" s="7"/>
      <c r="KA570" s="7"/>
      <c r="KB570" s="7"/>
      <c r="KC570" s="7"/>
      <c r="KD570" s="7"/>
      <c r="KE570" s="7"/>
      <c r="KF570" s="7"/>
      <c r="KG570" s="7"/>
      <c r="KH570" s="7"/>
      <c r="KI570" s="7"/>
      <c r="KJ570" s="7"/>
      <c r="KK570" s="7"/>
      <c r="KL570" s="7"/>
      <c r="KM570" s="7"/>
      <c r="KN570" s="7"/>
    </row>
    <row r="571">
      <c r="A571" s="6"/>
      <c r="B571" s="6" t="s">
        <v>571</v>
      </c>
      <c r="C571" s="3" t="str">
        <f t="shared" si="3"/>
        <v>striped cyan</v>
      </c>
      <c r="D571" s="3" t="str">
        <f t="shared" si="17"/>
        <v>ZZZ</v>
      </c>
      <c r="E571" s="3" t="b">
        <f t="array" ref="E571">OR(ISNUMBER(SEARCH(D$2:D$30,$B571,5)))</f>
        <v>0</v>
      </c>
      <c r="G571" s="3" t="str">
        <f t="shared" si="4"/>
        <v>ZZZ</v>
      </c>
      <c r="H571" s="3" t="b">
        <f t="array" ref="H571">OR(ISNUMBER(SEARCH(G$2:G$30,$B571,5)))</f>
        <v>0</v>
      </c>
      <c r="J571" s="3" t="str">
        <f t="shared" si="5"/>
        <v>ZZZ</v>
      </c>
      <c r="K571" s="3" t="b">
        <f t="array" ref="K571">OR(ISNUMBER(SEARCH(J$2:J$30,$B571,5)))</f>
        <v>0</v>
      </c>
      <c r="M571" s="3" t="str">
        <f t="shared" si="6"/>
        <v>ZZZ</v>
      </c>
      <c r="N571" s="3" t="b">
        <f t="array" ref="N571">OR(ISNUMBER(SEARCH(M$2:M$30,$B571,5)))</f>
        <v>0</v>
      </c>
      <c r="P571" s="3" t="str">
        <f t="shared" si="7"/>
        <v>ZZZ</v>
      </c>
      <c r="Q571" s="3" t="b">
        <f t="array" ref="Q571">OR(ISNUMBER(SEARCH(P$2:P$50,$B571,5)))</f>
        <v>0</v>
      </c>
      <c r="S571" s="3" t="str">
        <f t="shared" si="8"/>
        <v>ZZZ</v>
      </c>
      <c r="T571" s="3" t="b">
        <f t="array" ref="T571">OR(ISNUMBER(SEARCH(S$2:S$100,$B571,5)))</f>
        <v>0</v>
      </c>
      <c r="V571" s="3" t="str">
        <f t="shared" si="9"/>
        <v>ZZZ</v>
      </c>
      <c r="W571" s="3" t="b">
        <f t="array" ref="W571">OR(ISNUMBER(SEARCH(V$2:V$100,$B571,5)))</f>
        <v>0</v>
      </c>
      <c r="Y571" s="3" t="str">
        <f t="shared" si="10"/>
        <v>ZZZ</v>
      </c>
      <c r="Z571" s="3" t="b">
        <f t="array" ref="Z571">OR(ISNUMBER(SEARCH(Y$2:Y$100,$B571,5)))</f>
        <v>0</v>
      </c>
      <c r="AB571" s="3" t="str">
        <f t="shared" si="11"/>
        <v>ZZZ</v>
      </c>
      <c r="AC571" s="3" t="b">
        <f t="array" ref="AC571">OR(ISNUMBER(SEARCH(AB$2:AB$100,$B571,5)))</f>
        <v>0</v>
      </c>
      <c r="AE571" s="3" t="str">
        <f t="shared" si="12"/>
        <v>ZZZ</v>
      </c>
      <c r="AF571" s="3" t="b">
        <f t="array" ref="AF571">OR(ISNUMBER(SEARCH(AE$2:AE$100,$B571,5)))</f>
        <v>0</v>
      </c>
      <c r="AH571" s="3" t="str">
        <f t="shared" si="13"/>
        <v>ZZZ</v>
      </c>
      <c r="AI571" s="3" t="b">
        <f t="array" ref="AI571">OR(ISNUMBER(SEARCH(AH$2:AH$100,$B571,5)))</f>
        <v>0</v>
      </c>
      <c r="AK571" s="3" t="str">
        <f t="shared" si="14"/>
        <v>ZZZ</v>
      </c>
      <c r="AL571" s="3" t="b">
        <f t="array" ref="AL571">OR(ISNUMBER(SEARCH(AK$2:AK$100,$B571,5)))</f>
        <v>0</v>
      </c>
      <c r="AU571" s="8"/>
      <c r="AV571" s="6"/>
      <c r="AW571" s="8"/>
      <c r="AX571" s="8"/>
      <c r="AY571" s="6"/>
      <c r="AZ571" s="8"/>
      <c r="BA571" s="8"/>
      <c r="BB571" s="6"/>
      <c r="BC571" s="8"/>
      <c r="BD571" s="8"/>
      <c r="BE571" s="6"/>
      <c r="BF571" s="8"/>
      <c r="BG571" s="8"/>
      <c r="BH571" s="6"/>
      <c r="BI571" s="8"/>
      <c r="BJ571" s="8"/>
      <c r="BK571" s="6"/>
      <c r="BL571" s="8"/>
      <c r="BM571" s="8"/>
      <c r="BN571" s="6"/>
      <c r="BO571" s="8"/>
      <c r="BP571" s="8"/>
      <c r="BQ571" s="6"/>
      <c r="BR571" s="8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  <c r="ED571" s="7"/>
      <c r="EE571" s="7"/>
      <c r="EF571" s="7"/>
      <c r="EG571" s="7"/>
      <c r="EH571" s="7"/>
      <c r="EI571" s="7"/>
      <c r="EJ571" s="7"/>
      <c r="EK571" s="7"/>
      <c r="EL571" s="7"/>
      <c r="EM571" s="7"/>
      <c r="EN571" s="7"/>
      <c r="EO571" s="7"/>
      <c r="EP571" s="7"/>
      <c r="EQ571" s="7"/>
      <c r="ER571" s="7"/>
      <c r="ES571" s="7"/>
      <c r="ET571" s="7"/>
      <c r="EU571" s="7"/>
      <c r="EV571" s="7"/>
      <c r="EW571" s="7"/>
      <c r="EX571" s="7"/>
      <c r="EY571" s="7"/>
      <c r="EZ571" s="7"/>
      <c r="FA571" s="7"/>
      <c r="FB571" s="7"/>
      <c r="FC571" s="7"/>
      <c r="FD571" s="7"/>
      <c r="FE571" s="7"/>
      <c r="FF571" s="7"/>
      <c r="FG571" s="7"/>
      <c r="FH571" s="7"/>
      <c r="FI571" s="7"/>
      <c r="FJ571" s="7"/>
      <c r="FK571" s="7"/>
      <c r="FL571" s="7"/>
      <c r="FM571" s="7"/>
      <c r="FN571" s="7"/>
      <c r="FO571" s="7"/>
      <c r="FP571" s="7"/>
      <c r="FQ571" s="7"/>
      <c r="FR571" s="7"/>
      <c r="FS571" s="7"/>
      <c r="FT571" s="7"/>
      <c r="FU571" s="7"/>
      <c r="FV571" s="7"/>
      <c r="FW571" s="7"/>
      <c r="FX571" s="7"/>
      <c r="FY571" s="7"/>
      <c r="FZ571" s="7"/>
      <c r="GA571" s="7"/>
      <c r="GB571" s="7"/>
      <c r="GC571" s="7"/>
      <c r="GD571" s="7"/>
      <c r="GE571" s="7"/>
      <c r="GF571" s="7"/>
      <c r="GG571" s="7"/>
      <c r="GH571" s="7"/>
      <c r="GI571" s="7"/>
      <c r="GJ571" s="7"/>
      <c r="GK571" s="7"/>
      <c r="GL571" s="7"/>
      <c r="GM571" s="7"/>
      <c r="GN571" s="7"/>
      <c r="GO571" s="7"/>
      <c r="GP571" s="7"/>
      <c r="GQ571" s="7"/>
      <c r="GR571" s="7"/>
      <c r="GS571" s="7"/>
      <c r="GT571" s="7"/>
      <c r="GU571" s="7"/>
      <c r="GV571" s="7"/>
      <c r="GW571" s="7"/>
      <c r="GX571" s="7"/>
      <c r="GY571" s="7"/>
      <c r="GZ571" s="7"/>
      <c r="HA571" s="7"/>
      <c r="HB571" s="7"/>
      <c r="HC571" s="7"/>
      <c r="HD571" s="7"/>
      <c r="HE571" s="7"/>
      <c r="HF571" s="7"/>
      <c r="HG571" s="7"/>
      <c r="HH571" s="7"/>
      <c r="HI571" s="7"/>
      <c r="HJ571" s="7"/>
      <c r="HK571" s="7"/>
      <c r="HL571" s="7"/>
      <c r="HM571" s="7"/>
      <c r="HN571" s="7"/>
      <c r="HO571" s="7"/>
      <c r="HP571" s="7"/>
      <c r="HQ571" s="7"/>
      <c r="HR571" s="7"/>
      <c r="HS571" s="7"/>
      <c r="HT571" s="7"/>
      <c r="HU571" s="7"/>
      <c r="HV571" s="7"/>
      <c r="HW571" s="7"/>
      <c r="HX571" s="7"/>
      <c r="HY571" s="7"/>
      <c r="HZ571" s="7"/>
      <c r="IA571" s="7"/>
      <c r="IB571" s="7"/>
      <c r="IC571" s="7"/>
      <c r="ID571" s="7"/>
      <c r="IE571" s="7"/>
      <c r="IF571" s="7"/>
      <c r="IG571" s="7"/>
      <c r="IH571" s="7"/>
      <c r="II571" s="7"/>
      <c r="IJ571" s="7"/>
      <c r="IK571" s="7"/>
      <c r="IL571" s="7"/>
      <c r="IM571" s="7"/>
      <c r="IN571" s="7"/>
      <c r="IO571" s="7"/>
      <c r="IP571" s="7"/>
      <c r="IQ571" s="7"/>
      <c r="IR571" s="7"/>
      <c r="IS571" s="7"/>
      <c r="IT571" s="7"/>
      <c r="IU571" s="7"/>
      <c r="IV571" s="7"/>
      <c r="IW571" s="7"/>
      <c r="IX571" s="7"/>
      <c r="IY571" s="7"/>
      <c r="IZ571" s="7"/>
      <c r="JA571" s="7"/>
      <c r="JB571" s="7"/>
      <c r="JC571" s="7"/>
      <c r="JD571" s="7"/>
      <c r="JE571" s="7"/>
      <c r="JF571" s="7"/>
      <c r="JG571" s="7"/>
      <c r="JH571" s="7"/>
      <c r="JI571" s="7"/>
      <c r="JJ571" s="7"/>
      <c r="JK571" s="7"/>
      <c r="JL571" s="7"/>
      <c r="JM571" s="7"/>
      <c r="JN571" s="7"/>
      <c r="JO571" s="7"/>
      <c r="JP571" s="7"/>
      <c r="JQ571" s="7"/>
      <c r="JR571" s="7"/>
      <c r="JS571" s="7"/>
      <c r="JT571" s="7"/>
      <c r="JU571" s="7"/>
      <c r="JV571" s="7"/>
      <c r="JW571" s="7"/>
      <c r="JX571" s="7"/>
      <c r="JY571" s="7"/>
      <c r="JZ571" s="7"/>
      <c r="KA571" s="7"/>
      <c r="KB571" s="7"/>
      <c r="KC571" s="7"/>
      <c r="KD571" s="7"/>
      <c r="KE571" s="7"/>
      <c r="KF571" s="7"/>
      <c r="KG571" s="7"/>
      <c r="KH571" s="7"/>
      <c r="KI571" s="7"/>
      <c r="KJ571" s="7"/>
      <c r="KK571" s="7"/>
      <c r="KL571" s="7"/>
      <c r="KM571" s="7"/>
      <c r="KN571" s="7"/>
    </row>
    <row r="572">
      <c r="A572" s="6"/>
      <c r="B572" s="6" t="s">
        <v>572</v>
      </c>
      <c r="C572" s="3" t="str">
        <f t="shared" si="3"/>
        <v>dull indigo</v>
      </c>
      <c r="D572" s="3" t="str">
        <f t="shared" si="17"/>
        <v>ZZZ</v>
      </c>
      <c r="E572" s="3" t="b">
        <f t="array" ref="E572">OR(ISNUMBER(SEARCH(D$2:D$30,$B572,5)))</f>
        <v>0</v>
      </c>
      <c r="G572" s="3" t="str">
        <f t="shared" si="4"/>
        <v>ZZZ</v>
      </c>
      <c r="H572" s="3" t="b">
        <f t="array" ref="H572">OR(ISNUMBER(SEARCH(G$2:G$30,$B572,5)))</f>
        <v>0</v>
      </c>
      <c r="J572" s="3" t="str">
        <f t="shared" si="5"/>
        <v>ZZZ</v>
      </c>
      <c r="K572" s="3" t="b">
        <f t="array" ref="K572">OR(ISNUMBER(SEARCH(J$2:J$30,$B572,5)))</f>
        <v>0</v>
      </c>
      <c r="M572" s="3" t="str">
        <f t="shared" si="6"/>
        <v>ZZZ</v>
      </c>
      <c r="N572" s="3" t="b">
        <f t="array" ref="N572">OR(ISNUMBER(SEARCH(M$2:M$30,$B572,5)))</f>
        <v>0</v>
      </c>
      <c r="P572" s="3" t="str">
        <f t="shared" si="7"/>
        <v>ZZZ</v>
      </c>
      <c r="Q572" s="3" t="b">
        <f t="array" ref="Q572">OR(ISNUMBER(SEARCH(P$2:P$50,$B572,5)))</f>
        <v>0</v>
      </c>
      <c r="S572" s="3" t="str">
        <f t="shared" si="8"/>
        <v>ZZZ</v>
      </c>
      <c r="T572" s="3" t="b">
        <f t="array" ref="T572">OR(ISNUMBER(SEARCH(S$2:S$100,$B572,5)))</f>
        <v>0</v>
      </c>
      <c r="V572" s="3" t="str">
        <f t="shared" si="9"/>
        <v>ZZZ</v>
      </c>
      <c r="W572" s="3" t="b">
        <f t="array" ref="W572">OR(ISNUMBER(SEARCH(V$2:V$100,$B572,5)))</f>
        <v>0</v>
      </c>
      <c r="Y572" s="3" t="str">
        <f t="shared" si="10"/>
        <v>ZZZ</v>
      </c>
      <c r="Z572" s="3" t="b">
        <f t="array" ref="Z572">OR(ISNUMBER(SEARCH(Y$2:Y$100,$B572,5)))</f>
        <v>0</v>
      </c>
      <c r="AB572" s="3" t="str">
        <f t="shared" si="11"/>
        <v>ZZZ</v>
      </c>
      <c r="AC572" s="3" t="b">
        <f t="array" ref="AC572">OR(ISNUMBER(SEARCH(AB$2:AB$100,$B572,5)))</f>
        <v>0</v>
      </c>
      <c r="AE572" s="3" t="str">
        <f t="shared" si="12"/>
        <v>ZZZ</v>
      </c>
      <c r="AF572" s="3" t="b">
        <f t="array" ref="AF572">OR(ISNUMBER(SEARCH(AE$2:AE$100,$B572,5)))</f>
        <v>0</v>
      </c>
      <c r="AH572" s="3" t="str">
        <f t="shared" si="13"/>
        <v>ZZZ</v>
      </c>
      <c r="AI572" s="3" t="b">
        <f t="array" ref="AI572">OR(ISNUMBER(SEARCH(AH$2:AH$100,$B572,5)))</f>
        <v>0</v>
      </c>
      <c r="AK572" s="3" t="str">
        <f t="shared" si="14"/>
        <v>ZZZ</v>
      </c>
      <c r="AL572" s="3" t="b">
        <f t="array" ref="AL572">OR(ISNUMBER(SEARCH(AK$2:AK$100,$B572,5)))</f>
        <v>0</v>
      </c>
      <c r="AU572" s="8"/>
      <c r="AV572" s="6"/>
      <c r="AW572" s="8"/>
      <c r="AX572" s="8"/>
      <c r="AY572" s="6"/>
      <c r="AZ572" s="8"/>
      <c r="BA572" s="8"/>
      <c r="BB572" s="6"/>
      <c r="BC572" s="8"/>
      <c r="BD572" s="8"/>
      <c r="BE572" s="6"/>
      <c r="BF572" s="8"/>
      <c r="BG572" s="8"/>
      <c r="BH572" s="6"/>
      <c r="BI572" s="8"/>
      <c r="BJ572" s="8"/>
      <c r="BK572" s="6"/>
      <c r="BL572" s="8"/>
      <c r="BM572" s="8"/>
      <c r="BN572" s="6"/>
      <c r="BO572" s="8"/>
      <c r="BP572" s="8"/>
      <c r="BQ572" s="6"/>
      <c r="BR572" s="8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  <c r="EK572" s="7"/>
      <c r="EL572" s="7"/>
      <c r="EM572" s="7"/>
      <c r="EN572" s="7"/>
      <c r="EO572" s="7"/>
      <c r="EP572" s="7"/>
      <c r="EQ572" s="7"/>
      <c r="ER572" s="7"/>
      <c r="ES572" s="7"/>
      <c r="ET572" s="7"/>
      <c r="EU572" s="7"/>
      <c r="EV572" s="7"/>
      <c r="EW572" s="7"/>
      <c r="EX572" s="7"/>
      <c r="EY572" s="7"/>
      <c r="EZ572" s="7"/>
      <c r="FA572" s="7"/>
      <c r="FB572" s="7"/>
      <c r="FC572" s="7"/>
      <c r="FD572" s="7"/>
      <c r="FE572" s="7"/>
      <c r="FF572" s="7"/>
      <c r="FG572" s="7"/>
      <c r="FH572" s="7"/>
      <c r="FI572" s="7"/>
      <c r="FJ572" s="7"/>
      <c r="FK572" s="7"/>
      <c r="FL572" s="7"/>
      <c r="FM572" s="7"/>
      <c r="FN572" s="7"/>
      <c r="FO572" s="7"/>
      <c r="FP572" s="7"/>
      <c r="FQ572" s="7"/>
      <c r="FR572" s="7"/>
      <c r="FS572" s="7"/>
      <c r="FT572" s="7"/>
      <c r="FU572" s="7"/>
      <c r="FV572" s="7"/>
      <c r="FW572" s="7"/>
      <c r="FX572" s="7"/>
      <c r="FY572" s="7"/>
      <c r="FZ572" s="7"/>
      <c r="GA572" s="7"/>
      <c r="GB572" s="7"/>
      <c r="GC572" s="7"/>
      <c r="GD572" s="7"/>
      <c r="GE572" s="7"/>
      <c r="GF572" s="7"/>
      <c r="GG572" s="7"/>
      <c r="GH572" s="7"/>
      <c r="GI572" s="7"/>
      <c r="GJ572" s="7"/>
      <c r="GK572" s="7"/>
      <c r="GL572" s="7"/>
      <c r="GM572" s="7"/>
      <c r="GN572" s="7"/>
      <c r="GO572" s="7"/>
      <c r="GP572" s="7"/>
      <c r="GQ572" s="7"/>
      <c r="GR572" s="7"/>
      <c r="GS572" s="7"/>
      <c r="GT572" s="7"/>
      <c r="GU572" s="7"/>
      <c r="GV572" s="7"/>
      <c r="GW572" s="7"/>
      <c r="GX572" s="7"/>
      <c r="GY572" s="7"/>
      <c r="GZ572" s="7"/>
      <c r="HA572" s="7"/>
      <c r="HB572" s="7"/>
      <c r="HC572" s="7"/>
      <c r="HD572" s="7"/>
      <c r="HE572" s="7"/>
      <c r="HF572" s="7"/>
      <c r="HG572" s="7"/>
      <c r="HH572" s="7"/>
      <c r="HI572" s="7"/>
      <c r="HJ572" s="7"/>
      <c r="HK572" s="7"/>
      <c r="HL572" s="7"/>
      <c r="HM572" s="7"/>
      <c r="HN572" s="7"/>
      <c r="HO572" s="7"/>
      <c r="HP572" s="7"/>
      <c r="HQ572" s="7"/>
      <c r="HR572" s="7"/>
      <c r="HS572" s="7"/>
      <c r="HT572" s="7"/>
      <c r="HU572" s="7"/>
      <c r="HV572" s="7"/>
      <c r="HW572" s="7"/>
      <c r="HX572" s="7"/>
      <c r="HY572" s="7"/>
      <c r="HZ572" s="7"/>
      <c r="IA572" s="7"/>
      <c r="IB572" s="7"/>
      <c r="IC572" s="7"/>
      <c r="ID572" s="7"/>
      <c r="IE572" s="7"/>
      <c r="IF572" s="7"/>
      <c r="IG572" s="7"/>
      <c r="IH572" s="7"/>
      <c r="II572" s="7"/>
      <c r="IJ572" s="7"/>
      <c r="IK572" s="7"/>
      <c r="IL572" s="7"/>
      <c r="IM572" s="7"/>
      <c r="IN572" s="7"/>
      <c r="IO572" s="7"/>
      <c r="IP572" s="7"/>
      <c r="IQ572" s="7"/>
      <c r="IR572" s="7"/>
      <c r="IS572" s="7"/>
      <c r="IT572" s="7"/>
      <c r="IU572" s="7"/>
      <c r="IV572" s="7"/>
      <c r="IW572" s="7"/>
      <c r="IX572" s="7"/>
      <c r="IY572" s="7"/>
      <c r="IZ572" s="7"/>
      <c r="JA572" s="7"/>
      <c r="JB572" s="7"/>
      <c r="JC572" s="7"/>
      <c r="JD572" s="7"/>
      <c r="JE572" s="7"/>
      <c r="JF572" s="7"/>
      <c r="JG572" s="7"/>
      <c r="JH572" s="7"/>
      <c r="JI572" s="7"/>
      <c r="JJ572" s="7"/>
      <c r="JK572" s="7"/>
      <c r="JL572" s="7"/>
      <c r="JM572" s="7"/>
      <c r="JN572" s="7"/>
      <c r="JO572" s="7"/>
      <c r="JP572" s="7"/>
      <c r="JQ572" s="7"/>
      <c r="JR572" s="7"/>
      <c r="JS572" s="7"/>
      <c r="JT572" s="7"/>
      <c r="JU572" s="7"/>
      <c r="JV572" s="7"/>
      <c r="JW572" s="7"/>
      <c r="JX572" s="7"/>
      <c r="JY572" s="7"/>
      <c r="JZ572" s="7"/>
      <c r="KA572" s="7"/>
      <c r="KB572" s="7"/>
      <c r="KC572" s="7"/>
      <c r="KD572" s="7"/>
      <c r="KE572" s="7"/>
      <c r="KF572" s="7"/>
      <c r="KG572" s="7"/>
      <c r="KH572" s="7"/>
      <c r="KI572" s="7"/>
      <c r="KJ572" s="7"/>
      <c r="KK572" s="7"/>
      <c r="KL572" s="7"/>
      <c r="KM572" s="7"/>
      <c r="KN572" s="7"/>
    </row>
    <row r="573">
      <c r="A573" s="6"/>
      <c r="B573" s="6" t="s">
        <v>573</v>
      </c>
      <c r="C573" s="3" t="str">
        <f t="shared" si="3"/>
        <v>faded green</v>
      </c>
      <c r="D573" s="3" t="str">
        <f t="shared" si="17"/>
        <v>ZZZ</v>
      </c>
      <c r="E573" s="3" t="b">
        <f t="array" ref="E573">OR(ISNUMBER(SEARCH(D$2:D$30,$B573,5)))</f>
        <v>0</v>
      </c>
      <c r="G573" s="3" t="str">
        <f t="shared" si="4"/>
        <v>ZZZ</v>
      </c>
      <c r="H573" s="3" t="b">
        <f t="array" ref="H573">OR(ISNUMBER(SEARCH(G$2:G$30,$B573,5)))</f>
        <v>0</v>
      </c>
      <c r="J573" s="3" t="str">
        <f t="shared" si="5"/>
        <v>ZZZ</v>
      </c>
      <c r="K573" s="3" t="b">
        <f t="array" ref="K573">OR(ISNUMBER(SEARCH(J$2:J$30,$B573,5)))</f>
        <v>0</v>
      </c>
      <c r="M573" s="3" t="str">
        <f t="shared" si="6"/>
        <v>ZZZ</v>
      </c>
      <c r="N573" s="3" t="b">
        <f t="array" ref="N573">OR(ISNUMBER(SEARCH(M$2:M$30,$B573,5)))</f>
        <v>0</v>
      </c>
      <c r="P573" s="3" t="str">
        <f t="shared" si="7"/>
        <v>ZZZ</v>
      </c>
      <c r="Q573" s="3" t="b">
        <f t="array" ref="Q573">OR(ISNUMBER(SEARCH(P$2:P$50,$B573,5)))</f>
        <v>0</v>
      </c>
      <c r="S573" s="3" t="str">
        <f t="shared" si="8"/>
        <v>ZZZ</v>
      </c>
      <c r="T573" s="3" t="b">
        <f t="array" ref="T573">OR(ISNUMBER(SEARCH(S$2:S$100,$B573,5)))</f>
        <v>0</v>
      </c>
      <c r="V573" s="3" t="str">
        <f t="shared" si="9"/>
        <v>ZZZ</v>
      </c>
      <c r="W573" s="3" t="b">
        <f t="array" ref="W573">OR(ISNUMBER(SEARCH(V$2:V$100,$B573,5)))</f>
        <v>0</v>
      </c>
      <c r="Y573" s="3" t="str">
        <f t="shared" si="10"/>
        <v>ZZZ</v>
      </c>
      <c r="Z573" s="3" t="b">
        <f t="array" ref="Z573">OR(ISNUMBER(SEARCH(Y$2:Y$100,$B573,5)))</f>
        <v>0</v>
      </c>
      <c r="AB573" s="3" t="str">
        <f t="shared" si="11"/>
        <v>ZZZ</v>
      </c>
      <c r="AC573" s="3" t="b">
        <f t="array" ref="AC573">OR(ISNUMBER(SEARCH(AB$2:AB$100,$B573,5)))</f>
        <v>0</v>
      </c>
      <c r="AE573" s="3" t="str">
        <f t="shared" si="12"/>
        <v>ZZZ</v>
      </c>
      <c r="AF573" s="3" t="b">
        <f t="array" ref="AF573">OR(ISNUMBER(SEARCH(AE$2:AE$100,$B573,5)))</f>
        <v>0</v>
      </c>
      <c r="AH573" s="3" t="str">
        <f t="shared" si="13"/>
        <v>ZZZ</v>
      </c>
      <c r="AI573" s="3" t="b">
        <f t="array" ref="AI573">OR(ISNUMBER(SEARCH(AH$2:AH$100,$B573,5)))</f>
        <v>0</v>
      </c>
      <c r="AK573" s="3" t="str">
        <f t="shared" si="14"/>
        <v>ZZZ</v>
      </c>
      <c r="AL573" s="3" t="b">
        <f t="array" ref="AL573">OR(ISNUMBER(SEARCH(AK$2:AK$100,$B573,5)))</f>
        <v>0</v>
      </c>
      <c r="AU573" s="8"/>
      <c r="AV573" s="6"/>
      <c r="AW573" s="8"/>
      <c r="AX573" s="8"/>
      <c r="AY573" s="6"/>
      <c r="AZ573" s="8"/>
      <c r="BA573" s="8"/>
      <c r="BB573" s="6"/>
      <c r="BC573" s="8"/>
      <c r="BD573" s="8"/>
      <c r="BE573" s="6"/>
      <c r="BF573" s="8"/>
      <c r="BG573" s="8"/>
      <c r="BH573" s="6"/>
      <c r="BI573" s="8"/>
      <c r="BJ573" s="8"/>
      <c r="BK573" s="6"/>
      <c r="BL573" s="8"/>
      <c r="BM573" s="8"/>
      <c r="BN573" s="6"/>
      <c r="BO573" s="8"/>
      <c r="BP573" s="8"/>
      <c r="BQ573" s="6"/>
      <c r="BR573" s="8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  <c r="ED573" s="7"/>
      <c r="EE573" s="7"/>
      <c r="EF573" s="7"/>
      <c r="EG573" s="7"/>
      <c r="EH573" s="7"/>
      <c r="EI573" s="7"/>
      <c r="EJ573" s="7"/>
      <c r="EK573" s="7"/>
      <c r="EL573" s="7"/>
      <c r="EM573" s="7"/>
      <c r="EN573" s="7"/>
      <c r="EO573" s="7"/>
      <c r="EP573" s="7"/>
      <c r="EQ573" s="7"/>
      <c r="ER573" s="7"/>
      <c r="ES573" s="7"/>
      <c r="ET573" s="7"/>
      <c r="EU573" s="7"/>
      <c r="EV573" s="7"/>
      <c r="EW573" s="7"/>
      <c r="EX573" s="7"/>
      <c r="EY573" s="7"/>
      <c r="EZ573" s="7"/>
      <c r="FA573" s="7"/>
      <c r="FB573" s="7"/>
      <c r="FC573" s="7"/>
      <c r="FD573" s="7"/>
      <c r="FE573" s="7"/>
      <c r="FF573" s="7"/>
      <c r="FG573" s="7"/>
      <c r="FH573" s="7"/>
      <c r="FI573" s="7"/>
      <c r="FJ573" s="7"/>
      <c r="FK573" s="7"/>
      <c r="FL573" s="7"/>
      <c r="FM573" s="7"/>
      <c r="FN573" s="7"/>
      <c r="FO573" s="7"/>
      <c r="FP573" s="7"/>
      <c r="FQ573" s="7"/>
      <c r="FR573" s="7"/>
      <c r="FS573" s="7"/>
      <c r="FT573" s="7"/>
      <c r="FU573" s="7"/>
      <c r="FV573" s="7"/>
      <c r="FW573" s="7"/>
      <c r="FX573" s="7"/>
      <c r="FY573" s="7"/>
      <c r="FZ573" s="7"/>
      <c r="GA573" s="7"/>
      <c r="GB573" s="7"/>
      <c r="GC573" s="7"/>
      <c r="GD573" s="7"/>
      <c r="GE573" s="7"/>
      <c r="GF573" s="7"/>
      <c r="GG573" s="7"/>
      <c r="GH573" s="7"/>
      <c r="GI573" s="7"/>
      <c r="GJ573" s="7"/>
      <c r="GK573" s="7"/>
      <c r="GL573" s="7"/>
      <c r="GM573" s="7"/>
      <c r="GN573" s="7"/>
      <c r="GO573" s="7"/>
      <c r="GP573" s="7"/>
      <c r="GQ573" s="7"/>
      <c r="GR573" s="7"/>
      <c r="GS573" s="7"/>
      <c r="GT573" s="7"/>
      <c r="GU573" s="7"/>
      <c r="GV573" s="7"/>
      <c r="GW573" s="7"/>
      <c r="GX573" s="7"/>
      <c r="GY573" s="7"/>
      <c r="GZ573" s="7"/>
      <c r="HA573" s="7"/>
      <c r="HB573" s="7"/>
      <c r="HC573" s="7"/>
      <c r="HD573" s="7"/>
      <c r="HE573" s="7"/>
      <c r="HF573" s="7"/>
      <c r="HG573" s="7"/>
      <c r="HH573" s="7"/>
      <c r="HI573" s="7"/>
      <c r="HJ573" s="7"/>
      <c r="HK573" s="7"/>
      <c r="HL573" s="7"/>
      <c r="HM573" s="7"/>
      <c r="HN573" s="7"/>
      <c r="HO573" s="7"/>
      <c r="HP573" s="7"/>
      <c r="HQ573" s="7"/>
      <c r="HR573" s="7"/>
      <c r="HS573" s="7"/>
      <c r="HT573" s="7"/>
      <c r="HU573" s="7"/>
      <c r="HV573" s="7"/>
      <c r="HW573" s="7"/>
      <c r="HX573" s="7"/>
      <c r="HY573" s="7"/>
      <c r="HZ573" s="7"/>
      <c r="IA573" s="7"/>
      <c r="IB573" s="7"/>
      <c r="IC573" s="7"/>
      <c r="ID573" s="7"/>
      <c r="IE573" s="7"/>
      <c r="IF573" s="7"/>
      <c r="IG573" s="7"/>
      <c r="IH573" s="7"/>
      <c r="II573" s="7"/>
      <c r="IJ573" s="7"/>
      <c r="IK573" s="7"/>
      <c r="IL573" s="7"/>
      <c r="IM573" s="7"/>
      <c r="IN573" s="7"/>
      <c r="IO573" s="7"/>
      <c r="IP573" s="7"/>
      <c r="IQ573" s="7"/>
      <c r="IR573" s="7"/>
      <c r="IS573" s="7"/>
      <c r="IT573" s="7"/>
      <c r="IU573" s="7"/>
      <c r="IV573" s="7"/>
      <c r="IW573" s="7"/>
      <c r="IX573" s="7"/>
      <c r="IY573" s="7"/>
      <c r="IZ573" s="7"/>
      <c r="JA573" s="7"/>
      <c r="JB573" s="7"/>
      <c r="JC573" s="7"/>
      <c r="JD573" s="7"/>
      <c r="JE573" s="7"/>
      <c r="JF573" s="7"/>
      <c r="JG573" s="7"/>
      <c r="JH573" s="7"/>
      <c r="JI573" s="7"/>
      <c r="JJ573" s="7"/>
      <c r="JK573" s="7"/>
      <c r="JL573" s="7"/>
      <c r="JM573" s="7"/>
      <c r="JN573" s="7"/>
      <c r="JO573" s="7"/>
      <c r="JP573" s="7"/>
      <c r="JQ573" s="7"/>
      <c r="JR573" s="7"/>
      <c r="JS573" s="7"/>
      <c r="JT573" s="7"/>
      <c r="JU573" s="7"/>
      <c r="JV573" s="7"/>
      <c r="JW573" s="7"/>
      <c r="JX573" s="7"/>
      <c r="JY573" s="7"/>
      <c r="JZ573" s="7"/>
      <c r="KA573" s="7"/>
      <c r="KB573" s="7"/>
      <c r="KC573" s="7"/>
      <c r="KD573" s="7"/>
      <c r="KE573" s="7"/>
      <c r="KF573" s="7"/>
      <c r="KG573" s="7"/>
      <c r="KH573" s="7"/>
      <c r="KI573" s="7"/>
      <c r="KJ573" s="7"/>
      <c r="KK573" s="7"/>
      <c r="KL573" s="7"/>
      <c r="KM573" s="7"/>
      <c r="KN573" s="7"/>
    </row>
    <row r="574">
      <c r="A574" s="6"/>
      <c r="B574" s="6" t="s">
        <v>574</v>
      </c>
      <c r="C574" s="3" t="str">
        <f t="shared" si="3"/>
        <v>drab fuchsia</v>
      </c>
      <c r="D574" s="3" t="str">
        <f t="shared" si="17"/>
        <v>ZZZ</v>
      </c>
      <c r="E574" s="3" t="b">
        <f t="array" ref="E574">OR(ISNUMBER(SEARCH(D$2:D$30,$B574,5)))</f>
        <v>0</v>
      </c>
      <c r="G574" s="3" t="str">
        <f t="shared" si="4"/>
        <v>ZZZ</v>
      </c>
      <c r="H574" s="3" t="b">
        <f t="array" ref="H574">OR(ISNUMBER(SEARCH(G$2:G$30,$B574,5)))</f>
        <v>0</v>
      </c>
      <c r="J574" s="3" t="str">
        <f t="shared" si="5"/>
        <v>ZZZ</v>
      </c>
      <c r="K574" s="3" t="b">
        <f t="array" ref="K574">OR(ISNUMBER(SEARCH(J$2:J$30,$B574,5)))</f>
        <v>0</v>
      </c>
      <c r="M574" s="3" t="str">
        <f t="shared" si="6"/>
        <v>ZZZ</v>
      </c>
      <c r="N574" s="3" t="b">
        <f t="array" ref="N574">OR(ISNUMBER(SEARCH(M$2:M$30,$B574,5)))</f>
        <v>0</v>
      </c>
      <c r="P574" s="3" t="str">
        <f t="shared" si="7"/>
        <v>ZZZ</v>
      </c>
      <c r="Q574" s="3" t="b">
        <f t="array" ref="Q574">OR(ISNUMBER(SEARCH(P$2:P$50,$B574,5)))</f>
        <v>0</v>
      </c>
      <c r="S574" s="3" t="str">
        <f t="shared" si="8"/>
        <v>ZZZ</v>
      </c>
      <c r="T574" s="3" t="b">
        <f t="array" ref="T574">OR(ISNUMBER(SEARCH(S$2:S$100,$B574,5)))</f>
        <v>0</v>
      </c>
      <c r="V574" s="3" t="str">
        <f t="shared" si="9"/>
        <v>ZZZ</v>
      </c>
      <c r="W574" s="3" t="b">
        <f t="array" ref="W574">OR(ISNUMBER(SEARCH(V$2:V$100,$B574,5)))</f>
        <v>0</v>
      </c>
      <c r="Y574" s="3" t="str">
        <f t="shared" si="10"/>
        <v>ZZZ</v>
      </c>
      <c r="Z574" s="3" t="b">
        <f t="array" ref="Z574">OR(ISNUMBER(SEARCH(Y$2:Y$100,$B574,5)))</f>
        <v>0</v>
      </c>
      <c r="AB574" s="3" t="str">
        <f t="shared" si="11"/>
        <v>ZZZ</v>
      </c>
      <c r="AC574" s="3" t="b">
        <f t="array" ref="AC574">OR(ISNUMBER(SEARCH(AB$2:AB$100,$B574,5)))</f>
        <v>0</v>
      </c>
      <c r="AE574" s="3" t="str">
        <f t="shared" si="12"/>
        <v>ZZZ</v>
      </c>
      <c r="AF574" s="3" t="b">
        <f t="array" ref="AF574">OR(ISNUMBER(SEARCH(AE$2:AE$100,$B574,5)))</f>
        <v>0</v>
      </c>
      <c r="AH574" s="3" t="str">
        <f t="shared" si="13"/>
        <v>ZZZ</v>
      </c>
      <c r="AI574" s="3" t="b">
        <f t="array" ref="AI574">OR(ISNUMBER(SEARCH(AH$2:AH$100,$B574,5)))</f>
        <v>0</v>
      </c>
      <c r="AK574" s="3" t="str">
        <f t="shared" si="14"/>
        <v>ZZZ</v>
      </c>
      <c r="AL574" s="3" t="b">
        <f t="array" ref="AL574">OR(ISNUMBER(SEARCH(AK$2:AK$100,$B574,5)))</f>
        <v>0</v>
      </c>
      <c r="AU574" s="8"/>
      <c r="AV574" s="6"/>
      <c r="AW574" s="8"/>
      <c r="AX574" s="8"/>
      <c r="AY574" s="6"/>
      <c r="AZ574" s="8"/>
      <c r="BA574" s="8"/>
      <c r="BB574" s="6"/>
      <c r="BC574" s="8"/>
      <c r="BD574" s="8"/>
      <c r="BE574" s="6"/>
      <c r="BF574" s="8"/>
      <c r="BG574" s="8"/>
      <c r="BH574" s="6"/>
      <c r="BI574" s="8"/>
      <c r="BJ574" s="8"/>
      <c r="BK574" s="6"/>
      <c r="BL574" s="8"/>
      <c r="BM574" s="8"/>
      <c r="BN574" s="6"/>
      <c r="BO574" s="8"/>
      <c r="BP574" s="8"/>
      <c r="BQ574" s="6"/>
      <c r="BR574" s="8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  <c r="ED574" s="7"/>
      <c r="EE574" s="7"/>
      <c r="EF574" s="7"/>
      <c r="EG574" s="7"/>
      <c r="EH574" s="7"/>
      <c r="EI574" s="7"/>
      <c r="EJ574" s="7"/>
      <c r="EK574" s="7"/>
      <c r="EL574" s="7"/>
      <c r="EM574" s="7"/>
      <c r="EN574" s="7"/>
      <c r="EO574" s="7"/>
      <c r="EP574" s="7"/>
      <c r="EQ574" s="7"/>
      <c r="ER574" s="7"/>
      <c r="ES574" s="7"/>
      <c r="ET574" s="7"/>
      <c r="EU574" s="7"/>
      <c r="EV574" s="7"/>
      <c r="EW574" s="7"/>
      <c r="EX574" s="7"/>
      <c r="EY574" s="7"/>
      <c r="EZ574" s="7"/>
      <c r="FA574" s="7"/>
      <c r="FB574" s="7"/>
      <c r="FC574" s="7"/>
      <c r="FD574" s="7"/>
      <c r="FE574" s="7"/>
      <c r="FF574" s="7"/>
      <c r="FG574" s="7"/>
      <c r="FH574" s="7"/>
      <c r="FI574" s="7"/>
      <c r="FJ574" s="7"/>
      <c r="FK574" s="7"/>
      <c r="FL574" s="7"/>
      <c r="FM574" s="7"/>
      <c r="FN574" s="7"/>
      <c r="FO574" s="7"/>
      <c r="FP574" s="7"/>
      <c r="FQ574" s="7"/>
      <c r="FR574" s="7"/>
      <c r="FS574" s="7"/>
      <c r="FT574" s="7"/>
      <c r="FU574" s="7"/>
      <c r="FV574" s="7"/>
      <c r="FW574" s="7"/>
      <c r="FX574" s="7"/>
      <c r="FY574" s="7"/>
      <c r="FZ574" s="7"/>
      <c r="GA574" s="7"/>
      <c r="GB574" s="7"/>
      <c r="GC574" s="7"/>
      <c r="GD574" s="7"/>
      <c r="GE574" s="7"/>
      <c r="GF574" s="7"/>
      <c r="GG574" s="7"/>
      <c r="GH574" s="7"/>
      <c r="GI574" s="7"/>
      <c r="GJ574" s="7"/>
      <c r="GK574" s="7"/>
      <c r="GL574" s="7"/>
      <c r="GM574" s="7"/>
      <c r="GN574" s="7"/>
      <c r="GO574" s="7"/>
      <c r="GP574" s="7"/>
      <c r="GQ574" s="7"/>
      <c r="GR574" s="7"/>
      <c r="GS574" s="7"/>
      <c r="GT574" s="7"/>
      <c r="GU574" s="7"/>
      <c r="GV574" s="7"/>
      <c r="GW574" s="7"/>
      <c r="GX574" s="7"/>
      <c r="GY574" s="7"/>
      <c r="GZ574" s="7"/>
      <c r="HA574" s="7"/>
      <c r="HB574" s="7"/>
      <c r="HC574" s="7"/>
      <c r="HD574" s="7"/>
      <c r="HE574" s="7"/>
      <c r="HF574" s="7"/>
      <c r="HG574" s="7"/>
      <c r="HH574" s="7"/>
      <c r="HI574" s="7"/>
      <c r="HJ574" s="7"/>
      <c r="HK574" s="7"/>
      <c r="HL574" s="7"/>
      <c r="HM574" s="7"/>
      <c r="HN574" s="7"/>
      <c r="HO574" s="7"/>
      <c r="HP574" s="7"/>
      <c r="HQ574" s="7"/>
      <c r="HR574" s="7"/>
      <c r="HS574" s="7"/>
      <c r="HT574" s="7"/>
      <c r="HU574" s="7"/>
      <c r="HV574" s="7"/>
      <c r="HW574" s="7"/>
      <c r="HX574" s="7"/>
      <c r="HY574" s="7"/>
      <c r="HZ574" s="7"/>
      <c r="IA574" s="7"/>
      <c r="IB574" s="7"/>
      <c r="IC574" s="7"/>
      <c r="ID574" s="7"/>
      <c r="IE574" s="7"/>
      <c r="IF574" s="7"/>
      <c r="IG574" s="7"/>
      <c r="IH574" s="7"/>
      <c r="II574" s="7"/>
      <c r="IJ574" s="7"/>
      <c r="IK574" s="7"/>
      <c r="IL574" s="7"/>
      <c r="IM574" s="7"/>
      <c r="IN574" s="7"/>
      <c r="IO574" s="7"/>
      <c r="IP574" s="7"/>
      <c r="IQ574" s="7"/>
      <c r="IR574" s="7"/>
      <c r="IS574" s="7"/>
      <c r="IT574" s="7"/>
      <c r="IU574" s="7"/>
      <c r="IV574" s="7"/>
      <c r="IW574" s="7"/>
      <c r="IX574" s="7"/>
      <c r="IY574" s="7"/>
      <c r="IZ574" s="7"/>
      <c r="JA574" s="7"/>
      <c r="JB574" s="7"/>
      <c r="JC574" s="7"/>
      <c r="JD574" s="7"/>
      <c r="JE574" s="7"/>
      <c r="JF574" s="7"/>
      <c r="JG574" s="7"/>
      <c r="JH574" s="7"/>
      <c r="JI574" s="7"/>
      <c r="JJ574" s="7"/>
      <c r="JK574" s="7"/>
      <c r="JL574" s="7"/>
      <c r="JM574" s="7"/>
      <c r="JN574" s="7"/>
      <c r="JO574" s="7"/>
      <c r="JP574" s="7"/>
      <c r="JQ574" s="7"/>
      <c r="JR574" s="7"/>
      <c r="JS574" s="7"/>
      <c r="JT574" s="7"/>
      <c r="JU574" s="7"/>
      <c r="JV574" s="7"/>
      <c r="JW574" s="7"/>
      <c r="JX574" s="7"/>
      <c r="JY574" s="7"/>
      <c r="JZ574" s="7"/>
      <c r="KA574" s="7"/>
      <c r="KB574" s="7"/>
      <c r="KC574" s="7"/>
      <c r="KD574" s="7"/>
      <c r="KE574" s="7"/>
      <c r="KF574" s="7"/>
      <c r="KG574" s="7"/>
      <c r="KH574" s="7"/>
      <c r="KI574" s="7"/>
      <c r="KJ574" s="7"/>
      <c r="KK574" s="7"/>
      <c r="KL574" s="7"/>
      <c r="KM574" s="7"/>
      <c r="KN574" s="7"/>
    </row>
    <row r="575">
      <c r="A575" s="6"/>
      <c r="B575" s="6" t="s">
        <v>575</v>
      </c>
      <c r="C575" s="3" t="str">
        <f t="shared" si="3"/>
        <v>drab gold</v>
      </c>
      <c r="D575" s="3" t="str">
        <f t="shared" si="17"/>
        <v>ZZZ</v>
      </c>
      <c r="E575" s="3" t="b">
        <f t="array" ref="E575">OR(ISNUMBER(SEARCH(D$2:D$30,$B575,5)))</f>
        <v>0</v>
      </c>
      <c r="G575" s="3" t="str">
        <f t="shared" si="4"/>
        <v>ZZZ</v>
      </c>
      <c r="H575" s="3" t="b">
        <f t="array" ref="H575">OR(ISNUMBER(SEARCH(G$2:G$30,$B575,5)))</f>
        <v>0</v>
      </c>
      <c r="J575" s="3" t="str">
        <f t="shared" si="5"/>
        <v>ZZZ</v>
      </c>
      <c r="K575" s="3" t="b">
        <f t="array" ref="K575">OR(ISNUMBER(SEARCH(J$2:J$30,$B575,5)))</f>
        <v>0</v>
      </c>
      <c r="M575" s="3" t="str">
        <f t="shared" si="6"/>
        <v>ZZZ</v>
      </c>
      <c r="N575" s="3" t="b">
        <f t="array" ref="N575">OR(ISNUMBER(SEARCH(M$2:M$30,$B575,5)))</f>
        <v>0</v>
      </c>
      <c r="P575" s="3" t="str">
        <f t="shared" si="7"/>
        <v>ZZZ</v>
      </c>
      <c r="Q575" s="3" t="b">
        <f t="array" ref="Q575">OR(ISNUMBER(SEARCH(P$2:P$50,$B575,5)))</f>
        <v>0</v>
      </c>
      <c r="S575" s="3" t="str">
        <f t="shared" si="8"/>
        <v>ZZZ</v>
      </c>
      <c r="T575" s="3" t="b">
        <f t="array" ref="T575">OR(ISNUMBER(SEARCH(S$2:S$100,$B575,5)))</f>
        <v>0</v>
      </c>
      <c r="V575" s="3" t="str">
        <f t="shared" si="9"/>
        <v>ZZZ</v>
      </c>
      <c r="W575" s="3" t="b">
        <f t="array" ref="W575">OR(ISNUMBER(SEARCH(V$2:V$100,$B575,5)))</f>
        <v>0</v>
      </c>
      <c r="Y575" s="3" t="str">
        <f t="shared" si="10"/>
        <v>ZZZ</v>
      </c>
      <c r="Z575" s="3" t="b">
        <f t="array" ref="Z575">OR(ISNUMBER(SEARCH(Y$2:Y$100,$B575,5)))</f>
        <v>0</v>
      </c>
      <c r="AB575" s="3" t="str">
        <f t="shared" si="11"/>
        <v>ZZZ</v>
      </c>
      <c r="AC575" s="3" t="b">
        <f t="array" ref="AC575">OR(ISNUMBER(SEARCH(AB$2:AB$100,$B575,5)))</f>
        <v>0</v>
      </c>
      <c r="AE575" s="3" t="str">
        <f t="shared" si="12"/>
        <v>ZZZ</v>
      </c>
      <c r="AF575" s="3" t="b">
        <f t="array" ref="AF575">OR(ISNUMBER(SEARCH(AE$2:AE$100,$B575,5)))</f>
        <v>0</v>
      </c>
      <c r="AH575" s="3" t="str">
        <f t="shared" si="13"/>
        <v>ZZZ</v>
      </c>
      <c r="AI575" s="3" t="b">
        <f t="array" ref="AI575">OR(ISNUMBER(SEARCH(AH$2:AH$100,$B575,5)))</f>
        <v>0</v>
      </c>
      <c r="AK575" s="3" t="str">
        <f t="shared" si="14"/>
        <v>ZZZ</v>
      </c>
      <c r="AL575" s="3" t="b">
        <f t="array" ref="AL575">OR(ISNUMBER(SEARCH(AK$2:AK$100,$B575,5)))</f>
        <v>0</v>
      </c>
      <c r="AU575" s="8"/>
      <c r="AV575" s="6"/>
      <c r="AW575" s="8"/>
      <c r="AX575" s="8"/>
      <c r="AY575" s="6"/>
      <c r="AZ575" s="8"/>
      <c r="BA575" s="8"/>
      <c r="BB575" s="6"/>
      <c r="BC575" s="8"/>
      <c r="BD575" s="8"/>
      <c r="BE575" s="6"/>
      <c r="BF575" s="8"/>
      <c r="BG575" s="8"/>
      <c r="BH575" s="6"/>
      <c r="BI575" s="8"/>
      <c r="BJ575" s="8"/>
      <c r="BK575" s="6"/>
      <c r="BL575" s="8"/>
      <c r="BM575" s="8"/>
      <c r="BN575" s="6"/>
      <c r="BO575" s="8"/>
      <c r="BP575" s="8"/>
      <c r="BQ575" s="6"/>
      <c r="BR575" s="8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7"/>
      <c r="EM575" s="7"/>
      <c r="EN575" s="7"/>
      <c r="EO575" s="7"/>
      <c r="EP575" s="7"/>
      <c r="EQ575" s="7"/>
      <c r="ER575" s="7"/>
      <c r="ES575" s="7"/>
      <c r="ET575" s="7"/>
      <c r="EU575" s="7"/>
      <c r="EV575" s="7"/>
      <c r="EW575" s="7"/>
      <c r="EX575" s="7"/>
      <c r="EY575" s="7"/>
      <c r="EZ575" s="7"/>
      <c r="FA575" s="7"/>
      <c r="FB575" s="7"/>
      <c r="FC575" s="7"/>
      <c r="FD575" s="7"/>
      <c r="FE575" s="7"/>
      <c r="FF575" s="7"/>
      <c r="FG575" s="7"/>
      <c r="FH575" s="7"/>
      <c r="FI575" s="7"/>
      <c r="FJ575" s="7"/>
      <c r="FK575" s="7"/>
      <c r="FL575" s="7"/>
      <c r="FM575" s="7"/>
      <c r="FN575" s="7"/>
      <c r="FO575" s="7"/>
      <c r="FP575" s="7"/>
      <c r="FQ575" s="7"/>
      <c r="FR575" s="7"/>
      <c r="FS575" s="7"/>
      <c r="FT575" s="7"/>
      <c r="FU575" s="7"/>
      <c r="FV575" s="7"/>
      <c r="FW575" s="7"/>
      <c r="FX575" s="7"/>
      <c r="FY575" s="7"/>
      <c r="FZ575" s="7"/>
      <c r="GA575" s="7"/>
      <c r="GB575" s="7"/>
      <c r="GC575" s="7"/>
      <c r="GD575" s="7"/>
      <c r="GE575" s="7"/>
      <c r="GF575" s="7"/>
      <c r="GG575" s="7"/>
      <c r="GH575" s="7"/>
      <c r="GI575" s="7"/>
      <c r="GJ575" s="7"/>
      <c r="GK575" s="7"/>
      <c r="GL575" s="7"/>
      <c r="GM575" s="7"/>
      <c r="GN575" s="7"/>
      <c r="GO575" s="7"/>
      <c r="GP575" s="7"/>
      <c r="GQ575" s="7"/>
      <c r="GR575" s="7"/>
      <c r="GS575" s="7"/>
      <c r="GT575" s="7"/>
      <c r="GU575" s="7"/>
      <c r="GV575" s="7"/>
      <c r="GW575" s="7"/>
      <c r="GX575" s="7"/>
      <c r="GY575" s="7"/>
      <c r="GZ575" s="7"/>
      <c r="HA575" s="7"/>
      <c r="HB575" s="7"/>
      <c r="HC575" s="7"/>
      <c r="HD575" s="7"/>
      <c r="HE575" s="7"/>
      <c r="HF575" s="7"/>
      <c r="HG575" s="7"/>
      <c r="HH575" s="7"/>
      <c r="HI575" s="7"/>
      <c r="HJ575" s="7"/>
      <c r="HK575" s="7"/>
      <c r="HL575" s="7"/>
      <c r="HM575" s="7"/>
      <c r="HN575" s="7"/>
      <c r="HO575" s="7"/>
      <c r="HP575" s="7"/>
      <c r="HQ575" s="7"/>
      <c r="HR575" s="7"/>
      <c r="HS575" s="7"/>
      <c r="HT575" s="7"/>
      <c r="HU575" s="7"/>
      <c r="HV575" s="7"/>
      <c r="HW575" s="7"/>
      <c r="HX575" s="7"/>
      <c r="HY575" s="7"/>
      <c r="HZ575" s="7"/>
      <c r="IA575" s="7"/>
      <c r="IB575" s="7"/>
      <c r="IC575" s="7"/>
      <c r="ID575" s="7"/>
      <c r="IE575" s="7"/>
      <c r="IF575" s="7"/>
      <c r="IG575" s="7"/>
      <c r="IH575" s="7"/>
      <c r="II575" s="7"/>
      <c r="IJ575" s="7"/>
      <c r="IK575" s="7"/>
      <c r="IL575" s="7"/>
      <c r="IM575" s="7"/>
      <c r="IN575" s="7"/>
      <c r="IO575" s="7"/>
      <c r="IP575" s="7"/>
      <c r="IQ575" s="7"/>
      <c r="IR575" s="7"/>
      <c r="IS575" s="7"/>
      <c r="IT575" s="7"/>
      <c r="IU575" s="7"/>
      <c r="IV575" s="7"/>
      <c r="IW575" s="7"/>
      <c r="IX575" s="7"/>
      <c r="IY575" s="7"/>
      <c r="IZ575" s="7"/>
      <c r="JA575" s="7"/>
      <c r="JB575" s="7"/>
      <c r="JC575" s="7"/>
      <c r="JD575" s="7"/>
      <c r="JE575" s="7"/>
      <c r="JF575" s="7"/>
      <c r="JG575" s="7"/>
      <c r="JH575" s="7"/>
      <c r="JI575" s="7"/>
      <c r="JJ575" s="7"/>
      <c r="JK575" s="7"/>
      <c r="JL575" s="7"/>
      <c r="JM575" s="7"/>
      <c r="JN575" s="7"/>
      <c r="JO575" s="7"/>
      <c r="JP575" s="7"/>
      <c r="JQ575" s="7"/>
      <c r="JR575" s="7"/>
      <c r="JS575" s="7"/>
      <c r="JT575" s="7"/>
      <c r="JU575" s="7"/>
      <c r="JV575" s="7"/>
      <c r="JW575" s="7"/>
      <c r="JX575" s="7"/>
      <c r="JY575" s="7"/>
      <c r="JZ575" s="7"/>
      <c r="KA575" s="7"/>
      <c r="KB575" s="7"/>
      <c r="KC575" s="7"/>
      <c r="KD575" s="7"/>
      <c r="KE575" s="7"/>
      <c r="KF575" s="7"/>
      <c r="KG575" s="7"/>
      <c r="KH575" s="7"/>
      <c r="KI575" s="7"/>
      <c r="KJ575" s="7"/>
      <c r="KK575" s="7"/>
      <c r="KL575" s="7"/>
      <c r="KM575" s="7"/>
      <c r="KN575" s="7"/>
    </row>
    <row r="576">
      <c r="A576" s="6"/>
      <c r="B576" s="6" t="s">
        <v>576</v>
      </c>
      <c r="C576" s="3" t="str">
        <f t="shared" si="3"/>
        <v>dotted violet</v>
      </c>
      <c r="D576" s="3" t="str">
        <f t="shared" si="17"/>
        <v>ZZZ</v>
      </c>
      <c r="E576" s="3" t="b">
        <f t="array" ref="E576">OR(ISNUMBER(SEARCH(D$2:D$30,$B576,5)))</f>
        <v>0</v>
      </c>
      <c r="G576" s="3" t="str">
        <f t="shared" si="4"/>
        <v>ZZZ</v>
      </c>
      <c r="H576" s="3" t="b">
        <f t="array" ref="H576">OR(ISNUMBER(SEARCH(G$2:G$30,$B576,5)))</f>
        <v>0</v>
      </c>
      <c r="J576" s="3" t="str">
        <f t="shared" si="5"/>
        <v>ZZZ</v>
      </c>
      <c r="K576" s="3" t="b">
        <f t="array" ref="K576">OR(ISNUMBER(SEARCH(J$2:J$30,$B576,5)))</f>
        <v>1</v>
      </c>
      <c r="M576" s="3" t="str">
        <f t="shared" si="6"/>
        <v>ZZZ</v>
      </c>
      <c r="N576" s="3" t="b">
        <f t="array" ref="N576">OR(ISNUMBER(SEARCH(M$2:M$30,$B576,5)))</f>
        <v>0</v>
      </c>
      <c r="P576" s="3" t="str">
        <f t="shared" si="7"/>
        <v>ZZZ</v>
      </c>
      <c r="Q576" s="3" t="b">
        <f t="array" ref="Q576">OR(ISNUMBER(SEARCH(P$2:P$50,$B576,5)))</f>
        <v>0</v>
      </c>
      <c r="S576" s="3" t="str">
        <f t="shared" si="8"/>
        <v>ZZZ</v>
      </c>
      <c r="T576" s="3" t="b">
        <f t="array" ref="T576">OR(ISNUMBER(SEARCH(S$2:S$100,$B576,5)))</f>
        <v>0</v>
      </c>
      <c r="V576" s="3" t="str">
        <f t="shared" si="9"/>
        <v>ZZZ</v>
      </c>
      <c r="W576" s="3" t="b">
        <f t="array" ref="W576">OR(ISNUMBER(SEARCH(V$2:V$100,$B576,5)))</f>
        <v>0</v>
      </c>
      <c r="Y576" s="3" t="str">
        <f t="shared" si="10"/>
        <v>ZZZ</v>
      </c>
      <c r="Z576" s="3" t="b">
        <f t="array" ref="Z576">OR(ISNUMBER(SEARCH(Y$2:Y$100,$B576,5)))</f>
        <v>0</v>
      </c>
      <c r="AB576" s="3" t="str">
        <f t="shared" si="11"/>
        <v>ZZZ</v>
      </c>
      <c r="AC576" s="3" t="b">
        <f t="array" ref="AC576">OR(ISNUMBER(SEARCH(AB$2:AB$100,$B576,5)))</f>
        <v>0</v>
      </c>
      <c r="AE576" s="3" t="str">
        <f t="shared" si="12"/>
        <v>ZZZ</v>
      </c>
      <c r="AF576" s="3" t="b">
        <f t="array" ref="AF576">OR(ISNUMBER(SEARCH(AE$2:AE$100,$B576,5)))</f>
        <v>0</v>
      </c>
      <c r="AH576" s="3" t="str">
        <f t="shared" si="13"/>
        <v>ZZZ</v>
      </c>
      <c r="AI576" s="3" t="b">
        <f t="array" ref="AI576">OR(ISNUMBER(SEARCH(AH$2:AH$100,$B576,5)))</f>
        <v>0</v>
      </c>
      <c r="AK576" s="3" t="str">
        <f t="shared" si="14"/>
        <v>ZZZ</v>
      </c>
      <c r="AL576" s="3" t="b">
        <f t="array" ref="AL576">OR(ISNUMBER(SEARCH(AK$2:AK$100,$B576,5)))</f>
        <v>0</v>
      </c>
      <c r="AU576" s="8"/>
      <c r="AV576" s="6"/>
      <c r="AW576" s="8"/>
      <c r="AX576" s="8"/>
      <c r="AY576" s="6"/>
      <c r="AZ576" s="8"/>
      <c r="BA576" s="8"/>
      <c r="BB576" s="6"/>
      <c r="BC576" s="8"/>
      <c r="BD576" s="8"/>
      <c r="BE576" s="6"/>
      <c r="BF576" s="8"/>
      <c r="BG576" s="8"/>
      <c r="BH576" s="6"/>
      <c r="BI576" s="8"/>
      <c r="BJ576" s="8"/>
      <c r="BK576" s="6"/>
      <c r="BL576" s="8"/>
      <c r="BM576" s="8"/>
      <c r="BN576" s="6"/>
      <c r="BO576" s="8"/>
      <c r="BP576" s="8"/>
      <c r="BQ576" s="6"/>
      <c r="BR576" s="8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/>
      <c r="EK576" s="7"/>
      <c r="EL576" s="7"/>
      <c r="EM576" s="7"/>
      <c r="EN576" s="7"/>
      <c r="EO576" s="7"/>
      <c r="EP576" s="7"/>
      <c r="EQ576" s="7"/>
      <c r="ER576" s="7"/>
      <c r="ES576" s="7"/>
      <c r="ET576" s="7"/>
      <c r="EU576" s="7"/>
      <c r="EV576" s="7"/>
      <c r="EW576" s="7"/>
      <c r="EX576" s="7"/>
      <c r="EY576" s="7"/>
      <c r="EZ576" s="7"/>
      <c r="FA576" s="7"/>
      <c r="FB576" s="7"/>
      <c r="FC576" s="7"/>
      <c r="FD576" s="7"/>
      <c r="FE576" s="7"/>
      <c r="FF576" s="7"/>
      <c r="FG576" s="7"/>
      <c r="FH576" s="7"/>
      <c r="FI576" s="7"/>
      <c r="FJ576" s="7"/>
      <c r="FK576" s="7"/>
      <c r="FL576" s="7"/>
      <c r="FM576" s="7"/>
      <c r="FN576" s="7"/>
      <c r="FO576" s="7"/>
      <c r="FP576" s="7"/>
      <c r="FQ576" s="7"/>
      <c r="FR576" s="7"/>
      <c r="FS576" s="7"/>
      <c r="FT576" s="7"/>
      <c r="FU576" s="7"/>
      <c r="FV576" s="7"/>
      <c r="FW576" s="7"/>
      <c r="FX576" s="7"/>
      <c r="FY576" s="7"/>
      <c r="FZ576" s="7"/>
      <c r="GA576" s="7"/>
      <c r="GB576" s="7"/>
      <c r="GC576" s="7"/>
      <c r="GD576" s="7"/>
      <c r="GE576" s="7"/>
      <c r="GF576" s="7"/>
      <c r="GG576" s="7"/>
      <c r="GH576" s="7"/>
      <c r="GI576" s="7"/>
      <c r="GJ576" s="7"/>
      <c r="GK576" s="7"/>
      <c r="GL576" s="7"/>
      <c r="GM576" s="7"/>
      <c r="GN576" s="7"/>
      <c r="GO576" s="7"/>
      <c r="GP576" s="7"/>
      <c r="GQ576" s="7"/>
      <c r="GR576" s="7"/>
      <c r="GS576" s="7"/>
      <c r="GT576" s="7"/>
      <c r="GU576" s="7"/>
      <c r="GV576" s="7"/>
      <c r="GW576" s="7"/>
      <c r="GX576" s="7"/>
      <c r="GY576" s="7"/>
      <c r="GZ576" s="7"/>
      <c r="HA576" s="7"/>
      <c r="HB576" s="7"/>
      <c r="HC576" s="7"/>
      <c r="HD576" s="7"/>
      <c r="HE576" s="7"/>
      <c r="HF576" s="7"/>
      <c r="HG576" s="7"/>
      <c r="HH576" s="7"/>
      <c r="HI576" s="7"/>
      <c r="HJ576" s="7"/>
      <c r="HK576" s="7"/>
      <c r="HL576" s="7"/>
      <c r="HM576" s="7"/>
      <c r="HN576" s="7"/>
      <c r="HO576" s="7"/>
      <c r="HP576" s="7"/>
      <c r="HQ576" s="7"/>
      <c r="HR576" s="7"/>
      <c r="HS576" s="7"/>
      <c r="HT576" s="7"/>
      <c r="HU576" s="7"/>
      <c r="HV576" s="7"/>
      <c r="HW576" s="7"/>
      <c r="HX576" s="7"/>
      <c r="HY576" s="7"/>
      <c r="HZ576" s="7"/>
      <c r="IA576" s="7"/>
      <c r="IB576" s="7"/>
      <c r="IC576" s="7"/>
      <c r="ID576" s="7"/>
      <c r="IE576" s="7"/>
      <c r="IF576" s="7"/>
      <c r="IG576" s="7"/>
      <c r="IH576" s="7"/>
      <c r="II576" s="7"/>
      <c r="IJ576" s="7"/>
      <c r="IK576" s="7"/>
      <c r="IL576" s="7"/>
      <c r="IM576" s="7"/>
      <c r="IN576" s="7"/>
      <c r="IO576" s="7"/>
      <c r="IP576" s="7"/>
      <c r="IQ576" s="7"/>
      <c r="IR576" s="7"/>
      <c r="IS576" s="7"/>
      <c r="IT576" s="7"/>
      <c r="IU576" s="7"/>
      <c r="IV576" s="7"/>
      <c r="IW576" s="7"/>
      <c r="IX576" s="7"/>
      <c r="IY576" s="7"/>
      <c r="IZ576" s="7"/>
      <c r="JA576" s="7"/>
      <c r="JB576" s="7"/>
      <c r="JC576" s="7"/>
      <c r="JD576" s="7"/>
      <c r="JE576" s="7"/>
      <c r="JF576" s="7"/>
      <c r="JG576" s="7"/>
      <c r="JH576" s="7"/>
      <c r="JI576" s="7"/>
      <c r="JJ576" s="7"/>
      <c r="JK576" s="7"/>
      <c r="JL576" s="7"/>
      <c r="JM576" s="7"/>
      <c r="JN576" s="7"/>
      <c r="JO576" s="7"/>
      <c r="JP576" s="7"/>
      <c r="JQ576" s="7"/>
      <c r="JR576" s="7"/>
      <c r="JS576" s="7"/>
      <c r="JT576" s="7"/>
      <c r="JU576" s="7"/>
      <c r="JV576" s="7"/>
      <c r="JW576" s="7"/>
      <c r="JX576" s="7"/>
      <c r="JY576" s="7"/>
      <c r="JZ576" s="7"/>
      <c r="KA576" s="7"/>
      <c r="KB576" s="7"/>
      <c r="KC576" s="7"/>
      <c r="KD576" s="7"/>
      <c r="KE576" s="7"/>
      <c r="KF576" s="7"/>
      <c r="KG576" s="7"/>
      <c r="KH576" s="7"/>
      <c r="KI576" s="7"/>
      <c r="KJ576" s="7"/>
      <c r="KK576" s="7"/>
      <c r="KL576" s="7"/>
      <c r="KM576" s="7"/>
      <c r="KN576" s="7"/>
    </row>
    <row r="577">
      <c r="A577" s="6"/>
      <c r="B577" s="6" t="s">
        <v>577</v>
      </c>
      <c r="C577" s="3" t="str">
        <f t="shared" si="3"/>
        <v>shiny turquoise</v>
      </c>
      <c r="D577" s="3" t="str">
        <f t="shared" si="17"/>
        <v>ZZZ</v>
      </c>
      <c r="E577" s="3" t="b">
        <f t="array" ref="E577">OR(ISNUMBER(SEARCH(D$2:D$30,$B577,5)))</f>
        <v>0</v>
      </c>
      <c r="G577" s="3" t="str">
        <f t="shared" si="4"/>
        <v>ZZZ</v>
      </c>
      <c r="H577" s="3" t="b">
        <f t="array" ref="H577">OR(ISNUMBER(SEARCH(G$2:G$30,$B577,5)))</f>
        <v>0</v>
      </c>
      <c r="J577" s="3" t="str">
        <f t="shared" si="5"/>
        <v>ZZZ</v>
      </c>
      <c r="K577" s="3" t="b">
        <f t="array" ref="K577">OR(ISNUMBER(SEARCH(J$2:J$30,$B577,5)))</f>
        <v>0</v>
      </c>
      <c r="M577" s="3" t="str">
        <f t="shared" si="6"/>
        <v>ZZZ</v>
      </c>
      <c r="N577" s="3" t="b">
        <f t="array" ref="N577">OR(ISNUMBER(SEARCH(M$2:M$30,$B577,5)))</f>
        <v>0</v>
      </c>
      <c r="P577" s="3" t="str">
        <f t="shared" si="7"/>
        <v>ZZZ</v>
      </c>
      <c r="Q577" s="3" t="b">
        <f t="array" ref="Q577">OR(ISNUMBER(SEARCH(P$2:P$50,$B577,5)))</f>
        <v>0</v>
      </c>
      <c r="S577" s="3" t="str">
        <f t="shared" si="8"/>
        <v>ZZZ</v>
      </c>
      <c r="T577" s="3" t="b">
        <f t="array" ref="T577">OR(ISNUMBER(SEARCH(S$2:S$100,$B577,5)))</f>
        <v>0</v>
      </c>
      <c r="V577" s="3" t="str">
        <f t="shared" si="9"/>
        <v>ZZZ</v>
      </c>
      <c r="W577" s="3" t="b">
        <f t="array" ref="W577">OR(ISNUMBER(SEARCH(V$2:V$100,$B577,5)))</f>
        <v>0</v>
      </c>
      <c r="Y577" s="3" t="str">
        <f t="shared" si="10"/>
        <v>ZZZ</v>
      </c>
      <c r="Z577" s="3" t="b">
        <f t="array" ref="Z577">OR(ISNUMBER(SEARCH(Y$2:Y$100,$B577,5)))</f>
        <v>0</v>
      </c>
      <c r="AB577" s="3" t="str">
        <f t="shared" si="11"/>
        <v>ZZZ</v>
      </c>
      <c r="AC577" s="3" t="b">
        <f t="array" ref="AC577">OR(ISNUMBER(SEARCH(AB$2:AB$100,$B577,5)))</f>
        <v>0</v>
      </c>
      <c r="AE577" s="3" t="str">
        <f t="shared" si="12"/>
        <v>ZZZ</v>
      </c>
      <c r="AF577" s="3" t="b">
        <f t="array" ref="AF577">OR(ISNUMBER(SEARCH(AE$2:AE$100,$B577,5)))</f>
        <v>0</v>
      </c>
      <c r="AH577" s="3" t="str">
        <f t="shared" si="13"/>
        <v>ZZZ</v>
      </c>
      <c r="AI577" s="3" t="b">
        <f t="array" ref="AI577">OR(ISNUMBER(SEARCH(AH$2:AH$100,$B577,5)))</f>
        <v>0</v>
      </c>
      <c r="AK577" s="3" t="str">
        <f t="shared" si="14"/>
        <v>ZZZ</v>
      </c>
      <c r="AL577" s="3" t="b">
        <f t="array" ref="AL577">OR(ISNUMBER(SEARCH(AK$2:AK$100,$B577,5)))</f>
        <v>0</v>
      </c>
      <c r="AU577" s="8"/>
      <c r="AV577" s="6"/>
      <c r="AW577" s="8"/>
      <c r="AX577" s="8"/>
      <c r="AY577" s="6"/>
      <c r="AZ577" s="8"/>
      <c r="BA577" s="8"/>
      <c r="BB577" s="6"/>
      <c r="BC577" s="8"/>
      <c r="BD577" s="8"/>
      <c r="BE577" s="6"/>
      <c r="BF577" s="8"/>
      <c r="BG577" s="8"/>
      <c r="BH577" s="6"/>
      <c r="BI577" s="8"/>
      <c r="BJ577" s="8"/>
      <c r="BK577" s="6"/>
      <c r="BL577" s="8"/>
      <c r="BM577" s="8"/>
      <c r="BN577" s="6"/>
      <c r="BO577" s="8"/>
      <c r="BP577" s="8"/>
      <c r="BQ577" s="6"/>
      <c r="BR577" s="8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  <c r="ED577" s="7"/>
      <c r="EE577" s="7"/>
      <c r="EF577" s="7"/>
      <c r="EG577" s="7"/>
      <c r="EH577" s="7"/>
      <c r="EI577" s="7"/>
      <c r="EJ577" s="7"/>
      <c r="EK577" s="7"/>
      <c r="EL577" s="7"/>
      <c r="EM577" s="7"/>
      <c r="EN577" s="7"/>
      <c r="EO577" s="7"/>
      <c r="EP577" s="7"/>
      <c r="EQ577" s="7"/>
      <c r="ER577" s="7"/>
      <c r="ES577" s="7"/>
      <c r="ET577" s="7"/>
      <c r="EU577" s="7"/>
      <c r="EV577" s="7"/>
      <c r="EW577" s="7"/>
      <c r="EX577" s="7"/>
      <c r="EY577" s="7"/>
      <c r="EZ577" s="7"/>
      <c r="FA577" s="7"/>
      <c r="FB577" s="7"/>
      <c r="FC577" s="7"/>
      <c r="FD577" s="7"/>
      <c r="FE577" s="7"/>
      <c r="FF577" s="7"/>
      <c r="FG577" s="7"/>
      <c r="FH577" s="7"/>
      <c r="FI577" s="7"/>
      <c r="FJ577" s="7"/>
      <c r="FK577" s="7"/>
      <c r="FL577" s="7"/>
      <c r="FM577" s="7"/>
      <c r="FN577" s="7"/>
      <c r="FO577" s="7"/>
      <c r="FP577" s="7"/>
      <c r="FQ577" s="7"/>
      <c r="FR577" s="7"/>
      <c r="FS577" s="7"/>
      <c r="FT577" s="7"/>
      <c r="FU577" s="7"/>
      <c r="FV577" s="7"/>
      <c r="FW577" s="7"/>
      <c r="FX577" s="7"/>
      <c r="FY577" s="7"/>
      <c r="FZ577" s="7"/>
      <c r="GA577" s="7"/>
      <c r="GB577" s="7"/>
      <c r="GC577" s="7"/>
      <c r="GD577" s="7"/>
      <c r="GE577" s="7"/>
      <c r="GF577" s="7"/>
      <c r="GG577" s="7"/>
      <c r="GH577" s="7"/>
      <c r="GI577" s="7"/>
      <c r="GJ577" s="7"/>
      <c r="GK577" s="7"/>
      <c r="GL577" s="7"/>
      <c r="GM577" s="7"/>
      <c r="GN577" s="7"/>
      <c r="GO577" s="7"/>
      <c r="GP577" s="7"/>
      <c r="GQ577" s="7"/>
      <c r="GR577" s="7"/>
      <c r="GS577" s="7"/>
      <c r="GT577" s="7"/>
      <c r="GU577" s="7"/>
      <c r="GV577" s="7"/>
      <c r="GW577" s="7"/>
      <c r="GX577" s="7"/>
      <c r="GY577" s="7"/>
      <c r="GZ577" s="7"/>
      <c r="HA577" s="7"/>
      <c r="HB577" s="7"/>
      <c r="HC577" s="7"/>
      <c r="HD577" s="7"/>
      <c r="HE577" s="7"/>
      <c r="HF577" s="7"/>
      <c r="HG577" s="7"/>
      <c r="HH577" s="7"/>
      <c r="HI577" s="7"/>
      <c r="HJ577" s="7"/>
      <c r="HK577" s="7"/>
      <c r="HL577" s="7"/>
      <c r="HM577" s="7"/>
      <c r="HN577" s="7"/>
      <c r="HO577" s="7"/>
      <c r="HP577" s="7"/>
      <c r="HQ577" s="7"/>
      <c r="HR577" s="7"/>
      <c r="HS577" s="7"/>
      <c r="HT577" s="7"/>
      <c r="HU577" s="7"/>
      <c r="HV577" s="7"/>
      <c r="HW577" s="7"/>
      <c r="HX577" s="7"/>
      <c r="HY577" s="7"/>
      <c r="HZ577" s="7"/>
      <c r="IA577" s="7"/>
      <c r="IB577" s="7"/>
      <c r="IC577" s="7"/>
      <c r="ID577" s="7"/>
      <c r="IE577" s="7"/>
      <c r="IF577" s="7"/>
      <c r="IG577" s="7"/>
      <c r="IH577" s="7"/>
      <c r="II577" s="7"/>
      <c r="IJ577" s="7"/>
      <c r="IK577" s="7"/>
      <c r="IL577" s="7"/>
      <c r="IM577" s="7"/>
      <c r="IN577" s="7"/>
      <c r="IO577" s="7"/>
      <c r="IP577" s="7"/>
      <c r="IQ577" s="7"/>
      <c r="IR577" s="7"/>
      <c r="IS577" s="7"/>
      <c r="IT577" s="7"/>
      <c r="IU577" s="7"/>
      <c r="IV577" s="7"/>
      <c r="IW577" s="7"/>
      <c r="IX577" s="7"/>
      <c r="IY577" s="7"/>
      <c r="IZ577" s="7"/>
      <c r="JA577" s="7"/>
      <c r="JB577" s="7"/>
      <c r="JC577" s="7"/>
      <c r="JD577" s="7"/>
      <c r="JE577" s="7"/>
      <c r="JF577" s="7"/>
      <c r="JG577" s="7"/>
      <c r="JH577" s="7"/>
      <c r="JI577" s="7"/>
      <c r="JJ577" s="7"/>
      <c r="JK577" s="7"/>
      <c r="JL577" s="7"/>
      <c r="JM577" s="7"/>
      <c r="JN577" s="7"/>
      <c r="JO577" s="7"/>
      <c r="JP577" s="7"/>
      <c r="JQ577" s="7"/>
      <c r="JR577" s="7"/>
      <c r="JS577" s="7"/>
      <c r="JT577" s="7"/>
      <c r="JU577" s="7"/>
      <c r="JV577" s="7"/>
      <c r="JW577" s="7"/>
      <c r="JX577" s="7"/>
      <c r="JY577" s="7"/>
      <c r="JZ577" s="7"/>
      <c r="KA577" s="7"/>
      <c r="KB577" s="7"/>
      <c r="KC577" s="7"/>
      <c r="KD577" s="7"/>
      <c r="KE577" s="7"/>
      <c r="KF577" s="7"/>
      <c r="KG577" s="7"/>
      <c r="KH577" s="7"/>
      <c r="KI577" s="7"/>
      <c r="KJ577" s="7"/>
      <c r="KK577" s="7"/>
      <c r="KL577" s="7"/>
      <c r="KM577" s="7"/>
      <c r="KN577" s="7"/>
    </row>
    <row r="578">
      <c r="A578" s="6"/>
      <c r="B578" s="6" t="s">
        <v>578</v>
      </c>
      <c r="C578" s="3" t="str">
        <f t="shared" si="3"/>
        <v>muted green</v>
      </c>
      <c r="D578" s="3" t="str">
        <f t="shared" si="17"/>
        <v>ZZZ</v>
      </c>
      <c r="E578" s="3" t="b">
        <f t="array" ref="E578">OR(ISNUMBER(SEARCH(D$2:D$30,$B578,5)))</f>
        <v>0</v>
      </c>
      <c r="G578" s="3" t="str">
        <f t="shared" si="4"/>
        <v>ZZZ</v>
      </c>
      <c r="H578" s="3" t="b">
        <f t="array" ref="H578">OR(ISNUMBER(SEARCH(G$2:G$30,$B578,5)))</f>
        <v>0</v>
      </c>
      <c r="J578" s="3" t="str">
        <f t="shared" si="5"/>
        <v>ZZZ</v>
      </c>
      <c r="K578" s="3" t="b">
        <f t="array" ref="K578">OR(ISNUMBER(SEARCH(J$2:J$30,$B578,5)))</f>
        <v>0</v>
      </c>
      <c r="M578" s="3" t="str">
        <f t="shared" si="6"/>
        <v>ZZZ</v>
      </c>
      <c r="N578" s="3" t="b">
        <f t="array" ref="N578">OR(ISNUMBER(SEARCH(M$2:M$30,$B578,5)))</f>
        <v>0</v>
      </c>
      <c r="P578" s="3" t="str">
        <f t="shared" si="7"/>
        <v>ZZZ</v>
      </c>
      <c r="Q578" s="3" t="b">
        <f t="array" ref="Q578">OR(ISNUMBER(SEARCH(P$2:P$50,$B578,5)))</f>
        <v>0</v>
      </c>
      <c r="S578" s="3" t="str">
        <f t="shared" si="8"/>
        <v>ZZZ</v>
      </c>
      <c r="T578" s="3" t="b">
        <f t="array" ref="T578">OR(ISNUMBER(SEARCH(S$2:S$100,$B578,5)))</f>
        <v>0</v>
      </c>
      <c r="V578" s="3" t="str">
        <f t="shared" si="9"/>
        <v>ZZZ</v>
      </c>
      <c r="W578" s="3" t="b">
        <f t="array" ref="W578">OR(ISNUMBER(SEARCH(V$2:V$100,$B578,5)))</f>
        <v>0</v>
      </c>
      <c r="Y578" s="3" t="str">
        <f t="shared" si="10"/>
        <v>ZZZ</v>
      </c>
      <c r="Z578" s="3" t="b">
        <f t="array" ref="Z578">OR(ISNUMBER(SEARCH(Y$2:Y$100,$B578,5)))</f>
        <v>0</v>
      </c>
      <c r="AB578" s="3" t="str">
        <f t="shared" si="11"/>
        <v>ZZZ</v>
      </c>
      <c r="AC578" s="3" t="b">
        <f t="array" ref="AC578">OR(ISNUMBER(SEARCH(AB$2:AB$100,$B578,5)))</f>
        <v>0</v>
      </c>
      <c r="AE578" s="3" t="str">
        <f t="shared" si="12"/>
        <v>ZZZ</v>
      </c>
      <c r="AF578" s="3" t="b">
        <f t="array" ref="AF578">OR(ISNUMBER(SEARCH(AE$2:AE$100,$B578,5)))</f>
        <v>0</v>
      </c>
      <c r="AH578" s="3" t="str">
        <f t="shared" si="13"/>
        <v>ZZZ</v>
      </c>
      <c r="AI578" s="3" t="b">
        <f t="array" ref="AI578">OR(ISNUMBER(SEARCH(AH$2:AH$100,$B578,5)))</f>
        <v>0</v>
      </c>
      <c r="AK578" s="3" t="str">
        <f t="shared" si="14"/>
        <v>ZZZ</v>
      </c>
      <c r="AL578" s="3" t="b">
        <f t="array" ref="AL578">OR(ISNUMBER(SEARCH(AK$2:AK$100,$B578,5)))</f>
        <v>0</v>
      </c>
      <c r="AU578" s="8"/>
      <c r="AV578" s="6"/>
      <c r="AW578" s="8"/>
      <c r="AX578" s="8"/>
      <c r="AY578" s="6"/>
      <c r="AZ578" s="8"/>
      <c r="BA578" s="8"/>
      <c r="BB578" s="6"/>
      <c r="BC578" s="8"/>
      <c r="BD578" s="8"/>
      <c r="BE578" s="6"/>
      <c r="BF578" s="8"/>
      <c r="BG578" s="8"/>
      <c r="BH578" s="6"/>
      <c r="BI578" s="8"/>
      <c r="BJ578" s="8"/>
      <c r="BK578" s="6"/>
      <c r="BL578" s="8"/>
      <c r="BM578" s="8"/>
      <c r="BN578" s="6"/>
      <c r="BO578" s="8"/>
      <c r="BP578" s="8"/>
      <c r="BQ578" s="6"/>
      <c r="BR578" s="8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  <c r="ED578" s="7"/>
      <c r="EE578" s="7"/>
      <c r="EF578" s="7"/>
      <c r="EG578" s="7"/>
      <c r="EH578" s="7"/>
      <c r="EI578" s="7"/>
      <c r="EJ578" s="7"/>
      <c r="EK578" s="7"/>
      <c r="EL578" s="7"/>
      <c r="EM578" s="7"/>
      <c r="EN578" s="7"/>
      <c r="EO578" s="7"/>
      <c r="EP578" s="7"/>
      <c r="EQ578" s="7"/>
      <c r="ER578" s="7"/>
      <c r="ES578" s="7"/>
      <c r="ET578" s="7"/>
      <c r="EU578" s="7"/>
      <c r="EV578" s="7"/>
      <c r="EW578" s="7"/>
      <c r="EX578" s="7"/>
      <c r="EY578" s="7"/>
      <c r="EZ578" s="7"/>
      <c r="FA578" s="7"/>
      <c r="FB578" s="7"/>
      <c r="FC578" s="7"/>
      <c r="FD578" s="7"/>
      <c r="FE578" s="7"/>
      <c r="FF578" s="7"/>
      <c r="FG578" s="7"/>
      <c r="FH578" s="7"/>
      <c r="FI578" s="7"/>
      <c r="FJ578" s="7"/>
      <c r="FK578" s="7"/>
      <c r="FL578" s="7"/>
      <c r="FM578" s="7"/>
      <c r="FN578" s="7"/>
      <c r="FO578" s="7"/>
      <c r="FP578" s="7"/>
      <c r="FQ578" s="7"/>
      <c r="FR578" s="7"/>
      <c r="FS578" s="7"/>
      <c r="FT578" s="7"/>
      <c r="FU578" s="7"/>
      <c r="FV578" s="7"/>
      <c r="FW578" s="7"/>
      <c r="FX578" s="7"/>
      <c r="FY578" s="7"/>
      <c r="FZ578" s="7"/>
      <c r="GA578" s="7"/>
      <c r="GB578" s="7"/>
      <c r="GC578" s="7"/>
      <c r="GD578" s="7"/>
      <c r="GE578" s="7"/>
      <c r="GF578" s="7"/>
      <c r="GG578" s="7"/>
      <c r="GH578" s="7"/>
      <c r="GI578" s="7"/>
      <c r="GJ578" s="7"/>
      <c r="GK578" s="7"/>
      <c r="GL578" s="7"/>
      <c r="GM578" s="7"/>
      <c r="GN578" s="7"/>
      <c r="GO578" s="7"/>
      <c r="GP578" s="7"/>
      <c r="GQ578" s="7"/>
      <c r="GR578" s="7"/>
      <c r="GS578" s="7"/>
      <c r="GT578" s="7"/>
      <c r="GU578" s="7"/>
      <c r="GV578" s="7"/>
      <c r="GW578" s="7"/>
      <c r="GX578" s="7"/>
      <c r="GY578" s="7"/>
      <c r="GZ578" s="7"/>
      <c r="HA578" s="7"/>
      <c r="HB578" s="7"/>
      <c r="HC578" s="7"/>
      <c r="HD578" s="7"/>
      <c r="HE578" s="7"/>
      <c r="HF578" s="7"/>
      <c r="HG578" s="7"/>
      <c r="HH578" s="7"/>
      <c r="HI578" s="7"/>
      <c r="HJ578" s="7"/>
      <c r="HK578" s="7"/>
      <c r="HL578" s="7"/>
      <c r="HM578" s="7"/>
      <c r="HN578" s="7"/>
      <c r="HO578" s="7"/>
      <c r="HP578" s="7"/>
      <c r="HQ578" s="7"/>
      <c r="HR578" s="7"/>
      <c r="HS578" s="7"/>
      <c r="HT578" s="7"/>
      <c r="HU578" s="7"/>
      <c r="HV578" s="7"/>
      <c r="HW578" s="7"/>
      <c r="HX578" s="7"/>
      <c r="HY578" s="7"/>
      <c r="HZ578" s="7"/>
      <c r="IA578" s="7"/>
      <c r="IB578" s="7"/>
      <c r="IC578" s="7"/>
      <c r="ID578" s="7"/>
      <c r="IE578" s="7"/>
      <c r="IF578" s="7"/>
      <c r="IG578" s="7"/>
      <c r="IH578" s="7"/>
      <c r="II578" s="7"/>
      <c r="IJ578" s="7"/>
      <c r="IK578" s="7"/>
      <c r="IL578" s="7"/>
      <c r="IM578" s="7"/>
      <c r="IN578" s="7"/>
      <c r="IO578" s="7"/>
      <c r="IP578" s="7"/>
      <c r="IQ578" s="7"/>
      <c r="IR578" s="7"/>
      <c r="IS578" s="7"/>
      <c r="IT578" s="7"/>
      <c r="IU578" s="7"/>
      <c r="IV578" s="7"/>
      <c r="IW578" s="7"/>
      <c r="IX578" s="7"/>
      <c r="IY578" s="7"/>
      <c r="IZ578" s="7"/>
      <c r="JA578" s="7"/>
      <c r="JB578" s="7"/>
      <c r="JC578" s="7"/>
      <c r="JD578" s="7"/>
      <c r="JE578" s="7"/>
      <c r="JF578" s="7"/>
      <c r="JG578" s="7"/>
      <c r="JH578" s="7"/>
      <c r="JI578" s="7"/>
      <c r="JJ578" s="7"/>
      <c r="JK578" s="7"/>
      <c r="JL578" s="7"/>
      <c r="JM578" s="7"/>
      <c r="JN578" s="7"/>
      <c r="JO578" s="7"/>
      <c r="JP578" s="7"/>
      <c r="JQ578" s="7"/>
      <c r="JR578" s="7"/>
      <c r="JS578" s="7"/>
      <c r="JT578" s="7"/>
      <c r="JU578" s="7"/>
      <c r="JV578" s="7"/>
      <c r="JW578" s="7"/>
      <c r="JX578" s="7"/>
      <c r="JY578" s="7"/>
      <c r="JZ578" s="7"/>
      <c r="KA578" s="7"/>
      <c r="KB578" s="7"/>
      <c r="KC578" s="7"/>
      <c r="KD578" s="7"/>
      <c r="KE578" s="7"/>
      <c r="KF578" s="7"/>
      <c r="KG578" s="7"/>
      <c r="KH578" s="7"/>
      <c r="KI578" s="7"/>
      <c r="KJ578" s="7"/>
      <c r="KK578" s="7"/>
      <c r="KL578" s="7"/>
      <c r="KM578" s="7"/>
      <c r="KN578" s="7"/>
    </row>
    <row r="579">
      <c r="A579" s="6"/>
      <c r="B579" s="6" t="s">
        <v>579</v>
      </c>
      <c r="C579" s="3" t="str">
        <f t="shared" si="3"/>
        <v>pale purple</v>
      </c>
      <c r="D579" s="3" t="str">
        <f t="shared" si="17"/>
        <v>ZZZ</v>
      </c>
      <c r="E579" s="3" t="b">
        <f t="array" ref="E579">OR(ISNUMBER(SEARCH(D$2:D$30,$B579,5)))</f>
        <v>0</v>
      </c>
      <c r="G579" s="3" t="str">
        <f t="shared" si="4"/>
        <v>ZZZ</v>
      </c>
      <c r="H579" s="3" t="b">
        <f t="array" ref="H579">OR(ISNUMBER(SEARCH(G$2:G$30,$B579,5)))</f>
        <v>0</v>
      </c>
      <c r="J579" s="3" t="str">
        <f t="shared" si="5"/>
        <v>ZZZ</v>
      </c>
      <c r="K579" s="3" t="b">
        <f t="array" ref="K579">OR(ISNUMBER(SEARCH(J$2:J$30,$B579,5)))</f>
        <v>0</v>
      </c>
      <c r="M579" s="3" t="str">
        <f t="shared" si="6"/>
        <v>ZZZ</v>
      </c>
      <c r="N579" s="3" t="b">
        <f t="array" ref="N579">OR(ISNUMBER(SEARCH(M$2:M$30,$B579,5)))</f>
        <v>0</v>
      </c>
      <c r="P579" s="3" t="str">
        <f t="shared" si="7"/>
        <v>ZZZ</v>
      </c>
      <c r="Q579" s="3" t="b">
        <f t="array" ref="Q579">OR(ISNUMBER(SEARCH(P$2:P$50,$B579,5)))</f>
        <v>0</v>
      </c>
      <c r="S579" s="3" t="str">
        <f t="shared" si="8"/>
        <v>ZZZ</v>
      </c>
      <c r="T579" s="3" t="b">
        <f t="array" ref="T579">OR(ISNUMBER(SEARCH(S$2:S$100,$B579,5)))</f>
        <v>0</v>
      </c>
      <c r="V579" s="3" t="str">
        <f t="shared" si="9"/>
        <v>ZZZ</v>
      </c>
      <c r="W579" s="3" t="b">
        <f t="array" ref="W579">OR(ISNUMBER(SEARCH(V$2:V$100,$B579,5)))</f>
        <v>0</v>
      </c>
      <c r="Y579" s="3" t="str">
        <f t="shared" si="10"/>
        <v>ZZZ</v>
      </c>
      <c r="Z579" s="3" t="b">
        <f t="array" ref="Z579">OR(ISNUMBER(SEARCH(Y$2:Y$100,$B579,5)))</f>
        <v>0</v>
      </c>
      <c r="AB579" s="3" t="str">
        <f t="shared" si="11"/>
        <v>ZZZ</v>
      </c>
      <c r="AC579" s="3" t="b">
        <f t="array" ref="AC579">OR(ISNUMBER(SEARCH(AB$2:AB$100,$B579,5)))</f>
        <v>0</v>
      </c>
      <c r="AE579" s="3" t="str">
        <f t="shared" si="12"/>
        <v>ZZZ</v>
      </c>
      <c r="AF579" s="3" t="b">
        <f t="array" ref="AF579">OR(ISNUMBER(SEARCH(AE$2:AE$100,$B579,5)))</f>
        <v>0</v>
      </c>
      <c r="AH579" s="3" t="str">
        <f t="shared" si="13"/>
        <v>ZZZ</v>
      </c>
      <c r="AI579" s="3" t="b">
        <f t="array" ref="AI579">OR(ISNUMBER(SEARCH(AH$2:AH$100,$B579,5)))</f>
        <v>0</v>
      </c>
      <c r="AK579" s="3" t="str">
        <f t="shared" si="14"/>
        <v>ZZZ</v>
      </c>
      <c r="AL579" s="3" t="b">
        <f t="array" ref="AL579">OR(ISNUMBER(SEARCH(AK$2:AK$100,$B579,5)))</f>
        <v>0</v>
      </c>
      <c r="AU579" s="8"/>
      <c r="AV579" s="6"/>
      <c r="AW579" s="8"/>
      <c r="AX579" s="8"/>
      <c r="AY579" s="6"/>
      <c r="AZ579" s="8"/>
      <c r="BA579" s="8"/>
      <c r="BB579" s="6"/>
      <c r="BC579" s="8"/>
      <c r="BD579" s="8"/>
      <c r="BE579" s="6"/>
      <c r="BF579" s="8"/>
      <c r="BG579" s="8"/>
      <c r="BH579" s="6"/>
      <c r="BI579" s="8"/>
      <c r="BJ579" s="8"/>
      <c r="BK579" s="6"/>
      <c r="BL579" s="8"/>
      <c r="BM579" s="8"/>
      <c r="BN579" s="6"/>
      <c r="BO579" s="8"/>
      <c r="BP579" s="8"/>
      <c r="BQ579" s="6"/>
      <c r="BR579" s="8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  <c r="EK579" s="7"/>
      <c r="EL579" s="7"/>
      <c r="EM579" s="7"/>
      <c r="EN579" s="7"/>
      <c r="EO579" s="7"/>
      <c r="EP579" s="7"/>
      <c r="EQ579" s="7"/>
      <c r="ER579" s="7"/>
      <c r="ES579" s="7"/>
      <c r="ET579" s="7"/>
      <c r="EU579" s="7"/>
      <c r="EV579" s="7"/>
      <c r="EW579" s="7"/>
      <c r="EX579" s="7"/>
      <c r="EY579" s="7"/>
      <c r="EZ579" s="7"/>
      <c r="FA579" s="7"/>
      <c r="FB579" s="7"/>
      <c r="FC579" s="7"/>
      <c r="FD579" s="7"/>
      <c r="FE579" s="7"/>
      <c r="FF579" s="7"/>
      <c r="FG579" s="7"/>
      <c r="FH579" s="7"/>
      <c r="FI579" s="7"/>
      <c r="FJ579" s="7"/>
      <c r="FK579" s="7"/>
      <c r="FL579" s="7"/>
      <c r="FM579" s="7"/>
      <c r="FN579" s="7"/>
      <c r="FO579" s="7"/>
      <c r="FP579" s="7"/>
      <c r="FQ579" s="7"/>
      <c r="FR579" s="7"/>
      <c r="FS579" s="7"/>
      <c r="FT579" s="7"/>
      <c r="FU579" s="7"/>
      <c r="FV579" s="7"/>
      <c r="FW579" s="7"/>
      <c r="FX579" s="7"/>
      <c r="FY579" s="7"/>
      <c r="FZ579" s="7"/>
      <c r="GA579" s="7"/>
      <c r="GB579" s="7"/>
      <c r="GC579" s="7"/>
      <c r="GD579" s="7"/>
      <c r="GE579" s="7"/>
      <c r="GF579" s="7"/>
      <c r="GG579" s="7"/>
      <c r="GH579" s="7"/>
      <c r="GI579" s="7"/>
      <c r="GJ579" s="7"/>
      <c r="GK579" s="7"/>
      <c r="GL579" s="7"/>
      <c r="GM579" s="7"/>
      <c r="GN579" s="7"/>
      <c r="GO579" s="7"/>
      <c r="GP579" s="7"/>
      <c r="GQ579" s="7"/>
      <c r="GR579" s="7"/>
      <c r="GS579" s="7"/>
      <c r="GT579" s="7"/>
      <c r="GU579" s="7"/>
      <c r="GV579" s="7"/>
      <c r="GW579" s="7"/>
      <c r="GX579" s="7"/>
      <c r="GY579" s="7"/>
      <c r="GZ579" s="7"/>
      <c r="HA579" s="7"/>
      <c r="HB579" s="7"/>
      <c r="HC579" s="7"/>
      <c r="HD579" s="7"/>
      <c r="HE579" s="7"/>
      <c r="HF579" s="7"/>
      <c r="HG579" s="7"/>
      <c r="HH579" s="7"/>
      <c r="HI579" s="7"/>
      <c r="HJ579" s="7"/>
      <c r="HK579" s="7"/>
      <c r="HL579" s="7"/>
      <c r="HM579" s="7"/>
      <c r="HN579" s="7"/>
      <c r="HO579" s="7"/>
      <c r="HP579" s="7"/>
      <c r="HQ579" s="7"/>
      <c r="HR579" s="7"/>
      <c r="HS579" s="7"/>
      <c r="HT579" s="7"/>
      <c r="HU579" s="7"/>
      <c r="HV579" s="7"/>
      <c r="HW579" s="7"/>
      <c r="HX579" s="7"/>
      <c r="HY579" s="7"/>
      <c r="HZ579" s="7"/>
      <c r="IA579" s="7"/>
      <c r="IB579" s="7"/>
      <c r="IC579" s="7"/>
      <c r="ID579" s="7"/>
      <c r="IE579" s="7"/>
      <c r="IF579" s="7"/>
      <c r="IG579" s="7"/>
      <c r="IH579" s="7"/>
      <c r="II579" s="7"/>
      <c r="IJ579" s="7"/>
      <c r="IK579" s="7"/>
      <c r="IL579" s="7"/>
      <c r="IM579" s="7"/>
      <c r="IN579" s="7"/>
      <c r="IO579" s="7"/>
      <c r="IP579" s="7"/>
      <c r="IQ579" s="7"/>
      <c r="IR579" s="7"/>
      <c r="IS579" s="7"/>
      <c r="IT579" s="7"/>
      <c r="IU579" s="7"/>
      <c r="IV579" s="7"/>
      <c r="IW579" s="7"/>
      <c r="IX579" s="7"/>
      <c r="IY579" s="7"/>
      <c r="IZ579" s="7"/>
      <c r="JA579" s="7"/>
      <c r="JB579" s="7"/>
      <c r="JC579" s="7"/>
      <c r="JD579" s="7"/>
      <c r="JE579" s="7"/>
      <c r="JF579" s="7"/>
      <c r="JG579" s="7"/>
      <c r="JH579" s="7"/>
      <c r="JI579" s="7"/>
      <c r="JJ579" s="7"/>
      <c r="JK579" s="7"/>
      <c r="JL579" s="7"/>
      <c r="JM579" s="7"/>
      <c r="JN579" s="7"/>
      <c r="JO579" s="7"/>
      <c r="JP579" s="7"/>
      <c r="JQ579" s="7"/>
      <c r="JR579" s="7"/>
      <c r="JS579" s="7"/>
      <c r="JT579" s="7"/>
      <c r="JU579" s="7"/>
      <c r="JV579" s="7"/>
      <c r="JW579" s="7"/>
      <c r="JX579" s="7"/>
      <c r="JY579" s="7"/>
      <c r="JZ579" s="7"/>
      <c r="KA579" s="7"/>
      <c r="KB579" s="7"/>
      <c r="KC579" s="7"/>
      <c r="KD579" s="7"/>
      <c r="KE579" s="7"/>
      <c r="KF579" s="7"/>
      <c r="KG579" s="7"/>
      <c r="KH579" s="7"/>
      <c r="KI579" s="7"/>
      <c r="KJ579" s="7"/>
      <c r="KK579" s="7"/>
      <c r="KL579" s="7"/>
      <c r="KM579" s="7"/>
      <c r="KN579" s="7"/>
    </row>
    <row r="580">
      <c r="A580" s="6"/>
      <c r="B580" s="6" t="s">
        <v>580</v>
      </c>
      <c r="C580" s="3" t="str">
        <f t="shared" si="3"/>
        <v>posh fuchsia</v>
      </c>
      <c r="D580" s="3" t="str">
        <f t="shared" si="17"/>
        <v>ZZZ</v>
      </c>
      <c r="E580" s="3" t="b">
        <f t="array" ref="E580">OR(ISNUMBER(SEARCH(D$2:D$30,$B580,5)))</f>
        <v>0</v>
      </c>
      <c r="G580" s="3" t="str">
        <f t="shared" si="4"/>
        <v>ZZZ</v>
      </c>
      <c r="H580" s="3" t="b">
        <f t="array" ref="H580">OR(ISNUMBER(SEARCH(G$2:G$30,$B580,5)))</f>
        <v>0</v>
      </c>
      <c r="J580" s="3" t="str">
        <f t="shared" si="5"/>
        <v>ZZZ</v>
      </c>
      <c r="K580" s="3" t="b">
        <f t="array" ref="K580">OR(ISNUMBER(SEARCH(J$2:J$30,$B580,5)))</f>
        <v>0</v>
      </c>
      <c r="M580" s="3" t="str">
        <f t="shared" si="6"/>
        <v>ZZZ</v>
      </c>
      <c r="N580" s="3" t="b">
        <f t="array" ref="N580">OR(ISNUMBER(SEARCH(M$2:M$30,$B580,5)))</f>
        <v>0</v>
      </c>
      <c r="P580" s="3" t="str">
        <f t="shared" si="7"/>
        <v>ZZZ</v>
      </c>
      <c r="Q580" s="3" t="b">
        <f t="array" ref="Q580">OR(ISNUMBER(SEARCH(P$2:P$50,$B580,5)))</f>
        <v>0</v>
      </c>
      <c r="S580" s="3" t="str">
        <f t="shared" si="8"/>
        <v>ZZZ</v>
      </c>
      <c r="T580" s="3" t="b">
        <f t="array" ref="T580">OR(ISNUMBER(SEARCH(S$2:S$100,$B580,5)))</f>
        <v>0</v>
      </c>
      <c r="V580" s="3" t="str">
        <f t="shared" si="9"/>
        <v>ZZZ</v>
      </c>
      <c r="W580" s="3" t="b">
        <f t="array" ref="W580">OR(ISNUMBER(SEARCH(V$2:V$100,$B580,5)))</f>
        <v>0</v>
      </c>
      <c r="Y580" s="3" t="str">
        <f t="shared" si="10"/>
        <v>ZZZ</v>
      </c>
      <c r="Z580" s="3" t="b">
        <f t="array" ref="Z580">OR(ISNUMBER(SEARCH(Y$2:Y$100,$B580,5)))</f>
        <v>0</v>
      </c>
      <c r="AB580" s="3" t="str">
        <f t="shared" si="11"/>
        <v>ZZZ</v>
      </c>
      <c r="AC580" s="3" t="b">
        <f t="array" ref="AC580">OR(ISNUMBER(SEARCH(AB$2:AB$100,$B580,5)))</f>
        <v>0</v>
      </c>
      <c r="AE580" s="3" t="str">
        <f t="shared" si="12"/>
        <v>ZZZ</v>
      </c>
      <c r="AF580" s="3" t="b">
        <f t="array" ref="AF580">OR(ISNUMBER(SEARCH(AE$2:AE$100,$B580,5)))</f>
        <v>1</v>
      </c>
      <c r="AH580" s="3" t="str">
        <f t="shared" si="13"/>
        <v>ZZZ</v>
      </c>
      <c r="AI580" s="3" t="b">
        <f t="array" ref="AI580">OR(ISNUMBER(SEARCH(AH$2:AH$100,$B580,5)))</f>
        <v>0</v>
      </c>
      <c r="AK580" s="3" t="str">
        <f t="shared" si="14"/>
        <v>ZZZ</v>
      </c>
      <c r="AL580" s="3" t="b">
        <f t="array" ref="AL580">OR(ISNUMBER(SEARCH(AK$2:AK$100,$B580,5)))</f>
        <v>0</v>
      </c>
      <c r="AU580" s="8"/>
      <c r="AV580" s="6"/>
      <c r="AW580" s="8"/>
      <c r="AX580" s="8"/>
      <c r="AY580" s="6"/>
      <c r="AZ580" s="8"/>
      <c r="BA580" s="8"/>
      <c r="BB580" s="6"/>
      <c r="BC580" s="8"/>
      <c r="BD580" s="8"/>
      <c r="BE580" s="6"/>
      <c r="BF580" s="8"/>
      <c r="BG580" s="8"/>
      <c r="BH580" s="6"/>
      <c r="BI580" s="8"/>
      <c r="BJ580" s="8"/>
      <c r="BK580" s="6"/>
      <c r="BL580" s="8"/>
      <c r="BM580" s="8"/>
      <c r="BN580" s="6"/>
      <c r="BO580" s="8"/>
      <c r="BP580" s="8"/>
      <c r="BQ580" s="6"/>
      <c r="BR580" s="8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7"/>
      <c r="EM580" s="7"/>
      <c r="EN580" s="7"/>
      <c r="EO580" s="7"/>
      <c r="EP580" s="7"/>
      <c r="EQ580" s="7"/>
      <c r="ER580" s="7"/>
      <c r="ES580" s="7"/>
      <c r="ET580" s="7"/>
      <c r="EU580" s="7"/>
      <c r="EV580" s="7"/>
      <c r="EW580" s="7"/>
      <c r="EX580" s="7"/>
      <c r="EY580" s="7"/>
      <c r="EZ580" s="7"/>
      <c r="FA580" s="7"/>
      <c r="FB580" s="7"/>
      <c r="FC580" s="7"/>
      <c r="FD580" s="7"/>
      <c r="FE580" s="7"/>
      <c r="FF580" s="7"/>
      <c r="FG580" s="7"/>
      <c r="FH580" s="7"/>
      <c r="FI580" s="7"/>
      <c r="FJ580" s="7"/>
      <c r="FK580" s="7"/>
      <c r="FL580" s="7"/>
      <c r="FM580" s="7"/>
      <c r="FN580" s="7"/>
      <c r="FO580" s="7"/>
      <c r="FP580" s="7"/>
      <c r="FQ580" s="7"/>
      <c r="FR580" s="7"/>
      <c r="FS580" s="7"/>
      <c r="FT580" s="7"/>
      <c r="FU580" s="7"/>
      <c r="FV580" s="7"/>
      <c r="FW580" s="7"/>
      <c r="FX580" s="7"/>
      <c r="FY580" s="7"/>
      <c r="FZ580" s="7"/>
      <c r="GA580" s="7"/>
      <c r="GB580" s="7"/>
      <c r="GC580" s="7"/>
      <c r="GD580" s="7"/>
      <c r="GE580" s="7"/>
      <c r="GF580" s="7"/>
      <c r="GG580" s="7"/>
      <c r="GH580" s="7"/>
      <c r="GI580" s="7"/>
      <c r="GJ580" s="7"/>
      <c r="GK580" s="7"/>
      <c r="GL580" s="7"/>
      <c r="GM580" s="7"/>
      <c r="GN580" s="7"/>
      <c r="GO580" s="7"/>
      <c r="GP580" s="7"/>
      <c r="GQ580" s="7"/>
      <c r="GR580" s="7"/>
      <c r="GS580" s="7"/>
      <c r="GT580" s="7"/>
      <c r="GU580" s="7"/>
      <c r="GV580" s="7"/>
      <c r="GW580" s="7"/>
      <c r="GX580" s="7"/>
      <c r="GY580" s="7"/>
      <c r="GZ580" s="7"/>
      <c r="HA580" s="7"/>
      <c r="HB580" s="7"/>
      <c r="HC580" s="7"/>
      <c r="HD580" s="7"/>
      <c r="HE580" s="7"/>
      <c r="HF580" s="7"/>
      <c r="HG580" s="7"/>
      <c r="HH580" s="7"/>
      <c r="HI580" s="7"/>
      <c r="HJ580" s="7"/>
      <c r="HK580" s="7"/>
      <c r="HL580" s="7"/>
      <c r="HM580" s="7"/>
      <c r="HN580" s="7"/>
      <c r="HO580" s="7"/>
      <c r="HP580" s="7"/>
      <c r="HQ580" s="7"/>
      <c r="HR580" s="7"/>
      <c r="HS580" s="7"/>
      <c r="HT580" s="7"/>
      <c r="HU580" s="7"/>
      <c r="HV580" s="7"/>
      <c r="HW580" s="7"/>
      <c r="HX580" s="7"/>
      <c r="HY580" s="7"/>
      <c r="HZ580" s="7"/>
      <c r="IA580" s="7"/>
      <c r="IB580" s="7"/>
      <c r="IC580" s="7"/>
      <c r="ID580" s="7"/>
      <c r="IE580" s="7"/>
      <c r="IF580" s="7"/>
      <c r="IG580" s="7"/>
      <c r="IH580" s="7"/>
      <c r="II580" s="7"/>
      <c r="IJ580" s="7"/>
      <c r="IK580" s="7"/>
      <c r="IL580" s="7"/>
      <c r="IM580" s="7"/>
      <c r="IN580" s="7"/>
      <c r="IO580" s="7"/>
      <c r="IP580" s="7"/>
      <c r="IQ580" s="7"/>
      <c r="IR580" s="7"/>
      <c r="IS580" s="7"/>
      <c r="IT580" s="7"/>
      <c r="IU580" s="7"/>
      <c r="IV580" s="7"/>
      <c r="IW580" s="7"/>
      <c r="IX580" s="7"/>
      <c r="IY580" s="7"/>
      <c r="IZ580" s="7"/>
      <c r="JA580" s="7"/>
      <c r="JB580" s="7"/>
      <c r="JC580" s="7"/>
      <c r="JD580" s="7"/>
      <c r="JE580" s="7"/>
      <c r="JF580" s="7"/>
      <c r="JG580" s="7"/>
      <c r="JH580" s="7"/>
      <c r="JI580" s="7"/>
      <c r="JJ580" s="7"/>
      <c r="JK580" s="7"/>
      <c r="JL580" s="7"/>
      <c r="JM580" s="7"/>
      <c r="JN580" s="7"/>
      <c r="JO580" s="7"/>
      <c r="JP580" s="7"/>
      <c r="JQ580" s="7"/>
      <c r="JR580" s="7"/>
      <c r="JS580" s="7"/>
      <c r="JT580" s="7"/>
      <c r="JU580" s="7"/>
      <c r="JV580" s="7"/>
      <c r="JW580" s="7"/>
      <c r="JX580" s="7"/>
      <c r="JY580" s="7"/>
      <c r="JZ580" s="7"/>
      <c r="KA580" s="7"/>
      <c r="KB580" s="7"/>
      <c r="KC580" s="7"/>
      <c r="KD580" s="7"/>
      <c r="KE580" s="7"/>
      <c r="KF580" s="7"/>
      <c r="KG580" s="7"/>
      <c r="KH580" s="7"/>
      <c r="KI580" s="7"/>
      <c r="KJ580" s="7"/>
      <c r="KK580" s="7"/>
      <c r="KL580" s="7"/>
      <c r="KM580" s="7"/>
      <c r="KN580" s="7"/>
    </row>
    <row r="581">
      <c r="A581" s="6"/>
      <c r="B581" s="6" t="s">
        <v>581</v>
      </c>
      <c r="C581" s="3" t="str">
        <f t="shared" si="3"/>
        <v>drab teal</v>
      </c>
      <c r="D581" s="3" t="str">
        <f t="shared" si="17"/>
        <v>ZZZ</v>
      </c>
      <c r="E581" s="3" t="b">
        <f t="array" ref="E581">OR(ISNUMBER(SEARCH(D$2:D$30,$B581,5)))</f>
        <v>0</v>
      </c>
      <c r="G581" s="3" t="str">
        <f t="shared" si="4"/>
        <v>ZZZ</v>
      </c>
      <c r="H581" s="3" t="b">
        <f t="array" ref="H581">OR(ISNUMBER(SEARCH(G$2:G$30,$B581,5)))</f>
        <v>0</v>
      </c>
      <c r="J581" s="3" t="str">
        <f t="shared" si="5"/>
        <v>ZZZ</v>
      </c>
      <c r="K581" s="3" t="b">
        <f t="array" ref="K581">OR(ISNUMBER(SEARCH(J$2:J$30,$B581,5)))</f>
        <v>0</v>
      </c>
      <c r="M581" s="3" t="str">
        <f t="shared" si="6"/>
        <v>ZZZ</v>
      </c>
      <c r="N581" s="3" t="b">
        <f t="array" ref="N581">OR(ISNUMBER(SEARCH(M$2:M$30,$B581,5)))</f>
        <v>0</v>
      </c>
      <c r="P581" s="3" t="str">
        <f t="shared" si="7"/>
        <v>ZZZ</v>
      </c>
      <c r="Q581" s="3" t="b">
        <f t="array" ref="Q581">OR(ISNUMBER(SEARCH(P$2:P$50,$B581,5)))</f>
        <v>0</v>
      </c>
      <c r="S581" s="3" t="str">
        <f t="shared" si="8"/>
        <v>ZZZ</v>
      </c>
      <c r="T581" s="3" t="b">
        <f t="array" ref="T581">OR(ISNUMBER(SEARCH(S$2:S$100,$B581,5)))</f>
        <v>0</v>
      </c>
      <c r="V581" s="3" t="str">
        <f t="shared" si="9"/>
        <v>ZZZ</v>
      </c>
      <c r="W581" s="3" t="b">
        <f t="array" ref="W581">OR(ISNUMBER(SEARCH(V$2:V$100,$B581,5)))</f>
        <v>0</v>
      </c>
      <c r="Y581" s="3" t="str">
        <f t="shared" si="10"/>
        <v>ZZZ</v>
      </c>
      <c r="Z581" s="3" t="b">
        <f t="array" ref="Z581">OR(ISNUMBER(SEARCH(Y$2:Y$100,$B581,5)))</f>
        <v>0</v>
      </c>
      <c r="AB581" s="3" t="str">
        <f t="shared" si="11"/>
        <v>ZZZ</v>
      </c>
      <c r="AC581" s="3" t="b">
        <f t="array" ref="AC581">OR(ISNUMBER(SEARCH(AB$2:AB$100,$B581,5)))</f>
        <v>0</v>
      </c>
      <c r="AE581" s="3" t="str">
        <f t="shared" si="12"/>
        <v>ZZZ</v>
      </c>
      <c r="AF581" s="3" t="b">
        <f t="array" ref="AF581">OR(ISNUMBER(SEARCH(AE$2:AE$100,$B581,5)))</f>
        <v>0</v>
      </c>
      <c r="AH581" s="3" t="str">
        <f t="shared" si="13"/>
        <v>ZZZ</v>
      </c>
      <c r="AI581" s="3" t="b">
        <f t="array" ref="AI581">OR(ISNUMBER(SEARCH(AH$2:AH$100,$B581,5)))</f>
        <v>0</v>
      </c>
      <c r="AK581" s="3" t="str">
        <f t="shared" si="14"/>
        <v>ZZZ</v>
      </c>
      <c r="AL581" s="3" t="b">
        <f t="array" ref="AL581">OR(ISNUMBER(SEARCH(AK$2:AK$100,$B581,5)))</f>
        <v>0</v>
      </c>
      <c r="AU581" s="8"/>
      <c r="AV581" s="6"/>
      <c r="AW581" s="8"/>
      <c r="AX581" s="8"/>
      <c r="AY581" s="6"/>
      <c r="AZ581" s="8"/>
      <c r="BA581" s="8"/>
      <c r="BB581" s="6"/>
      <c r="BC581" s="8"/>
      <c r="BD581" s="8"/>
      <c r="BE581" s="6"/>
      <c r="BF581" s="8"/>
      <c r="BG581" s="8"/>
      <c r="BH581" s="6"/>
      <c r="BI581" s="8"/>
      <c r="BJ581" s="8"/>
      <c r="BK581" s="6"/>
      <c r="BL581" s="8"/>
      <c r="BM581" s="8"/>
      <c r="BN581" s="6"/>
      <c r="BO581" s="8"/>
      <c r="BP581" s="8"/>
      <c r="BQ581" s="6"/>
      <c r="BR581" s="8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  <c r="EK581" s="7"/>
      <c r="EL581" s="7"/>
      <c r="EM581" s="7"/>
      <c r="EN581" s="7"/>
      <c r="EO581" s="7"/>
      <c r="EP581" s="7"/>
      <c r="EQ581" s="7"/>
      <c r="ER581" s="7"/>
      <c r="ES581" s="7"/>
      <c r="ET581" s="7"/>
      <c r="EU581" s="7"/>
      <c r="EV581" s="7"/>
      <c r="EW581" s="7"/>
      <c r="EX581" s="7"/>
      <c r="EY581" s="7"/>
      <c r="EZ581" s="7"/>
      <c r="FA581" s="7"/>
      <c r="FB581" s="7"/>
      <c r="FC581" s="7"/>
      <c r="FD581" s="7"/>
      <c r="FE581" s="7"/>
      <c r="FF581" s="7"/>
      <c r="FG581" s="7"/>
      <c r="FH581" s="7"/>
      <c r="FI581" s="7"/>
      <c r="FJ581" s="7"/>
      <c r="FK581" s="7"/>
      <c r="FL581" s="7"/>
      <c r="FM581" s="7"/>
      <c r="FN581" s="7"/>
      <c r="FO581" s="7"/>
      <c r="FP581" s="7"/>
      <c r="FQ581" s="7"/>
      <c r="FR581" s="7"/>
      <c r="FS581" s="7"/>
      <c r="FT581" s="7"/>
      <c r="FU581" s="7"/>
      <c r="FV581" s="7"/>
      <c r="FW581" s="7"/>
      <c r="FX581" s="7"/>
      <c r="FY581" s="7"/>
      <c r="FZ581" s="7"/>
      <c r="GA581" s="7"/>
      <c r="GB581" s="7"/>
      <c r="GC581" s="7"/>
      <c r="GD581" s="7"/>
      <c r="GE581" s="7"/>
      <c r="GF581" s="7"/>
      <c r="GG581" s="7"/>
      <c r="GH581" s="7"/>
      <c r="GI581" s="7"/>
      <c r="GJ581" s="7"/>
      <c r="GK581" s="7"/>
      <c r="GL581" s="7"/>
      <c r="GM581" s="7"/>
      <c r="GN581" s="7"/>
      <c r="GO581" s="7"/>
      <c r="GP581" s="7"/>
      <c r="GQ581" s="7"/>
      <c r="GR581" s="7"/>
      <c r="GS581" s="7"/>
      <c r="GT581" s="7"/>
      <c r="GU581" s="7"/>
      <c r="GV581" s="7"/>
      <c r="GW581" s="7"/>
      <c r="GX581" s="7"/>
      <c r="GY581" s="7"/>
      <c r="GZ581" s="7"/>
      <c r="HA581" s="7"/>
      <c r="HB581" s="7"/>
      <c r="HC581" s="7"/>
      <c r="HD581" s="7"/>
      <c r="HE581" s="7"/>
      <c r="HF581" s="7"/>
      <c r="HG581" s="7"/>
      <c r="HH581" s="7"/>
      <c r="HI581" s="7"/>
      <c r="HJ581" s="7"/>
      <c r="HK581" s="7"/>
      <c r="HL581" s="7"/>
      <c r="HM581" s="7"/>
      <c r="HN581" s="7"/>
      <c r="HO581" s="7"/>
      <c r="HP581" s="7"/>
      <c r="HQ581" s="7"/>
      <c r="HR581" s="7"/>
      <c r="HS581" s="7"/>
      <c r="HT581" s="7"/>
      <c r="HU581" s="7"/>
      <c r="HV581" s="7"/>
      <c r="HW581" s="7"/>
      <c r="HX581" s="7"/>
      <c r="HY581" s="7"/>
      <c r="HZ581" s="7"/>
      <c r="IA581" s="7"/>
      <c r="IB581" s="7"/>
      <c r="IC581" s="7"/>
      <c r="ID581" s="7"/>
      <c r="IE581" s="7"/>
      <c r="IF581" s="7"/>
      <c r="IG581" s="7"/>
      <c r="IH581" s="7"/>
      <c r="II581" s="7"/>
      <c r="IJ581" s="7"/>
      <c r="IK581" s="7"/>
      <c r="IL581" s="7"/>
      <c r="IM581" s="7"/>
      <c r="IN581" s="7"/>
      <c r="IO581" s="7"/>
      <c r="IP581" s="7"/>
      <c r="IQ581" s="7"/>
      <c r="IR581" s="7"/>
      <c r="IS581" s="7"/>
      <c r="IT581" s="7"/>
      <c r="IU581" s="7"/>
      <c r="IV581" s="7"/>
      <c r="IW581" s="7"/>
      <c r="IX581" s="7"/>
      <c r="IY581" s="7"/>
      <c r="IZ581" s="7"/>
      <c r="JA581" s="7"/>
      <c r="JB581" s="7"/>
      <c r="JC581" s="7"/>
      <c r="JD581" s="7"/>
      <c r="JE581" s="7"/>
      <c r="JF581" s="7"/>
      <c r="JG581" s="7"/>
      <c r="JH581" s="7"/>
      <c r="JI581" s="7"/>
      <c r="JJ581" s="7"/>
      <c r="JK581" s="7"/>
      <c r="JL581" s="7"/>
      <c r="JM581" s="7"/>
      <c r="JN581" s="7"/>
      <c r="JO581" s="7"/>
      <c r="JP581" s="7"/>
      <c r="JQ581" s="7"/>
      <c r="JR581" s="7"/>
      <c r="JS581" s="7"/>
      <c r="JT581" s="7"/>
      <c r="JU581" s="7"/>
      <c r="JV581" s="7"/>
      <c r="JW581" s="7"/>
      <c r="JX581" s="7"/>
      <c r="JY581" s="7"/>
      <c r="JZ581" s="7"/>
      <c r="KA581" s="7"/>
      <c r="KB581" s="7"/>
      <c r="KC581" s="7"/>
      <c r="KD581" s="7"/>
      <c r="KE581" s="7"/>
      <c r="KF581" s="7"/>
      <c r="KG581" s="7"/>
      <c r="KH581" s="7"/>
      <c r="KI581" s="7"/>
      <c r="KJ581" s="7"/>
      <c r="KK581" s="7"/>
      <c r="KL581" s="7"/>
      <c r="KM581" s="7"/>
      <c r="KN581" s="7"/>
    </row>
    <row r="582">
      <c r="A582" s="6"/>
      <c r="B582" s="6" t="s">
        <v>582</v>
      </c>
      <c r="C582" s="3" t="str">
        <f t="shared" si="3"/>
        <v>mirrored teal</v>
      </c>
      <c r="D582" s="3" t="str">
        <f t="shared" si="17"/>
        <v>ZZZ</v>
      </c>
      <c r="E582" s="3" t="b">
        <f t="array" ref="E582">OR(ISNUMBER(SEARCH(D$2:D$30,$B582,5)))</f>
        <v>0</v>
      </c>
      <c r="G582" s="3" t="str">
        <f t="shared" si="4"/>
        <v>ZZZ</v>
      </c>
      <c r="H582" s="3" t="b">
        <f t="array" ref="H582">OR(ISNUMBER(SEARCH(G$2:G$30,$B582,5)))</f>
        <v>0</v>
      </c>
      <c r="J582" s="3" t="str">
        <f t="shared" si="5"/>
        <v>ZZZ</v>
      </c>
      <c r="K582" s="3" t="b">
        <f t="array" ref="K582">OR(ISNUMBER(SEARCH(J$2:J$30,$B582,5)))</f>
        <v>0</v>
      </c>
      <c r="M582" s="3" t="str">
        <f t="shared" si="6"/>
        <v>ZZZ</v>
      </c>
      <c r="N582" s="3" t="b">
        <f t="array" ref="N582">OR(ISNUMBER(SEARCH(M$2:M$30,$B582,5)))</f>
        <v>0</v>
      </c>
      <c r="P582" s="3" t="str">
        <f t="shared" si="7"/>
        <v>ZZZ</v>
      </c>
      <c r="Q582" s="3" t="b">
        <f t="array" ref="Q582">OR(ISNUMBER(SEARCH(P$2:P$50,$B582,5)))</f>
        <v>0</v>
      </c>
      <c r="S582" s="3" t="str">
        <f t="shared" si="8"/>
        <v>ZZZ</v>
      </c>
      <c r="T582" s="3" t="b">
        <f t="array" ref="T582">OR(ISNUMBER(SEARCH(S$2:S$100,$B582,5)))</f>
        <v>0</v>
      </c>
      <c r="V582" s="3" t="str">
        <f t="shared" si="9"/>
        <v>ZZZ</v>
      </c>
      <c r="W582" s="3" t="b">
        <f t="array" ref="W582">OR(ISNUMBER(SEARCH(V$2:V$100,$B582,5)))</f>
        <v>0</v>
      </c>
      <c r="Y582" s="3" t="str">
        <f t="shared" si="10"/>
        <v>ZZZ</v>
      </c>
      <c r="Z582" s="3" t="b">
        <f t="array" ref="Z582">OR(ISNUMBER(SEARCH(Y$2:Y$100,$B582,5)))</f>
        <v>0</v>
      </c>
      <c r="AB582" s="3" t="str">
        <f t="shared" si="11"/>
        <v>ZZZ</v>
      </c>
      <c r="AC582" s="3" t="b">
        <f t="array" ref="AC582">OR(ISNUMBER(SEARCH(AB$2:AB$100,$B582,5)))</f>
        <v>0</v>
      </c>
      <c r="AE582" s="3" t="str">
        <f t="shared" si="12"/>
        <v>ZZZ</v>
      </c>
      <c r="AF582" s="3" t="b">
        <f t="array" ref="AF582">OR(ISNUMBER(SEARCH(AE$2:AE$100,$B582,5)))</f>
        <v>0</v>
      </c>
      <c r="AH582" s="3" t="str">
        <f t="shared" si="13"/>
        <v>ZZZ</v>
      </c>
      <c r="AI582" s="3" t="b">
        <f t="array" ref="AI582">OR(ISNUMBER(SEARCH(AH$2:AH$100,$B582,5)))</f>
        <v>0</v>
      </c>
      <c r="AK582" s="3" t="str">
        <f t="shared" si="14"/>
        <v>ZZZ</v>
      </c>
      <c r="AL582" s="3" t="b">
        <f t="array" ref="AL582">OR(ISNUMBER(SEARCH(AK$2:AK$100,$B582,5)))</f>
        <v>0</v>
      </c>
      <c r="AU582" s="8"/>
      <c r="AV582" s="6"/>
      <c r="AW582" s="8"/>
      <c r="AX582" s="8"/>
      <c r="AY582" s="6"/>
      <c r="AZ582" s="8"/>
      <c r="BA582" s="8"/>
      <c r="BB582" s="6"/>
      <c r="BC582" s="8"/>
      <c r="BD582" s="8"/>
      <c r="BE582" s="6"/>
      <c r="BF582" s="8"/>
      <c r="BG582" s="8"/>
      <c r="BH582" s="6"/>
      <c r="BI582" s="8"/>
      <c r="BJ582" s="8"/>
      <c r="BK582" s="6"/>
      <c r="BL582" s="8"/>
      <c r="BM582" s="8"/>
      <c r="BN582" s="6"/>
      <c r="BO582" s="8"/>
      <c r="BP582" s="8"/>
      <c r="BQ582" s="6"/>
      <c r="BR582" s="8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  <c r="ED582" s="7"/>
      <c r="EE582" s="7"/>
      <c r="EF582" s="7"/>
      <c r="EG582" s="7"/>
      <c r="EH582" s="7"/>
      <c r="EI582" s="7"/>
      <c r="EJ582" s="7"/>
      <c r="EK582" s="7"/>
      <c r="EL582" s="7"/>
      <c r="EM582" s="7"/>
      <c r="EN582" s="7"/>
      <c r="EO582" s="7"/>
      <c r="EP582" s="7"/>
      <c r="EQ582" s="7"/>
      <c r="ER582" s="7"/>
      <c r="ES582" s="7"/>
      <c r="ET582" s="7"/>
      <c r="EU582" s="7"/>
      <c r="EV582" s="7"/>
      <c r="EW582" s="7"/>
      <c r="EX582" s="7"/>
      <c r="EY582" s="7"/>
      <c r="EZ582" s="7"/>
      <c r="FA582" s="7"/>
      <c r="FB582" s="7"/>
      <c r="FC582" s="7"/>
      <c r="FD582" s="7"/>
      <c r="FE582" s="7"/>
      <c r="FF582" s="7"/>
      <c r="FG582" s="7"/>
      <c r="FH582" s="7"/>
      <c r="FI582" s="7"/>
      <c r="FJ582" s="7"/>
      <c r="FK582" s="7"/>
      <c r="FL582" s="7"/>
      <c r="FM582" s="7"/>
      <c r="FN582" s="7"/>
      <c r="FO582" s="7"/>
      <c r="FP582" s="7"/>
      <c r="FQ582" s="7"/>
      <c r="FR582" s="7"/>
      <c r="FS582" s="7"/>
      <c r="FT582" s="7"/>
      <c r="FU582" s="7"/>
      <c r="FV582" s="7"/>
      <c r="FW582" s="7"/>
      <c r="FX582" s="7"/>
      <c r="FY582" s="7"/>
      <c r="FZ582" s="7"/>
      <c r="GA582" s="7"/>
      <c r="GB582" s="7"/>
      <c r="GC582" s="7"/>
      <c r="GD582" s="7"/>
      <c r="GE582" s="7"/>
      <c r="GF582" s="7"/>
      <c r="GG582" s="7"/>
      <c r="GH582" s="7"/>
      <c r="GI582" s="7"/>
      <c r="GJ582" s="7"/>
      <c r="GK582" s="7"/>
      <c r="GL582" s="7"/>
      <c r="GM582" s="7"/>
      <c r="GN582" s="7"/>
      <c r="GO582" s="7"/>
      <c r="GP582" s="7"/>
      <c r="GQ582" s="7"/>
      <c r="GR582" s="7"/>
      <c r="GS582" s="7"/>
      <c r="GT582" s="7"/>
      <c r="GU582" s="7"/>
      <c r="GV582" s="7"/>
      <c r="GW582" s="7"/>
      <c r="GX582" s="7"/>
      <c r="GY582" s="7"/>
      <c r="GZ582" s="7"/>
      <c r="HA582" s="7"/>
      <c r="HB582" s="7"/>
      <c r="HC582" s="7"/>
      <c r="HD582" s="7"/>
      <c r="HE582" s="7"/>
      <c r="HF582" s="7"/>
      <c r="HG582" s="7"/>
      <c r="HH582" s="7"/>
      <c r="HI582" s="7"/>
      <c r="HJ582" s="7"/>
      <c r="HK582" s="7"/>
      <c r="HL582" s="7"/>
      <c r="HM582" s="7"/>
      <c r="HN582" s="7"/>
      <c r="HO582" s="7"/>
      <c r="HP582" s="7"/>
      <c r="HQ582" s="7"/>
      <c r="HR582" s="7"/>
      <c r="HS582" s="7"/>
      <c r="HT582" s="7"/>
      <c r="HU582" s="7"/>
      <c r="HV582" s="7"/>
      <c r="HW582" s="7"/>
      <c r="HX582" s="7"/>
      <c r="HY582" s="7"/>
      <c r="HZ582" s="7"/>
      <c r="IA582" s="7"/>
      <c r="IB582" s="7"/>
      <c r="IC582" s="7"/>
      <c r="ID582" s="7"/>
      <c r="IE582" s="7"/>
      <c r="IF582" s="7"/>
      <c r="IG582" s="7"/>
      <c r="IH582" s="7"/>
      <c r="II582" s="7"/>
      <c r="IJ582" s="7"/>
      <c r="IK582" s="7"/>
      <c r="IL582" s="7"/>
      <c r="IM582" s="7"/>
      <c r="IN582" s="7"/>
      <c r="IO582" s="7"/>
      <c r="IP582" s="7"/>
      <c r="IQ582" s="7"/>
      <c r="IR582" s="7"/>
      <c r="IS582" s="7"/>
      <c r="IT582" s="7"/>
      <c r="IU582" s="7"/>
      <c r="IV582" s="7"/>
      <c r="IW582" s="7"/>
      <c r="IX582" s="7"/>
      <c r="IY582" s="7"/>
      <c r="IZ582" s="7"/>
      <c r="JA582" s="7"/>
      <c r="JB582" s="7"/>
      <c r="JC582" s="7"/>
      <c r="JD582" s="7"/>
      <c r="JE582" s="7"/>
      <c r="JF582" s="7"/>
      <c r="JG582" s="7"/>
      <c r="JH582" s="7"/>
      <c r="JI582" s="7"/>
      <c r="JJ582" s="7"/>
      <c r="JK582" s="7"/>
      <c r="JL582" s="7"/>
      <c r="JM582" s="7"/>
      <c r="JN582" s="7"/>
      <c r="JO582" s="7"/>
      <c r="JP582" s="7"/>
      <c r="JQ582" s="7"/>
      <c r="JR582" s="7"/>
      <c r="JS582" s="7"/>
      <c r="JT582" s="7"/>
      <c r="JU582" s="7"/>
      <c r="JV582" s="7"/>
      <c r="JW582" s="7"/>
      <c r="JX582" s="7"/>
      <c r="JY582" s="7"/>
      <c r="JZ582" s="7"/>
      <c r="KA582" s="7"/>
      <c r="KB582" s="7"/>
      <c r="KC582" s="7"/>
      <c r="KD582" s="7"/>
      <c r="KE582" s="7"/>
      <c r="KF582" s="7"/>
      <c r="KG582" s="7"/>
      <c r="KH582" s="7"/>
      <c r="KI582" s="7"/>
      <c r="KJ582" s="7"/>
      <c r="KK582" s="7"/>
      <c r="KL582" s="7"/>
      <c r="KM582" s="7"/>
      <c r="KN582" s="7"/>
    </row>
    <row r="583">
      <c r="A583" s="6"/>
      <c r="B583" s="6" t="s">
        <v>583</v>
      </c>
      <c r="C583" s="3" t="str">
        <f t="shared" si="3"/>
        <v>muted violet</v>
      </c>
      <c r="D583" s="3" t="str">
        <f t="shared" si="17"/>
        <v>ZZZ</v>
      </c>
      <c r="E583" s="3" t="b">
        <f t="array" ref="E583">OR(ISNUMBER(SEARCH(D$2:D$30,$B583,5)))</f>
        <v>0</v>
      </c>
      <c r="G583" s="3" t="str">
        <f t="shared" si="4"/>
        <v>ZZZ</v>
      </c>
      <c r="H583" s="3" t="b">
        <f t="array" ref="H583">OR(ISNUMBER(SEARCH(G$2:G$30,$B583,5)))</f>
        <v>0</v>
      </c>
      <c r="J583" s="3" t="str">
        <f t="shared" si="5"/>
        <v>ZZZ</v>
      </c>
      <c r="K583" s="3" t="b">
        <f t="array" ref="K583">OR(ISNUMBER(SEARCH(J$2:J$30,$B583,5)))</f>
        <v>0</v>
      </c>
      <c r="M583" s="3" t="str">
        <f t="shared" si="6"/>
        <v>ZZZ</v>
      </c>
      <c r="N583" s="3" t="b">
        <f t="array" ref="N583">OR(ISNUMBER(SEARCH(M$2:M$30,$B583,5)))</f>
        <v>0</v>
      </c>
      <c r="P583" s="3" t="str">
        <f t="shared" si="7"/>
        <v>ZZZ</v>
      </c>
      <c r="Q583" s="3" t="b">
        <f t="array" ref="Q583">OR(ISNUMBER(SEARCH(P$2:P$50,$B583,5)))</f>
        <v>0</v>
      </c>
      <c r="S583" s="3" t="str">
        <f t="shared" si="8"/>
        <v>ZZZ</v>
      </c>
      <c r="T583" s="3" t="b">
        <f t="array" ref="T583">OR(ISNUMBER(SEARCH(S$2:S$100,$B583,5)))</f>
        <v>0</v>
      </c>
      <c r="V583" s="3" t="str">
        <f t="shared" si="9"/>
        <v>ZZZ</v>
      </c>
      <c r="W583" s="3" t="b">
        <f t="array" ref="W583">OR(ISNUMBER(SEARCH(V$2:V$100,$B583,5)))</f>
        <v>0</v>
      </c>
      <c r="Y583" s="3" t="str">
        <f t="shared" si="10"/>
        <v>ZZZ</v>
      </c>
      <c r="Z583" s="3" t="b">
        <f t="array" ref="Z583">OR(ISNUMBER(SEARCH(Y$2:Y$100,$B583,5)))</f>
        <v>0</v>
      </c>
      <c r="AB583" s="3" t="str">
        <f t="shared" si="11"/>
        <v>ZZZ</v>
      </c>
      <c r="AC583" s="3" t="b">
        <f t="array" ref="AC583">OR(ISNUMBER(SEARCH(AB$2:AB$100,$B583,5)))</f>
        <v>0</v>
      </c>
      <c r="AE583" s="3" t="str">
        <f t="shared" si="12"/>
        <v>ZZZ</v>
      </c>
      <c r="AF583" s="3" t="b">
        <f t="array" ref="AF583">OR(ISNUMBER(SEARCH(AE$2:AE$100,$B583,5)))</f>
        <v>0</v>
      </c>
      <c r="AH583" s="3" t="str">
        <f t="shared" si="13"/>
        <v>ZZZ</v>
      </c>
      <c r="AI583" s="3" t="b">
        <f t="array" ref="AI583">OR(ISNUMBER(SEARCH(AH$2:AH$100,$B583,5)))</f>
        <v>0</v>
      </c>
      <c r="AK583" s="3" t="str">
        <f t="shared" si="14"/>
        <v>ZZZ</v>
      </c>
      <c r="AL583" s="3" t="b">
        <f t="array" ref="AL583">OR(ISNUMBER(SEARCH(AK$2:AK$100,$B583,5)))</f>
        <v>0</v>
      </c>
      <c r="AU583" s="8"/>
      <c r="AV583" s="6"/>
      <c r="AW583" s="8"/>
      <c r="AX583" s="8"/>
      <c r="AY583" s="6"/>
      <c r="AZ583" s="8"/>
      <c r="BA583" s="8"/>
      <c r="BB583" s="6"/>
      <c r="BC583" s="8"/>
      <c r="BD583" s="8"/>
      <c r="BE583" s="6"/>
      <c r="BF583" s="8"/>
      <c r="BG583" s="8"/>
      <c r="BH583" s="6"/>
      <c r="BI583" s="8"/>
      <c r="BJ583" s="8"/>
      <c r="BK583" s="6"/>
      <c r="BL583" s="8"/>
      <c r="BM583" s="8"/>
      <c r="BN583" s="6"/>
      <c r="BO583" s="8"/>
      <c r="BP583" s="8"/>
      <c r="BQ583" s="6"/>
      <c r="BR583" s="8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  <c r="ED583" s="7"/>
      <c r="EE583" s="7"/>
      <c r="EF583" s="7"/>
      <c r="EG583" s="7"/>
      <c r="EH583" s="7"/>
      <c r="EI583" s="7"/>
      <c r="EJ583" s="7"/>
      <c r="EK583" s="7"/>
      <c r="EL583" s="7"/>
      <c r="EM583" s="7"/>
      <c r="EN583" s="7"/>
      <c r="EO583" s="7"/>
      <c r="EP583" s="7"/>
      <c r="EQ583" s="7"/>
      <c r="ER583" s="7"/>
      <c r="ES583" s="7"/>
      <c r="ET583" s="7"/>
      <c r="EU583" s="7"/>
      <c r="EV583" s="7"/>
      <c r="EW583" s="7"/>
      <c r="EX583" s="7"/>
      <c r="EY583" s="7"/>
      <c r="EZ583" s="7"/>
      <c r="FA583" s="7"/>
      <c r="FB583" s="7"/>
      <c r="FC583" s="7"/>
      <c r="FD583" s="7"/>
      <c r="FE583" s="7"/>
      <c r="FF583" s="7"/>
      <c r="FG583" s="7"/>
      <c r="FH583" s="7"/>
      <c r="FI583" s="7"/>
      <c r="FJ583" s="7"/>
      <c r="FK583" s="7"/>
      <c r="FL583" s="7"/>
      <c r="FM583" s="7"/>
      <c r="FN583" s="7"/>
      <c r="FO583" s="7"/>
      <c r="FP583" s="7"/>
      <c r="FQ583" s="7"/>
      <c r="FR583" s="7"/>
      <c r="FS583" s="7"/>
      <c r="FT583" s="7"/>
      <c r="FU583" s="7"/>
      <c r="FV583" s="7"/>
      <c r="FW583" s="7"/>
      <c r="FX583" s="7"/>
      <c r="FY583" s="7"/>
      <c r="FZ583" s="7"/>
      <c r="GA583" s="7"/>
      <c r="GB583" s="7"/>
      <c r="GC583" s="7"/>
      <c r="GD583" s="7"/>
      <c r="GE583" s="7"/>
      <c r="GF583" s="7"/>
      <c r="GG583" s="7"/>
      <c r="GH583" s="7"/>
      <c r="GI583" s="7"/>
      <c r="GJ583" s="7"/>
      <c r="GK583" s="7"/>
      <c r="GL583" s="7"/>
      <c r="GM583" s="7"/>
      <c r="GN583" s="7"/>
      <c r="GO583" s="7"/>
      <c r="GP583" s="7"/>
      <c r="GQ583" s="7"/>
      <c r="GR583" s="7"/>
      <c r="GS583" s="7"/>
      <c r="GT583" s="7"/>
      <c r="GU583" s="7"/>
      <c r="GV583" s="7"/>
      <c r="GW583" s="7"/>
      <c r="GX583" s="7"/>
      <c r="GY583" s="7"/>
      <c r="GZ583" s="7"/>
      <c r="HA583" s="7"/>
      <c r="HB583" s="7"/>
      <c r="HC583" s="7"/>
      <c r="HD583" s="7"/>
      <c r="HE583" s="7"/>
      <c r="HF583" s="7"/>
      <c r="HG583" s="7"/>
      <c r="HH583" s="7"/>
      <c r="HI583" s="7"/>
      <c r="HJ583" s="7"/>
      <c r="HK583" s="7"/>
      <c r="HL583" s="7"/>
      <c r="HM583" s="7"/>
      <c r="HN583" s="7"/>
      <c r="HO583" s="7"/>
      <c r="HP583" s="7"/>
      <c r="HQ583" s="7"/>
      <c r="HR583" s="7"/>
      <c r="HS583" s="7"/>
      <c r="HT583" s="7"/>
      <c r="HU583" s="7"/>
      <c r="HV583" s="7"/>
      <c r="HW583" s="7"/>
      <c r="HX583" s="7"/>
      <c r="HY583" s="7"/>
      <c r="HZ583" s="7"/>
      <c r="IA583" s="7"/>
      <c r="IB583" s="7"/>
      <c r="IC583" s="7"/>
      <c r="ID583" s="7"/>
      <c r="IE583" s="7"/>
      <c r="IF583" s="7"/>
      <c r="IG583" s="7"/>
      <c r="IH583" s="7"/>
      <c r="II583" s="7"/>
      <c r="IJ583" s="7"/>
      <c r="IK583" s="7"/>
      <c r="IL583" s="7"/>
      <c r="IM583" s="7"/>
      <c r="IN583" s="7"/>
      <c r="IO583" s="7"/>
      <c r="IP583" s="7"/>
      <c r="IQ583" s="7"/>
      <c r="IR583" s="7"/>
      <c r="IS583" s="7"/>
      <c r="IT583" s="7"/>
      <c r="IU583" s="7"/>
      <c r="IV583" s="7"/>
      <c r="IW583" s="7"/>
      <c r="IX583" s="7"/>
      <c r="IY583" s="7"/>
      <c r="IZ583" s="7"/>
      <c r="JA583" s="7"/>
      <c r="JB583" s="7"/>
      <c r="JC583" s="7"/>
      <c r="JD583" s="7"/>
      <c r="JE583" s="7"/>
      <c r="JF583" s="7"/>
      <c r="JG583" s="7"/>
      <c r="JH583" s="7"/>
      <c r="JI583" s="7"/>
      <c r="JJ583" s="7"/>
      <c r="JK583" s="7"/>
      <c r="JL583" s="7"/>
      <c r="JM583" s="7"/>
      <c r="JN583" s="7"/>
      <c r="JO583" s="7"/>
      <c r="JP583" s="7"/>
      <c r="JQ583" s="7"/>
      <c r="JR583" s="7"/>
      <c r="JS583" s="7"/>
      <c r="JT583" s="7"/>
      <c r="JU583" s="7"/>
      <c r="JV583" s="7"/>
      <c r="JW583" s="7"/>
      <c r="JX583" s="7"/>
      <c r="JY583" s="7"/>
      <c r="JZ583" s="7"/>
      <c r="KA583" s="7"/>
      <c r="KB583" s="7"/>
      <c r="KC583" s="7"/>
      <c r="KD583" s="7"/>
      <c r="KE583" s="7"/>
      <c r="KF583" s="7"/>
      <c r="KG583" s="7"/>
      <c r="KH583" s="7"/>
      <c r="KI583" s="7"/>
      <c r="KJ583" s="7"/>
      <c r="KK583" s="7"/>
      <c r="KL583" s="7"/>
      <c r="KM583" s="7"/>
      <c r="KN583" s="7"/>
    </row>
    <row r="584">
      <c r="A584" s="6"/>
      <c r="B584" s="6" t="s">
        <v>584</v>
      </c>
      <c r="C584" s="3" t="str">
        <f t="shared" si="3"/>
        <v>mirrored salmon</v>
      </c>
      <c r="D584" s="3" t="str">
        <f t="shared" si="17"/>
        <v>ZZZ</v>
      </c>
      <c r="E584" s="3" t="b">
        <f t="array" ref="E584">OR(ISNUMBER(SEARCH(D$2:D$30,$B584,5)))</f>
        <v>0</v>
      </c>
      <c r="G584" s="3" t="str">
        <f t="shared" si="4"/>
        <v>ZZZ</v>
      </c>
      <c r="H584" s="3" t="b">
        <f t="array" ref="H584">OR(ISNUMBER(SEARCH(G$2:G$30,$B584,5)))</f>
        <v>0</v>
      </c>
      <c r="J584" s="3" t="str">
        <f t="shared" si="5"/>
        <v>ZZZ</v>
      </c>
      <c r="K584" s="3" t="b">
        <f t="array" ref="K584">OR(ISNUMBER(SEARCH(J$2:J$30,$B584,5)))</f>
        <v>0</v>
      </c>
      <c r="M584" s="3" t="str">
        <f t="shared" si="6"/>
        <v>ZZZ</v>
      </c>
      <c r="N584" s="3" t="b">
        <f t="array" ref="N584">OR(ISNUMBER(SEARCH(M$2:M$30,$B584,5)))</f>
        <v>0</v>
      </c>
      <c r="P584" s="3" t="str">
        <f t="shared" si="7"/>
        <v>ZZZ</v>
      </c>
      <c r="Q584" s="3" t="b">
        <f t="array" ref="Q584">OR(ISNUMBER(SEARCH(P$2:P$50,$B584,5)))</f>
        <v>0</v>
      </c>
      <c r="S584" s="3" t="str">
        <f t="shared" si="8"/>
        <v>ZZZ</v>
      </c>
      <c r="T584" s="3" t="b">
        <f t="array" ref="T584">OR(ISNUMBER(SEARCH(S$2:S$100,$B584,5)))</f>
        <v>0</v>
      </c>
      <c r="V584" s="3" t="str">
        <f t="shared" si="9"/>
        <v>ZZZ</v>
      </c>
      <c r="W584" s="3" t="b">
        <f t="array" ref="W584">OR(ISNUMBER(SEARCH(V$2:V$100,$B584,5)))</f>
        <v>0</v>
      </c>
      <c r="Y584" s="3" t="str">
        <f t="shared" si="10"/>
        <v>ZZZ</v>
      </c>
      <c r="Z584" s="3" t="b">
        <f t="array" ref="Z584">OR(ISNUMBER(SEARCH(Y$2:Y$100,$B584,5)))</f>
        <v>0</v>
      </c>
      <c r="AB584" s="3" t="str">
        <f t="shared" si="11"/>
        <v>ZZZ</v>
      </c>
      <c r="AC584" s="3" t="b">
        <f t="array" ref="AC584">OR(ISNUMBER(SEARCH(AB$2:AB$100,$B584,5)))</f>
        <v>0</v>
      </c>
      <c r="AE584" s="3" t="str">
        <f t="shared" si="12"/>
        <v>ZZZ</v>
      </c>
      <c r="AF584" s="3" t="b">
        <f t="array" ref="AF584">OR(ISNUMBER(SEARCH(AE$2:AE$100,$B584,5)))</f>
        <v>0</v>
      </c>
      <c r="AH584" s="3" t="str">
        <f t="shared" si="13"/>
        <v>ZZZ</v>
      </c>
      <c r="AI584" s="3" t="b">
        <f t="array" ref="AI584">OR(ISNUMBER(SEARCH(AH$2:AH$100,$B584,5)))</f>
        <v>0</v>
      </c>
      <c r="AK584" s="3" t="str">
        <f t="shared" si="14"/>
        <v>ZZZ</v>
      </c>
      <c r="AL584" s="3" t="b">
        <f t="array" ref="AL584">OR(ISNUMBER(SEARCH(AK$2:AK$100,$B584,5)))</f>
        <v>0</v>
      </c>
      <c r="AU584" s="8"/>
      <c r="AV584" s="6"/>
      <c r="AW584" s="8"/>
      <c r="AX584" s="8"/>
      <c r="AY584" s="6"/>
      <c r="AZ584" s="8"/>
      <c r="BA584" s="8"/>
      <c r="BB584" s="6"/>
      <c r="BC584" s="8"/>
      <c r="BD584" s="8"/>
      <c r="BE584" s="6"/>
      <c r="BF584" s="8"/>
      <c r="BG584" s="8"/>
      <c r="BH584" s="6"/>
      <c r="BI584" s="8"/>
      <c r="BJ584" s="8"/>
      <c r="BK584" s="6"/>
      <c r="BL584" s="8"/>
      <c r="BM584" s="8"/>
      <c r="BN584" s="6"/>
      <c r="BO584" s="8"/>
      <c r="BP584" s="8"/>
      <c r="BQ584" s="6"/>
      <c r="BR584" s="8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  <c r="ED584" s="7"/>
      <c r="EE584" s="7"/>
      <c r="EF584" s="7"/>
      <c r="EG584" s="7"/>
      <c r="EH584" s="7"/>
      <c r="EI584" s="7"/>
      <c r="EJ584" s="7"/>
      <c r="EK584" s="7"/>
      <c r="EL584" s="7"/>
      <c r="EM584" s="7"/>
      <c r="EN584" s="7"/>
      <c r="EO584" s="7"/>
      <c r="EP584" s="7"/>
      <c r="EQ584" s="7"/>
      <c r="ER584" s="7"/>
      <c r="ES584" s="7"/>
      <c r="ET584" s="7"/>
      <c r="EU584" s="7"/>
      <c r="EV584" s="7"/>
      <c r="EW584" s="7"/>
      <c r="EX584" s="7"/>
      <c r="EY584" s="7"/>
      <c r="EZ584" s="7"/>
      <c r="FA584" s="7"/>
      <c r="FB584" s="7"/>
      <c r="FC584" s="7"/>
      <c r="FD584" s="7"/>
      <c r="FE584" s="7"/>
      <c r="FF584" s="7"/>
      <c r="FG584" s="7"/>
      <c r="FH584" s="7"/>
      <c r="FI584" s="7"/>
      <c r="FJ584" s="7"/>
      <c r="FK584" s="7"/>
      <c r="FL584" s="7"/>
      <c r="FM584" s="7"/>
      <c r="FN584" s="7"/>
      <c r="FO584" s="7"/>
      <c r="FP584" s="7"/>
      <c r="FQ584" s="7"/>
      <c r="FR584" s="7"/>
      <c r="FS584" s="7"/>
      <c r="FT584" s="7"/>
      <c r="FU584" s="7"/>
      <c r="FV584" s="7"/>
      <c r="FW584" s="7"/>
      <c r="FX584" s="7"/>
      <c r="FY584" s="7"/>
      <c r="FZ584" s="7"/>
      <c r="GA584" s="7"/>
      <c r="GB584" s="7"/>
      <c r="GC584" s="7"/>
      <c r="GD584" s="7"/>
      <c r="GE584" s="7"/>
      <c r="GF584" s="7"/>
      <c r="GG584" s="7"/>
      <c r="GH584" s="7"/>
      <c r="GI584" s="7"/>
      <c r="GJ584" s="7"/>
      <c r="GK584" s="7"/>
      <c r="GL584" s="7"/>
      <c r="GM584" s="7"/>
      <c r="GN584" s="7"/>
      <c r="GO584" s="7"/>
      <c r="GP584" s="7"/>
      <c r="GQ584" s="7"/>
      <c r="GR584" s="7"/>
      <c r="GS584" s="7"/>
      <c r="GT584" s="7"/>
      <c r="GU584" s="7"/>
      <c r="GV584" s="7"/>
      <c r="GW584" s="7"/>
      <c r="GX584" s="7"/>
      <c r="GY584" s="7"/>
      <c r="GZ584" s="7"/>
      <c r="HA584" s="7"/>
      <c r="HB584" s="7"/>
      <c r="HC584" s="7"/>
      <c r="HD584" s="7"/>
      <c r="HE584" s="7"/>
      <c r="HF584" s="7"/>
      <c r="HG584" s="7"/>
      <c r="HH584" s="7"/>
      <c r="HI584" s="7"/>
      <c r="HJ584" s="7"/>
      <c r="HK584" s="7"/>
      <c r="HL584" s="7"/>
      <c r="HM584" s="7"/>
      <c r="HN584" s="7"/>
      <c r="HO584" s="7"/>
      <c r="HP584" s="7"/>
      <c r="HQ584" s="7"/>
      <c r="HR584" s="7"/>
      <c r="HS584" s="7"/>
      <c r="HT584" s="7"/>
      <c r="HU584" s="7"/>
      <c r="HV584" s="7"/>
      <c r="HW584" s="7"/>
      <c r="HX584" s="7"/>
      <c r="HY584" s="7"/>
      <c r="HZ584" s="7"/>
      <c r="IA584" s="7"/>
      <c r="IB584" s="7"/>
      <c r="IC584" s="7"/>
      <c r="ID584" s="7"/>
      <c r="IE584" s="7"/>
      <c r="IF584" s="7"/>
      <c r="IG584" s="7"/>
      <c r="IH584" s="7"/>
      <c r="II584" s="7"/>
      <c r="IJ584" s="7"/>
      <c r="IK584" s="7"/>
      <c r="IL584" s="7"/>
      <c r="IM584" s="7"/>
      <c r="IN584" s="7"/>
      <c r="IO584" s="7"/>
      <c r="IP584" s="7"/>
      <c r="IQ584" s="7"/>
      <c r="IR584" s="7"/>
      <c r="IS584" s="7"/>
      <c r="IT584" s="7"/>
      <c r="IU584" s="7"/>
      <c r="IV584" s="7"/>
      <c r="IW584" s="7"/>
      <c r="IX584" s="7"/>
      <c r="IY584" s="7"/>
      <c r="IZ584" s="7"/>
      <c r="JA584" s="7"/>
      <c r="JB584" s="7"/>
      <c r="JC584" s="7"/>
      <c r="JD584" s="7"/>
      <c r="JE584" s="7"/>
      <c r="JF584" s="7"/>
      <c r="JG584" s="7"/>
      <c r="JH584" s="7"/>
      <c r="JI584" s="7"/>
      <c r="JJ584" s="7"/>
      <c r="JK584" s="7"/>
      <c r="JL584" s="7"/>
      <c r="JM584" s="7"/>
      <c r="JN584" s="7"/>
      <c r="JO584" s="7"/>
      <c r="JP584" s="7"/>
      <c r="JQ584" s="7"/>
      <c r="JR584" s="7"/>
      <c r="JS584" s="7"/>
      <c r="JT584" s="7"/>
      <c r="JU584" s="7"/>
      <c r="JV584" s="7"/>
      <c r="JW584" s="7"/>
      <c r="JX584" s="7"/>
      <c r="JY584" s="7"/>
      <c r="JZ584" s="7"/>
      <c r="KA584" s="7"/>
      <c r="KB584" s="7"/>
      <c r="KC584" s="7"/>
      <c r="KD584" s="7"/>
      <c r="KE584" s="7"/>
      <c r="KF584" s="7"/>
      <c r="KG584" s="7"/>
      <c r="KH584" s="7"/>
      <c r="KI584" s="7"/>
      <c r="KJ584" s="7"/>
      <c r="KK584" s="7"/>
      <c r="KL584" s="7"/>
      <c r="KM584" s="7"/>
      <c r="KN584" s="7"/>
    </row>
    <row r="585">
      <c r="A585" s="6"/>
      <c r="B585" s="6" t="s">
        <v>585</v>
      </c>
      <c r="C585" s="3" t="str">
        <f t="shared" si="3"/>
        <v>vibrant crimson</v>
      </c>
      <c r="D585" s="3" t="str">
        <f t="shared" si="17"/>
        <v>ZZZ</v>
      </c>
      <c r="E585" s="3" t="b">
        <f t="array" ref="E585">OR(ISNUMBER(SEARCH(D$2:D$30,$B585,5)))</f>
        <v>0</v>
      </c>
      <c r="G585" s="3" t="str">
        <f t="shared" si="4"/>
        <v>ZZZ</v>
      </c>
      <c r="H585" s="3" t="b">
        <f t="array" ref="H585">OR(ISNUMBER(SEARCH(G$2:G$30,$B585,5)))</f>
        <v>0</v>
      </c>
      <c r="J585" s="3" t="str">
        <f t="shared" si="5"/>
        <v>ZZZ</v>
      </c>
      <c r="K585" s="3" t="b">
        <f t="array" ref="K585">OR(ISNUMBER(SEARCH(J$2:J$30,$B585,5)))</f>
        <v>0</v>
      </c>
      <c r="M585" s="3" t="str">
        <f t="shared" si="6"/>
        <v>ZZZ</v>
      </c>
      <c r="N585" s="3" t="b">
        <f t="array" ref="N585">OR(ISNUMBER(SEARCH(M$2:M$30,$B585,5)))</f>
        <v>0</v>
      </c>
      <c r="P585" s="3" t="str">
        <f t="shared" si="7"/>
        <v>ZZZ</v>
      </c>
      <c r="Q585" s="3" t="b">
        <f t="array" ref="Q585">OR(ISNUMBER(SEARCH(P$2:P$50,$B585,5)))</f>
        <v>0</v>
      </c>
      <c r="S585" s="3" t="str">
        <f t="shared" si="8"/>
        <v>ZZZ</v>
      </c>
      <c r="T585" s="3" t="b">
        <f t="array" ref="T585">OR(ISNUMBER(SEARCH(S$2:S$100,$B585,5)))</f>
        <v>0</v>
      </c>
      <c r="V585" s="3" t="str">
        <f t="shared" si="9"/>
        <v>ZZZ</v>
      </c>
      <c r="W585" s="3" t="b">
        <f t="array" ref="W585">OR(ISNUMBER(SEARCH(V$2:V$100,$B585,5)))</f>
        <v>0</v>
      </c>
      <c r="Y585" s="3" t="str">
        <f t="shared" si="10"/>
        <v>ZZZ</v>
      </c>
      <c r="Z585" s="3" t="b">
        <f t="array" ref="Z585">OR(ISNUMBER(SEARCH(Y$2:Y$100,$B585,5)))</f>
        <v>0</v>
      </c>
      <c r="AB585" s="3" t="str">
        <f t="shared" si="11"/>
        <v>ZZZ</v>
      </c>
      <c r="AC585" s="3" t="b">
        <f t="array" ref="AC585">OR(ISNUMBER(SEARCH(AB$2:AB$100,$B585,5)))</f>
        <v>0</v>
      </c>
      <c r="AE585" s="3" t="str">
        <f t="shared" si="12"/>
        <v>ZZZ</v>
      </c>
      <c r="AF585" s="3" t="b">
        <f t="array" ref="AF585">OR(ISNUMBER(SEARCH(AE$2:AE$100,$B585,5)))</f>
        <v>0</v>
      </c>
      <c r="AH585" s="3" t="str">
        <f t="shared" si="13"/>
        <v>ZZZ</v>
      </c>
      <c r="AI585" s="3" t="b">
        <f t="array" ref="AI585">OR(ISNUMBER(SEARCH(AH$2:AH$100,$B585,5)))</f>
        <v>0</v>
      </c>
      <c r="AK585" s="3" t="str">
        <f t="shared" si="14"/>
        <v>ZZZ</v>
      </c>
      <c r="AL585" s="3" t="b">
        <f t="array" ref="AL585">OR(ISNUMBER(SEARCH(AK$2:AK$100,$B585,5)))</f>
        <v>0</v>
      </c>
      <c r="AU585" s="8"/>
      <c r="AV585" s="6"/>
      <c r="AW585" s="8"/>
      <c r="AX585" s="8"/>
      <c r="AY585" s="6"/>
      <c r="AZ585" s="8"/>
      <c r="BA585" s="8"/>
      <c r="BB585" s="6"/>
      <c r="BC585" s="8"/>
      <c r="BD585" s="8"/>
      <c r="BE585" s="6"/>
      <c r="BF585" s="8"/>
      <c r="BG585" s="8"/>
      <c r="BH585" s="6"/>
      <c r="BI585" s="8"/>
      <c r="BJ585" s="8"/>
      <c r="BK585" s="6"/>
      <c r="BL585" s="8"/>
      <c r="BM585" s="8"/>
      <c r="BN585" s="6"/>
      <c r="BO585" s="8"/>
      <c r="BP585" s="8"/>
      <c r="BQ585" s="6"/>
      <c r="BR585" s="8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  <c r="ED585" s="7"/>
      <c r="EE585" s="7"/>
      <c r="EF585" s="7"/>
      <c r="EG585" s="7"/>
      <c r="EH585" s="7"/>
      <c r="EI585" s="7"/>
      <c r="EJ585" s="7"/>
      <c r="EK585" s="7"/>
      <c r="EL585" s="7"/>
      <c r="EM585" s="7"/>
      <c r="EN585" s="7"/>
      <c r="EO585" s="7"/>
      <c r="EP585" s="7"/>
      <c r="EQ585" s="7"/>
      <c r="ER585" s="7"/>
      <c r="ES585" s="7"/>
      <c r="ET585" s="7"/>
      <c r="EU585" s="7"/>
      <c r="EV585" s="7"/>
      <c r="EW585" s="7"/>
      <c r="EX585" s="7"/>
      <c r="EY585" s="7"/>
      <c r="EZ585" s="7"/>
      <c r="FA585" s="7"/>
      <c r="FB585" s="7"/>
      <c r="FC585" s="7"/>
      <c r="FD585" s="7"/>
      <c r="FE585" s="7"/>
      <c r="FF585" s="7"/>
      <c r="FG585" s="7"/>
      <c r="FH585" s="7"/>
      <c r="FI585" s="7"/>
      <c r="FJ585" s="7"/>
      <c r="FK585" s="7"/>
      <c r="FL585" s="7"/>
      <c r="FM585" s="7"/>
      <c r="FN585" s="7"/>
      <c r="FO585" s="7"/>
      <c r="FP585" s="7"/>
      <c r="FQ585" s="7"/>
      <c r="FR585" s="7"/>
      <c r="FS585" s="7"/>
      <c r="FT585" s="7"/>
      <c r="FU585" s="7"/>
      <c r="FV585" s="7"/>
      <c r="FW585" s="7"/>
      <c r="FX585" s="7"/>
      <c r="FY585" s="7"/>
      <c r="FZ585" s="7"/>
      <c r="GA585" s="7"/>
      <c r="GB585" s="7"/>
      <c r="GC585" s="7"/>
      <c r="GD585" s="7"/>
      <c r="GE585" s="7"/>
      <c r="GF585" s="7"/>
      <c r="GG585" s="7"/>
      <c r="GH585" s="7"/>
      <c r="GI585" s="7"/>
      <c r="GJ585" s="7"/>
      <c r="GK585" s="7"/>
      <c r="GL585" s="7"/>
      <c r="GM585" s="7"/>
      <c r="GN585" s="7"/>
      <c r="GO585" s="7"/>
      <c r="GP585" s="7"/>
      <c r="GQ585" s="7"/>
      <c r="GR585" s="7"/>
      <c r="GS585" s="7"/>
      <c r="GT585" s="7"/>
      <c r="GU585" s="7"/>
      <c r="GV585" s="7"/>
      <c r="GW585" s="7"/>
      <c r="GX585" s="7"/>
      <c r="GY585" s="7"/>
      <c r="GZ585" s="7"/>
      <c r="HA585" s="7"/>
      <c r="HB585" s="7"/>
      <c r="HC585" s="7"/>
      <c r="HD585" s="7"/>
      <c r="HE585" s="7"/>
      <c r="HF585" s="7"/>
      <c r="HG585" s="7"/>
      <c r="HH585" s="7"/>
      <c r="HI585" s="7"/>
      <c r="HJ585" s="7"/>
      <c r="HK585" s="7"/>
      <c r="HL585" s="7"/>
      <c r="HM585" s="7"/>
      <c r="HN585" s="7"/>
      <c r="HO585" s="7"/>
      <c r="HP585" s="7"/>
      <c r="HQ585" s="7"/>
      <c r="HR585" s="7"/>
      <c r="HS585" s="7"/>
      <c r="HT585" s="7"/>
      <c r="HU585" s="7"/>
      <c r="HV585" s="7"/>
      <c r="HW585" s="7"/>
      <c r="HX585" s="7"/>
      <c r="HY585" s="7"/>
      <c r="HZ585" s="7"/>
      <c r="IA585" s="7"/>
      <c r="IB585" s="7"/>
      <c r="IC585" s="7"/>
      <c r="ID585" s="7"/>
      <c r="IE585" s="7"/>
      <c r="IF585" s="7"/>
      <c r="IG585" s="7"/>
      <c r="IH585" s="7"/>
      <c r="II585" s="7"/>
      <c r="IJ585" s="7"/>
      <c r="IK585" s="7"/>
      <c r="IL585" s="7"/>
      <c r="IM585" s="7"/>
      <c r="IN585" s="7"/>
      <c r="IO585" s="7"/>
      <c r="IP585" s="7"/>
      <c r="IQ585" s="7"/>
      <c r="IR585" s="7"/>
      <c r="IS585" s="7"/>
      <c r="IT585" s="7"/>
      <c r="IU585" s="7"/>
      <c r="IV585" s="7"/>
      <c r="IW585" s="7"/>
      <c r="IX585" s="7"/>
      <c r="IY585" s="7"/>
      <c r="IZ585" s="7"/>
      <c r="JA585" s="7"/>
      <c r="JB585" s="7"/>
      <c r="JC585" s="7"/>
      <c r="JD585" s="7"/>
      <c r="JE585" s="7"/>
      <c r="JF585" s="7"/>
      <c r="JG585" s="7"/>
      <c r="JH585" s="7"/>
      <c r="JI585" s="7"/>
      <c r="JJ585" s="7"/>
      <c r="JK585" s="7"/>
      <c r="JL585" s="7"/>
      <c r="JM585" s="7"/>
      <c r="JN585" s="7"/>
      <c r="JO585" s="7"/>
      <c r="JP585" s="7"/>
      <c r="JQ585" s="7"/>
      <c r="JR585" s="7"/>
      <c r="JS585" s="7"/>
      <c r="JT585" s="7"/>
      <c r="JU585" s="7"/>
      <c r="JV585" s="7"/>
      <c r="JW585" s="7"/>
      <c r="JX585" s="7"/>
      <c r="JY585" s="7"/>
      <c r="JZ585" s="7"/>
      <c r="KA585" s="7"/>
      <c r="KB585" s="7"/>
      <c r="KC585" s="7"/>
      <c r="KD585" s="7"/>
      <c r="KE585" s="7"/>
      <c r="KF585" s="7"/>
      <c r="KG585" s="7"/>
      <c r="KH585" s="7"/>
      <c r="KI585" s="7"/>
      <c r="KJ585" s="7"/>
      <c r="KK585" s="7"/>
      <c r="KL585" s="7"/>
      <c r="KM585" s="7"/>
      <c r="KN585" s="7"/>
    </row>
    <row r="586">
      <c r="A586" s="6"/>
      <c r="B586" s="6" t="s">
        <v>586</v>
      </c>
      <c r="C586" s="3" t="str">
        <f t="shared" si="3"/>
        <v>dotted teal</v>
      </c>
      <c r="D586" s="3" t="str">
        <f t="shared" si="17"/>
        <v>ZZZ</v>
      </c>
      <c r="E586" s="3" t="b">
        <f t="array" ref="E586">OR(ISNUMBER(SEARCH(D$2:D$30,$B586,5)))</f>
        <v>0</v>
      </c>
      <c r="G586" s="3" t="str">
        <f t="shared" si="4"/>
        <v>ZZZ</v>
      </c>
      <c r="H586" s="3" t="b">
        <f t="array" ref="H586">OR(ISNUMBER(SEARCH(G$2:G$30,$B586,5)))</f>
        <v>0</v>
      </c>
      <c r="J586" s="3" t="str">
        <f t="shared" si="5"/>
        <v>ZZZ</v>
      </c>
      <c r="K586" s="3" t="b">
        <f t="array" ref="K586">OR(ISNUMBER(SEARCH(J$2:J$30,$B586,5)))</f>
        <v>0</v>
      </c>
      <c r="M586" s="3" t="str">
        <f t="shared" si="6"/>
        <v>ZZZ</v>
      </c>
      <c r="N586" s="3" t="b">
        <f t="array" ref="N586">OR(ISNUMBER(SEARCH(M$2:M$30,$B586,5)))</f>
        <v>0</v>
      </c>
      <c r="P586" s="3" t="str">
        <f t="shared" si="7"/>
        <v>ZZZ</v>
      </c>
      <c r="Q586" s="3" t="b">
        <f t="array" ref="Q586">OR(ISNUMBER(SEARCH(P$2:P$50,$B586,5)))</f>
        <v>1</v>
      </c>
      <c r="S586" s="3" t="str">
        <f t="shared" si="8"/>
        <v>ZZZ</v>
      </c>
      <c r="T586" s="3" t="b">
        <f t="array" ref="T586">OR(ISNUMBER(SEARCH(S$2:S$100,$B586,5)))</f>
        <v>0</v>
      </c>
      <c r="V586" s="3" t="str">
        <f t="shared" si="9"/>
        <v>ZZZ</v>
      </c>
      <c r="W586" s="3" t="b">
        <f t="array" ref="W586">OR(ISNUMBER(SEARCH(V$2:V$100,$B586,5)))</f>
        <v>0</v>
      </c>
      <c r="Y586" s="3" t="str">
        <f t="shared" si="10"/>
        <v>ZZZ</v>
      </c>
      <c r="Z586" s="3" t="b">
        <f t="array" ref="Z586">OR(ISNUMBER(SEARCH(Y$2:Y$100,$B586,5)))</f>
        <v>0</v>
      </c>
      <c r="AB586" s="3" t="str">
        <f t="shared" si="11"/>
        <v>ZZZ</v>
      </c>
      <c r="AC586" s="3" t="b">
        <f t="array" ref="AC586">OR(ISNUMBER(SEARCH(AB$2:AB$100,$B586,5)))</f>
        <v>0</v>
      </c>
      <c r="AE586" s="3" t="str">
        <f t="shared" si="12"/>
        <v>ZZZ</v>
      </c>
      <c r="AF586" s="3" t="b">
        <f t="array" ref="AF586">OR(ISNUMBER(SEARCH(AE$2:AE$100,$B586,5)))</f>
        <v>0</v>
      </c>
      <c r="AH586" s="3" t="str">
        <f t="shared" si="13"/>
        <v>ZZZ</v>
      </c>
      <c r="AI586" s="3" t="b">
        <f t="array" ref="AI586">OR(ISNUMBER(SEARCH(AH$2:AH$100,$B586,5)))</f>
        <v>0</v>
      </c>
      <c r="AK586" s="3" t="str">
        <f t="shared" si="14"/>
        <v>ZZZ</v>
      </c>
      <c r="AL586" s="3" t="b">
        <f t="array" ref="AL586">OR(ISNUMBER(SEARCH(AK$2:AK$100,$B586,5)))</f>
        <v>0</v>
      </c>
      <c r="AU586" s="8"/>
      <c r="AV586" s="6"/>
      <c r="AW586" s="8"/>
      <c r="AX586" s="8"/>
      <c r="AY586" s="6"/>
      <c r="AZ586" s="8"/>
      <c r="BA586" s="8"/>
      <c r="BB586" s="6"/>
      <c r="BC586" s="8"/>
      <c r="BD586" s="8"/>
      <c r="BE586" s="6"/>
      <c r="BF586" s="8"/>
      <c r="BG586" s="8"/>
      <c r="BH586" s="6"/>
      <c r="BI586" s="8"/>
      <c r="BJ586" s="8"/>
      <c r="BK586" s="6"/>
      <c r="BL586" s="8"/>
      <c r="BM586" s="8"/>
      <c r="BN586" s="6"/>
      <c r="BO586" s="8"/>
      <c r="BP586" s="8"/>
      <c r="BQ586" s="6"/>
      <c r="BR586" s="8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  <c r="EI586" s="7"/>
      <c r="EJ586" s="7"/>
      <c r="EK586" s="7"/>
      <c r="EL586" s="7"/>
      <c r="EM586" s="7"/>
      <c r="EN586" s="7"/>
      <c r="EO586" s="7"/>
      <c r="EP586" s="7"/>
      <c r="EQ586" s="7"/>
      <c r="ER586" s="7"/>
      <c r="ES586" s="7"/>
      <c r="ET586" s="7"/>
      <c r="EU586" s="7"/>
      <c r="EV586" s="7"/>
      <c r="EW586" s="7"/>
      <c r="EX586" s="7"/>
      <c r="EY586" s="7"/>
      <c r="EZ586" s="7"/>
      <c r="FA586" s="7"/>
      <c r="FB586" s="7"/>
      <c r="FC586" s="7"/>
      <c r="FD586" s="7"/>
      <c r="FE586" s="7"/>
      <c r="FF586" s="7"/>
      <c r="FG586" s="7"/>
      <c r="FH586" s="7"/>
      <c r="FI586" s="7"/>
      <c r="FJ586" s="7"/>
      <c r="FK586" s="7"/>
      <c r="FL586" s="7"/>
      <c r="FM586" s="7"/>
      <c r="FN586" s="7"/>
      <c r="FO586" s="7"/>
      <c r="FP586" s="7"/>
      <c r="FQ586" s="7"/>
      <c r="FR586" s="7"/>
      <c r="FS586" s="7"/>
      <c r="FT586" s="7"/>
      <c r="FU586" s="7"/>
      <c r="FV586" s="7"/>
      <c r="FW586" s="7"/>
      <c r="FX586" s="7"/>
      <c r="FY586" s="7"/>
      <c r="FZ586" s="7"/>
      <c r="GA586" s="7"/>
      <c r="GB586" s="7"/>
      <c r="GC586" s="7"/>
      <c r="GD586" s="7"/>
      <c r="GE586" s="7"/>
      <c r="GF586" s="7"/>
      <c r="GG586" s="7"/>
      <c r="GH586" s="7"/>
      <c r="GI586" s="7"/>
      <c r="GJ586" s="7"/>
      <c r="GK586" s="7"/>
      <c r="GL586" s="7"/>
      <c r="GM586" s="7"/>
      <c r="GN586" s="7"/>
      <c r="GO586" s="7"/>
      <c r="GP586" s="7"/>
      <c r="GQ586" s="7"/>
      <c r="GR586" s="7"/>
      <c r="GS586" s="7"/>
      <c r="GT586" s="7"/>
      <c r="GU586" s="7"/>
      <c r="GV586" s="7"/>
      <c r="GW586" s="7"/>
      <c r="GX586" s="7"/>
      <c r="GY586" s="7"/>
      <c r="GZ586" s="7"/>
      <c r="HA586" s="7"/>
      <c r="HB586" s="7"/>
      <c r="HC586" s="7"/>
      <c r="HD586" s="7"/>
      <c r="HE586" s="7"/>
      <c r="HF586" s="7"/>
      <c r="HG586" s="7"/>
      <c r="HH586" s="7"/>
      <c r="HI586" s="7"/>
      <c r="HJ586" s="7"/>
      <c r="HK586" s="7"/>
      <c r="HL586" s="7"/>
      <c r="HM586" s="7"/>
      <c r="HN586" s="7"/>
      <c r="HO586" s="7"/>
      <c r="HP586" s="7"/>
      <c r="HQ586" s="7"/>
      <c r="HR586" s="7"/>
      <c r="HS586" s="7"/>
      <c r="HT586" s="7"/>
      <c r="HU586" s="7"/>
      <c r="HV586" s="7"/>
      <c r="HW586" s="7"/>
      <c r="HX586" s="7"/>
      <c r="HY586" s="7"/>
      <c r="HZ586" s="7"/>
      <c r="IA586" s="7"/>
      <c r="IB586" s="7"/>
      <c r="IC586" s="7"/>
      <c r="ID586" s="7"/>
      <c r="IE586" s="7"/>
      <c r="IF586" s="7"/>
      <c r="IG586" s="7"/>
      <c r="IH586" s="7"/>
      <c r="II586" s="7"/>
      <c r="IJ586" s="7"/>
      <c r="IK586" s="7"/>
      <c r="IL586" s="7"/>
      <c r="IM586" s="7"/>
      <c r="IN586" s="7"/>
      <c r="IO586" s="7"/>
      <c r="IP586" s="7"/>
      <c r="IQ586" s="7"/>
      <c r="IR586" s="7"/>
      <c r="IS586" s="7"/>
      <c r="IT586" s="7"/>
      <c r="IU586" s="7"/>
      <c r="IV586" s="7"/>
      <c r="IW586" s="7"/>
      <c r="IX586" s="7"/>
      <c r="IY586" s="7"/>
      <c r="IZ586" s="7"/>
      <c r="JA586" s="7"/>
      <c r="JB586" s="7"/>
      <c r="JC586" s="7"/>
      <c r="JD586" s="7"/>
      <c r="JE586" s="7"/>
      <c r="JF586" s="7"/>
      <c r="JG586" s="7"/>
      <c r="JH586" s="7"/>
      <c r="JI586" s="7"/>
      <c r="JJ586" s="7"/>
      <c r="JK586" s="7"/>
      <c r="JL586" s="7"/>
      <c r="JM586" s="7"/>
      <c r="JN586" s="7"/>
      <c r="JO586" s="7"/>
      <c r="JP586" s="7"/>
      <c r="JQ586" s="7"/>
      <c r="JR586" s="7"/>
      <c r="JS586" s="7"/>
      <c r="JT586" s="7"/>
      <c r="JU586" s="7"/>
      <c r="JV586" s="7"/>
      <c r="JW586" s="7"/>
      <c r="JX586" s="7"/>
      <c r="JY586" s="7"/>
      <c r="JZ586" s="7"/>
      <c r="KA586" s="7"/>
      <c r="KB586" s="7"/>
      <c r="KC586" s="7"/>
      <c r="KD586" s="7"/>
      <c r="KE586" s="7"/>
      <c r="KF586" s="7"/>
      <c r="KG586" s="7"/>
      <c r="KH586" s="7"/>
      <c r="KI586" s="7"/>
      <c r="KJ586" s="7"/>
      <c r="KK586" s="7"/>
      <c r="KL586" s="7"/>
      <c r="KM586" s="7"/>
      <c r="KN586" s="7"/>
    </row>
    <row r="587">
      <c r="A587" s="6"/>
      <c r="B587" s="6" t="s">
        <v>587</v>
      </c>
      <c r="C587" s="3" t="str">
        <f t="shared" si="3"/>
        <v>posh orange</v>
      </c>
      <c r="D587" s="3" t="str">
        <f t="shared" si="17"/>
        <v>ZZZ</v>
      </c>
      <c r="E587" s="3" t="b">
        <f t="array" ref="E587">OR(ISNUMBER(SEARCH(D$2:D$30,$B587,5)))</f>
        <v>0</v>
      </c>
      <c r="G587" s="3" t="str">
        <f t="shared" si="4"/>
        <v>ZZZ</v>
      </c>
      <c r="H587" s="3" t="b">
        <f t="array" ref="H587">OR(ISNUMBER(SEARCH(G$2:G$30,$B587,5)))</f>
        <v>0</v>
      </c>
      <c r="J587" s="3" t="str">
        <f t="shared" si="5"/>
        <v>ZZZ</v>
      </c>
      <c r="K587" s="3" t="b">
        <f t="array" ref="K587">OR(ISNUMBER(SEARCH(J$2:J$30,$B587,5)))</f>
        <v>0</v>
      </c>
      <c r="M587" s="3" t="str">
        <f t="shared" si="6"/>
        <v>ZZZ</v>
      </c>
      <c r="N587" s="3" t="b">
        <f t="array" ref="N587">OR(ISNUMBER(SEARCH(M$2:M$30,$B587,5)))</f>
        <v>0</v>
      </c>
      <c r="P587" s="3" t="str">
        <f t="shared" si="7"/>
        <v>ZZZ</v>
      </c>
      <c r="Q587" s="3" t="b">
        <f t="array" ref="Q587">OR(ISNUMBER(SEARCH(P$2:P$50,$B587,5)))</f>
        <v>0</v>
      </c>
      <c r="S587" s="3" t="str">
        <f t="shared" si="8"/>
        <v>ZZZ</v>
      </c>
      <c r="T587" s="3" t="b">
        <f t="array" ref="T587">OR(ISNUMBER(SEARCH(S$2:S$100,$B587,5)))</f>
        <v>0</v>
      </c>
      <c r="V587" s="3" t="str">
        <f t="shared" si="9"/>
        <v>ZZZ</v>
      </c>
      <c r="W587" s="3" t="b">
        <f t="array" ref="W587">OR(ISNUMBER(SEARCH(V$2:V$100,$B587,5)))</f>
        <v>0</v>
      </c>
      <c r="Y587" s="3" t="str">
        <f t="shared" si="10"/>
        <v>ZZZ</v>
      </c>
      <c r="Z587" s="3" t="b">
        <f t="array" ref="Z587">OR(ISNUMBER(SEARCH(Y$2:Y$100,$B587,5)))</f>
        <v>0</v>
      </c>
      <c r="AB587" s="3" t="str">
        <f t="shared" si="11"/>
        <v>ZZZ</v>
      </c>
      <c r="AC587" s="3" t="b">
        <f t="array" ref="AC587">OR(ISNUMBER(SEARCH(AB$2:AB$100,$B587,5)))</f>
        <v>0</v>
      </c>
      <c r="AE587" s="3" t="str">
        <f t="shared" si="12"/>
        <v>ZZZ</v>
      </c>
      <c r="AF587" s="3" t="b">
        <f t="array" ref="AF587">OR(ISNUMBER(SEARCH(AE$2:AE$100,$B587,5)))</f>
        <v>0</v>
      </c>
      <c r="AH587" s="3" t="str">
        <f t="shared" si="13"/>
        <v>ZZZ</v>
      </c>
      <c r="AI587" s="3" t="b">
        <f t="array" ref="AI587">OR(ISNUMBER(SEARCH(AH$2:AH$100,$B587,5)))</f>
        <v>0</v>
      </c>
      <c r="AK587" s="3" t="str">
        <f t="shared" si="14"/>
        <v>ZZZ</v>
      </c>
      <c r="AL587" s="3" t="b">
        <f t="array" ref="AL587">OR(ISNUMBER(SEARCH(AK$2:AK$100,$B587,5)))</f>
        <v>0</v>
      </c>
      <c r="AU587" s="8"/>
      <c r="AV587" s="6"/>
      <c r="AW587" s="8"/>
      <c r="AX587" s="8"/>
      <c r="AY587" s="6"/>
      <c r="AZ587" s="8"/>
      <c r="BA587" s="8"/>
      <c r="BB587" s="6"/>
      <c r="BC587" s="8"/>
      <c r="BD587" s="8"/>
      <c r="BE587" s="6"/>
      <c r="BF587" s="8"/>
      <c r="BG587" s="8"/>
      <c r="BH587" s="6"/>
      <c r="BI587" s="8"/>
      <c r="BJ587" s="8"/>
      <c r="BK587" s="6"/>
      <c r="BL587" s="8"/>
      <c r="BM587" s="8"/>
      <c r="BN587" s="6"/>
      <c r="BO587" s="8"/>
      <c r="BP587" s="8"/>
      <c r="BQ587" s="6"/>
      <c r="BR587" s="8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  <c r="ED587" s="7"/>
      <c r="EE587" s="7"/>
      <c r="EF587" s="7"/>
      <c r="EG587" s="7"/>
      <c r="EH587" s="7"/>
      <c r="EI587" s="7"/>
      <c r="EJ587" s="7"/>
      <c r="EK587" s="7"/>
      <c r="EL587" s="7"/>
      <c r="EM587" s="7"/>
      <c r="EN587" s="7"/>
      <c r="EO587" s="7"/>
      <c r="EP587" s="7"/>
      <c r="EQ587" s="7"/>
      <c r="ER587" s="7"/>
      <c r="ES587" s="7"/>
      <c r="ET587" s="7"/>
      <c r="EU587" s="7"/>
      <c r="EV587" s="7"/>
      <c r="EW587" s="7"/>
      <c r="EX587" s="7"/>
      <c r="EY587" s="7"/>
      <c r="EZ587" s="7"/>
      <c r="FA587" s="7"/>
      <c r="FB587" s="7"/>
      <c r="FC587" s="7"/>
      <c r="FD587" s="7"/>
      <c r="FE587" s="7"/>
      <c r="FF587" s="7"/>
      <c r="FG587" s="7"/>
      <c r="FH587" s="7"/>
      <c r="FI587" s="7"/>
      <c r="FJ587" s="7"/>
      <c r="FK587" s="7"/>
      <c r="FL587" s="7"/>
      <c r="FM587" s="7"/>
      <c r="FN587" s="7"/>
      <c r="FO587" s="7"/>
      <c r="FP587" s="7"/>
      <c r="FQ587" s="7"/>
      <c r="FR587" s="7"/>
      <c r="FS587" s="7"/>
      <c r="FT587" s="7"/>
      <c r="FU587" s="7"/>
      <c r="FV587" s="7"/>
      <c r="FW587" s="7"/>
      <c r="FX587" s="7"/>
      <c r="FY587" s="7"/>
      <c r="FZ587" s="7"/>
      <c r="GA587" s="7"/>
      <c r="GB587" s="7"/>
      <c r="GC587" s="7"/>
      <c r="GD587" s="7"/>
      <c r="GE587" s="7"/>
      <c r="GF587" s="7"/>
      <c r="GG587" s="7"/>
      <c r="GH587" s="7"/>
      <c r="GI587" s="7"/>
      <c r="GJ587" s="7"/>
      <c r="GK587" s="7"/>
      <c r="GL587" s="7"/>
      <c r="GM587" s="7"/>
      <c r="GN587" s="7"/>
      <c r="GO587" s="7"/>
      <c r="GP587" s="7"/>
      <c r="GQ587" s="7"/>
      <c r="GR587" s="7"/>
      <c r="GS587" s="7"/>
      <c r="GT587" s="7"/>
      <c r="GU587" s="7"/>
      <c r="GV587" s="7"/>
      <c r="GW587" s="7"/>
      <c r="GX587" s="7"/>
      <c r="GY587" s="7"/>
      <c r="GZ587" s="7"/>
      <c r="HA587" s="7"/>
      <c r="HB587" s="7"/>
      <c r="HC587" s="7"/>
      <c r="HD587" s="7"/>
      <c r="HE587" s="7"/>
      <c r="HF587" s="7"/>
      <c r="HG587" s="7"/>
      <c r="HH587" s="7"/>
      <c r="HI587" s="7"/>
      <c r="HJ587" s="7"/>
      <c r="HK587" s="7"/>
      <c r="HL587" s="7"/>
      <c r="HM587" s="7"/>
      <c r="HN587" s="7"/>
      <c r="HO587" s="7"/>
      <c r="HP587" s="7"/>
      <c r="HQ587" s="7"/>
      <c r="HR587" s="7"/>
      <c r="HS587" s="7"/>
      <c r="HT587" s="7"/>
      <c r="HU587" s="7"/>
      <c r="HV587" s="7"/>
      <c r="HW587" s="7"/>
      <c r="HX587" s="7"/>
      <c r="HY587" s="7"/>
      <c r="HZ587" s="7"/>
      <c r="IA587" s="7"/>
      <c r="IB587" s="7"/>
      <c r="IC587" s="7"/>
      <c r="ID587" s="7"/>
      <c r="IE587" s="7"/>
      <c r="IF587" s="7"/>
      <c r="IG587" s="7"/>
      <c r="IH587" s="7"/>
      <c r="II587" s="7"/>
      <c r="IJ587" s="7"/>
      <c r="IK587" s="7"/>
      <c r="IL587" s="7"/>
      <c r="IM587" s="7"/>
      <c r="IN587" s="7"/>
      <c r="IO587" s="7"/>
      <c r="IP587" s="7"/>
      <c r="IQ587" s="7"/>
      <c r="IR587" s="7"/>
      <c r="IS587" s="7"/>
      <c r="IT587" s="7"/>
      <c r="IU587" s="7"/>
      <c r="IV587" s="7"/>
      <c r="IW587" s="7"/>
      <c r="IX587" s="7"/>
      <c r="IY587" s="7"/>
      <c r="IZ587" s="7"/>
      <c r="JA587" s="7"/>
      <c r="JB587" s="7"/>
      <c r="JC587" s="7"/>
      <c r="JD587" s="7"/>
      <c r="JE587" s="7"/>
      <c r="JF587" s="7"/>
      <c r="JG587" s="7"/>
      <c r="JH587" s="7"/>
      <c r="JI587" s="7"/>
      <c r="JJ587" s="7"/>
      <c r="JK587" s="7"/>
      <c r="JL587" s="7"/>
      <c r="JM587" s="7"/>
      <c r="JN587" s="7"/>
      <c r="JO587" s="7"/>
      <c r="JP587" s="7"/>
      <c r="JQ587" s="7"/>
      <c r="JR587" s="7"/>
      <c r="JS587" s="7"/>
      <c r="JT587" s="7"/>
      <c r="JU587" s="7"/>
      <c r="JV587" s="7"/>
      <c r="JW587" s="7"/>
      <c r="JX587" s="7"/>
      <c r="JY587" s="7"/>
      <c r="JZ587" s="7"/>
      <c r="KA587" s="7"/>
      <c r="KB587" s="7"/>
      <c r="KC587" s="7"/>
      <c r="KD587" s="7"/>
      <c r="KE587" s="7"/>
      <c r="KF587" s="7"/>
      <c r="KG587" s="7"/>
      <c r="KH587" s="7"/>
      <c r="KI587" s="7"/>
      <c r="KJ587" s="7"/>
      <c r="KK587" s="7"/>
      <c r="KL587" s="7"/>
      <c r="KM587" s="7"/>
      <c r="KN587" s="7"/>
    </row>
    <row r="588">
      <c r="A588" s="6"/>
      <c r="B588" s="6" t="s">
        <v>588</v>
      </c>
      <c r="C588" s="3" t="str">
        <f t="shared" si="3"/>
        <v>striped bronze</v>
      </c>
      <c r="D588" s="3" t="str">
        <f t="shared" si="17"/>
        <v>ZZZ</v>
      </c>
      <c r="E588" s="3" t="b">
        <f t="array" ref="E588">OR(ISNUMBER(SEARCH(D$2:D$30,$B588,5)))</f>
        <v>0</v>
      </c>
      <c r="G588" s="3" t="str">
        <f t="shared" si="4"/>
        <v>ZZZ</v>
      </c>
      <c r="H588" s="3" t="b">
        <f t="array" ref="H588">OR(ISNUMBER(SEARCH(G$2:G$30,$B588,5)))</f>
        <v>0</v>
      </c>
      <c r="J588" s="3" t="str">
        <f t="shared" si="5"/>
        <v>ZZZ</v>
      </c>
      <c r="K588" s="3" t="b">
        <f t="array" ref="K588">OR(ISNUMBER(SEARCH(J$2:J$30,$B588,5)))</f>
        <v>0</v>
      </c>
      <c r="M588" s="3" t="str">
        <f t="shared" si="6"/>
        <v>ZZZ</v>
      </c>
      <c r="N588" s="3" t="b">
        <f t="array" ref="N588">OR(ISNUMBER(SEARCH(M$2:M$30,$B588,5)))</f>
        <v>0</v>
      </c>
      <c r="P588" s="3" t="str">
        <f t="shared" si="7"/>
        <v>ZZZ</v>
      </c>
      <c r="Q588" s="3" t="b">
        <f t="array" ref="Q588">OR(ISNUMBER(SEARCH(P$2:P$50,$B588,5)))</f>
        <v>0</v>
      </c>
      <c r="S588" s="3" t="str">
        <f t="shared" si="8"/>
        <v>ZZZ</v>
      </c>
      <c r="T588" s="3" t="b">
        <f t="array" ref="T588">OR(ISNUMBER(SEARCH(S$2:S$100,$B588,5)))</f>
        <v>0</v>
      </c>
      <c r="V588" s="3" t="str">
        <f t="shared" si="9"/>
        <v>ZZZ</v>
      </c>
      <c r="W588" s="3" t="b">
        <f t="array" ref="W588">OR(ISNUMBER(SEARCH(V$2:V$100,$B588,5)))</f>
        <v>0</v>
      </c>
      <c r="Y588" s="3" t="str">
        <f t="shared" si="10"/>
        <v>ZZZ</v>
      </c>
      <c r="Z588" s="3" t="b">
        <f t="array" ref="Z588">OR(ISNUMBER(SEARCH(Y$2:Y$100,$B588,5)))</f>
        <v>0</v>
      </c>
      <c r="AB588" s="3" t="str">
        <f t="shared" si="11"/>
        <v>ZZZ</v>
      </c>
      <c r="AC588" s="3" t="b">
        <f t="array" ref="AC588">OR(ISNUMBER(SEARCH(AB$2:AB$100,$B588,5)))</f>
        <v>0</v>
      </c>
      <c r="AE588" s="3" t="str">
        <f t="shared" si="12"/>
        <v>ZZZ</v>
      </c>
      <c r="AF588" s="3" t="b">
        <f t="array" ref="AF588">OR(ISNUMBER(SEARCH(AE$2:AE$100,$B588,5)))</f>
        <v>0</v>
      </c>
      <c r="AH588" s="3" t="str">
        <f t="shared" si="13"/>
        <v>ZZZ</v>
      </c>
      <c r="AI588" s="3" t="b">
        <f t="array" ref="AI588">OR(ISNUMBER(SEARCH(AH$2:AH$100,$B588,5)))</f>
        <v>0</v>
      </c>
      <c r="AK588" s="3" t="str">
        <f t="shared" si="14"/>
        <v>ZZZ</v>
      </c>
      <c r="AL588" s="3" t="b">
        <f t="array" ref="AL588">OR(ISNUMBER(SEARCH(AK$2:AK$100,$B588,5)))</f>
        <v>0</v>
      </c>
      <c r="AU588" s="8"/>
      <c r="AV588" s="6"/>
      <c r="AW588" s="8"/>
      <c r="AX588" s="8"/>
      <c r="AY588" s="6"/>
      <c r="AZ588" s="8"/>
      <c r="BA588" s="8"/>
      <c r="BB588" s="6"/>
      <c r="BC588" s="8"/>
      <c r="BD588" s="8"/>
      <c r="BE588" s="6"/>
      <c r="BF588" s="8"/>
      <c r="BG588" s="8"/>
      <c r="BH588" s="6"/>
      <c r="BI588" s="8"/>
      <c r="BJ588" s="8"/>
      <c r="BK588" s="6"/>
      <c r="BL588" s="8"/>
      <c r="BM588" s="8"/>
      <c r="BN588" s="6"/>
      <c r="BO588" s="8"/>
      <c r="BP588" s="8"/>
      <c r="BQ588" s="6"/>
      <c r="BR588" s="8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  <c r="ED588" s="7"/>
      <c r="EE588" s="7"/>
      <c r="EF588" s="7"/>
      <c r="EG588" s="7"/>
      <c r="EH588" s="7"/>
      <c r="EI588" s="7"/>
      <c r="EJ588" s="7"/>
      <c r="EK588" s="7"/>
      <c r="EL588" s="7"/>
      <c r="EM588" s="7"/>
      <c r="EN588" s="7"/>
      <c r="EO588" s="7"/>
      <c r="EP588" s="7"/>
      <c r="EQ588" s="7"/>
      <c r="ER588" s="7"/>
      <c r="ES588" s="7"/>
      <c r="ET588" s="7"/>
      <c r="EU588" s="7"/>
      <c r="EV588" s="7"/>
      <c r="EW588" s="7"/>
      <c r="EX588" s="7"/>
      <c r="EY588" s="7"/>
      <c r="EZ588" s="7"/>
      <c r="FA588" s="7"/>
      <c r="FB588" s="7"/>
      <c r="FC588" s="7"/>
      <c r="FD588" s="7"/>
      <c r="FE588" s="7"/>
      <c r="FF588" s="7"/>
      <c r="FG588" s="7"/>
      <c r="FH588" s="7"/>
      <c r="FI588" s="7"/>
      <c r="FJ588" s="7"/>
      <c r="FK588" s="7"/>
      <c r="FL588" s="7"/>
      <c r="FM588" s="7"/>
      <c r="FN588" s="7"/>
      <c r="FO588" s="7"/>
      <c r="FP588" s="7"/>
      <c r="FQ588" s="7"/>
      <c r="FR588" s="7"/>
      <c r="FS588" s="7"/>
      <c r="FT588" s="7"/>
      <c r="FU588" s="7"/>
      <c r="FV588" s="7"/>
      <c r="FW588" s="7"/>
      <c r="FX588" s="7"/>
      <c r="FY588" s="7"/>
      <c r="FZ588" s="7"/>
      <c r="GA588" s="7"/>
      <c r="GB588" s="7"/>
      <c r="GC588" s="7"/>
      <c r="GD588" s="7"/>
      <c r="GE588" s="7"/>
      <c r="GF588" s="7"/>
      <c r="GG588" s="7"/>
      <c r="GH588" s="7"/>
      <c r="GI588" s="7"/>
      <c r="GJ588" s="7"/>
      <c r="GK588" s="7"/>
      <c r="GL588" s="7"/>
      <c r="GM588" s="7"/>
      <c r="GN588" s="7"/>
      <c r="GO588" s="7"/>
      <c r="GP588" s="7"/>
      <c r="GQ588" s="7"/>
      <c r="GR588" s="7"/>
      <c r="GS588" s="7"/>
      <c r="GT588" s="7"/>
      <c r="GU588" s="7"/>
      <c r="GV588" s="7"/>
      <c r="GW588" s="7"/>
      <c r="GX588" s="7"/>
      <c r="GY588" s="7"/>
      <c r="GZ588" s="7"/>
      <c r="HA588" s="7"/>
      <c r="HB588" s="7"/>
      <c r="HC588" s="7"/>
      <c r="HD588" s="7"/>
      <c r="HE588" s="7"/>
      <c r="HF588" s="7"/>
      <c r="HG588" s="7"/>
      <c r="HH588" s="7"/>
      <c r="HI588" s="7"/>
      <c r="HJ588" s="7"/>
      <c r="HK588" s="7"/>
      <c r="HL588" s="7"/>
      <c r="HM588" s="7"/>
      <c r="HN588" s="7"/>
      <c r="HO588" s="7"/>
      <c r="HP588" s="7"/>
      <c r="HQ588" s="7"/>
      <c r="HR588" s="7"/>
      <c r="HS588" s="7"/>
      <c r="HT588" s="7"/>
      <c r="HU588" s="7"/>
      <c r="HV588" s="7"/>
      <c r="HW588" s="7"/>
      <c r="HX588" s="7"/>
      <c r="HY588" s="7"/>
      <c r="HZ588" s="7"/>
      <c r="IA588" s="7"/>
      <c r="IB588" s="7"/>
      <c r="IC588" s="7"/>
      <c r="ID588" s="7"/>
      <c r="IE588" s="7"/>
      <c r="IF588" s="7"/>
      <c r="IG588" s="7"/>
      <c r="IH588" s="7"/>
      <c r="II588" s="7"/>
      <c r="IJ588" s="7"/>
      <c r="IK588" s="7"/>
      <c r="IL588" s="7"/>
      <c r="IM588" s="7"/>
      <c r="IN588" s="7"/>
      <c r="IO588" s="7"/>
      <c r="IP588" s="7"/>
      <c r="IQ588" s="7"/>
      <c r="IR588" s="7"/>
      <c r="IS588" s="7"/>
      <c r="IT588" s="7"/>
      <c r="IU588" s="7"/>
      <c r="IV588" s="7"/>
      <c r="IW588" s="7"/>
      <c r="IX588" s="7"/>
      <c r="IY588" s="7"/>
      <c r="IZ588" s="7"/>
      <c r="JA588" s="7"/>
      <c r="JB588" s="7"/>
      <c r="JC588" s="7"/>
      <c r="JD588" s="7"/>
      <c r="JE588" s="7"/>
      <c r="JF588" s="7"/>
      <c r="JG588" s="7"/>
      <c r="JH588" s="7"/>
      <c r="JI588" s="7"/>
      <c r="JJ588" s="7"/>
      <c r="JK588" s="7"/>
      <c r="JL588" s="7"/>
      <c r="JM588" s="7"/>
      <c r="JN588" s="7"/>
      <c r="JO588" s="7"/>
      <c r="JP588" s="7"/>
      <c r="JQ588" s="7"/>
      <c r="JR588" s="7"/>
      <c r="JS588" s="7"/>
      <c r="JT588" s="7"/>
      <c r="JU588" s="7"/>
      <c r="JV588" s="7"/>
      <c r="JW588" s="7"/>
      <c r="JX588" s="7"/>
      <c r="JY588" s="7"/>
      <c r="JZ588" s="7"/>
      <c r="KA588" s="7"/>
      <c r="KB588" s="7"/>
      <c r="KC588" s="7"/>
      <c r="KD588" s="7"/>
      <c r="KE588" s="7"/>
      <c r="KF588" s="7"/>
      <c r="KG588" s="7"/>
      <c r="KH588" s="7"/>
      <c r="KI588" s="7"/>
      <c r="KJ588" s="7"/>
      <c r="KK588" s="7"/>
      <c r="KL588" s="7"/>
      <c r="KM588" s="7"/>
      <c r="KN588" s="7"/>
    </row>
    <row r="589">
      <c r="A589" s="6"/>
      <c r="B589" s="6" t="s">
        <v>589</v>
      </c>
      <c r="C589" s="3" t="str">
        <f t="shared" si="3"/>
        <v>clear lime</v>
      </c>
      <c r="D589" s="3" t="str">
        <f t="shared" si="17"/>
        <v>ZZZ</v>
      </c>
      <c r="E589" s="3" t="b">
        <f t="array" ref="E589">OR(ISNUMBER(SEARCH(D$2:D$30,$B589,5)))</f>
        <v>0</v>
      </c>
      <c r="G589" s="3" t="str">
        <f t="shared" si="4"/>
        <v>ZZZ</v>
      </c>
      <c r="H589" s="3" t="b">
        <f t="array" ref="H589">OR(ISNUMBER(SEARCH(G$2:G$30,$B589,5)))</f>
        <v>0</v>
      </c>
      <c r="J589" s="3" t="str">
        <f t="shared" si="5"/>
        <v>ZZZ</v>
      </c>
      <c r="K589" s="3" t="b">
        <f t="array" ref="K589">OR(ISNUMBER(SEARCH(J$2:J$30,$B589,5)))</f>
        <v>0</v>
      </c>
      <c r="M589" s="3" t="str">
        <f t="shared" si="6"/>
        <v>ZZZ</v>
      </c>
      <c r="N589" s="3" t="b">
        <f t="array" ref="N589">OR(ISNUMBER(SEARCH(M$2:M$30,$B589,5)))</f>
        <v>0</v>
      </c>
      <c r="P589" s="3" t="str">
        <f t="shared" si="7"/>
        <v>ZZZ</v>
      </c>
      <c r="Q589" s="3" t="b">
        <f t="array" ref="Q589">OR(ISNUMBER(SEARCH(P$2:P$50,$B589,5)))</f>
        <v>0</v>
      </c>
      <c r="S589" s="3" t="str">
        <f t="shared" si="8"/>
        <v>ZZZ</v>
      </c>
      <c r="T589" s="3" t="b">
        <f t="array" ref="T589">OR(ISNUMBER(SEARCH(S$2:S$100,$B589,5)))</f>
        <v>0</v>
      </c>
      <c r="V589" s="3" t="str">
        <f t="shared" si="9"/>
        <v>ZZZ</v>
      </c>
      <c r="W589" s="3" t="b">
        <f t="array" ref="W589">OR(ISNUMBER(SEARCH(V$2:V$100,$B589,5)))</f>
        <v>0</v>
      </c>
      <c r="Y589" s="3" t="str">
        <f t="shared" si="10"/>
        <v>ZZZ</v>
      </c>
      <c r="Z589" s="3" t="b">
        <f t="array" ref="Z589">OR(ISNUMBER(SEARCH(Y$2:Y$100,$B589,5)))</f>
        <v>0</v>
      </c>
      <c r="AB589" s="3" t="str">
        <f t="shared" si="11"/>
        <v>ZZZ</v>
      </c>
      <c r="AC589" s="3" t="b">
        <f t="array" ref="AC589">OR(ISNUMBER(SEARCH(AB$2:AB$100,$B589,5)))</f>
        <v>0</v>
      </c>
      <c r="AE589" s="3" t="str">
        <f t="shared" si="12"/>
        <v>ZZZ</v>
      </c>
      <c r="AF589" s="3" t="b">
        <f t="array" ref="AF589">OR(ISNUMBER(SEARCH(AE$2:AE$100,$B589,5)))</f>
        <v>0</v>
      </c>
      <c r="AH589" s="3" t="str">
        <f t="shared" si="13"/>
        <v>ZZZ</v>
      </c>
      <c r="AI589" s="3" t="b">
        <f t="array" ref="AI589">OR(ISNUMBER(SEARCH(AH$2:AH$100,$B589,5)))</f>
        <v>0</v>
      </c>
      <c r="AK589" s="3" t="str">
        <f t="shared" si="14"/>
        <v>ZZZ</v>
      </c>
      <c r="AL589" s="3" t="b">
        <f t="array" ref="AL589">OR(ISNUMBER(SEARCH(AK$2:AK$100,$B589,5)))</f>
        <v>0</v>
      </c>
      <c r="AU589" s="8"/>
      <c r="AV589" s="6"/>
      <c r="AW589" s="8"/>
      <c r="AX589" s="8"/>
      <c r="AY589" s="6"/>
      <c r="AZ589" s="8"/>
      <c r="BA589" s="8"/>
      <c r="BB589" s="6"/>
      <c r="BC589" s="8"/>
      <c r="BD589" s="8"/>
      <c r="BE589" s="6"/>
      <c r="BF589" s="8"/>
      <c r="BG589" s="8"/>
      <c r="BH589" s="6"/>
      <c r="BI589" s="8"/>
      <c r="BJ589" s="8"/>
      <c r="BK589" s="6"/>
      <c r="BL589" s="8"/>
      <c r="BM589" s="8"/>
      <c r="BN589" s="6"/>
      <c r="BO589" s="8"/>
      <c r="BP589" s="8"/>
      <c r="BQ589" s="6"/>
      <c r="BR589" s="8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  <c r="ED589" s="7"/>
      <c r="EE589" s="7"/>
      <c r="EF589" s="7"/>
      <c r="EG589" s="7"/>
      <c r="EH589" s="7"/>
      <c r="EI589" s="7"/>
      <c r="EJ589" s="7"/>
      <c r="EK589" s="7"/>
      <c r="EL589" s="7"/>
      <c r="EM589" s="7"/>
      <c r="EN589" s="7"/>
      <c r="EO589" s="7"/>
      <c r="EP589" s="7"/>
      <c r="EQ589" s="7"/>
      <c r="ER589" s="7"/>
      <c r="ES589" s="7"/>
      <c r="ET589" s="7"/>
      <c r="EU589" s="7"/>
      <c r="EV589" s="7"/>
      <c r="EW589" s="7"/>
      <c r="EX589" s="7"/>
      <c r="EY589" s="7"/>
      <c r="EZ589" s="7"/>
      <c r="FA589" s="7"/>
      <c r="FB589" s="7"/>
      <c r="FC589" s="7"/>
      <c r="FD589" s="7"/>
      <c r="FE589" s="7"/>
      <c r="FF589" s="7"/>
      <c r="FG589" s="7"/>
      <c r="FH589" s="7"/>
      <c r="FI589" s="7"/>
      <c r="FJ589" s="7"/>
      <c r="FK589" s="7"/>
      <c r="FL589" s="7"/>
      <c r="FM589" s="7"/>
      <c r="FN589" s="7"/>
      <c r="FO589" s="7"/>
      <c r="FP589" s="7"/>
      <c r="FQ589" s="7"/>
      <c r="FR589" s="7"/>
      <c r="FS589" s="7"/>
      <c r="FT589" s="7"/>
      <c r="FU589" s="7"/>
      <c r="FV589" s="7"/>
      <c r="FW589" s="7"/>
      <c r="FX589" s="7"/>
      <c r="FY589" s="7"/>
      <c r="FZ589" s="7"/>
      <c r="GA589" s="7"/>
      <c r="GB589" s="7"/>
      <c r="GC589" s="7"/>
      <c r="GD589" s="7"/>
      <c r="GE589" s="7"/>
      <c r="GF589" s="7"/>
      <c r="GG589" s="7"/>
      <c r="GH589" s="7"/>
      <c r="GI589" s="7"/>
      <c r="GJ589" s="7"/>
      <c r="GK589" s="7"/>
      <c r="GL589" s="7"/>
      <c r="GM589" s="7"/>
      <c r="GN589" s="7"/>
      <c r="GO589" s="7"/>
      <c r="GP589" s="7"/>
      <c r="GQ589" s="7"/>
      <c r="GR589" s="7"/>
      <c r="GS589" s="7"/>
      <c r="GT589" s="7"/>
      <c r="GU589" s="7"/>
      <c r="GV589" s="7"/>
      <c r="GW589" s="7"/>
      <c r="GX589" s="7"/>
      <c r="GY589" s="7"/>
      <c r="GZ589" s="7"/>
      <c r="HA589" s="7"/>
      <c r="HB589" s="7"/>
      <c r="HC589" s="7"/>
      <c r="HD589" s="7"/>
      <c r="HE589" s="7"/>
      <c r="HF589" s="7"/>
      <c r="HG589" s="7"/>
      <c r="HH589" s="7"/>
      <c r="HI589" s="7"/>
      <c r="HJ589" s="7"/>
      <c r="HK589" s="7"/>
      <c r="HL589" s="7"/>
      <c r="HM589" s="7"/>
      <c r="HN589" s="7"/>
      <c r="HO589" s="7"/>
      <c r="HP589" s="7"/>
      <c r="HQ589" s="7"/>
      <c r="HR589" s="7"/>
      <c r="HS589" s="7"/>
      <c r="HT589" s="7"/>
      <c r="HU589" s="7"/>
      <c r="HV589" s="7"/>
      <c r="HW589" s="7"/>
      <c r="HX589" s="7"/>
      <c r="HY589" s="7"/>
      <c r="HZ589" s="7"/>
      <c r="IA589" s="7"/>
      <c r="IB589" s="7"/>
      <c r="IC589" s="7"/>
      <c r="ID589" s="7"/>
      <c r="IE589" s="7"/>
      <c r="IF589" s="7"/>
      <c r="IG589" s="7"/>
      <c r="IH589" s="7"/>
      <c r="II589" s="7"/>
      <c r="IJ589" s="7"/>
      <c r="IK589" s="7"/>
      <c r="IL589" s="7"/>
      <c r="IM589" s="7"/>
      <c r="IN589" s="7"/>
      <c r="IO589" s="7"/>
      <c r="IP589" s="7"/>
      <c r="IQ589" s="7"/>
      <c r="IR589" s="7"/>
      <c r="IS589" s="7"/>
      <c r="IT589" s="7"/>
      <c r="IU589" s="7"/>
      <c r="IV589" s="7"/>
      <c r="IW589" s="7"/>
      <c r="IX589" s="7"/>
      <c r="IY589" s="7"/>
      <c r="IZ589" s="7"/>
      <c r="JA589" s="7"/>
      <c r="JB589" s="7"/>
      <c r="JC589" s="7"/>
      <c r="JD589" s="7"/>
      <c r="JE589" s="7"/>
      <c r="JF589" s="7"/>
      <c r="JG589" s="7"/>
      <c r="JH589" s="7"/>
      <c r="JI589" s="7"/>
      <c r="JJ589" s="7"/>
      <c r="JK589" s="7"/>
      <c r="JL589" s="7"/>
      <c r="JM589" s="7"/>
      <c r="JN589" s="7"/>
      <c r="JO589" s="7"/>
      <c r="JP589" s="7"/>
      <c r="JQ589" s="7"/>
      <c r="JR589" s="7"/>
      <c r="JS589" s="7"/>
      <c r="JT589" s="7"/>
      <c r="JU589" s="7"/>
      <c r="JV589" s="7"/>
      <c r="JW589" s="7"/>
      <c r="JX589" s="7"/>
      <c r="JY589" s="7"/>
      <c r="JZ589" s="7"/>
      <c r="KA589" s="7"/>
      <c r="KB589" s="7"/>
      <c r="KC589" s="7"/>
      <c r="KD589" s="7"/>
      <c r="KE589" s="7"/>
      <c r="KF589" s="7"/>
      <c r="KG589" s="7"/>
      <c r="KH589" s="7"/>
      <c r="KI589" s="7"/>
      <c r="KJ589" s="7"/>
      <c r="KK589" s="7"/>
      <c r="KL589" s="7"/>
      <c r="KM589" s="7"/>
      <c r="KN589" s="7"/>
    </row>
    <row r="590">
      <c r="A590" s="6"/>
      <c r="B590" s="6" t="s">
        <v>590</v>
      </c>
      <c r="C590" s="3" t="str">
        <f t="shared" si="3"/>
        <v>muted magenta</v>
      </c>
      <c r="D590" s="3" t="str">
        <f t="shared" si="17"/>
        <v>ZZZ</v>
      </c>
      <c r="E590" s="3" t="b">
        <f t="array" ref="E590">OR(ISNUMBER(SEARCH(D$2:D$30,$B590,5)))</f>
        <v>0</v>
      </c>
      <c r="G590" s="3" t="str">
        <f t="shared" si="4"/>
        <v>ZZZ</v>
      </c>
      <c r="H590" s="3" t="b">
        <f t="array" ref="H590">OR(ISNUMBER(SEARCH(G$2:G$30,$B590,5)))</f>
        <v>0</v>
      </c>
      <c r="J590" s="3" t="str">
        <f t="shared" si="5"/>
        <v>ZZZ</v>
      </c>
      <c r="K590" s="3" t="b">
        <f t="array" ref="K590">OR(ISNUMBER(SEARCH(J$2:J$30,$B590,5)))</f>
        <v>0</v>
      </c>
      <c r="M590" s="3" t="str">
        <f t="shared" si="6"/>
        <v>ZZZ</v>
      </c>
      <c r="N590" s="3" t="b">
        <f t="array" ref="N590">OR(ISNUMBER(SEARCH(M$2:M$30,$B590,5)))</f>
        <v>0</v>
      </c>
      <c r="P590" s="3" t="str">
        <f t="shared" si="7"/>
        <v>ZZZ</v>
      </c>
      <c r="Q590" s="3" t="b">
        <f t="array" ref="Q590">OR(ISNUMBER(SEARCH(P$2:P$50,$B590,5)))</f>
        <v>0</v>
      </c>
      <c r="S590" s="3" t="str">
        <f t="shared" si="8"/>
        <v>ZZZ</v>
      </c>
      <c r="T590" s="3" t="b">
        <f t="array" ref="T590">OR(ISNUMBER(SEARCH(S$2:S$100,$B590,5)))</f>
        <v>0</v>
      </c>
      <c r="V590" s="3" t="str">
        <f t="shared" si="9"/>
        <v>ZZZ</v>
      </c>
      <c r="W590" s="3" t="b">
        <f t="array" ref="W590">OR(ISNUMBER(SEARCH(V$2:V$100,$B590,5)))</f>
        <v>0</v>
      </c>
      <c r="Y590" s="3" t="str">
        <f t="shared" si="10"/>
        <v>ZZZ</v>
      </c>
      <c r="Z590" s="3" t="b">
        <f t="array" ref="Z590">OR(ISNUMBER(SEARCH(Y$2:Y$100,$B590,5)))</f>
        <v>0</v>
      </c>
      <c r="AB590" s="3" t="str">
        <f t="shared" si="11"/>
        <v>ZZZ</v>
      </c>
      <c r="AC590" s="3" t="b">
        <f t="array" ref="AC590">OR(ISNUMBER(SEARCH(AB$2:AB$100,$B590,5)))</f>
        <v>0</v>
      </c>
      <c r="AE590" s="3" t="str">
        <f t="shared" si="12"/>
        <v>ZZZ</v>
      </c>
      <c r="AF590" s="3" t="b">
        <f t="array" ref="AF590">OR(ISNUMBER(SEARCH(AE$2:AE$100,$B590,5)))</f>
        <v>0</v>
      </c>
      <c r="AH590" s="3" t="str">
        <f t="shared" si="13"/>
        <v>ZZZ</v>
      </c>
      <c r="AI590" s="3" t="b">
        <f t="array" ref="AI590">OR(ISNUMBER(SEARCH(AH$2:AH$100,$B590,5)))</f>
        <v>0</v>
      </c>
      <c r="AK590" s="3" t="str">
        <f t="shared" si="14"/>
        <v>ZZZ</v>
      </c>
      <c r="AL590" s="3" t="b">
        <f t="array" ref="AL590">OR(ISNUMBER(SEARCH(AK$2:AK$100,$B590,5)))</f>
        <v>0</v>
      </c>
      <c r="AU590" s="8"/>
      <c r="AV590" s="6"/>
      <c r="AW590" s="8"/>
      <c r="AX590" s="8"/>
      <c r="AY590" s="6"/>
      <c r="AZ590" s="8"/>
      <c r="BA590" s="8"/>
      <c r="BB590" s="6"/>
      <c r="BC590" s="8"/>
      <c r="BD590" s="8"/>
      <c r="BE590" s="6"/>
      <c r="BF590" s="8"/>
      <c r="BG590" s="8"/>
      <c r="BH590" s="6"/>
      <c r="BI590" s="8"/>
      <c r="BJ590" s="8"/>
      <c r="BK590" s="6"/>
      <c r="BL590" s="8"/>
      <c r="BM590" s="8"/>
      <c r="BN590" s="6"/>
      <c r="BO590" s="8"/>
      <c r="BP590" s="8"/>
      <c r="BQ590" s="6"/>
      <c r="BR590" s="8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  <c r="EI590" s="7"/>
      <c r="EJ590" s="7"/>
      <c r="EK590" s="7"/>
      <c r="EL590" s="7"/>
      <c r="EM590" s="7"/>
      <c r="EN590" s="7"/>
      <c r="EO590" s="7"/>
      <c r="EP590" s="7"/>
      <c r="EQ590" s="7"/>
      <c r="ER590" s="7"/>
      <c r="ES590" s="7"/>
      <c r="ET590" s="7"/>
      <c r="EU590" s="7"/>
      <c r="EV590" s="7"/>
      <c r="EW590" s="7"/>
      <c r="EX590" s="7"/>
      <c r="EY590" s="7"/>
      <c r="EZ590" s="7"/>
      <c r="FA590" s="7"/>
      <c r="FB590" s="7"/>
      <c r="FC590" s="7"/>
      <c r="FD590" s="7"/>
      <c r="FE590" s="7"/>
      <c r="FF590" s="7"/>
      <c r="FG590" s="7"/>
      <c r="FH590" s="7"/>
      <c r="FI590" s="7"/>
      <c r="FJ590" s="7"/>
      <c r="FK590" s="7"/>
      <c r="FL590" s="7"/>
      <c r="FM590" s="7"/>
      <c r="FN590" s="7"/>
      <c r="FO590" s="7"/>
      <c r="FP590" s="7"/>
      <c r="FQ590" s="7"/>
      <c r="FR590" s="7"/>
      <c r="FS590" s="7"/>
      <c r="FT590" s="7"/>
      <c r="FU590" s="7"/>
      <c r="FV590" s="7"/>
      <c r="FW590" s="7"/>
      <c r="FX590" s="7"/>
      <c r="FY590" s="7"/>
      <c r="FZ590" s="7"/>
      <c r="GA590" s="7"/>
      <c r="GB590" s="7"/>
      <c r="GC590" s="7"/>
      <c r="GD590" s="7"/>
      <c r="GE590" s="7"/>
      <c r="GF590" s="7"/>
      <c r="GG590" s="7"/>
      <c r="GH590" s="7"/>
      <c r="GI590" s="7"/>
      <c r="GJ590" s="7"/>
      <c r="GK590" s="7"/>
      <c r="GL590" s="7"/>
      <c r="GM590" s="7"/>
      <c r="GN590" s="7"/>
      <c r="GO590" s="7"/>
      <c r="GP590" s="7"/>
      <c r="GQ590" s="7"/>
      <c r="GR590" s="7"/>
      <c r="GS590" s="7"/>
      <c r="GT590" s="7"/>
      <c r="GU590" s="7"/>
      <c r="GV590" s="7"/>
      <c r="GW590" s="7"/>
      <c r="GX590" s="7"/>
      <c r="GY590" s="7"/>
      <c r="GZ590" s="7"/>
      <c r="HA590" s="7"/>
      <c r="HB590" s="7"/>
      <c r="HC590" s="7"/>
      <c r="HD590" s="7"/>
      <c r="HE590" s="7"/>
      <c r="HF590" s="7"/>
      <c r="HG590" s="7"/>
      <c r="HH590" s="7"/>
      <c r="HI590" s="7"/>
      <c r="HJ590" s="7"/>
      <c r="HK590" s="7"/>
      <c r="HL590" s="7"/>
      <c r="HM590" s="7"/>
      <c r="HN590" s="7"/>
      <c r="HO590" s="7"/>
      <c r="HP590" s="7"/>
      <c r="HQ590" s="7"/>
      <c r="HR590" s="7"/>
      <c r="HS590" s="7"/>
      <c r="HT590" s="7"/>
      <c r="HU590" s="7"/>
      <c r="HV590" s="7"/>
      <c r="HW590" s="7"/>
      <c r="HX590" s="7"/>
      <c r="HY590" s="7"/>
      <c r="HZ590" s="7"/>
      <c r="IA590" s="7"/>
      <c r="IB590" s="7"/>
      <c r="IC590" s="7"/>
      <c r="ID590" s="7"/>
      <c r="IE590" s="7"/>
      <c r="IF590" s="7"/>
      <c r="IG590" s="7"/>
      <c r="IH590" s="7"/>
      <c r="II590" s="7"/>
      <c r="IJ590" s="7"/>
      <c r="IK590" s="7"/>
      <c r="IL590" s="7"/>
      <c r="IM590" s="7"/>
      <c r="IN590" s="7"/>
      <c r="IO590" s="7"/>
      <c r="IP590" s="7"/>
      <c r="IQ590" s="7"/>
      <c r="IR590" s="7"/>
      <c r="IS590" s="7"/>
      <c r="IT590" s="7"/>
      <c r="IU590" s="7"/>
      <c r="IV590" s="7"/>
      <c r="IW590" s="7"/>
      <c r="IX590" s="7"/>
      <c r="IY590" s="7"/>
      <c r="IZ590" s="7"/>
      <c r="JA590" s="7"/>
      <c r="JB590" s="7"/>
      <c r="JC590" s="7"/>
      <c r="JD590" s="7"/>
      <c r="JE590" s="7"/>
      <c r="JF590" s="7"/>
      <c r="JG590" s="7"/>
      <c r="JH590" s="7"/>
      <c r="JI590" s="7"/>
      <c r="JJ590" s="7"/>
      <c r="JK590" s="7"/>
      <c r="JL590" s="7"/>
      <c r="JM590" s="7"/>
      <c r="JN590" s="7"/>
      <c r="JO590" s="7"/>
      <c r="JP590" s="7"/>
      <c r="JQ590" s="7"/>
      <c r="JR590" s="7"/>
      <c r="JS590" s="7"/>
      <c r="JT590" s="7"/>
      <c r="JU590" s="7"/>
      <c r="JV590" s="7"/>
      <c r="JW590" s="7"/>
      <c r="JX590" s="7"/>
      <c r="JY590" s="7"/>
      <c r="JZ590" s="7"/>
      <c r="KA590" s="7"/>
      <c r="KB590" s="7"/>
      <c r="KC590" s="7"/>
      <c r="KD590" s="7"/>
      <c r="KE590" s="7"/>
      <c r="KF590" s="7"/>
      <c r="KG590" s="7"/>
      <c r="KH590" s="7"/>
      <c r="KI590" s="7"/>
      <c r="KJ590" s="7"/>
      <c r="KK590" s="7"/>
      <c r="KL590" s="7"/>
      <c r="KM590" s="7"/>
      <c r="KN590" s="7"/>
    </row>
    <row r="591">
      <c r="A591" s="6"/>
      <c r="B591" s="6" t="s">
        <v>591</v>
      </c>
      <c r="C591" s="3" t="str">
        <f t="shared" si="3"/>
        <v>bright chartreuse</v>
      </c>
      <c r="D591" s="3" t="str">
        <f t="shared" si="17"/>
        <v>ZZZ</v>
      </c>
      <c r="E591" s="3" t="b">
        <f t="array" ref="E591">OR(ISNUMBER(SEARCH(D$2:D$30,$B591,5)))</f>
        <v>0</v>
      </c>
      <c r="G591" s="3" t="str">
        <f t="shared" si="4"/>
        <v>ZZZ</v>
      </c>
      <c r="H591" s="3" t="b">
        <f t="array" ref="H591">OR(ISNUMBER(SEARCH(G$2:G$30,$B591,5)))</f>
        <v>0</v>
      </c>
      <c r="J591" s="3" t="str">
        <f t="shared" si="5"/>
        <v>ZZZ</v>
      </c>
      <c r="K591" s="3" t="b">
        <f t="array" ref="K591">OR(ISNUMBER(SEARCH(J$2:J$30,$B591,5)))</f>
        <v>0</v>
      </c>
      <c r="M591" s="3" t="str">
        <f t="shared" si="6"/>
        <v>ZZZ</v>
      </c>
      <c r="N591" s="3" t="b">
        <f t="array" ref="N591">OR(ISNUMBER(SEARCH(M$2:M$30,$B591,5)))</f>
        <v>0</v>
      </c>
      <c r="P591" s="3" t="str">
        <f t="shared" si="7"/>
        <v>ZZZ</v>
      </c>
      <c r="Q591" s="3" t="b">
        <f t="array" ref="Q591">OR(ISNUMBER(SEARCH(P$2:P$50,$B591,5)))</f>
        <v>0</v>
      </c>
      <c r="S591" s="3" t="str">
        <f t="shared" si="8"/>
        <v>ZZZ</v>
      </c>
      <c r="T591" s="3" t="b">
        <f t="array" ref="T591">OR(ISNUMBER(SEARCH(S$2:S$100,$B591,5)))</f>
        <v>0</v>
      </c>
      <c r="V591" s="3" t="str">
        <f t="shared" si="9"/>
        <v>ZZZ</v>
      </c>
      <c r="W591" s="3" t="b">
        <f t="array" ref="W591">OR(ISNUMBER(SEARCH(V$2:V$100,$B591,5)))</f>
        <v>0</v>
      </c>
      <c r="Y591" s="3" t="str">
        <f t="shared" si="10"/>
        <v>ZZZ</v>
      </c>
      <c r="Z591" s="3" t="b">
        <f t="array" ref="Z591">OR(ISNUMBER(SEARCH(Y$2:Y$100,$B591,5)))</f>
        <v>0</v>
      </c>
      <c r="AB591" s="3" t="str">
        <f t="shared" si="11"/>
        <v>ZZZ</v>
      </c>
      <c r="AC591" s="3" t="b">
        <f t="array" ref="AC591">OR(ISNUMBER(SEARCH(AB$2:AB$100,$B591,5)))</f>
        <v>0</v>
      </c>
      <c r="AE591" s="3" t="str">
        <f t="shared" si="12"/>
        <v>ZZZ</v>
      </c>
      <c r="AF591" s="3" t="b">
        <f t="array" ref="AF591">OR(ISNUMBER(SEARCH(AE$2:AE$100,$B591,5)))</f>
        <v>0</v>
      </c>
      <c r="AH591" s="3" t="str">
        <f t="shared" si="13"/>
        <v>ZZZ</v>
      </c>
      <c r="AI591" s="3" t="b">
        <f t="array" ref="AI591">OR(ISNUMBER(SEARCH(AH$2:AH$100,$B591,5)))</f>
        <v>0</v>
      </c>
      <c r="AK591" s="3" t="str">
        <f t="shared" si="14"/>
        <v>ZZZ</v>
      </c>
      <c r="AL591" s="3" t="b">
        <f t="array" ref="AL591">OR(ISNUMBER(SEARCH(AK$2:AK$100,$B591,5)))</f>
        <v>0</v>
      </c>
      <c r="AU591" s="8"/>
      <c r="AV591" s="6"/>
      <c r="AW591" s="8"/>
      <c r="AX591" s="8"/>
      <c r="AY591" s="6"/>
      <c r="AZ591" s="8"/>
      <c r="BA591" s="8"/>
      <c r="BB591" s="6"/>
      <c r="BC591" s="8"/>
      <c r="BD591" s="8"/>
      <c r="BE591" s="6"/>
      <c r="BF591" s="8"/>
      <c r="BG591" s="8"/>
      <c r="BH591" s="6"/>
      <c r="BI591" s="8"/>
      <c r="BJ591" s="8"/>
      <c r="BK591" s="6"/>
      <c r="BL591" s="8"/>
      <c r="BM591" s="8"/>
      <c r="BN591" s="6"/>
      <c r="BO591" s="8"/>
      <c r="BP591" s="8"/>
      <c r="BQ591" s="6"/>
      <c r="BR591" s="8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  <c r="EK591" s="7"/>
      <c r="EL591" s="7"/>
      <c r="EM591" s="7"/>
      <c r="EN591" s="7"/>
      <c r="EO591" s="7"/>
      <c r="EP591" s="7"/>
      <c r="EQ591" s="7"/>
      <c r="ER591" s="7"/>
      <c r="ES591" s="7"/>
      <c r="ET591" s="7"/>
      <c r="EU591" s="7"/>
      <c r="EV591" s="7"/>
      <c r="EW591" s="7"/>
      <c r="EX591" s="7"/>
      <c r="EY591" s="7"/>
      <c r="EZ591" s="7"/>
      <c r="FA591" s="7"/>
      <c r="FB591" s="7"/>
      <c r="FC591" s="7"/>
      <c r="FD591" s="7"/>
      <c r="FE591" s="7"/>
      <c r="FF591" s="7"/>
      <c r="FG591" s="7"/>
      <c r="FH591" s="7"/>
      <c r="FI591" s="7"/>
      <c r="FJ591" s="7"/>
      <c r="FK591" s="7"/>
      <c r="FL591" s="7"/>
      <c r="FM591" s="7"/>
      <c r="FN591" s="7"/>
      <c r="FO591" s="7"/>
      <c r="FP591" s="7"/>
      <c r="FQ591" s="7"/>
      <c r="FR591" s="7"/>
      <c r="FS591" s="7"/>
      <c r="FT591" s="7"/>
      <c r="FU591" s="7"/>
      <c r="FV591" s="7"/>
      <c r="FW591" s="7"/>
      <c r="FX591" s="7"/>
      <c r="FY591" s="7"/>
      <c r="FZ591" s="7"/>
      <c r="GA591" s="7"/>
      <c r="GB591" s="7"/>
      <c r="GC591" s="7"/>
      <c r="GD591" s="7"/>
      <c r="GE591" s="7"/>
      <c r="GF591" s="7"/>
      <c r="GG591" s="7"/>
      <c r="GH591" s="7"/>
      <c r="GI591" s="7"/>
      <c r="GJ591" s="7"/>
      <c r="GK591" s="7"/>
      <c r="GL591" s="7"/>
      <c r="GM591" s="7"/>
      <c r="GN591" s="7"/>
      <c r="GO591" s="7"/>
      <c r="GP591" s="7"/>
      <c r="GQ591" s="7"/>
      <c r="GR591" s="7"/>
      <c r="GS591" s="7"/>
      <c r="GT591" s="7"/>
      <c r="GU591" s="7"/>
      <c r="GV591" s="7"/>
      <c r="GW591" s="7"/>
      <c r="GX591" s="7"/>
      <c r="GY591" s="7"/>
      <c r="GZ591" s="7"/>
      <c r="HA591" s="7"/>
      <c r="HB591" s="7"/>
      <c r="HC591" s="7"/>
      <c r="HD591" s="7"/>
      <c r="HE591" s="7"/>
      <c r="HF591" s="7"/>
      <c r="HG591" s="7"/>
      <c r="HH591" s="7"/>
      <c r="HI591" s="7"/>
      <c r="HJ591" s="7"/>
      <c r="HK591" s="7"/>
      <c r="HL591" s="7"/>
      <c r="HM591" s="7"/>
      <c r="HN591" s="7"/>
      <c r="HO591" s="7"/>
      <c r="HP591" s="7"/>
      <c r="HQ591" s="7"/>
      <c r="HR591" s="7"/>
      <c r="HS591" s="7"/>
      <c r="HT591" s="7"/>
      <c r="HU591" s="7"/>
      <c r="HV591" s="7"/>
      <c r="HW591" s="7"/>
      <c r="HX591" s="7"/>
      <c r="HY591" s="7"/>
      <c r="HZ591" s="7"/>
      <c r="IA591" s="7"/>
      <c r="IB591" s="7"/>
      <c r="IC591" s="7"/>
      <c r="ID591" s="7"/>
      <c r="IE591" s="7"/>
      <c r="IF591" s="7"/>
      <c r="IG591" s="7"/>
      <c r="IH591" s="7"/>
      <c r="II591" s="7"/>
      <c r="IJ591" s="7"/>
      <c r="IK591" s="7"/>
      <c r="IL591" s="7"/>
      <c r="IM591" s="7"/>
      <c r="IN591" s="7"/>
      <c r="IO591" s="7"/>
      <c r="IP591" s="7"/>
      <c r="IQ591" s="7"/>
      <c r="IR591" s="7"/>
      <c r="IS591" s="7"/>
      <c r="IT591" s="7"/>
      <c r="IU591" s="7"/>
      <c r="IV591" s="7"/>
      <c r="IW591" s="7"/>
      <c r="IX591" s="7"/>
      <c r="IY591" s="7"/>
      <c r="IZ591" s="7"/>
      <c r="JA591" s="7"/>
      <c r="JB591" s="7"/>
      <c r="JC591" s="7"/>
      <c r="JD591" s="7"/>
      <c r="JE591" s="7"/>
      <c r="JF591" s="7"/>
      <c r="JG591" s="7"/>
      <c r="JH591" s="7"/>
      <c r="JI591" s="7"/>
      <c r="JJ591" s="7"/>
      <c r="JK591" s="7"/>
      <c r="JL591" s="7"/>
      <c r="JM591" s="7"/>
      <c r="JN591" s="7"/>
      <c r="JO591" s="7"/>
      <c r="JP591" s="7"/>
      <c r="JQ591" s="7"/>
      <c r="JR591" s="7"/>
      <c r="JS591" s="7"/>
      <c r="JT591" s="7"/>
      <c r="JU591" s="7"/>
      <c r="JV591" s="7"/>
      <c r="JW591" s="7"/>
      <c r="JX591" s="7"/>
      <c r="JY591" s="7"/>
      <c r="JZ591" s="7"/>
      <c r="KA591" s="7"/>
      <c r="KB591" s="7"/>
      <c r="KC591" s="7"/>
      <c r="KD591" s="7"/>
      <c r="KE591" s="7"/>
      <c r="KF591" s="7"/>
      <c r="KG591" s="7"/>
      <c r="KH591" s="7"/>
      <c r="KI591" s="7"/>
      <c r="KJ591" s="7"/>
      <c r="KK591" s="7"/>
      <c r="KL591" s="7"/>
      <c r="KM591" s="7"/>
      <c r="KN591" s="7"/>
    </row>
    <row r="592">
      <c r="A592" s="6"/>
      <c r="B592" s="6" t="s">
        <v>592</v>
      </c>
      <c r="C592" s="3" t="str">
        <f t="shared" si="3"/>
        <v>dim magenta</v>
      </c>
      <c r="D592" s="3" t="str">
        <f t="shared" si="17"/>
        <v>ZZZ</v>
      </c>
      <c r="E592" s="3" t="b">
        <f t="array" ref="E592">OR(ISNUMBER(SEARCH(D$2:D$30,$B592,5)))</f>
        <v>0</v>
      </c>
      <c r="G592" s="3" t="str">
        <f t="shared" si="4"/>
        <v>ZZZ</v>
      </c>
      <c r="H592" s="3" t="b">
        <f t="array" ref="H592">OR(ISNUMBER(SEARCH(G$2:G$30,$B592,5)))</f>
        <v>0</v>
      </c>
      <c r="J592" s="3" t="str">
        <f t="shared" si="5"/>
        <v>ZZZ</v>
      </c>
      <c r="K592" s="3" t="b">
        <f t="array" ref="K592">OR(ISNUMBER(SEARCH(J$2:J$30,$B592,5)))</f>
        <v>0</v>
      </c>
      <c r="M592" s="3" t="str">
        <f t="shared" si="6"/>
        <v>ZZZ</v>
      </c>
      <c r="N592" s="3" t="b">
        <f t="array" ref="N592">OR(ISNUMBER(SEARCH(M$2:M$30,$B592,5)))</f>
        <v>1</v>
      </c>
      <c r="P592" s="3" t="str">
        <f t="shared" si="7"/>
        <v>ZZZ</v>
      </c>
      <c r="Q592" s="3" t="b">
        <f t="array" ref="Q592">OR(ISNUMBER(SEARCH(P$2:P$50,$B592,5)))</f>
        <v>0</v>
      </c>
      <c r="S592" s="3" t="str">
        <f t="shared" si="8"/>
        <v>ZZZ</v>
      </c>
      <c r="T592" s="3" t="b">
        <f t="array" ref="T592">OR(ISNUMBER(SEARCH(S$2:S$100,$B592,5)))</f>
        <v>0</v>
      </c>
      <c r="V592" s="3" t="str">
        <f t="shared" si="9"/>
        <v>ZZZ</v>
      </c>
      <c r="W592" s="3" t="b">
        <f t="array" ref="W592">OR(ISNUMBER(SEARCH(V$2:V$100,$B592,5)))</f>
        <v>0</v>
      </c>
      <c r="Y592" s="3" t="str">
        <f t="shared" si="10"/>
        <v>ZZZ</v>
      </c>
      <c r="Z592" s="3" t="b">
        <f t="array" ref="Z592">OR(ISNUMBER(SEARCH(Y$2:Y$100,$B592,5)))</f>
        <v>0</v>
      </c>
      <c r="AB592" s="3" t="str">
        <f t="shared" si="11"/>
        <v>ZZZ</v>
      </c>
      <c r="AC592" s="3" t="b">
        <f t="array" ref="AC592">OR(ISNUMBER(SEARCH(AB$2:AB$100,$B592,5)))</f>
        <v>0</v>
      </c>
      <c r="AE592" s="3" t="str">
        <f t="shared" si="12"/>
        <v>ZZZ</v>
      </c>
      <c r="AF592" s="3" t="b">
        <f t="array" ref="AF592">OR(ISNUMBER(SEARCH(AE$2:AE$100,$B592,5)))</f>
        <v>0</v>
      </c>
      <c r="AH592" s="3" t="str">
        <f t="shared" si="13"/>
        <v>ZZZ</v>
      </c>
      <c r="AI592" s="3" t="b">
        <f t="array" ref="AI592">OR(ISNUMBER(SEARCH(AH$2:AH$100,$B592,5)))</f>
        <v>0</v>
      </c>
      <c r="AK592" s="3" t="str">
        <f t="shared" si="14"/>
        <v>ZZZ</v>
      </c>
      <c r="AL592" s="3" t="b">
        <f t="array" ref="AL592">OR(ISNUMBER(SEARCH(AK$2:AK$100,$B592,5)))</f>
        <v>0</v>
      </c>
      <c r="AU592" s="8"/>
      <c r="AV592" s="6"/>
      <c r="AW592" s="8"/>
      <c r="AX592" s="8"/>
      <c r="AY592" s="6"/>
      <c r="AZ592" s="8"/>
      <c r="BA592" s="8"/>
      <c r="BB592" s="6"/>
      <c r="BC592" s="8"/>
      <c r="BD592" s="8"/>
      <c r="BE592" s="6"/>
      <c r="BF592" s="8"/>
      <c r="BG592" s="8"/>
      <c r="BH592" s="6"/>
      <c r="BI592" s="8"/>
      <c r="BJ592" s="8"/>
      <c r="BK592" s="6"/>
      <c r="BL592" s="8"/>
      <c r="BM592" s="8"/>
      <c r="BN592" s="6"/>
      <c r="BO592" s="8"/>
      <c r="BP592" s="8"/>
      <c r="BQ592" s="6"/>
      <c r="BR592" s="8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  <c r="ED592" s="7"/>
      <c r="EE592" s="7"/>
      <c r="EF592" s="7"/>
      <c r="EG592" s="7"/>
      <c r="EH592" s="7"/>
      <c r="EI592" s="7"/>
      <c r="EJ592" s="7"/>
      <c r="EK592" s="7"/>
      <c r="EL592" s="7"/>
      <c r="EM592" s="7"/>
      <c r="EN592" s="7"/>
      <c r="EO592" s="7"/>
      <c r="EP592" s="7"/>
      <c r="EQ592" s="7"/>
      <c r="ER592" s="7"/>
      <c r="ES592" s="7"/>
      <c r="ET592" s="7"/>
      <c r="EU592" s="7"/>
      <c r="EV592" s="7"/>
      <c r="EW592" s="7"/>
      <c r="EX592" s="7"/>
      <c r="EY592" s="7"/>
      <c r="EZ592" s="7"/>
      <c r="FA592" s="7"/>
      <c r="FB592" s="7"/>
      <c r="FC592" s="7"/>
      <c r="FD592" s="7"/>
      <c r="FE592" s="7"/>
      <c r="FF592" s="7"/>
      <c r="FG592" s="7"/>
      <c r="FH592" s="7"/>
      <c r="FI592" s="7"/>
      <c r="FJ592" s="7"/>
      <c r="FK592" s="7"/>
      <c r="FL592" s="7"/>
      <c r="FM592" s="7"/>
      <c r="FN592" s="7"/>
      <c r="FO592" s="7"/>
      <c r="FP592" s="7"/>
      <c r="FQ592" s="7"/>
      <c r="FR592" s="7"/>
      <c r="FS592" s="7"/>
      <c r="FT592" s="7"/>
      <c r="FU592" s="7"/>
      <c r="FV592" s="7"/>
      <c r="FW592" s="7"/>
      <c r="FX592" s="7"/>
      <c r="FY592" s="7"/>
      <c r="FZ592" s="7"/>
      <c r="GA592" s="7"/>
      <c r="GB592" s="7"/>
      <c r="GC592" s="7"/>
      <c r="GD592" s="7"/>
      <c r="GE592" s="7"/>
      <c r="GF592" s="7"/>
      <c r="GG592" s="7"/>
      <c r="GH592" s="7"/>
      <c r="GI592" s="7"/>
      <c r="GJ592" s="7"/>
      <c r="GK592" s="7"/>
      <c r="GL592" s="7"/>
      <c r="GM592" s="7"/>
      <c r="GN592" s="7"/>
      <c r="GO592" s="7"/>
      <c r="GP592" s="7"/>
      <c r="GQ592" s="7"/>
      <c r="GR592" s="7"/>
      <c r="GS592" s="7"/>
      <c r="GT592" s="7"/>
      <c r="GU592" s="7"/>
      <c r="GV592" s="7"/>
      <c r="GW592" s="7"/>
      <c r="GX592" s="7"/>
      <c r="GY592" s="7"/>
      <c r="GZ592" s="7"/>
      <c r="HA592" s="7"/>
      <c r="HB592" s="7"/>
      <c r="HC592" s="7"/>
      <c r="HD592" s="7"/>
      <c r="HE592" s="7"/>
      <c r="HF592" s="7"/>
      <c r="HG592" s="7"/>
      <c r="HH592" s="7"/>
      <c r="HI592" s="7"/>
      <c r="HJ592" s="7"/>
      <c r="HK592" s="7"/>
      <c r="HL592" s="7"/>
      <c r="HM592" s="7"/>
      <c r="HN592" s="7"/>
      <c r="HO592" s="7"/>
      <c r="HP592" s="7"/>
      <c r="HQ592" s="7"/>
      <c r="HR592" s="7"/>
      <c r="HS592" s="7"/>
      <c r="HT592" s="7"/>
      <c r="HU592" s="7"/>
      <c r="HV592" s="7"/>
      <c r="HW592" s="7"/>
      <c r="HX592" s="7"/>
      <c r="HY592" s="7"/>
      <c r="HZ592" s="7"/>
      <c r="IA592" s="7"/>
      <c r="IB592" s="7"/>
      <c r="IC592" s="7"/>
      <c r="ID592" s="7"/>
      <c r="IE592" s="7"/>
      <c r="IF592" s="7"/>
      <c r="IG592" s="7"/>
      <c r="IH592" s="7"/>
      <c r="II592" s="7"/>
      <c r="IJ592" s="7"/>
      <c r="IK592" s="7"/>
      <c r="IL592" s="7"/>
      <c r="IM592" s="7"/>
      <c r="IN592" s="7"/>
      <c r="IO592" s="7"/>
      <c r="IP592" s="7"/>
      <c r="IQ592" s="7"/>
      <c r="IR592" s="7"/>
      <c r="IS592" s="7"/>
      <c r="IT592" s="7"/>
      <c r="IU592" s="7"/>
      <c r="IV592" s="7"/>
      <c r="IW592" s="7"/>
      <c r="IX592" s="7"/>
      <c r="IY592" s="7"/>
      <c r="IZ592" s="7"/>
      <c r="JA592" s="7"/>
      <c r="JB592" s="7"/>
      <c r="JC592" s="7"/>
      <c r="JD592" s="7"/>
      <c r="JE592" s="7"/>
      <c r="JF592" s="7"/>
      <c r="JG592" s="7"/>
      <c r="JH592" s="7"/>
      <c r="JI592" s="7"/>
      <c r="JJ592" s="7"/>
      <c r="JK592" s="7"/>
      <c r="JL592" s="7"/>
      <c r="JM592" s="7"/>
      <c r="JN592" s="7"/>
      <c r="JO592" s="7"/>
      <c r="JP592" s="7"/>
      <c r="JQ592" s="7"/>
      <c r="JR592" s="7"/>
      <c r="JS592" s="7"/>
      <c r="JT592" s="7"/>
      <c r="JU592" s="7"/>
      <c r="JV592" s="7"/>
      <c r="JW592" s="7"/>
      <c r="JX592" s="7"/>
      <c r="JY592" s="7"/>
      <c r="JZ592" s="7"/>
      <c r="KA592" s="7"/>
      <c r="KB592" s="7"/>
      <c r="KC592" s="7"/>
      <c r="KD592" s="7"/>
      <c r="KE592" s="7"/>
      <c r="KF592" s="7"/>
      <c r="KG592" s="7"/>
      <c r="KH592" s="7"/>
      <c r="KI592" s="7"/>
      <c r="KJ592" s="7"/>
      <c r="KK592" s="7"/>
      <c r="KL592" s="7"/>
      <c r="KM592" s="7"/>
      <c r="KN592" s="7"/>
    </row>
    <row r="593">
      <c r="A593" s="6"/>
      <c r="B593" s="6" t="s">
        <v>593</v>
      </c>
      <c r="C593" s="3" t="str">
        <f t="shared" si="3"/>
        <v>pale cyan</v>
      </c>
      <c r="D593" s="3" t="str">
        <f t="shared" si="17"/>
        <v>ZZZ</v>
      </c>
      <c r="E593" s="3" t="b">
        <f t="array" ref="E593">OR(ISNUMBER(SEARCH(D$2:D$30,$B593,5)))</f>
        <v>0</v>
      </c>
      <c r="G593" s="3" t="str">
        <f t="shared" si="4"/>
        <v>ZZZ</v>
      </c>
      <c r="H593" s="3" t="b">
        <f t="array" ref="H593">OR(ISNUMBER(SEARCH(G$2:G$30,$B593,5)))</f>
        <v>0</v>
      </c>
      <c r="J593" s="3" t="str">
        <f t="shared" si="5"/>
        <v>ZZZ</v>
      </c>
      <c r="K593" s="3" t="b">
        <f t="array" ref="K593">OR(ISNUMBER(SEARCH(J$2:J$30,$B593,5)))</f>
        <v>0</v>
      </c>
      <c r="M593" s="3" t="str">
        <f t="shared" si="6"/>
        <v>ZZZ</v>
      </c>
      <c r="N593" s="3" t="b">
        <f t="array" ref="N593">OR(ISNUMBER(SEARCH(M$2:M$30,$B593,5)))</f>
        <v>0</v>
      </c>
      <c r="P593" s="3" t="str">
        <f t="shared" si="7"/>
        <v>ZZZ</v>
      </c>
      <c r="Q593" s="3" t="b">
        <f t="array" ref="Q593">OR(ISNUMBER(SEARCH(P$2:P$50,$B593,5)))</f>
        <v>1</v>
      </c>
      <c r="S593" s="3" t="str">
        <f t="shared" si="8"/>
        <v>ZZZ</v>
      </c>
      <c r="T593" s="3" t="b">
        <f t="array" ref="T593">OR(ISNUMBER(SEARCH(S$2:S$100,$B593,5)))</f>
        <v>0</v>
      </c>
      <c r="V593" s="3" t="str">
        <f t="shared" si="9"/>
        <v>ZZZ</v>
      </c>
      <c r="W593" s="3" t="b">
        <f t="array" ref="W593">OR(ISNUMBER(SEARCH(V$2:V$100,$B593,5)))</f>
        <v>0</v>
      </c>
      <c r="Y593" s="3" t="str">
        <f t="shared" si="10"/>
        <v>ZZZ</v>
      </c>
      <c r="Z593" s="3" t="b">
        <f t="array" ref="Z593">OR(ISNUMBER(SEARCH(Y$2:Y$100,$B593,5)))</f>
        <v>0</v>
      </c>
      <c r="AB593" s="3" t="str">
        <f t="shared" si="11"/>
        <v>ZZZ</v>
      </c>
      <c r="AC593" s="3" t="b">
        <f t="array" ref="AC593">OR(ISNUMBER(SEARCH(AB$2:AB$100,$B593,5)))</f>
        <v>0</v>
      </c>
      <c r="AE593" s="3" t="str">
        <f t="shared" si="12"/>
        <v>ZZZ</v>
      </c>
      <c r="AF593" s="3" t="b">
        <f t="array" ref="AF593">OR(ISNUMBER(SEARCH(AE$2:AE$100,$B593,5)))</f>
        <v>0</v>
      </c>
      <c r="AH593" s="3" t="str">
        <f t="shared" si="13"/>
        <v>ZZZ</v>
      </c>
      <c r="AI593" s="3" t="b">
        <f t="array" ref="AI593">OR(ISNUMBER(SEARCH(AH$2:AH$100,$B593,5)))</f>
        <v>0</v>
      </c>
      <c r="AK593" s="3" t="str">
        <f t="shared" si="14"/>
        <v>ZZZ</v>
      </c>
      <c r="AL593" s="3" t="b">
        <f t="array" ref="AL593">OR(ISNUMBER(SEARCH(AK$2:AK$100,$B593,5)))</f>
        <v>0</v>
      </c>
      <c r="AU593" s="8"/>
      <c r="AV593" s="6"/>
      <c r="AW593" s="8"/>
      <c r="AX593" s="8"/>
      <c r="AY593" s="6"/>
      <c r="AZ593" s="8"/>
      <c r="BA593" s="8"/>
      <c r="BB593" s="6"/>
      <c r="BC593" s="8"/>
      <c r="BD593" s="8"/>
      <c r="BE593" s="6"/>
      <c r="BF593" s="8"/>
      <c r="BG593" s="8"/>
      <c r="BH593" s="6"/>
      <c r="BI593" s="8"/>
      <c r="BJ593" s="8"/>
      <c r="BK593" s="6"/>
      <c r="BL593" s="8"/>
      <c r="BM593" s="8"/>
      <c r="BN593" s="6"/>
      <c r="BO593" s="8"/>
      <c r="BP593" s="8"/>
      <c r="BQ593" s="6"/>
      <c r="BR593" s="8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  <c r="ED593" s="7"/>
      <c r="EE593" s="7"/>
      <c r="EF593" s="7"/>
      <c r="EG593" s="7"/>
      <c r="EH593" s="7"/>
      <c r="EI593" s="7"/>
      <c r="EJ593" s="7"/>
      <c r="EK593" s="7"/>
      <c r="EL593" s="7"/>
      <c r="EM593" s="7"/>
      <c r="EN593" s="7"/>
      <c r="EO593" s="7"/>
      <c r="EP593" s="7"/>
      <c r="EQ593" s="7"/>
      <c r="ER593" s="7"/>
      <c r="ES593" s="7"/>
      <c r="ET593" s="7"/>
      <c r="EU593" s="7"/>
      <c r="EV593" s="7"/>
      <c r="EW593" s="7"/>
      <c r="EX593" s="7"/>
      <c r="EY593" s="7"/>
      <c r="EZ593" s="7"/>
      <c r="FA593" s="7"/>
      <c r="FB593" s="7"/>
      <c r="FC593" s="7"/>
      <c r="FD593" s="7"/>
      <c r="FE593" s="7"/>
      <c r="FF593" s="7"/>
      <c r="FG593" s="7"/>
      <c r="FH593" s="7"/>
      <c r="FI593" s="7"/>
      <c r="FJ593" s="7"/>
      <c r="FK593" s="7"/>
      <c r="FL593" s="7"/>
      <c r="FM593" s="7"/>
      <c r="FN593" s="7"/>
      <c r="FO593" s="7"/>
      <c r="FP593" s="7"/>
      <c r="FQ593" s="7"/>
      <c r="FR593" s="7"/>
      <c r="FS593" s="7"/>
      <c r="FT593" s="7"/>
      <c r="FU593" s="7"/>
      <c r="FV593" s="7"/>
      <c r="FW593" s="7"/>
      <c r="FX593" s="7"/>
      <c r="FY593" s="7"/>
      <c r="FZ593" s="7"/>
      <c r="GA593" s="7"/>
      <c r="GB593" s="7"/>
      <c r="GC593" s="7"/>
      <c r="GD593" s="7"/>
      <c r="GE593" s="7"/>
      <c r="GF593" s="7"/>
      <c r="GG593" s="7"/>
      <c r="GH593" s="7"/>
      <c r="GI593" s="7"/>
      <c r="GJ593" s="7"/>
      <c r="GK593" s="7"/>
      <c r="GL593" s="7"/>
      <c r="GM593" s="7"/>
      <c r="GN593" s="7"/>
      <c r="GO593" s="7"/>
      <c r="GP593" s="7"/>
      <c r="GQ593" s="7"/>
      <c r="GR593" s="7"/>
      <c r="GS593" s="7"/>
      <c r="GT593" s="7"/>
      <c r="GU593" s="7"/>
      <c r="GV593" s="7"/>
      <c r="GW593" s="7"/>
      <c r="GX593" s="7"/>
      <c r="GY593" s="7"/>
      <c r="GZ593" s="7"/>
      <c r="HA593" s="7"/>
      <c r="HB593" s="7"/>
      <c r="HC593" s="7"/>
      <c r="HD593" s="7"/>
      <c r="HE593" s="7"/>
      <c r="HF593" s="7"/>
      <c r="HG593" s="7"/>
      <c r="HH593" s="7"/>
      <c r="HI593" s="7"/>
      <c r="HJ593" s="7"/>
      <c r="HK593" s="7"/>
      <c r="HL593" s="7"/>
      <c r="HM593" s="7"/>
      <c r="HN593" s="7"/>
      <c r="HO593" s="7"/>
      <c r="HP593" s="7"/>
      <c r="HQ593" s="7"/>
      <c r="HR593" s="7"/>
      <c r="HS593" s="7"/>
      <c r="HT593" s="7"/>
      <c r="HU593" s="7"/>
      <c r="HV593" s="7"/>
      <c r="HW593" s="7"/>
      <c r="HX593" s="7"/>
      <c r="HY593" s="7"/>
      <c r="HZ593" s="7"/>
      <c r="IA593" s="7"/>
      <c r="IB593" s="7"/>
      <c r="IC593" s="7"/>
      <c r="ID593" s="7"/>
      <c r="IE593" s="7"/>
      <c r="IF593" s="7"/>
      <c r="IG593" s="7"/>
      <c r="IH593" s="7"/>
      <c r="II593" s="7"/>
      <c r="IJ593" s="7"/>
      <c r="IK593" s="7"/>
      <c r="IL593" s="7"/>
      <c r="IM593" s="7"/>
      <c r="IN593" s="7"/>
      <c r="IO593" s="7"/>
      <c r="IP593" s="7"/>
      <c r="IQ593" s="7"/>
      <c r="IR593" s="7"/>
      <c r="IS593" s="7"/>
      <c r="IT593" s="7"/>
      <c r="IU593" s="7"/>
      <c r="IV593" s="7"/>
      <c r="IW593" s="7"/>
      <c r="IX593" s="7"/>
      <c r="IY593" s="7"/>
      <c r="IZ593" s="7"/>
      <c r="JA593" s="7"/>
      <c r="JB593" s="7"/>
      <c r="JC593" s="7"/>
      <c r="JD593" s="7"/>
      <c r="JE593" s="7"/>
      <c r="JF593" s="7"/>
      <c r="JG593" s="7"/>
      <c r="JH593" s="7"/>
      <c r="JI593" s="7"/>
      <c r="JJ593" s="7"/>
      <c r="JK593" s="7"/>
      <c r="JL593" s="7"/>
      <c r="JM593" s="7"/>
      <c r="JN593" s="7"/>
      <c r="JO593" s="7"/>
      <c r="JP593" s="7"/>
      <c r="JQ593" s="7"/>
      <c r="JR593" s="7"/>
      <c r="JS593" s="7"/>
      <c r="JT593" s="7"/>
      <c r="JU593" s="7"/>
      <c r="JV593" s="7"/>
      <c r="JW593" s="7"/>
      <c r="JX593" s="7"/>
      <c r="JY593" s="7"/>
      <c r="JZ593" s="7"/>
      <c r="KA593" s="7"/>
      <c r="KB593" s="7"/>
      <c r="KC593" s="7"/>
      <c r="KD593" s="7"/>
      <c r="KE593" s="7"/>
      <c r="KF593" s="7"/>
      <c r="KG593" s="7"/>
      <c r="KH593" s="7"/>
      <c r="KI593" s="7"/>
      <c r="KJ593" s="7"/>
      <c r="KK593" s="7"/>
      <c r="KL593" s="7"/>
      <c r="KM593" s="7"/>
      <c r="KN593" s="7"/>
    </row>
    <row r="594">
      <c r="A594" s="6"/>
      <c r="B594" s="6" t="s">
        <v>594</v>
      </c>
      <c r="C594" s="3" t="str">
        <f t="shared" si="3"/>
        <v>shiny white</v>
      </c>
      <c r="D594" s="3" t="str">
        <f t="shared" si="17"/>
        <v>ZZZ</v>
      </c>
      <c r="E594" s="3" t="b">
        <f t="array" ref="E594">OR(ISNUMBER(SEARCH(D$2:D$30,$B594,5)))</f>
        <v>0</v>
      </c>
      <c r="G594" s="3" t="str">
        <f t="shared" si="4"/>
        <v>ZZZ</v>
      </c>
      <c r="H594" s="3" t="b">
        <f t="array" ref="H594">OR(ISNUMBER(SEARCH(G$2:G$30,$B594,5)))</f>
        <v>0</v>
      </c>
      <c r="J594" s="3" t="str">
        <f t="shared" si="5"/>
        <v>ZZZ</v>
      </c>
      <c r="K594" s="3" t="b">
        <f t="array" ref="K594">OR(ISNUMBER(SEARCH(J$2:J$30,$B594,5)))</f>
        <v>0</v>
      </c>
      <c r="M594" s="3" t="str">
        <f t="shared" si="6"/>
        <v>ZZZ</v>
      </c>
      <c r="N594" s="3" t="b">
        <f t="array" ref="N594">OR(ISNUMBER(SEARCH(M$2:M$30,$B594,5)))</f>
        <v>0</v>
      </c>
      <c r="P594" s="3" t="str">
        <f t="shared" si="7"/>
        <v>ZZZ</v>
      </c>
      <c r="Q594" s="3" t="b">
        <f t="array" ref="Q594">OR(ISNUMBER(SEARCH(P$2:P$50,$B594,5)))</f>
        <v>0</v>
      </c>
      <c r="S594" s="3" t="str">
        <f t="shared" si="8"/>
        <v>ZZZ</v>
      </c>
      <c r="T594" s="3" t="b">
        <f t="array" ref="T594">OR(ISNUMBER(SEARCH(S$2:S$100,$B594,5)))</f>
        <v>0</v>
      </c>
      <c r="V594" s="3" t="str">
        <f t="shared" si="9"/>
        <v>ZZZ</v>
      </c>
      <c r="W594" s="3" t="b">
        <f t="array" ref="W594">OR(ISNUMBER(SEARCH(V$2:V$100,$B594,5)))</f>
        <v>0</v>
      </c>
      <c r="Y594" s="3" t="str">
        <f t="shared" si="10"/>
        <v>ZZZ</v>
      </c>
      <c r="Z594" s="3" t="b">
        <f t="array" ref="Z594">OR(ISNUMBER(SEARCH(Y$2:Y$100,$B594,5)))</f>
        <v>0</v>
      </c>
      <c r="AB594" s="3" t="str">
        <f t="shared" si="11"/>
        <v>ZZZ</v>
      </c>
      <c r="AC594" s="3" t="b">
        <f t="array" ref="AC594">OR(ISNUMBER(SEARCH(AB$2:AB$100,$B594,5)))</f>
        <v>0</v>
      </c>
      <c r="AE594" s="3" t="str">
        <f t="shared" si="12"/>
        <v>ZZZ</v>
      </c>
      <c r="AF594" s="3" t="b">
        <f t="array" ref="AF594">OR(ISNUMBER(SEARCH(AE$2:AE$100,$B594,5)))</f>
        <v>0</v>
      </c>
      <c r="AH594" s="3" t="str">
        <f t="shared" si="13"/>
        <v>ZZZ</v>
      </c>
      <c r="AI594" s="3" t="b">
        <f t="array" ref="AI594">OR(ISNUMBER(SEARCH(AH$2:AH$100,$B594,5)))</f>
        <v>0</v>
      </c>
      <c r="AK594" s="3" t="str">
        <f t="shared" si="14"/>
        <v>ZZZ</v>
      </c>
      <c r="AL594" s="3" t="b">
        <f t="array" ref="AL594">OR(ISNUMBER(SEARCH(AK$2:AK$100,$B594,5)))</f>
        <v>0</v>
      </c>
      <c r="AU594" s="8"/>
      <c r="AV594" s="6"/>
      <c r="AW594" s="8"/>
      <c r="AX594" s="8"/>
      <c r="AY594" s="6"/>
      <c r="AZ594" s="8"/>
      <c r="BA594" s="8"/>
      <c r="BB594" s="6"/>
      <c r="BC594" s="8"/>
      <c r="BD594" s="8"/>
      <c r="BE594" s="6"/>
      <c r="BF594" s="8"/>
      <c r="BG594" s="8"/>
      <c r="BH594" s="6"/>
      <c r="BI594" s="8"/>
      <c r="BJ594" s="8"/>
      <c r="BK594" s="6"/>
      <c r="BL594" s="8"/>
      <c r="BM594" s="8"/>
      <c r="BN594" s="6"/>
      <c r="BO594" s="8"/>
      <c r="BP594" s="8"/>
      <c r="BQ594" s="6"/>
      <c r="BR594" s="8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  <c r="ED594" s="7"/>
      <c r="EE594" s="7"/>
      <c r="EF594" s="7"/>
      <c r="EG594" s="7"/>
      <c r="EH594" s="7"/>
      <c r="EI594" s="7"/>
      <c r="EJ594" s="7"/>
      <c r="EK594" s="7"/>
      <c r="EL594" s="7"/>
      <c r="EM594" s="7"/>
      <c r="EN594" s="7"/>
      <c r="EO594" s="7"/>
      <c r="EP594" s="7"/>
      <c r="EQ594" s="7"/>
      <c r="ER594" s="7"/>
      <c r="ES594" s="7"/>
      <c r="ET594" s="7"/>
      <c r="EU594" s="7"/>
      <c r="EV594" s="7"/>
      <c r="EW594" s="7"/>
      <c r="EX594" s="7"/>
      <c r="EY594" s="7"/>
      <c r="EZ594" s="7"/>
      <c r="FA594" s="7"/>
      <c r="FB594" s="7"/>
      <c r="FC594" s="7"/>
      <c r="FD594" s="7"/>
      <c r="FE594" s="7"/>
      <c r="FF594" s="7"/>
      <c r="FG594" s="7"/>
      <c r="FH594" s="7"/>
      <c r="FI594" s="7"/>
      <c r="FJ594" s="7"/>
      <c r="FK594" s="7"/>
      <c r="FL594" s="7"/>
      <c r="FM594" s="7"/>
      <c r="FN594" s="7"/>
      <c r="FO594" s="7"/>
      <c r="FP594" s="7"/>
      <c r="FQ594" s="7"/>
      <c r="FR594" s="7"/>
      <c r="FS594" s="7"/>
      <c r="FT594" s="7"/>
      <c r="FU594" s="7"/>
      <c r="FV594" s="7"/>
      <c r="FW594" s="7"/>
      <c r="FX594" s="7"/>
      <c r="FY594" s="7"/>
      <c r="FZ594" s="7"/>
      <c r="GA594" s="7"/>
      <c r="GB594" s="7"/>
      <c r="GC594" s="7"/>
      <c r="GD594" s="7"/>
      <c r="GE594" s="7"/>
      <c r="GF594" s="7"/>
      <c r="GG594" s="7"/>
      <c r="GH594" s="7"/>
      <c r="GI594" s="7"/>
      <c r="GJ594" s="7"/>
      <c r="GK594" s="7"/>
      <c r="GL594" s="7"/>
      <c r="GM594" s="7"/>
      <c r="GN594" s="7"/>
      <c r="GO594" s="7"/>
      <c r="GP594" s="7"/>
      <c r="GQ594" s="7"/>
      <c r="GR594" s="7"/>
      <c r="GS594" s="7"/>
      <c r="GT594" s="7"/>
      <c r="GU594" s="7"/>
      <c r="GV594" s="7"/>
      <c r="GW594" s="7"/>
      <c r="GX594" s="7"/>
      <c r="GY594" s="7"/>
      <c r="GZ594" s="7"/>
      <c r="HA594" s="7"/>
      <c r="HB594" s="7"/>
      <c r="HC594" s="7"/>
      <c r="HD594" s="7"/>
      <c r="HE594" s="7"/>
      <c r="HF594" s="7"/>
      <c r="HG594" s="7"/>
      <c r="HH594" s="7"/>
      <c r="HI594" s="7"/>
      <c r="HJ594" s="7"/>
      <c r="HK594" s="7"/>
      <c r="HL594" s="7"/>
      <c r="HM594" s="7"/>
      <c r="HN594" s="7"/>
      <c r="HO594" s="7"/>
      <c r="HP594" s="7"/>
      <c r="HQ594" s="7"/>
      <c r="HR594" s="7"/>
      <c r="HS594" s="7"/>
      <c r="HT594" s="7"/>
      <c r="HU594" s="7"/>
      <c r="HV594" s="7"/>
      <c r="HW594" s="7"/>
      <c r="HX594" s="7"/>
      <c r="HY594" s="7"/>
      <c r="HZ594" s="7"/>
      <c r="IA594" s="7"/>
      <c r="IB594" s="7"/>
      <c r="IC594" s="7"/>
      <c r="ID594" s="7"/>
      <c r="IE594" s="7"/>
      <c r="IF594" s="7"/>
      <c r="IG594" s="7"/>
      <c r="IH594" s="7"/>
      <c r="II594" s="7"/>
      <c r="IJ594" s="7"/>
      <c r="IK594" s="7"/>
      <c r="IL594" s="7"/>
      <c r="IM594" s="7"/>
      <c r="IN594" s="7"/>
      <c r="IO594" s="7"/>
      <c r="IP594" s="7"/>
      <c r="IQ594" s="7"/>
      <c r="IR594" s="7"/>
      <c r="IS594" s="7"/>
      <c r="IT594" s="7"/>
      <c r="IU594" s="7"/>
      <c r="IV594" s="7"/>
      <c r="IW594" s="7"/>
      <c r="IX594" s="7"/>
      <c r="IY594" s="7"/>
      <c r="IZ594" s="7"/>
      <c r="JA594" s="7"/>
      <c r="JB594" s="7"/>
      <c r="JC594" s="7"/>
      <c r="JD594" s="7"/>
      <c r="JE594" s="7"/>
      <c r="JF594" s="7"/>
      <c r="JG594" s="7"/>
      <c r="JH594" s="7"/>
      <c r="JI594" s="7"/>
      <c r="JJ594" s="7"/>
      <c r="JK594" s="7"/>
      <c r="JL594" s="7"/>
      <c r="JM594" s="7"/>
      <c r="JN594" s="7"/>
      <c r="JO594" s="7"/>
      <c r="JP594" s="7"/>
      <c r="JQ594" s="7"/>
      <c r="JR594" s="7"/>
      <c r="JS594" s="7"/>
      <c r="JT594" s="7"/>
      <c r="JU594" s="7"/>
      <c r="JV594" s="7"/>
      <c r="JW594" s="7"/>
      <c r="JX594" s="7"/>
      <c r="JY594" s="7"/>
      <c r="JZ594" s="7"/>
      <c r="KA594" s="7"/>
      <c r="KB594" s="7"/>
      <c r="KC594" s="7"/>
      <c r="KD594" s="7"/>
      <c r="KE594" s="7"/>
      <c r="KF594" s="7"/>
      <c r="KG594" s="7"/>
      <c r="KH594" s="7"/>
      <c r="KI594" s="7"/>
      <c r="KJ594" s="7"/>
      <c r="KK594" s="7"/>
      <c r="KL594" s="7"/>
      <c r="KM594" s="7"/>
      <c r="KN594" s="7"/>
    </row>
    <row r="595">
      <c r="A595" s="6"/>
      <c r="B595" s="6" t="s">
        <v>595</v>
      </c>
      <c r="C595" s="3" t="str">
        <f t="shared" si="3"/>
        <v>faded tan</v>
      </c>
      <c r="D595" s="3" t="str">
        <f t="shared" si="17"/>
        <v>ZZZ</v>
      </c>
      <c r="E595" s="3" t="b">
        <f t="array" ref="E595">OR(ISNUMBER(SEARCH(D$2:D$30,$B595,5)))</f>
        <v>0</v>
      </c>
      <c r="G595" s="3" t="str">
        <f t="shared" si="4"/>
        <v>ZZZ</v>
      </c>
      <c r="H595" s="3" t="b">
        <f t="array" ref="H595">OR(ISNUMBER(SEARCH(G$2:G$30,$B595,5)))</f>
        <v>0</v>
      </c>
      <c r="J595" s="3" t="str">
        <f t="shared" si="5"/>
        <v>ZZZ</v>
      </c>
      <c r="K595" s="3" t="b">
        <f t="array" ref="K595">OR(ISNUMBER(SEARCH(J$2:J$30,$B595,5)))</f>
        <v>0</v>
      </c>
      <c r="M595" s="3" t="str">
        <f t="shared" si="6"/>
        <v>ZZZ</v>
      </c>
      <c r="N595" s="3" t="b">
        <f t="array" ref="N595">OR(ISNUMBER(SEARCH(M$2:M$30,$B595,5)))</f>
        <v>0</v>
      </c>
      <c r="P595" s="3" t="str">
        <f t="shared" si="7"/>
        <v>ZZZ</v>
      </c>
      <c r="Q595" s="3" t="b">
        <f t="array" ref="Q595">OR(ISNUMBER(SEARCH(P$2:P$50,$B595,5)))</f>
        <v>1</v>
      </c>
      <c r="S595" s="3" t="str">
        <f t="shared" si="8"/>
        <v>ZZZ</v>
      </c>
      <c r="T595" s="3" t="b">
        <f t="array" ref="T595">OR(ISNUMBER(SEARCH(S$2:S$100,$B595,5)))</f>
        <v>0</v>
      </c>
      <c r="V595" s="3" t="str">
        <f t="shared" si="9"/>
        <v>ZZZ</v>
      </c>
      <c r="W595" s="3" t="b">
        <f t="array" ref="W595">OR(ISNUMBER(SEARCH(V$2:V$100,$B595,5)))</f>
        <v>0</v>
      </c>
      <c r="Y595" s="3" t="str">
        <f t="shared" si="10"/>
        <v>ZZZ</v>
      </c>
      <c r="Z595" s="3" t="b">
        <f t="array" ref="Z595">OR(ISNUMBER(SEARCH(Y$2:Y$100,$B595,5)))</f>
        <v>0</v>
      </c>
      <c r="AB595" s="3" t="str">
        <f t="shared" si="11"/>
        <v>ZZZ</v>
      </c>
      <c r="AC595" s="3" t="b">
        <f t="array" ref="AC595">OR(ISNUMBER(SEARCH(AB$2:AB$100,$B595,5)))</f>
        <v>0</v>
      </c>
      <c r="AE595" s="3" t="str">
        <f t="shared" si="12"/>
        <v>ZZZ</v>
      </c>
      <c r="AF595" s="3" t="b">
        <f t="array" ref="AF595">OR(ISNUMBER(SEARCH(AE$2:AE$100,$B595,5)))</f>
        <v>0</v>
      </c>
      <c r="AH595" s="3" t="str">
        <f t="shared" si="13"/>
        <v>ZZZ</v>
      </c>
      <c r="AI595" s="3" t="b">
        <f t="array" ref="AI595">OR(ISNUMBER(SEARCH(AH$2:AH$100,$B595,5)))</f>
        <v>0</v>
      </c>
      <c r="AK595" s="3" t="str">
        <f t="shared" si="14"/>
        <v>ZZZ</v>
      </c>
      <c r="AL595" s="3" t="b">
        <f t="array" ref="AL595">OR(ISNUMBER(SEARCH(AK$2:AK$100,$B595,5)))</f>
        <v>0</v>
      </c>
      <c r="AU595" s="8"/>
      <c r="AV595" s="6"/>
      <c r="AW595" s="8"/>
      <c r="AX595" s="8"/>
      <c r="AY595" s="6"/>
      <c r="AZ595" s="8"/>
      <c r="BA595" s="8"/>
      <c r="BB595" s="6"/>
      <c r="BC595" s="8"/>
      <c r="BD595" s="8"/>
      <c r="BE595" s="6"/>
      <c r="BF595" s="8"/>
      <c r="BG595" s="8"/>
      <c r="BH595" s="6"/>
      <c r="BI595" s="8"/>
      <c r="BJ595" s="8"/>
      <c r="BK595" s="6"/>
      <c r="BL595" s="8"/>
      <c r="BM595" s="8"/>
      <c r="BN595" s="6"/>
      <c r="BO595" s="8"/>
      <c r="BP595" s="8"/>
      <c r="BQ595" s="6"/>
      <c r="BR595" s="8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  <c r="ED595" s="7"/>
      <c r="EE595" s="7"/>
      <c r="EF595" s="7"/>
      <c r="EG595" s="7"/>
      <c r="EH595" s="7"/>
      <c r="EI595" s="7"/>
      <c r="EJ595" s="7"/>
      <c r="EK595" s="7"/>
      <c r="EL595" s="7"/>
      <c r="EM595" s="7"/>
      <c r="EN595" s="7"/>
      <c r="EO595" s="7"/>
      <c r="EP595" s="7"/>
      <c r="EQ595" s="7"/>
      <c r="ER595" s="7"/>
      <c r="ES595" s="7"/>
      <c r="ET595" s="7"/>
      <c r="EU595" s="7"/>
      <c r="EV595" s="7"/>
      <c r="EW595" s="7"/>
      <c r="EX595" s="7"/>
      <c r="EY595" s="7"/>
      <c r="EZ595" s="7"/>
      <c r="FA595" s="7"/>
      <c r="FB595" s="7"/>
      <c r="FC595" s="7"/>
      <c r="FD595" s="7"/>
      <c r="FE595" s="7"/>
      <c r="FF595" s="7"/>
      <c r="FG595" s="7"/>
      <c r="FH595" s="7"/>
      <c r="FI595" s="7"/>
      <c r="FJ595" s="7"/>
      <c r="FK595" s="7"/>
      <c r="FL595" s="7"/>
      <c r="FM595" s="7"/>
      <c r="FN595" s="7"/>
      <c r="FO595" s="7"/>
      <c r="FP595" s="7"/>
      <c r="FQ595" s="7"/>
      <c r="FR595" s="7"/>
      <c r="FS595" s="7"/>
      <c r="FT595" s="7"/>
      <c r="FU595" s="7"/>
      <c r="FV595" s="7"/>
      <c r="FW595" s="7"/>
      <c r="FX595" s="7"/>
      <c r="FY595" s="7"/>
      <c r="FZ595" s="7"/>
      <c r="GA595" s="7"/>
      <c r="GB595" s="7"/>
      <c r="GC595" s="7"/>
      <c r="GD595" s="7"/>
      <c r="GE595" s="7"/>
      <c r="GF595" s="7"/>
      <c r="GG595" s="7"/>
      <c r="GH595" s="7"/>
      <c r="GI595" s="7"/>
      <c r="GJ595" s="7"/>
      <c r="GK595" s="7"/>
      <c r="GL595" s="7"/>
      <c r="GM595" s="7"/>
      <c r="GN595" s="7"/>
      <c r="GO595" s="7"/>
      <c r="GP595" s="7"/>
      <c r="GQ595" s="7"/>
      <c r="GR595" s="7"/>
      <c r="GS595" s="7"/>
      <c r="GT595" s="7"/>
      <c r="GU595" s="7"/>
      <c r="GV595" s="7"/>
      <c r="GW595" s="7"/>
      <c r="GX595" s="7"/>
      <c r="GY595" s="7"/>
      <c r="GZ595" s="7"/>
      <c r="HA595" s="7"/>
      <c r="HB595" s="7"/>
      <c r="HC595" s="7"/>
      <c r="HD595" s="7"/>
      <c r="HE595" s="7"/>
      <c r="HF595" s="7"/>
      <c r="HG595" s="7"/>
      <c r="HH595" s="7"/>
      <c r="HI595" s="7"/>
      <c r="HJ595" s="7"/>
      <c r="HK595" s="7"/>
      <c r="HL595" s="7"/>
      <c r="HM595" s="7"/>
      <c r="HN595" s="7"/>
      <c r="HO595" s="7"/>
      <c r="HP595" s="7"/>
      <c r="HQ595" s="7"/>
      <c r="HR595" s="7"/>
      <c r="HS595" s="7"/>
      <c r="HT595" s="7"/>
      <c r="HU595" s="7"/>
      <c r="HV595" s="7"/>
      <c r="HW595" s="7"/>
      <c r="HX595" s="7"/>
      <c r="HY595" s="7"/>
      <c r="HZ595" s="7"/>
      <c r="IA595" s="7"/>
      <c r="IB595" s="7"/>
      <c r="IC595" s="7"/>
      <c r="ID595" s="7"/>
      <c r="IE595" s="7"/>
      <c r="IF595" s="7"/>
      <c r="IG595" s="7"/>
      <c r="IH595" s="7"/>
      <c r="II595" s="7"/>
      <c r="IJ595" s="7"/>
      <c r="IK595" s="7"/>
      <c r="IL595" s="7"/>
      <c r="IM595" s="7"/>
      <c r="IN595" s="7"/>
      <c r="IO595" s="7"/>
      <c r="IP595" s="7"/>
      <c r="IQ595" s="7"/>
      <c r="IR595" s="7"/>
      <c r="IS595" s="7"/>
      <c r="IT595" s="7"/>
      <c r="IU595" s="7"/>
      <c r="IV595" s="7"/>
      <c r="IW595" s="7"/>
      <c r="IX595" s="7"/>
      <c r="IY595" s="7"/>
      <c r="IZ595" s="7"/>
      <c r="JA595" s="7"/>
      <c r="JB595" s="7"/>
      <c r="JC595" s="7"/>
      <c r="JD595" s="7"/>
      <c r="JE595" s="7"/>
      <c r="JF595" s="7"/>
      <c r="JG595" s="7"/>
      <c r="JH595" s="7"/>
      <c r="JI595" s="7"/>
      <c r="JJ595" s="7"/>
      <c r="JK595" s="7"/>
      <c r="JL595" s="7"/>
      <c r="JM595" s="7"/>
      <c r="JN595" s="7"/>
      <c r="JO595" s="7"/>
      <c r="JP595" s="7"/>
      <c r="JQ595" s="7"/>
      <c r="JR595" s="7"/>
      <c r="JS595" s="7"/>
      <c r="JT595" s="7"/>
      <c r="JU595" s="7"/>
      <c r="JV595" s="7"/>
      <c r="JW595" s="7"/>
      <c r="JX595" s="7"/>
      <c r="JY595" s="7"/>
      <c r="JZ595" s="7"/>
      <c r="KA595" s="7"/>
      <c r="KB595" s="7"/>
      <c r="KC595" s="7"/>
      <c r="KD595" s="7"/>
      <c r="KE595" s="7"/>
      <c r="KF595" s="7"/>
      <c r="KG595" s="7"/>
      <c r="KH595" s="7"/>
      <c r="KI595" s="7"/>
      <c r="KJ595" s="7"/>
      <c r="KK595" s="7"/>
      <c r="KL595" s="7"/>
      <c r="KM595" s="7"/>
      <c r="KN595" s="7"/>
    </row>
    <row r="596">
      <c r="A596" s="6"/>
      <c r="B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  <c r="JX596" s="4"/>
      <c r="JY596" s="4"/>
      <c r="JZ596" s="4"/>
      <c r="KA596" s="4"/>
      <c r="KB596" s="4"/>
      <c r="KC596" s="4"/>
      <c r="KD596" s="4"/>
      <c r="KE596" s="4"/>
      <c r="KF596" s="4"/>
      <c r="KG596" s="4"/>
      <c r="KH596" s="4"/>
      <c r="KI596" s="4"/>
      <c r="KJ596" s="4"/>
      <c r="KK596" s="4"/>
      <c r="KL596" s="4"/>
      <c r="KM596" s="4"/>
      <c r="KN596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hidden="1" min="6" max="6" width="81.43"/>
    <col customWidth="1" hidden="1" min="7" max="7" width="22.86"/>
    <col hidden="1" min="8" max="18" width="14.43"/>
  </cols>
  <sheetData>
    <row r="1">
      <c r="C1" s="1"/>
      <c r="D1" s="3">
        <f>MAX(D2:D596)</f>
        <v>3</v>
      </c>
      <c r="E1" s="2" t="s">
        <v>0</v>
      </c>
      <c r="F1" s="2" t="s">
        <v>599</v>
      </c>
      <c r="G1" s="2" t="s">
        <v>600</v>
      </c>
      <c r="H1" s="2">
        <v>2.0</v>
      </c>
      <c r="I1" s="2">
        <v>3.0</v>
      </c>
      <c r="J1" s="2">
        <v>4.0</v>
      </c>
      <c r="K1" s="10" t="s">
        <v>601</v>
      </c>
      <c r="L1" s="10" t="s">
        <v>602</v>
      </c>
      <c r="S1" s="2" t="s">
        <v>603</v>
      </c>
      <c r="T1" s="2" t="s">
        <v>604</v>
      </c>
      <c r="U1" s="2" t="s">
        <v>605</v>
      </c>
      <c r="V1" s="2" t="s">
        <v>606</v>
      </c>
      <c r="W1" s="2" t="s">
        <v>607</v>
      </c>
      <c r="X1" s="2" t="s">
        <v>608</v>
      </c>
      <c r="Y1" s="2" t="s">
        <v>609</v>
      </c>
      <c r="Z1" s="2" t="s">
        <v>610</v>
      </c>
      <c r="AA1" s="12" t="s">
        <v>611</v>
      </c>
      <c r="AB1" s="10" t="s">
        <v>612</v>
      </c>
      <c r="AC1" s="10" t="s">
        <v>613</v>
      </c>
      <c r="AD1" s="10" t="s">
        <v>613</v>
      </c>
      <c r="AE1" s="10" t="s">
        <v>614</v>
      </c>
      <c r="AF1" s="10" t="s">
        <v>614</v>
      </c>
      <c r="AG1" s="10" t="s">
        <v>615</v>
      </c>
      <c r="AH1" s="10" t="s">
        <v>615</v>
      </c>
      <c r="AI1" s="10" t="s">
        <v>616</v>
      </c>
      <c r="AJ1" s="10" t="s">
        <v>616</v>
      </c>
    </row>
    <row r="2">
      <c r="C2" s="6" t="s">
        <v>2</v>
      </c>
      <c r="D2" s="3">
        <f t="shared" ref="D2:D595" si="1">LEN(C2)-LEN(SUBSTITUTE(C2,",",""))</f>
        <v>0</v>
      </c>
      <c r="E2" s="3" t="str">
        <f>IFERROR(__xludf.DUMMYFUNCTION("REGEXEXTRACT(C2,""[^ ]* [^ ]*"")"),"faded plum")</f>
        <v>faded plum</v>
      </c>
      <c r="F2" s="3" t="str">
        <f>IFERROR(__xludf.DUMMYFUNCTION("MID(REGEXEXTRACT(C2,""contain.*$""),9,300)"),"5 wavy cyan bags.")</f>
        <v>5 wavy cyan bags.</v>
      </c>
      <c r="G2" s="3" t="str">
        <f>IFERROR(__xludf.DUMMYFUNCTION("INDEX(SPLIT($F2,"",""),COLUMN()-6)"),"5 wavy cyan bags.")</f>
        <v>5 wavy cyan bags.</v>
      </c>
      <c r="H2" s="3" t="str">
        <f>IFERROR(__xludf.DUMMYFUNCTION("MID(INDEX(SPLIT($F2,"",""),COLUMN()-6),2,300)"),"#REF!")</f>
        <v>#REF!</v>
      </c>
      <c r="I2" s="3" t="str">
        <f>IFERROR(__xludf.DUMMYFUNCTION("MID(INDEX(SPLIT($F2,"",""),COLUMN()-6),2,300)"),"#REF!")</f>
        <v>#REF!</v>
      </c>
      <c r="J2" s="3" t="str">
        <f>IFERROR(__xludf.DUMMYFUNCTION("MID(INDEX(SPLIT($F2,"",""),COLUMN()-6),2,300)"),"#REF!")</f>
        <v>#REF!</v>
      </c>
      <c r="K2" s="3">
        <f>IFERROR(__xludf.DUMMYFUNCTION("INDEX(SPLIT(G2,"" ""),1)"),5.0)</f>
        <v>5</v>
      </c>
      <c r="L2" s="3" t="str">
        <f>IFERROR(__xludf.DUMMYFUNCTION("MID(REGEXEXTRACT(G2,"" [^ ]* [^ ]*""),2,300)"),"wavy cyan")</f>
        <v>wavy cyan</v>
      </c>
      <c r="M2" s="3" t="str">
        <f>IFERROR(__xludf.DUMMYFUNCTION("INDEX(SPLIT(H2,"" ""),1)"),"#REF!")</f>
        <v>#REF!</v>
      </c>
      <c r="N2" s="3" t="str">
        <f>IFERROR(__xludf.DUMMYFUNCTION("MID(REGEXEXTRACT(H2,"" [^ ]* [^ ]*""),2,300)"),"#REF!")</f>
        <v>#REF!</v>
      </c>
      <c r="O2" s="3" t="str">
        <f>IFERROR(__xludf.DUMMYFUNCTION("INDEX(SPLIT(I2,"" ""),1)"),"#REF!")</f>
        <v>#REF!</v>
      </c>
      <c r="P2" s="3" t="str">
        <f>IFERROR(__xludf.DUMMYFUNCTION("MID(REGEXEXTRACT(I2,"" [^ ]* [^ ]*""),2,300)"),"#REF!")</f>
        <v>#REF!</v>
      </c>
      <c r="Q2" s="3" t="str">
        <f>IFERROR(__xludf.DUMMYFUNCTION("INDEX(SPLIT(J2,"" ""),1)"),"#REF!")</f>
        <v>#REF!</v>
      </c>
      <c r="R2" s="3" t="str">
        <f>IFERROR(__xludf.DUMMYFUNCTION("MID(REGEXEXTRACT(J2,"" [^ ]* [^ ]*""),2,300)"),"#REF!")</f>
        <v>#REF!</v>
      </c>
      <c r="S2" s="3">
        <f t="shared" ref="S2:S596" si="2">IF(ISNUMBER(K2),K2,"")</f>
        <v>5</v>
      </c>
      <c r="T2" s="3" t="str">
        <f t="shared" ref="T2:T596" si="3">IF(ISERROR(L2),"",TRIM(L2))</f>
        <v>wavy cyan</v>
      </c>
      <c r="U2" s="3" t="str">
        <f t="shared" ref="U2:U596" si="4">IF(ISNUMBER(M2),M2,"")</f>
        <v/>
      </c>
      <c r="V2" s="3" t="str">
        <f t="shared" ref="V2:V596" si="5">IF(ISERROR(N2),"",TRIM(N2))</f>
        <v/>
      </c>
      <c r="W2" s="3" t="str">
        <f t="shared" ref="W2:W596" si="6">IF(ISNUMBER(O2),O2,"")</f>
        <v/>
      </c>
      <c r="X2" s="3" t="str">
        <f t="shared" ref="X2:X596" si="7">IF(ISERROR(P2),"",TRIM(P2))</f>
        <v/>
      </c>
      <c r="Y2" s="3" t="str">
        <f t="shared" ref="Y2:Y596" si="8">IF(ISNUMBER(Q2),Q2,"")</f>
        <v/>
      </c>
      <c r="Z2" s="3" t="str">
        <f t="shared" ref="Z2:Z596" si="9">IF(ISERROR(R2),"",TRIM(R2))</f>
        <v/>
      </c>
      <c r="AA2" s="13">
        <f t="shared" ref="AA2:AA595" si="10">IF(S2="",1,AB2+1)</f>
        <v>532856</v>
      </c>
      <c r="AB2" s="3">
        <f t="shared" ref="AB2:AB595" si="11">AC2*AD2+AE2*AF2+AG2*AH2+AI2*AJ2</f>
        <v>532855</v>
      </c>
      <c r="AC2" s="3">
        <f t="shared" ref="AC2:AC595" si="12">S2</f>
        <v>5</v>
      </c>
      <c r="AD2" s="3">
        <f t="shared" ref="AD2:AD595" si="13">IF(ISNUMBER(AC2),INDEX($AA$2:$AA596,MATCH(T2,$E$2:$E596,0)),0)</f>
        <v>106571</v>
      </c>
      <c r="AE2" s="3" t="str">
        <f t="shared" ref="AE2:AE595" si="14">U2</f>
        <v/>
      </c>
      <c r="AF2" s="3">
        <f t="shared" ref="AF2:AF595" si="15">IF(ISNUMBER(AE2),INDEX($AA$2:$AA596,MATCH(V2,$E$2:$E596,0)),0)</f>
        <v>0</v>
      </c>
      <c r="AG2" s="3" t="str">
        <f t="shared" ref="AG2:AG595" si="16">W2</f>
        <v/>
      </c>
      <c r="AH2" s="3">
        <f t="shared" ref="AH2:AH595" si="17">IF(ISNUMBER(AG2),INDEX($AA$2:$AA596,MATCH(X2,$E$2:$E596,0)),0)</f>
        <v>0</v>
      </c>
      <c r="AI2" s="3" t="str">
        <f t="shared" ref="AI2:AI595" si="18">Y2</f>
        <v/>
      </c>
      <c r="AJ2" s="3">
        <f t="shared" ref="AJ2:AJ595" si="19">IF(ISNUMBER(AI2),INDEX($AA$2:$AA596,MATCH(Z2,$E$2:$E596,0)),0)</f>
        <v>0</v>
      </c>
    </row>
    <row r="3">
      <c r="C3" s="6" t="s">
        <v>3</v>
      </c>
      <c r="D3" s="3">
        <f t="shared" si="1"/>
        <v>1</v>
      </c>
      <c r="E3" s="3" t="str">
        <f>IFERROR(__xludf.DUMMYFUNCTION("REGEXEXTRACT(C3,""[^ ]* [^ ]*"")"),"dull aqua")</f>
        <v>dull aqua</v>
      </c>
      <c r="F3" s="3" t="str">
        <f>IFERROR(__xludf.DUMMYFUNCTION("MID(REGEXEXTRACT(C3,""contain.*$""),9,300)"),"4 dark fuchsia bags, 1 shiny purple bag.")</f>
        <v>4 dark fuchsia bags, 1 shiny purple bag.</v>
      </c>
      <c r="G3" s="3" t="str">
        <f>IFERROR(__xludf.DUMMYFUNCTION("INDEX(SPLIT($F3,"",""),COLUMN()-6)"),"4 dark fuchsia bags")</f>
        <v>4 dark fuchsia bags</v>
      </c>
      <c r="H3" s="3" t="str">
        <f>IFERROR(__xludf.DUMMYFUNCTION("MID(INDEX(SPLIT($F3,"",""),COLUMN()-6),2,300)"),"1 shiny purple bag.")</f>
        <v>1 shiny purple bag.</v>
      </c>
      <c r="I3" s="3" t="str">
        <f>IFERROR(__xludf.DUMMYFUNCTION("MID(INDEX(SPLIT($F3,"",""),COLUMN()-6),2,300)"),"#REF!")</f>
        <v>#REF!</v>
      </c>
      <c r="J3" s="3" t="str">
        <f>IFERROR(__xludf.DUMMYFUNCTION("MID(INDEX(SPLIT($F3,"",""),COLUMN()-6),2,300)"),"#REF!")</f>
        <v>#REF!</v>
      </c>
      <c r="K3" s="3">
        <f>IFERROR(__xludf.DUMMYFUNCTION("INDEX(SPLIT(G3,"" ""),1)"),4.0)</f>
        <v>4</v>
      </c>
      <c r="L3" s="3" t="str">
        <f>IFERROR(__xludf.DUMMYFUNCTION("REGEXEXTRACT(G3,"" [^ ]* [^ ]* "")")," dark fuchsia ")</f>
        <v> dark fuchsia </v>
      </c>
      <c r="M3" s="3">
        <f>IFERROR(__xludf.DUMMYFUNCTION("INDEX(SPLIT(H3,"" ""),1)"),1.0)</f>
        <v>1</v>
      </c>
      <c r="N3" s="3" t="str">
        <f>IFERROR(__xludf.DUMMYFUNCTION("MID(REGEXEXTRACT(H3,"" [^ ]* [^ ]*""),2,300)"),"shiny purple")</f>
        <v>shiny purple</v>
      </c>
      <c r="O3" s="3" t="str">
        <f>IFERROR(__xludf.DUMMYFUNCTION("INDEX(SPLIT(I3,"" ""),1)"),"#REF!")</f>
        <v>#REF!</v>
      </c>
      <c r="P3" s="3" t="str">
        <f>IFERROR(__xludf.DUMMYFUNCTION("MID(REGEXEXTRACT(I3,"" [^ ]* [^ ]*""),2,300)"),"#REF!")</f>
        <v>#REF!</v>
      </c>
      <c r="Q3" s="3" t="str">
        <f>IFERROR(__xludf.DUMMYFUNCTION("INDEX(SPLIT(J3,"" ""),1)"),"#REF!")</f>
        <v>#REF!</v>
      </c>
      <c r="R3" s="3" t="str">
        <f>IFERROR(__xludf.DUMMYFUNCTION("MID(REGEXEXTRACT(J3,"" [^ ]* [^ ]*""),2,300)"),"#REF!")</f>
        <v>#REF!</v>
      </c>
      <c r="S3" s="3">
        <f t="shared" si="2"/>
        <v>4</v>
      </c>
      <c r="T3" s="3" t="str">
        <f t="shared" si="3"/>
        <v>dark fuchsia</v>
      </c>
      <c r="U3" s="3">
        <f t="shared" si="4"/>
        <v>1</v>
      </c>
      <c r="V3" s="3" t="str">
        <f t="shared" si="5"/>
        <v>shiny purple</v>
      </c>
      <c r="W3" s="3" t="str">
        <f t="shared" si="6"/>
        <v/>
      </c>
      <c r="X3" s="3" t="str">
        <f t="shared" si="7"/>
        <v/>
      </c>
      <c r="Y3" s="3" t="str">
        <f t="shared" si="8"/>
        <v/>
      </c>
      <c r="Z3" s="3" t="str">
        <f t="shared" si="9"/>
        <v/>
      </c>
      <c r="AA3" s="13">
        <f t="shared" si="10"/>
        <v>12033257</v>
      </c>
      <c r="AB3" s="3">
        <f t="shared" si="11"/>
        <v>12033256</v>
      </c>
      <c r="AC3" s="3">
        <f t="shared" si="12"/>
        <v>4</v>
      </c>
      <c r="AD3" s="3">
        <f t="shared" si="13"/>
        <v>941276</v>
      </c>
      <c r="AE3" s="3">
        <f t="shared" si="14"/>
        <v>1</v>
      </c>
      <c r="AF3" s="3">
        <f t="shared" si="15"/>
        <v>8268152</v>
      </c>
      <c r="AG3" s="3" t="str">
        <f t="shared" si="16"/>
        <v/>
      </c>
      <c r="AH3" s="3">
        <f t="shared" si="17"/>
        <v>0</v>
      </c>
      <c r="AI3" s="3" t="str">
        <f t="shared" si="18"/>
        <v/>
      </c>
      <c r="AJ3" s="3">
        <f t="shared" si="19"/>
        <v>0</v>
      </c>
    </row>
    <row r="4">
      <c r="C4" s="6" t="s">
        <v>4</v>
      </c>
      <c r="D4" s="3">
        <f t="shared" si="1"/>
        <v>0</v>
      </c>
      <c r="E4" s="3" t="str">
        <f>IFERROR(__xludf.DUMMYFUNCTION("REGEXEXTRACT(C4,""[^ ]* [^ ]*"")"),"dotted olive")</f>
        <v>dotted olive</v>
      </c>
      <c r="F4" s="3" t="str">
        <f>IFERROR(__xludf.DUMMYFUNCTION("MID(REGEXEXTRACT(C4,""contain.*$""),9,300)"),"1 striped gray bag.")</f>
        <v>1 striped gray bag.</v>
      </c>
      <c r="G4" s="3" t="str">
        <f>IFERROR(__xludf.DUMMYFUNCTION("INDEX(SPLIT($F4,"",""),COLUMN()-6)"),"1 striped gray bag.")</f>
        <v>1 striped gray bag.</v>
      </c>
      <c r="H4" s="3" t="str">
        <f>IFERROR(__xludf.DUMMYFUNCTION("MID(INDEX(SPLIT($F4,"",""),COLUMN()-6),2,300)"),"#REF!")</f>
        <v>#REF!</v>
      </c>
      <c r="I4" s="3" t="str">
        <f>IFERROR(__xludf.DUMMYFUNCTION("MID(INDEX(SPLIT($F4,"",""),COLUMN()-6),2,300)"),"#REF!")</f>
        <v>#REF!</v>
      </c>
      <c r="J4" s="3" t="str">
        <f>IFERROR(__xludf.DUMMYFUNCTION("MID(INDEX(SPLIT($F4,"",""),COLUMN()-6),2,300)"),"#REF!")</f>
        <v>#REF!</v>
      </c>
      <c r="K4" s="3">
        <f>IFERROR(__xludf.DUMMYFUNCTION("INDEX(SPLIT(G4,"" ""),1)"),1.0)</f>
        <v>1</v>
      </c>
      <c r="L4" s="3" t="str">
        <f>IFERROR(__xludf.DUMMYFUNCTION("REGEXEXTRACT(G4,"" [^ ]* [^ ]* "")")," striped gray ")</f>
        <v> striped gray </v>
      </c>
      <c r="M4" s="3" t="str">
        <f>IFERROR(__xludf.DUMMYFUNCTION("INDEX(SPLIT(H4,"" ""),1)"),"#REF!")</f>
        <v>#REF!</v>
      </c>
      <c r="N4" s="3" t="str">
        <f>IFERROR(__xludf.DUMMYFUNCTION("MID(REGEXEXTRACT(H4,"" [^ ]* [^ ]*""),2,300)"),"#REF!")</f>
        <v>#REF!</v>
      </c>
      <c r="O4" s="3" t="str">
        <f>IFERROR(__xludf.DUMMYFUNCTION("INDEX(SPLIT(I4,"" ""),1)"),"#REF!")</f>
        <v>#REF!</v>
      </c>
      <c r="P4" s="3" t="str">
        <f>IFERROR(__xludf.DUMMYFUNCTION("MID(REGEXEXTRACT(I4,"" [^ ]* [^ ]*""),2,300)"),"#REF!")</f>
        <v>#REF!</v>
      </c>
      <c r="Q4" s="3" t="str">
        <f>IFERROR(__xludf.DUMMYFUNCTION("INDEX(SPLIT(J4,"" ""),1)"),"#REF!")</f>
        <v>#REF!</v>
      </c>
      <c r="R4" s="3" t="str">
        <f>IFERROR(__xludf.DUMMYFUNCTION("MID(REGEXEXTRACT(J4,"" [^ ]* [^ ]*""),2,300)"),"#REF!")</f>
        <v>#REF!</v>
      </c>
      <c r="S4" s="3">
        <f t="shared" si="2"/>
        <v>1</v>
      </c>
      <c r="T4" s="3" t="str">
        <f t="shared" si="3"/>
        <v>striped gray</v>
      </c>
      <c r="U4" s="3" t="str">
        <f t="shared" si="4"/>
        <v/>
      </c>
      <c r="V4" s="3" t="str">
        <f t="shared" si="5"/>
        <v/>
      </c>
      <c r="W4" s="3" t="str">
        <f t="shared" si="6"/>
        <v/>
      </c>
      <c r="X4" s="3" t="str">
        <f t="shared" si="7"/>
        <v/>
      </c>
      <c r="Y4" s="3" t="str">
        <f t="shared" si="8"/>
        <v/>
      </c>
      <c r="Z4" s="3" t="str">
        <f t="shared" si="9"/>
        <v/>
      </c>
      <c r="AA4" s="13">
        <f t="shared" si="10"/>
        <v>203469</v>
      </c>
      <c r="AB4" s="3">
        <f t="shared" si="11"/>
        <v>203468</v>
      </c>
      <c r="AC4" s="3">
        <f t="shared" si="12"/>
        <v>1</v>
      </c>
      <c r="AD4" s="3">
        <f t="shared" si="13"/>
        <v>203468</v>
      </c>
      <c r="AE4" s="3" t="str">
        <f t="shared" si="14"/>
        <v/>
      </c>
      <c r="AF4" s="3">
        <f t="shared" si="15"/>
        <v>0</v>
      </c>
      <c r="AG4" s="3" t="str">
        <f t="shared" si="16"/>
        <v/>
      </c>
      <c r="AH4" s="3">
        <f t="shared" si="17"/>
        <v>0</v>
      </c>
      <c r="AI4" s="3" t="str">
        <f t="shared" si="18"/>
        <v/>
      </c>
      <c r="AJ4" s="3">
        <f t="shared" si="19"/>
        <v>0</v>
      </c>
    </row>
    <row r="5">
      <c r="C5" s="6" t="s">
        <v>5</v>
      </c>
      <c r="D5" s="3">
        <f t="shared" si="1"/>
        <v>1</v>
      </c>
      <c r="E5" s="3" t="str">
        <f>IFERROR(__xludf.DUMMYFUNCTION("REGEXEXTRACT(C5,""[^ ]* [^ ]*"")"),"vibrant brown")</f>
        <v>vibrant brown</v>
      </c>
      <c r="F5" s="3" t="str">
        <f>IFERROR(__xludf.DUMMYFUNCTION("MID(REGEXEXTRACT(C5,""contain.*$""),9,300)"),"4 dark tan bags, 4 mirrored gray bags.")</f>
        <v>4 dark tan bags, 4 mirrored gray bags.</v>
      </c>
      <c r="G5" s="3" t="str">
        <f>IFERROR(__xludf.DUMMYFUNCTION("INDEX(SPLIT($F5,"",""),COLUMN()-6)"),"4 dark tan bags")</f>
        <v>4 dark tan bags</v>
      </c>
      <c r="H5" s="3" t="str">
        <f>IFERROR(__xludf.DUMMYFUNCTION("MID(INDEX(SPLIT($F5,"",""),COLUMN()-6),2,300)"),"4 mirrored gray bags.")</f>
        <v>4 mirrored gray bags.</v>
      </c>
      <c r="I5" s="3" t="str">
        <f>IFERROR(__xludf.DUMMYFUNCTION("MID(INDEX(SPLIT($F5,"",""),COLUMN()-6),2,300)"),"#REF!")</f>
        <v>#REF!</v>
      </c>
      <c r="J5" s="3" t="str">
        <f>IFERROR(__xludf.DUMMYFUNCTION("MID(INDEX(SPLIT($F5,"",""),COLUMN()-6),2,300)"),"#REF!")</f>
        <v>#REF!</v>
      </c>
      <c r="K5" s="3">
        <f>IFERROR(__xludf.DUMMYFUNCTION("INDEX(SPLIT(G5,"" ""),1)"),4.0)</f>
        <v>4</v>
      </c>
      <c r="L5" s="3" t="str">
        <f>IFERROR(__xludf.DUMMYFUNCTION("REGEXEXTRACT(G5,"" [^ ]* [^ ]* "")")," dark tan ")</f>
        <v> dark tan </v>
      </c>
      <c r="M5" s="3">
        <f>IFERROR(__xludf.DUMMYFUNCTION("INDEX(SPLIT(H5,"" ""),1)"),4.0)</f>
        <v>4</v>
      </c>
      <c r="N5" s="3" t="str">
        <f>IFERROR(__xludf.DUMMYFUNCTION("MID(REGEXEXTRACT(H5,"" [^ ]* [^ ]*""),2,300)"),"mirrored gray")</f>
        <v>mirrored gray</v>
      </c>
      <c r="O5" s="3" t="str">
        <f>IFERROR(__xludf.DUMMYFUNCTION("INDEX(SPLIT(I5,"" ""),1)"),"#REF!")</f>
        <v>#REF!</v>
      </c>
      <c r="P5" s="3" t="str">
        <f>IFERROR(__xludf.DUMMYFUNCTION("MID(REGEXEXTRACT(I5,"" [^ ]* [^ ]*""),2,300)"),"#REF!")</f>
        <v>#REF!</v>
      </c>
      <c r="Q5" s="3" t="str">
        <f>IFERROR(__xludf.DUMMYFUNCTION("INDEX(SPLIT(J5,"" ""),1)"),"#REF!")</f>
        <v>#REF!</v>
      </c>
      <c r="R5" s="3" t="str">
        <f>IFERROR(__xludf.DUMMYFUNCTION("MID(REGEXEXTRACT(J5,"" [^ ]* [^ ]*""),2,300)"),"#REF!")</f>
        <v>#REF!</v>
      </c>
      <c r="S5" s="3">
        <f t="shared" si="2"/>
        <v>4</v>
      </c>
      <c r="T5" s="3" t="str">
        <f t="shared" si="3"/>
        <v>dark tan</v>
      </c>
      <c r="U5" s="3">
        <f t="shared" si="4"/>
        <v>4</v>
      </c>
      <c r="V5" s="3" t="str">
        <f t="shared" si="5"/>
        <v>mirrored gray</v>
      </c>
      <c r="W5" s="3" t="str">
        <f t="shared" si="6"/>
        <v/>
      </c>
      <c r="X5" s="3" t="str">
        <f t="shared" si="7"/>
        <v/>
      </c>
      <c r="Y5" s="3" t="str">
        <f t="shared" si="8"/>
        <v/>
      </c>
      <c r="Z5" s="3" t="str">
        <f t="shared" si="9"/>
        <v/>
      </c>
      <c r="AA5" s="13">
        <f t="shared" si="10"/>
        <v>4377</v>
      </c>
      <c r="AB5" s="3">
        <f t="shared" si="11"/>
        <v>4376</v>
      </c>
      <c r="AC5" s="3">
        <f t="shared" si="12"/>
        <v>4</v>
      </c>
      <c r="AD5" s="3">
        <f t="shared" si="13"/>
        <v>1086</v>
      </c>
      <c r="AE5" s="3">
        <f t="shared" si="14"/>
        <v>4</v>
      </c>
      <c r="AF5" s="3">
        <f t="shared" si="15"/>
        <v>8</v>
      </c>
      <c r="AG5" s="3" t="str">
        <f t="shared" si="16"/>
        <v/>
      </c>
      <c r="AH5" s="3">
        <f t="shared" si="17"/>
        <v>0</v>
      </c>
      <c r="AI5" s="3" t="str">
        <f t="shared" si="18"/>
        <v/>
      </c>
      <c r="AJ5" s="3">
        <f t="shared" si="19"/>
        <v>0</v>
      </c>
    </row>
    <row r="6">
      <c r="C6" s="6" t="s">
        <v>6</v>
      </c>
      <c r="D6" s="3">
        <f t="shared" si="1"/>
        <v>0</v>
      </c>
      <c r="E6" s="3" t="str">
        <f>IFERROR(__xludf.DUMMYFUNCTION("REGEXEXTRACT(C6,""[^ ]* [^ ]*"")"),"shiny black")</f>
        <v>shiny black</v>
      </c>
      <c r="F6" s="3" t="str">
        <f>IFERROR(__xludf.DUMMYFUNCTION("MID(REGEXEXTRACT(C6,""contain.*$""),9,300)"),"3 mirrored black bags.")</f>
        <v>3 mirrored black bags.</v>
      </c>
      <c r="G6" s="3" t="str">
        <f>IFERROR(__xludf.DUMMYFUNCTION("INDEX(SPLIT($F6,"",""),COLUMN()-6)"),"3 mirrored black bags.")</f>
        <v>3 mirrored black bags.</v>
      </c>
      <c r="H6" s="3" t="str">
        <f>IFERROR(__xludf.DUMMYFUNCTION("MID(INDEX(SPLIT($F6,"",""),COLUMN()-6),2,300)"),"#REF!")</f>
        <v>#REF!</v>
      </c>
      <c r="I6" s="3" t="str">
        <f>IFERROR(__xludf.DUMMYFUNCTION("MID(INDEX(SPLIT($F6,"",""),COLUMN()-6),2,300)"),"#REF!")</f>
        <v>#REF!</v>
      </c>
      <c r="J6" s="3" t="str">
        <f>IFERROR(__xludf.DUMMYFUNCTION("MID(INDEX(SPLIT($F6,"",""),COLUMN()-6),2,300)"),"#REF!")</f>
        <v>#REF!</v>
      </c>
      <c r="K6" s="3">
        <f>IFERROR(__xludf.DUMMYFUNCTION("INDEX(SPLIT(G6,"" ""),1)"),3.0)</f>
        <v>3</v>
      </c>
      <c r="L6" s="3" t="str">
        <f>IFERROR(__xludf.DUMMYFUNCTION("REGEXEXTRACT(G6,"" [^ ]* [^ ]* "")")," mirrored black ")</f>
        <v> mirrored black </v>
      </c>
      <c r="M6" s="3" t="str">
        <f>IFERROR(__xludf.DUMMYFUNCTION("INDEX(SPLIT(H6,"" ""),1)"),"#REF!")</f>
        <v>#REF!</v>
      </c>
      <c r="N6" s="3" t="str">
        <f>IFERROR(__xludf.DUMMYFUNCTION("MID(REGEXEXTRACT(H6,"" [^ ]* [^ ]*""),2,300)"),"#REF!")</f>
        <v>#REF!</v>
      </c>
      <c r="O6" s="3" t="str">
        <f>IFERROR(__xludf.DUMMYFUNCTION("INDEX(SPLIT(I6,"" ""),1)"),"#REF!")</f>
        <v>#REF!</v>
      </c>
      <c r="P6" s="3" t="str">
        <f>IFERROR(__xludf.DUMMYFUNCTION("MID(REGEXEXTRACT(I6,"" [^ ]* [^ ]*""),2,300)"),"#REF!")</f>
        <v>#REF!</v>
      </c>
      <c r="Q6" s="3" t="str">
        <f>IFERROR(__xludf.DUMMYFUNCTION("INDEX(SPLIT(J6,"" ""),1)"),"#REF!")</f>
        <v>#REF!</v>
      </c>
      <c r="R6" s="3" t="str">
        <f>IFERROR(__xludf.DUMMYFUNCTION("MID(REGEXEXTRACT(J6,"" [^ ]* [^ ]*""),2,300)"),"#REF!")</f>
        <v>#REF!</v>
      </c>
      <c r="S6" s="3">
        <f t="shared" si="2"/>
        <v>3</v>
      </c>
      <c r="T6" s="3" t="str">
        <f t="shared" si="3"/>
        <v>mirrored black</v>
      </c>
      <c r="U6" s="3" t="str">
        <f t="shared" si="4"/>
        <v/>
      </c>
      <c r="V6" s="3" t="str">
        <f t="shared" si="5"/>
        <v/>
      </c>
      <c r="W6" s="3" t="str">
        <f t="shared" si="6"/>
        <v/>
      </c>
      <c r="X6" s="3" t="str">
        <f t="shared" si="7"/>
        <v/>
      </c>
      <c r="Y6" s="3" t="str">
        <f t="shared" si="8"/>
        <v/>
      </c>
      <c r="Z6" s="3" t="str">
        <f t="shared" si="9"/>
        <v/>
      </c>
      <c r="AA6" s="13">
        <f t="shared" si="10"/>
        <v>27112</v>
      </c>
      <c r="AB6" s="3">
        <f t="shared" si="11"/>
        <v>27111</v>
      </c>
      <c r="AC6" s="3">
        <f t="shared" si="12"/>
        <v>3</v>
      </c>
      <c r="AD6" s="3">
        <f t="shared" si="13"/>
        <v>9037</v>
      </c>
      <c r="AE6" s="3" t="str">
        <f t="shared" si="14"/>
        <v/>
      </c>
      <c r="AF6" s="3">
        <f t="shared" si="15"/>
        <v>0</v>
      </c>
      <c r="AG6" s="3" t="str">
        <f t="shared" si="16"/>
        <v/>
      </c>
      <c r="AH6" s="3">
        <f t="shared" si="17"/>
        <v>0</v>
      </c>
      <c r="AI6" s="3" t="str">
        <f t="shared" si="18"/>
        <v/>
      </c>
      <c r="AJ6" s="3">
        <f t="shared" si="19"/>
        <v>0</v>
      </c>
    </row>
    <row r="7">
      <c r="C7" s="6" t="s">
        <v>7</v>
      </c>
      <c r="D7" s="3">
        <f t="shared" si="1"/>
        <v>3</v>
      </c>
      <c r="E7" s="3" t="str">
        <f>IFERROR(__xludf.DUMMYFUNCTION("REGEXEXTRACT(C7,""[^ ]* [^ ]*"")"),"dull bronze")</f>
        <v>dull bronze</v>
      </c>
      <c r="F7" s="3" t="str">
        <f>IFERROR(__xludf.DUMMYFUNCTION("MID(REGEXEXTRACT(C7,""contain.*$""),9,300)"),"2 plaid aqua bags, 4 shiny magenta bags, 2 faded green bags, 3 dotted gold bags.")</f>
        <v>2 plaid aqua bags, 4 shiny magenta bags, 2 faded green bags, 3 dotted gold bags.</v>
      </c>
      <c r="G7" s="3" t="str">
        <f>IFERROR(__xludf.DUMMYFUNCTION("INDEX(SPLIT($F7,"",""),COLUMN()-6)"),"2 plaid aqua bags")</f>
        <v>2 plaid aqua bags</v>
      </c>
      <c r="H7" s="3" t="str">
        <f>IFERROR(__xludf.DUMMYFUNCTION("MID(INDEX(SPLIT($F7,"",""),COLUMN()-6),2,300)"),"4 shiny magenta bags")</f>
        <v>4 shiny magenta bags</v>
      </c>
      <c r="I7" s="3" t="str">
        <f>IFERROR(__xludf.DUMMYFUNCTION("MID(INDEX(SPLIT($F7,"",""),COLUMN()-6),2,300)"),"2 faded green bags")</f>
        <v>2 faded green bags</v>
      </c>
      <c r="J7" s="3" t="str">
        <f>IFERROR(__xludf.DUMMYFUNCTION("MID(INDEX(SPLIT($F7,"",""),COLUMN()-6),2,300)"),"3 dotted gold bags.")</f>
        <v>3 dotted gold bags.</v>
      </c>
      <c r="K7" s="3">
        <f>IFERROR(__xludf.DUMMYFUNCTION("INDEX(SPLIT(G7,"" ""),1)"),2.0)</f>
        <v>2</v>
      </c>
      <c r="L7" s="3" t="str">
        <f>IFERROR(__xludf.DUMMYFUNCTION("REGEXEXTRACT(G7,"" [^ ]* [^ ]* "")")," plaid aqua ")</f>
        <v> plaid aqua </v>
      </c>
      <c r="M7" s="3">
        <f>IFERROR(__xludf.DUMMYFUNCTION("INDEX(SPLIT(H7,"" ""),1)"),4.0)</f>
        <v>4</v>
      </c>
      <c r="N7" s="3" t="str">
        <f>IFERROR(__xludf.DUMMYFUNCTION("MID(REGEXEXTRACT(H7,"" [^ ]* [^ ]*""),2,300)"),"shiny magenta")</f>
        <v>shiny magenta</v>
      </c>
      <c r="O7" s="3">
        <f>IFERROR(__xludf.DUMMYFUNCTION("INDEX(SPLIT(I7,"" ""),1)"),2.0)</f>
        <v>2</v>
      </c>
      <c r="P7" s="3" t="str">
        <f>IFERROR(__xludf.DUMMYFUNCTION("MID(REGEXEXTRACT(I7,"" [^ ]* [^ ]*""),2,300)"),"faded green")</f>
        <v>faded green</v>
      </c>
      <c r="Q7" s="3">
        <f>IFERROR(__xludf.DUMMYFUNCTION("INDEX(SPLIT(J7,"" ""),1)"),3.0)</f>
        <v>3</v>
      </c>
      <c r="R7" s="3" t="str">
        <f>IFERROR(__xludf.DUMMYFUNCTION("MID(REGEXEXTRACT(J7,"" [^ ]* [^ ]*""),2,300)"),"dotted gold")</f>
        <v>dotted gold</v>
      </c>
      <c r="S7" s="3">
        <f t="shared" si="2"/>
        <v>2</v>
      </c>
      <c r="T7" s="3" t="str">
        <f t="shared" si="3"/>
        <v>plaid aqua</v>
      </c>
      <c r="U7" s="3">
        <f t="shared" si="4"/>
        <v>4</v>
      </c>
      <c r="V7" s="3" t="str">
        <f t="shared" si="5"/>
        <v>shiny magenta</v>
      </c>
      <c r="W7" s="3">
        <f t="shared" si="6"/>
        <v>2</v>
      </c>
      <c r="X7" s="3" t="str">
        <f t="shared" si="7"/>
        <v>faded green</v>
      </c>
      <c r="Y7" s="3">
        <f t="shared" si="8"/>
        <v>3</v>
      </c>
      <c r="Z7" s="3" t="str">
        <f t="shared" si="9"/>
        <v>dotted gold</v>
      </c>
      <c r="AA7" s="13">
        <f t="shared" si="10"/>
        <v>36381</v>
      </c>
      <c r="AB7" s="3">
        <f t="shared" si="11"/>
        <v>36380</v>
      </c>
      <c r="AC7" s="3">
        <f t="shared" si="12"/>
        <v>2</v>
      </c>
      <c r="AD7" s="3">
        <f t="shared" si="13"/>
        <v>1</v>
      </c>
      <c r="AE7" s="3">
        <f t="shared" si="14"/>
        <v>4</v>
      </c>
      <c r="AF7" s="3">
        <f t="shared" si="15"/>
        <v>7288</v>
      </c>
      <c r="AG7" s="3">
        <f t="shared" si="16"/>
        <v>2</v>
      </c>
      <c r="AH7" s="3">
        <f t="shared" si="17"/>
        <v>3598</v>
      </c>
      <c r="AI7" s="3">
        <f t="shared" si="18"/>
        <v>3</v>
      </c>
      <c r="AJ7" s="3">
        <f t="shared" si="19"/>
        <v>10</v>
      </c>
    </row>
    <row r="8">
      <c r="C8" s="6" t="s">
        <v>8</v>
      </c>
      <c r="D8" s="3">
        <f t="shared" si="1"/>
        <v>0</v>
      </c>
      <c r="E8" s="3" t="str">
        <f>IFERROR(__xludf.DUMMYFUNCTION("REGEXEXTRACT(C8,""[^ ]* [^ ]*"")"),"wavy plum")</f>
        <v>wavy plum</v>
      </c>
      <c r="F8" s="3" t="str">
        <f>IFERROR(__xludf.DUMMYFUNCTION("MID(REGEXEXTRACT(C8,""contain.*$""),9,300)"),"5 dim indigo bags.")</f>
        <v>5 dim indigo bags.</v>
      </c>
      <c r="G8" s="3" t="str">
        <f>IFERROR(__xludf.DUMMYFUNCTION("INDEX(SPLIT($F8,"",""),COLUMN()-6)"),"5 dim indigo bags.")</f>
        <v>5 dim indigo bags.</v>
      </c>
      <c r="H8" s="3" t="str">
        <f>IFERROR(__xludf.DUMMYFUNCTION("MID(INDEX(SPLIT($F8,"",""),COLUMN()-6),2,300)"),"#REF!")</f>
        <v>#REF!</v>
      </c>
      <c r="I8" s="3" t="str">
        <f>IFERROR(__xludf.DUMMYFUNCTION("MID(INDEX(SPLIT($F8,"",""),COLUMN()-6),2,300)"),"#REF!")</f>
        <v>#REF!</v>
      </c>
      <c r="J8" s="3" t="str">
        <f>IFERROR(__xludf.DUMMYFUNCTION("MID(INDEX(SPLIT($F8,"",""),COLUMN()-6),2,300)"),"#REF!")</f>
        <v>#REF!</v>
      </c>
      <c r="K8" s="3">
        <f>IFERROR(__xludf.DUMMYFUNCTION("INDEX(SPLIT(G8,"" ""),1)"),5.0)</f>
        <v>5</v>
      </c>
      <c r="L8" s="3" t="str">
        <f>IFERROR(__xludf.DUMMYFUNCTION("REGEXEXTRACT(G8,"" [^ ]* [^ ]* "")")," dim indigo ")</f>
        <v> dim indigo </v>
      </c>
      <c r="M8" s="3" t="str">
        <f>IFERROR(__xludf.DUMMYFUNCTION("INDEX(SPLIT(H8,"" ""),1)"),"#REF!")</f>
        <v>#REF!</v>
      </c>
      <c r="N8" s="3" t="str">
        <f>IFERROR(__xludf.DUMMYFUNCTION("MID(REGEXEXTRACT(H8,"" [^ ]* [^ ]*""),2,300)"),"#REF!")</f>
        <v>#REF!</v>
      </c>
      <c r="O8" s="3" t="str">
        <f>IFERROR(__xludf.DUMMYFUNCTION("INDEX(SPLIT(I8,"" ""),1)"),"#REF!")</f>
        <v>#REF!</v>
      </c>
      <c r="P8" s="3" t="str">
        <f>IFERROR(__xludf.DUMMYFUNCTION("MID(REGEXEXTRACT(I8,"" [^ ]* [^ ]*""),2,300)"),"#REF!")</f>
        <v>#REF!</v>
      </c>
      <c r="Q8" s="3" t="str">
        <f>IFERROR(__xludf.DUMMYFUNCTION("INDEX(SPLIT(J8,"" ""),1)"),"#REF!")</f>
        <v>#REF!</v>
      </c>
      <c r="R8" s="3" t="str">
        <f>IFERROR(__xludf.DUMMYFUNCTION("MID(REGEXEXTRACT(J8,"" [^ ]* [^ ]*""),2,300)"),"#REF!")</f>
        <v>#REF!</v>
      </c>
      <c r="S8" s="3">
        <f t="shared" si="2"/>
        <v>5</v>
      </c>
      <c r="T8" s="3" t="str">
        <f t="shared" si="3"/>
        <v>dim indigo</v>
      </c>
      <c r="U8" s="3" t="str">
        <f t="shared" si="4"/>
        <v/>
      </c>
      <c r="V8" s="3" t="str">
        <f t="shared" si="5"/>
        <v/>
      </c>
      <c r="W8" s="3" t="str">
        <f t="shared" si="6"/>
        <v/>
      </c>
      <c r="X8" s="3" t="str">
        <f t="shared" si="7"/>
        <v/>
      </c>
      <c r="Y8" s="3" t="str">
        <f t="shared" si="8"/>
        <v/>
      </c>
      <c r="Z8" s="3" t="str">
        <f t="shared" si="9"/>
        <v/>
      </c>
      <c r="AA8" s="13">
        <f t="shared" si="10"/>
        <v>148186</v>
      </c>
      <c r="AB8" s="3">
        <f t="shared" si="11"/>
        <v>148185</v>
      </c>
      <c r="AC8" s="3">
        <f t="shared" si="12"/>
        <v>5</v>
      </c>
      <c r="AD8" s="3">
        <f t="shared" si="13"/>
        <v>29637</v>
      </c>
      <c r="AE8" s="3" t="str">
        <f t="shared" si="14"/>
        <v/>
      </c>
      <c r="AF8" s="3">
        <f t="shared" si="15"/>
        <v>0</v>
      </c>
      <c r="AG8" s="3" t="str">
        <f t="shared" si="16"/>
        <v/>
      </c>
      <c r="AH8" s="3">
        <f t="shared" si="17"/>
        <v>0</v>
      </c>
      <c r="AI8" s="3" t="str">
        <f t="shared" si="18"/>
        <v/>
      </c>
      <c r="AJ8" s="3">
        <f t="shared" si="19"/>
        <v>0</v>
      </c>
    </row>
    <row r="9">
      <c r="C9" s="6" t="s">
        <v>9</v>
      </c>
      <c r="D9" s="3">
        <f t="shared" si="1"/>
        <v>0</v>
      </c>
      <c r="E9" s="3" t="str">
        <f>IFERROR(__xludf.DUMMYFUNCTION("REGEXEXTRACT(C9,""[^ ]* [^ ]*"")"),"drab brown")</f>
        <v>drab brown</v>
      </c>
      <c r="F9" s="3" t="str">
        <f>IFERROR(__xludf.DUMMYFUNCTION("MID(REGEXEXTRACT(C9,""contain.*$""),9,300)"),"5 clear fuchsia bags.")</f>
        <v>5 clear fuchsia bags.</v>
      </c>
      <c r="G9" s="3" t="str">
        <f>IFERROR(__xludf.DUMMYFUNCTION("INDEX(SPLIT($F9,"",""),COLUMN()-6)"),"5 clear fuchsia bags.")</f>
        <v>5 clear fuchsia bags.</v>
      </c>
      <c r="H9" s="3" t="str">
        <f>IFERROR(__xludf.DUMMYFUNCTION("MID(INDEX(SPLIT($F9,"",""),COLUMN()-6),2,300)"),"#REF!")</f>
        <v>#REF!</v>
      </c>
      <c r="I9" s="3" t="str">
        <f>IFERROR(__xludf.DUMMYFUNCTION("MID(INDEX(SPLIT($F9,"",""),COLUMN()-6),2,300)"),"#REF!")</f>
        <v>#REF!</v>
      </c>
      <c r="J9" s="3" t="str">
        <f>IFERROR(__xludf.DUMMYFUNCTION("MID(INDEX(SPLIT($F9,"",""),COLUMN()-6),2,300)"),"#REF!")</f>
        <v>#REF!</v>
      </c>
      <c r="K9" s="3">
        <f>IFERROR(__xludf.DUMMYFUNCTION("INDEX(SPLIT(G9,"" ""),1)"),5.0)</f>
        <v>5</v>
      </c>
      <c r="L9" s="3" t="str">
        <f>IFERROR(__xludf.DUMMYFUNCTION("REGEXEXTRACT(G9,"" [^ ]* [^ ]* "")")," clear fuchsia ")</f>
        <v> clear fuchsia </v>
      </c>
      <c r="M9" s="3" t="str">
        <f>IFERROR(__xludf.DUMMYFUNCTION("INDEX(SPLIT(H9,"" ""),1)"),"#REF!")</f>
        <v>#REF!</v>
      </c>
      <c r="N9" s="3" t="str">
        <f>IFERROR(__xludf.DUMMYFUNCTION("MID(REGEXEXTRACT(H9,"" [^ ]* [^ ]*""),2,300)"),"#REF!")</f>
        <v>#REF!</v>
      </c>
      <c r="O9" s="3" t="str">
        <f>IFERROR(__xludf.DUMMYFUNCTION("INDEX(SPLIT(I9,"" ""),1)"),"#REF!")</f>
        <v>#REF!</v>
      </c>
      <c r="P9" s="3" t="str">
        <f>IFERROR(__xludf.DUMMYFUNCTION("MID(REGEXEXTRACT(I9,"" [^ ]* [^ ]*""),2,300)"),"#REF!")</f>
        <v>#REF!</v>
      </c>
      <c r="Q9" s="3" t="str">
        <f>IFERROR(__xludf.DUMMYFUNCTION("INDEX(SPLIT(J9,"" ""),1)"),"#REF!")</f>
        <v>#REF!</v>
      </c>
      <c r="R9" s="3" t="str">
        <f>IFERROR(__xludf.DUMMYFUNCTION("MID(REGEXEXTRACT(J9,"" [^ ]* [^ ]*""),2,300)"),"#REF!")</f>
        <v>#REF!</v>
      </c>
      <c r="S9" s="3">
        <f t="shared" si="2"/>
        <v>5</v>
      </c>
      <c r="T9" s="3" t="str">
        <f t="shared" si="3"/>
        <v>clear fuchsia</v>
      </c>
      <c r="U9" s="3" t="str">
        <f t="shared" si="4"/>
        <v/>
      </c>
      <c r="V9" s="3" t="str">
        <f t="shared" si="5"/>
        <v/>
      </c>
      <c r="W9" s="3" t="str">
        <f t="shared" si="6"/>
        <v/>
      </c>
      <c r="X9" s="3" t="str">
        <f t="shared" si="7"/>
        <v/>
      </c>
      <c r="Y9" s="3" t="str">
        <f t="shared" si="8"/>
        <v/>
      </c>
      <c r="Z9" s="3" t="str">
        <f t="shared" si="9"/>
        <v/>
      </c>
      <c r="AA9" s="13">
        <f t="shared" si="10"/>
        <v>96841</v>
      </c>
      <c r="AB9" s="3">
        <f t="shared" si="11"/>
        <v>96840</v>
      </c>
      <c r="AC9" s="3">
        <f t="shared" si="12"/>
        <v>5</v>
      </c>
      <c r="AD9" s="3">
        <f t="shared" si="13"/>
        <v>19368</v>
      </c>
      <c r="AE9" s="3" t="str">
        <f t="shared" si="14"/>
        <v/>
      </c>
      <c r="AF9" s="3">
        <f t="shared" si="15"/>
        <v>0</v>
      </c>
      <c r="AG9" s="3" t="str">
        <f t="shared" si="16"/>
        <v/>
      </c>
      <c r="AH9" s="3">
        <f t="shared" si="17"/>
        <v>0</v>
      </c>
      <c r="AI9" s="3" t="str">
        <f t="shared" si="18"/>
        <v/>
      </c>
      <c r="AJ9" s="3">
        <f t="shared" si="19"/>
        <v>0</v>
      </c>
    </row>
    <row r="10">
      <c r="C10" s="6" t="s">
        <v>10</v>
      </c>
      <c r="D10" s="3">
        <f t="shared" si="1"/>
        <v>3</v>
      </c>
      <c r="E10" s="3" t="str">
        <f>IFERROR(__xludf.DUMMYFUNCTION("REGEXEXTRACT(C10,""[^ ]* [^ ]*"")"),"vibrant maroon")</f>
        <v>vibrant maroon</v>
      </c>
      <c r="F10" s="3" t="str">
        <f>IFERROR(__xludf.DUMMYFUNCTION("MID(REGEXEXTRACT(C10,""contain.*$""),9,300)"),"3 shiny coral bags, 1 dim indigo bag, 4 muted crimson bags, 5 clear black bags.")</f>
        <v>3 shiny coral bags, 1 dim indigo bag, 4 muted crimson bags, 5 clear black bags.</v>
      </c>
      <c r="G10" s="3" t="str">
        <f>IFERROR(__xludf.DUMMYFUNCTION("INDEX(SPLIT($F10,"",""),COLUMN()-6)"),"3 shiny coral bags")</f>
        <v>3 shiny coral bags</v>
      </c>
      <c r="H10" s="3" t="str">
        <f>IFERROR(__xludf.DUMMYFUNCTION("MID(INDEX(SPLIT($F10,"",""),COLUMN()-6),2,300)"),"1 dim indigo bag")</f>
        <v>1 dim indigo bag</v>
      </c>
      <c r="I10" s="3" t="str">
        <f>IFERROR(__xludf.DUMMYFUNCTION("MID(INDEX(SPLIT($F10,"",""),COLUMN()-6),2,300)"),"4 muted crimson bags")</f>
        <v>4 muted crimson bags</v>
      </c>
      <c r="J10" s="3" t="str">
        <f>IFERROR(__xludf.DUMMYFUNCTION("MID(INDEX(SPLIT($F10,"",""),COLUMN()-6),2,300)"),"5 clear black bags.")</f>
        <v>5 clear black bags.</v>
      </c>
      <c r="K10" s="3">
        <f>IFERROR(__xludf.DUMMYFUNCTION("INDEX(SPLIT(G10,"" ""),1)"),3.0)</f>
        <v>3</v>
      </c>
      <c r="L10" s="3" t="str">
        <f>IFERROR(__xludf.DUMMYFUNCTION("REGEXEXTRACT(G10,"" [^ ]* [^ ]* "")")," shiny coral ")</f>
        <v> shiny coral </v>
      </c>
      <c r="M10" s="3">
        <f>IFERROR(__xludf.DUMMYFUNCTION("INDEX(SPLIT(H10,"" ""),1)"),1.0)</f>
        <v>1</v>
      </c>
      <c r="N10" s="3" t="str">
        <f>IFERROR(__xludf.DUMMYFUNCTION("MID(REGEXEXTRACT(H10,"" [^ ]* [^ ]*""),2,300)"),"dim indigo")</f>
        <v>dim indigo</v>
      </c>
      <c r="O10" s="3">
        <f>IFERROR(__xludf.DUMMYFUNCTION("INDEX(SPLIT(I10,"" ""),1)"),4.0)</f>
        <v>4</v>
      </c>
      <c r="P10" s="3" t="str">
        <f>IFERROR(__xludf.DUMMYFUNCTION("MID(REGEXEXTRACT(I10,"" [^ ]* [^ ]*""),2,300)"),"muted crimson")</f>
        <v>muted crimson</v>
      </c>
      <c r="Q10" s="3">
        <f>IFERROR(__xludf.DUMMYFUNCTION("INDEX(SPLIT(J10,"" ""),1)"),5.0)</f>
        <v>5</v>
      </c>
      <c r="R10" s="3" t="str">
        <f>IFERROR(__xludf.DUMMYFUNCTION("MID(REGEXEXTRACT(J10,"" [^ ]* [^ ]*""),2,300)"),"clear black")</f>
        <v>clear black</v>
      </c>
      <c r="S10" s="3">
        <f t="shared" si="2"/>
        <v>3</v>
      </c>
      <c r="T10" s="3" t="str">
        <f t="shared" si="3"/>
        <v>shiny coral</v>
      </c>
      <c r="U10" s="3">
        <f t="shared" si="4"/>
        <v>1</v>
      </c>
      <c r="V10" s="3" t="str">
        <f t="shared" si="5"/>
        <v>dim indigo</v>
      </c>
      <c r="W10" s="3">
        <f t="shared" si="6"/>
        <v>4</v>
      </c>
      <c r="X10" s="3" t="str">
        <f t="shared" si="7"/>
        <v>muted crimson</v>
      </c>
      <c r="Y10" s="3">
        <f t="shared" si="8"/>
        <v>5</v>
      </c>
      <c r="Z10" s="3" t="str">
        <f t="shared" si="9"/>
        <v>clear black</v>
      </c>
      <c r="AA10" s="13">
        <f t="shared" si="10"/>
        <v>32185</v>
      </c>
      <c r="AB10" s="3">
        <f t="shared" si="11"/>
        <v>32184</v>
      </c>
      <c r="AC10" s="3">
        <f t="shared" si="12"/>
        <v>3</v>
      </c>
      <c r="AD10" s="3">
        <f t="shared" si="13"/>
        <v>1</v>
      </c>
      <c r="AE10" s="3">
        <f t="shared" si="14"/>
        <v>1</v>
      </c>
      <c r="AF10" s="3">
        <f t="shared" si="15"/>
        <v>29637</v>
      </c>
      <c r="AG10" s="3">
        <f t="shared" si="16"/>
        <v>4</v>
      </c>
      <c r="AH10" s="3">
        <f t="shared" si="17"/>
        <v>621</v>
      </c>
      <c r="AI10" s="3">
        <f t="shared" si="18"/>
        <v>5</v>
      </c>
      <c r="AJ10" s="3">
        <f t="shared" si="19"/>
        <v>12</v>
      </c>
    </row>
    <row r="11">
      <c r="C11" s="6" t="s">
        <v>11</v>
      </c>
      <c r="D11" s="3">
        <f t="shared" si="1"/>
        <v>0</v>
      </c>
      <c r="E11" s="3" t="str">
        <f>IFERROR(__xludf.DUMMYFUNCTION("REGEXEXTRACT(C11,""[^ ]* [^ ]*"")"),"posh magenta")</f>
        <v>posh magenta</v>
      </c>
      <c r="F11" s="3" t="str">
        <f>IFERROR(__xludf.DUMMYFUNCTION("MID(REGEXEXTRACT(C11,""contain.*$""),9,300)"),"no other bags.")</f>
        <v>no other bags.</v>
      </c>
      <c r="G11" s="3" t="str">
        <f>IFERROR(__xludf.DUMMYFUNCTION("INDEX(SPLIT($F11,"",""),COLUMN()-6)"),"no other bags.")</f>
        <v>no other bags.</v>
      </c>
      <c r="H11" s="3" t="str">
        <f>IFERROR(__xludf.DUMMYFUNCTION("MID(INDEX(SPLIT($F11,"",""),COLUMN()-6),2,300)"),"#REF!")</f>
        <v>#REF!</v>
      </c>
      <c r="I11" s="3" t="str">
        <f>IFERROR(__xludf.DUMMYFUNCTION("MID(INDEX(SPLIT($F11,"",""),COLUMN()-6),2,300)"),"#REF!")</f>
        <v>#REF!</v>
      </c>
      <c r="J11" s="3" t="str">
        <f>IFERROR(__xludf.DUMMYFUNCTION("MID(INDEX(SPLIT($F11,"",""),COLUMN()-6),2,300)"),"#REF!")</f>
        <v>#REF!</v>
      </c>
      <c r="K11" s="3" t="str">
        <f>IFERROR(__xludf.DUMMYFUNCTION("INDEX(SPLIT(G11,"" ""),1)"),"no")</f>
        <v>no</v>
      </c>
      <c r="L11" s="3" t="str">
        <f>IFERROR(__xludf.DUMMYFUNCTION("REGEXEXTRACT(G11,"" [^ ]* [^ ]* "")"),"#N/A")</f>
        <v>#N/A</v>
      </c>
      <c r="M11" s="3" t="str">
        <f>IFERROR(__xludf.DUMMYFUNCTION("INDEX(SPLIT(H11,"" ""),1)"),"#REF!")</f>
        <v>#REF!</v>
      </c>
      <c r="N11" s="3" t="str">
        <f>IFERROR(__xludf.DUMMYFUNCTION("MID(REGEXEXTRACT(H11,"" [^ ]* [^ ]*""),2,300)"),"#REF!")</f>
        <v>#REF!</v>
      </c>
      <c r="O11" s="3" t="str">
        <f>IFERROR(__xludf.DUMMYFUNCTION("INDEX(SPLIT(I11,"" ""),1)"),"#REF!")</f>
        <v>#REF!</v>
      </c>
      <c r="P11" s="3" t="str">
        <f>IFERROR(__xludf.DUMMYFUNCTION("MID(REGEXEXTRACT(I11,"" [^ ]* [^ ]*""),2,300)"),"#REF!")</f>
        <v>#REF!</v>
      </c>
      <c r="Q11" s="3" t="str">
        <f>IFERROR(__xludf.DUMMYFUNCTION("INDEX(SPLIT(J11,"" ""),1)"),"#REF!")</f>
        <v>#REF!</v>
      </c>
      <c r="R11" s="3" t="str">
        <f>IFERROR(__xludf.DUMMYFUNCTION("MID(REGEXEXTRACT(J11,"" [^ ]* [^ ]*""),2,300)"),"#REF!")</f>
        <v>#REF!</v>
      </c>
      <c r="S11" s="3" t="str">
        <f t="shared" si="2"/>
        <v/>
      </c>
      <c r="T11" s="3" t="str">
        <f t="shared" si="3"/>
        <v/>
      </c>
      <c r="U11" s="3" t="str">
        <f t="shared" si="4"/>
        <v/>
      </c>
      <c r="V11" s="3" t="str">
        <f t="shared" si="5"/>
        <v/>
      </c>
      <c r="W11" s="3" t="str">
        <f t="shared" si="6"/>
        <v/>
      </c>
      <c r="X11" s="3" t="str">
        <f t="shared" si="7"/>
        <v/>
      </c>
      <c r="Y11" s="3" t="str">
        <f t="shared" si="8"/>
        <v/>
      </c>
      <c r="Z11" s="3" t="str">
        <f t="shared" si="9"/>
        <v/>
      </c>
      <c r="AA11" s="13">
        <f t="shared" si="10"/>
        <v>1</v>
      </c>
      <c r="AB11" s="3">
        <f t="shared" si="11"/>
        <v>0</v>
      </c>
      <c r="AC11" s="3" t="str">
        <f t="shared" si="12"/>
        <v/>
      </c>
      <c r="AD11" s="3">
        <f t="shared" si="13"/>
        <v>0</v>
      </c>
      <c r="AE11" s="3" t="str">
        <f t="shared" si="14"/>
        <v/>
      </c>
      <c r="AF11" s="3">
        <f t="shared" si="15"/>
        <v>0</v>
      </c>
      <c r="AG11" s="3" t="str">
        <f t="shared" si="16"/>
        <v/>
      </c>
      <c r="AH11" s="3">
        <f t="shared" si="17"/>
        <v>0</v>
      </c>
      <c r="AI11" s="3" t="str">
        <f t="shared" si="18"/>
        <v/>
      </c>
      <c r="AJ11" s="3">
        <f t="shared" si="19"/>
        <v>0</v>
      </c>
    </row>
    <row r="12">
      <c r="C12" s="6" t="s">
        <v>12</v>
      </c>
      <c r="D12" s="3">
        <f t="shared" si="1"/>
        <v>2</v>
      </c>
      <c r="E12" s="3" t="str">
        <f>IFERROR(__xludf.DUMMYFUNCTION("REGEXEXTRACT(C12,""[^ ]* [^ ]*"")"),"dull brown")</f>
        <v>dull brown</v>
      </c>
      <c r="F12" s="3" t="str">
        <f>IFERROR(__xludf.DUMMYFUNCTION("MID(REGEXEXTRACT(C12,""contain.*$""),9,300)"),"3 dim violet bags, 3 striped silver bags, 1 shiny purple bag.")</f>
        <v>3 dim violet bags, 3 striped silver bags, 1 shiny purple bag.</v>
      </c>
      <c r="G12" s="3" t="str">
        <f>IFERROR(__xludf.DUMMYFUNCTION("INDEX(SPLIT($F12,"",""),COLUMN()-6)"),"3 dim violet bags")</f>
        <v>3 dim violet bags</v>
      </c>
      <c r="H12" s="3" t="str">
        <f>IFERROR(__xludf.DUMMYFUNCTION("MID(INDEX(SPLIT($F12,"",""),COLUMN()-6),2,300)"),"3 striped silver bags")</f>
        <v>3 striped silver bags</v>
      </c>
      <c r="I12" s="3" t="str">
        <f>IFERROR(__xludf.DUMMYFUNCTION("MID(INDEX(SPLIT($F12,"",""),COLUMN()-6),2,300)"),"1 shiny purple bag.")</f>
        <v>1 shiny purple bag.</v>
      </c>
      <c r="J12" s="3" t="str">
        <f>IFERROR(__xludf.DUMMYFUNCTION("MID(INDEX(SPLIT($F12,"",""),COLUMN()-6),2,300)"),"#REF!")</f>
        <v>#REF!</v>
      </c>
      <c r="K12" s="3">
        <f>IFERROR(__xludf.DUMMYFUNCTION("INDEX(SPLIT(G12,"" ""),1)"),3.0)</f>
        <v>3</v>
      </c>
      <c r="L12" s="3" t="str">
        <f>IFERROR(__xludf.DUMMYFUNCTION("REGEXEXTRACT(G12,"" [^ ]* [^ ]* "")")," dim violet ")</f>
        <v> dim violet </v>
      </c>
      <c r="M12" s="3">
        <f>IFERROR(__xludf.DUMMYFUNCTION("INDEX(SPLIT(H12,"" ""),1)"),3.0)</f>
        <v>3</v>
      </c>
      <c r="N12" s="3" t="str">
        <f>IFERROR(__xludf.DUMMYFUNCTION("MID(REGEXEXTRACT(H12,"" [^ ]* [^ ]*""),2,300)"),"striped silver")</f>
        <v>striped silver</v>
      </c>
      <c r="O12" s="3">
        <f>IFERROR(__xludf.DUMMYFUNCTION("INDEX(SPLIT(I12,"" ""),1)"),1.0)</f>
        <v>1</v>
      </c>
      <c r="P12" s="3" t="str">
        <f>IFERROR(__xludf.DUMMYFUNCTION("MID(REGEXEXTRACT(I12,"" [^ ]* [^ ]*""),2,300)"),"shiny purple")</f>
        <v>shiny purple</v>
      </c>
      <c r="Q12" s="3" t="str">
        <f>IFERROR(__xludf.DUMMYFUNCTION("INDEX(SPLIT(J12,"" ""),1)"),"#REF!")</f>
        <v>#REF!</v>
      </c>
      <c r="R12" s="3" t="str">
        <f>IFERROR(__xludf.DUMMYFUNCTION("MID(REGEXEXTRACT(J12,"" [^ ]* [^ ]*""),2,300)"),"#REF!")</f>
        <v>#REF!</v>
      </c>
      <c r="S12" s="3">
        <f t="shared" si="2"/>
        <v>3</v>
      </c>
      <c r="T12" s="3" t="str">
        <f t="shared" si="3"/>
        <v>dim violet</v>
      </c>
      <c r="U12" s="3">
        <f t="shared" si="4"/>
        <v>3</v>
      </c>
      <c r="V12" s="3" t="str">
        <f t="shared" si="5"/>
        <v>striped silver</v>
      </c>
      <c r="W12" s="3">
        <f t="shared" si="6"/>
        <v>1</v>
      </c>
      <c r="X12" s="3" t="str">
        <f t="shared" si="7"/>
        <v>shiny purple</v>
      </c>
      <c r="Y12" s="3" t="str">
        <f t="shared" si="8"/>
        <v/>
      </c>
      <c r="Z12" s="3" t="str">
        <f t="shared" si="9"/>
        <v/>
      </c>
      <c r="AA12" s="13">
        <f t="shared" si="10"/>
        <v>8325969</v>
      </c>
      <c r="AB12" s="3">
        <f t="shared" si="11"/>
        <v>8325968</v>
      </c>
      <c r="AC12" s="3">
        <f t="shared" si="12"/>
        <v>3</v>
      </c>
      <c r="AD12" s="3">
        <f t="shared" si="13"/>
        <v>153</v>
      </c>
      <c r="AE12" s="3">
        <f t="shared" si="14"/>
        <v>3</v>
      </c>
      <c r="AF12" s="3">
        <f t="shared" si="15"/>
        <v>19119</v>
      </c>
      <c r="AG12" s="3">
        <f t="shared" si="16"/>
        <v>1</v>
      </c>
      <c r="AH12" s="3">
        <f t="shared" si="17"/>
        <v>8268152</v>
      </c>
      <c r="AI12" s="3" t="str">
        <f t="shared" si="18"/>
        <v/>
      </c>
      <c r="AJ12" s="3">
        <f t="shared" si="19"/>
        <v>0</v>
      </c>
    </row>
    <row r="13">
      <c r="C13" s="6" t="s">
        <v>13</v>
      </c>
      <c r="D13" s="3">
        <f t="shared" si="1"/>
        <v>2</v>
      </c>
      <c r="E13" s="3" t="str">
        <f>IFERROR(__xludf.DUMMYFUNCTION("REGEXEXTRACT(C13,""[^ ]* [^ ]*"")"),"pale gray")</f>
        <v>pale gray</v>
      </c>
      <c r="F13" s="3" t="str">
        <f>IFERROR(__xludf.DUMMYFUNCTION("MID(REGEXEXTRACT(C13,""contain.*$""),9,300)"),"3 plaid magenta bags, 3 clear teal bags, 3 pale white bags.")</f>
        <v>3 plaid magenta bags, 3 clear teal bags, 3 pale white bags.</v>
      </c>
      <c r="G13" s="3" t="str">
        <f>IFERROR(__xludf.DUMMYFUNCTION("INDEX(SPLIT($F13,"",""),COLUMN()-6)"),"3 plaid magenta bags")</f>
        <v>3 plaid magenta bags</v>
      </c>
      <c r="H13" s="3" t="str">
        <f>IFERROR(__xludf.DUMMYFUNCTION("MID(INDEX(SPLIT($F13,"",""),COLUMN()-6),2,300)"),"3 clear teal bags")</f>
        <v>3 clear teal bags</v>
      </c>
      <c r="I13" s="3" t="str">
        <f>IFERROR(__xludf.DUMMYFUNCTION("MID(INDEX(SPLIT($F13,"",""),COLUMN()-6),2,300)"),"3 pale white bags.")</f>
        <v>3 pale white bags.</v>
      </c>
      <c r="J13" s="3" t="str">
        <f>IFERROR(__xludf.DUMMYFUNCTION("MID(INDEX(SPLIT($F13,"",""),COLUMN()-6),2,300)"),"#REF!")</f>
        <v>#REF!</v>
      </c>
      <c r="K13" s="3">
        <f>IFERROR(__xludf.DUMMYFUNCTION("INDEX(SPLIT(G13,"" ""),1)"),3.0)</f>
        <v>3</v>
      </c>
      <c r="L13" s="3" t="str">
        <f>IFERROR(__xludf.DUMMYFUNCTION("REGEXEXTRACT(G13,"" [^ ]* [^ ]* "")")," plaid magenta ")</f>
        <v> plaid magenta </v>
      </c>
      <c r="M13" s="3">
        <f>IFERROR(__xludf.DUMMYFUNCTION("INDEX(SPLIT(H13,"" ""),1)"),3.0)</f>
        <v>3</v>
      </c>
      <c r="N13" s="3" t="str">
        <f>IFERROR(__xludf.DUMMYFUNCTION("MID(REGEXEXTRACT(H13,"" [^ ]* [^ ]*""),2,300)"),"clear teal")</f>
        <v>clear teal</v>
      </c>
      <c r="O13" s="3">
        <f>IFERROR(__xludf.DUMMYFUNCTION("INDEX(SPLIT(I13,"" ""),1)"),3.0)</f>
        <v>3</v>
      </c>
      <c r="P13" s="3" t="str">
        <f>IFERROR(__xludf.DUMMYFUNCTION("MID(REGEXEXTRACT(I13,"" [^ ]* [^ ]*""),2,300)"),"pale white")</f>
        <v>pale white</v>
      </c>
      <c r="Q13" s="3" t="str">
        <f>IFERROR(__xludf.DUMMYFUNCTION("INDEX(SPLIT(J13,"" ""),1)"),"#REF!")</f>
        <v>#REF!</v>
      </c>
      <c r="R13" s="3" t="str">
        <f>IFERROR(__xludf.DUMMYFUNCTION("MID(REGEXEXTRACT(J13,"" [^ ]* [^ ]*""),2,300)"),"#REF!")</f>
        <v>#REF!</v>
      </c>
      <c r="S13" s="3">
        <f t="shared" si="2"/>
        <v>3</v>
      </c>
      <c r="T13" s="3" t="str">
        <f t="shared" si="3"/>
        <v>plaid magenta</v>
      </c>
      <c r="U13" s="3">
        <f t="shared" si="4"/>
        <v>3</v>
      </c>
      <c r="V13" s="3" t="str">
        <f t="shared" si="5"/>
        <v>clear teal</v>
      </c>
      <c r="W13" s="3">
        <f t="shared" si="6"/>
        <v>3</v>
      </c>
      <c r="X13" s="3" t="str">
        <f t="shared" si="7"/>
        <v>pale white</v>
      </c>
      <c r="Y13" s="3" t="str">
        <f t="shared" si="8"/>
        <v/>
      </c>
      <c r="Z13" s="3" t="str">
        <f t="shared" si="9"/>
        <v/>
      </c>
      <c r="AA13" s="13">
        <f t="shared" si="10"/>
        <v>1011777124</v>
      </c>
      <c r="AB13" s="3">
        <f t="shared" si="11"/>
        <v>1011777123</v>
      </c>
      <c r="AC13" s="3">
        <f t="shared" si="12"/>
        <v>3</v>
      </c>
      <c r="AD13" s="3">
        <f t="shared" si="13"/>
        <v>68564683</v>
      </c>
      <c r="AE13" s="3">
        <f t="shared" si="14"/>
        <v>3</v>
      </c>
      <c r="AF13" s="3">
        <f t="shared" si="15"/>
        <v>268617925</v>
      </c>
      <c r="AG13" s="3">
        <f t="shared" si="16"/>
        <v>3</v>
      </c>
      <c r="AH13" s="3">
        <f t="shared" si="17"/>
        <v>76433</v>
      </c>
      <c r="AI13" s="3" t="str">
        <f t="shared" si="18"/>
        <v/>
      </c>
      <c r="AJ13" s="3">
        <f t="shared" si="19"/>
        <v>0</v>
      </c>
    </row>
    <row r="14">
      <c r="C14" s="6" t="s">
        <v>14</v>
      </c>
      <c r="D14" s="3">
        <f t="shared" si="1"/>
        <v>2</v>
      </c>
      <c r="E14" s="3" t="str">
        <f>IFERROR(__xludf.DUMMYFUNCTION("REGEXEXTRACT(C14,""[^ ]* [^ ]*"")"),"plaid turquoise")</f>
        <v>plaid turquoise</v>
      </c>
      <c r="F14" s="3" t="str">
        <f>IFERROR(__xludf.DUMMYFUNCTION("MID(REGEXEXTRACT(C14,""contain.*$""),9,300)"),"4 bright orange bags, 5 drab white bags, 4 dotted coral bags.")</f>
        <v>4 bright orange bags, 5 drab white bags, 4 dotted coral bags.</v>
      </c>
      <c r="G14" s="3" t="str">
        <f>IFERROR(__xludf.DUMMYFUNCTION("INDEX(SPLIT($F14,"",""),COLUMN()-6)"),"4 bright orange bags")</f>
        <v>4 bright orange bags</v>
      </c>
      <c r="H14" s="3" t="str">
        <f>IFERROR(__xludf.DUMMYFUNCTION("MID(INDEX(SPLIT($F14,"",""),COLUMN()-6),2,300)"),"5 drab white bags")</f>
        <v>5 drab white bags</v>
      </c>
      <c r="I14" s="3" t="str">
        <f>IFERROR(__xludf.DUMMYFUNCTION("MID(INDEX(SPLIT($F14,"",""),COLUMN()-6),2,300)"),"4 dotted coral bags.")</f>
        <v>4 dotted coral bags.</v>
      </c>
      <c r="J14" s="3" t="str">
        <f>IFERROR(__xludf.DUMMYFUNCTION("MID(INDEX(SPLIT($F14,"",""),COLUMN()-6),2,300)"),"#REF!")</f>
        <v>#REF!</v>
      </c>
      <c r="K14" s="3">
        <f>IFERROR(__xludf.DUMMYFUNCTION("INDEX(SPLIT(G14,"" ""),1)"),4.0)</f>
        <v>4</v>
      </c>
      <c r="L14" s="3" t="str">
        <f>IFERROR(__xludf.DUMMYFUNCTION("REGEXEXTRACT(G14,"" [^ ]* [^ ]* "")")," bright orange ")</f>
        <v> bright orange </v>
      </c>
      <c r="M14" s="3">
        <f>IFERROR(__xludf.DUMMYFUNCTION("INDEX(SPLIT(H14,"" ""),1)"),5.0)</f>
        <v>5</v>
      </c>
      <c r="N14" s="3" t="str">
        <f>IFERROR(__xludf.DUMMYFUNCTION("MID(REGEXEXTRACT(H14,"" [^ ]* [^ ]*""),2,300)"),"drab white")</f>
        <v>drab white</v>
      </c>
      <c r="O14" s="3">
        <f>IFERROR(__xludf.DUMMYFUNCTION("INDEX(SPLIT(I14,"" ""),1)"),4.0)</f>
        <v>4</v>
      </c>
      <c r="P14" s="3" t="str">
        <f>IFERROR(__xludf.DUMMYFUNCTION("MID(REGEXEXTRACT(I14,"" [^ ]* [^ ]*""),2,300)"),"dotted coral")</f>
        <v>dotted coral</v>
      </c>
      <c r="Q14" s="3" t="str">
        <f>IFERROR(__xludf.DUMMYFUNCTION("INDEX(SPLIT(J14,"" ""),1)"),"#REF!")</f>
        <v>#REF!</v>
      </c>
      <c r="R14" s="3" t="str">
        <f>IFERROR(__xludf.DUMMYFUNCTION("MID(REGEXEXTRACT(J14,"" [^ ]* [^ ]*""),2,300)"),"#REF!")</f>
        <v>#REF!</v>
      </c>
      <c r="S14" s="3">
        <f t="shared" si="2"/>
        <v>4</v>
      </c>
      <c r="T14" s="3" t="str">
        <f t="shared" si="3"/>
        <v>bright orange</v>
      </c>
      <c r="U14" s="3">
        <f t="shared" si="4"/>
        <v>5</v>
      </c>
      <c r="V14" s="3" t="str">
        <f t="shared" si="5"/>
        <v>drab white</v>
      </c>
      <c r="W14" s="3">
        <f t="shared" si="6"/>
        <v>4</v>
      </c>
      <c r="X14" s="3" t="str">
        <f t="shared" si="7"/>
        <v>dotted coral</v>
      </c>
      <c r="Y14" s="3" t="str">
        <f t="shared" si="8"/>
        <v/>
      </c>
      <c r="Z14" s="3" t="str">
        <f t="shared" si="9"/>
        <v/>
      </c>
      <c r="AA14" s="13">
        <f t="shared" si="10"/>
        <v>128682</v>
      </c>
      <c r="AB14" s="3">
        <f t="shared" si="11"/>
        <v>128681</v>
      </c>
      <c r="AC14" s="3">
        <f t="shared" si="12"/>
        <v>4</v>
      </c>
      <c r="AD14" s="3">
        <f t="shared" si="13"/>
        <v>2666</v>
      </c>
      <c r="AE14" s="3">
        <f t="shared" si="14"/>
        <v>5</v>
      </c>
      <c r="AF14" s="3">
        <f t="shared" si="15"/>
        <v>14961</v>
      </c>
      <c r="AG14" s="3">
        <f t="shared" si="16"/>
        <v>4</v>
      </c>
      <c r="AH14" s="3">
        <f t="shared" si="17"/>
        <v>10803</v>
      </c>
      <c r="AI14" s="3" t="str">
        <f t="shared" si="18"/>
        <v/>
      </c>
      <c r="AJ14" s="3">
        <f t="shared" si="19"/>
        <v>0</v>
      </c>
    </row>
    <row r="15">
      <c r="C15" s="6" t="s">
        <v>15</v>
      </c>
      <c r="D15" s="3">
        <f t="shared" si="1"/>
        <v>3</v>
      </c>
      <c r="E15" s="3" t="str">
        <f>IFERROR(__xludf.DUMMYFUNCTION("REGEXEXTRACT(C15,""[^ ]* [^ ]*"")"),"dotted silver")</f>
        <v>dotted silver</v>
      </c>
      <c r="F15" s="3" t="str">
        <f>IFERROR(__xludf.DUMMYFUNCTION("MID(REGEXEXTRACT(C15,""contain.*$""),9,300)"),"2 pale silver bags, 4 dark teal bags, 5 posh gold bags, 1 bright orange bag.")</f>
        <v>2 pale silver bags, 4 dark teal bags, 5 posh gold bags, 1 bright orange bag.</v>
      </c>
      <c r="G15" s="3" t="str">
        <f>IFERROR(__xludf.DUMMYFUNCTION("INDEX(SPLIT($F15,"",""),COLUMN()-6)"),"2 pale silver bags")</f>
        <v>2 pale silver bags</v>
      </c>
      <c r="H15" s="3" t="str">
        <f>IFERROR(__xludf.DUMMYFUNCTION("MID(INDEX(SPLIT($F15,"",""),COLUMN()-6),2,300)"),"4 dark teal bags")</f>
        <v>4 dark teal bags</v>
      </c>
      <c r="I15" s="3" t="str">
        <f>IFERROR(__xludf.DUMMYFUNCTION("MID(INDEX(SPLIT($F15,"",""),COLUMN()-6),2,300)"),"5 posh gold bags")</f>
        <v>5 posh gold bags</v>
      </c>
      <c r="J15" s="3" t="str">
        <f>IFERROR(__xludf.DUMMYFUNCTION("MID(INDEX(SPLIT($F15,"",""),COLUMN()-6),2,300)"),"1 bright orange bag.")</f>
        <v>1 bright orange bag.</v>
      </c>
      <c r="K15" s="3">
        <f>IFERROR(__xludf.DUMMYFUNCTION("INDEX(SPLIT(G15,"" ""),1)"),2.0)</f>
        <v>2</v>
      </c>
      <c r="L15" s="3" t="str">
        <f>IFERROR(__xludf.DUMMYFUNCTION("REGEXEXTRACT(G15,"" [^ ]* [^ ]* "")")," pale silver ")</f>
        <v> pale silver </v>
      </c>
      <c r="M15" s="3">
        <f>IFERROR(__xludf.DUMMYFUNCTION("INDEX(SPLIT(H15,"" ""),1)"),4.0)</f>
        <v>4</v>
      </c>
      <c r="N15" s="3" t="str">
        <f>IFERROR(__xludf.DUMMYFUNCTION("MID(REGEXEXTRACT(H15,"" [^ ]* [^ ]*""),2,300)"),"dark teal")</f>
        <v>dark teal</v>
      </c>
      <c r="O15" s="3">
        <f>IFERROR(__xludf.DUMMYFUNCTION("INDEX(SPLIT(I15,"" ""),1)"),5.0)</f>
        <v>5</v>
      </c>
      <c r="P15" s="3" t="str">
        <f>IFERROR(__xludf.DUMMYFUNCTION("MID(REGEXEXTRACT(I15,"" [^ ]* [^ ]*""),2,300)"),"posh gold")</f>
        <v>posh gold</v>
      </c>
      <c r="Q15" s="3">
        <f>IFERROR(__xludf.DUMMYFUNCTION("INDEX(SPLIT(J15,"" ""),1)"),1.0)</f>
        <v>1</v>
      </c>
      <c r="R15" s="3" t="str">
        <f>IFERROR(__xludf.DUMMYFUNCTION("MID(REGEXEXTRACT(J15,"" [^ ]* [^ ]*""),2,300)"),"bright orange")</f>
        <v>bright orange</v>
      </c>
      <c r="S15" s="3">
        <f t="shared" si="2"/>
        <v>2</v>
      </c>
      <c r="T15" s="3" t="str">
        <f t="shared" si="3"/>
        <v>pale silver</v>
      </c>
      <c r="U15" s="3">
        <f t="shared" si="4"/>
        <v>4</v>
      </c>
      <c r="V15" s="3" t="str">
        <f t="shared" si="5"/>
        <v>dark teal</v>
      </c>
      <c r="W15" s="3">
        <f t="shared" si="6"/>
        <v>5</v>
      </c>
      <c r="X15" s="3" t="str">
        <f t="shared" si="7"/>
        <v>posh gold</v>
      </c>
      <c r="Y15" s="3">
        <f t="shared" si="8"/>
        <v>1</v>
      </c>
      <c r="Z15" s="3" t="str">
        <f t="shared" si="9"/>
        <v>bright orange</v>
      </c>
      <c r="AA15" s="13">
        <f t="shared" si="10"/>
        <v>29587169</v>
      </c>
      <c r="AB15" s="3">
        <f t="shared" si="11"/>
        <v>29587168</v>
      </c>
      <c r="AC15" s="3">
        <f t="shared" si="12"/>
        <v>2</v>
      </c>
      <c r="AD15" s="3">
        <f t="shared" si="13"/>
        <v>14456969</v>
      </c>
      <c r="AE15" s="3">
        <f t="shared" si="14"/>
        <v>4</v>
      </c>
      <c r="AF15" s="3">
        <f t="shared" si="15"/>
        <v>15041</v>
      </c>
      <c r="AG15" s="3">
        <f t="shared" si="16"/>
        <v>5</v>
      </c>
      <c r="AH15" s="3">
        <f t="shared" si="17"/>
        <v>122080</v>
      </c>
      <c r="AI15" s="3">
        <f t="shared" si="18"/>
        <v>1</v>
      </c>
      <c r="AJ15" s="3">
        <f t="shared" si="19"/>
        <v>2666</v>
      </c>
    </row>
    <row r="16">
      <c r="C16" s="6" t="s">
        <v>16</v>
      </c>
      <c r="D16" s="3">
        <f t="shared" si="1"/>
        <v>3</v>
      </c>
      <c r="E16" s="3" t="str">
        <f>IFERROR(__xludf.DUMMYFUNCTION("REGEXEXTRACT(C16,""[^ ]* [^ ]*"")"),"light red")</f>
        <v>light red</v>
      </c>
      <c r="F16" s="3" t="str">
        <f>IFERROR(__xludf.DUMMYFUNCTION("MID(REGEXEXTRACT(C16,""contain.*$""),9,300)"),"1 dark violet bag, 1 mirrored coral bag, 3 drab tan bags, 4 muted olive bags.")</f>
        <v>1 dark violet bag, 1 mirrored coral bag, 3 drab tan bags, 4 muted olive bags.</v>
      </c>
      <c r="G16" s="3" t="str">
        <f>IFERROR(__xludf.DUMMYFUNCTION("INDEX(SPLIT($F16,"",""),COLUMN()-6)"),"1 dark violet bag")</f>
        <v>1 dark violet bag</v>
      </c>
      <c r="H16" s="3" t="str">
        <f>IFERROR(__xludf.DUMMYFUNCTION("MID(INDEX(SPLIT($F16,"",""),COLUMN()-6),2,300)"),"1 mirrored coral bag")</f>
        <v>1 mirrored coral bag</v>
      </c>
      <c r="I16" s="3" t="str">
        <f>IFERROR(__xludf.DUMMYFUNCTION("MID(INDEX(SPLIT($F16,"",""),COLUMN()-6),2,300)"),"3 drab tan bags")</f>
        <v>3 drab tan bags</v>
      </c>
      <c r="J16" s="3" t="str">
        <f>IFERROR(__xludf.DUMMYFUNCTION("MID(INDEX(SPLIT($F16,"",""),COLUMN()-6),2,300)"),"4 muted olive bags.")</f>
        <v>4 muted olive bags.</v>
      </c>
      <c r="K16" s="3">
        <f>IFERROR(__xludf.DUMMYFUNCTION("INDEX(SPLIT(G16,"" ""),1)"),1.0)</f>
        <v>1</v>
      </c>
      <c r="L16" s="3" t="str">
        <f>IFERROR(__xludf.DUMMYFUNCTION("REGEXEXTRACT(G16,"" [^ ]* [^ ]* "")")," dark violet ")</f>
        <v> dark violet </v>
      </c>
      <c r="M16" s="3">
        <f>IFERROR(__xludf.DUMMYFUNCTION("INDEX(SPLIT(H16,"" ""),1)"),1.0)</f>
        <v>1</v>
      </c>
      <c r="N16" s="3" t="str">
        <f>IFERROR(__xludf.DUMMYFUNCTION("MID(REGEXEXTRACT(H16,"" [^ ]* [^ ]*""),2,300)"),"mirrored coral")</f>
        <v>mirrored coral</v>
      </c>
      <c r="O16" s="3">
        <f>IFERROR(__xludf.DUMMYFUNCTION("INDEX(SPLIT(I16,"" ""),1)"),3.0)</f>
        <v>3</v>
      </c>
      <c r="P16" s="3" t="str">
        <f>IFERROR(__xludf.DUMMYFUNCTION("MID(REGEXEXTRACT(I16,"" [^ ]* [^ ]*""),2,300)"),"drab tan")</f>
        <v>drab tan</v>
      </c>
      <c r="Q16" s="3">
        <f>IFERROR(__xludf.DUMMYFUNCTION("INDEX(SPLIT(J16,"" ""),1)"),4.0)</f>
        <v>4</v>
      </c>
      <c r="R16" s="3" t="str">
        <f>IFERROR(__xludf.DUMMYFUNCTION("MID(REGEXEXTRACT(J16,"" [^ ]* [^ ]*""),2,300)"),"muted olive")</f>
        <v>muted olive</v>
      </c>
      <c r="S16" s="3">
        <f t="shared" si="2"/>
        <v>1</v>
      </c>
      <c r="T16" s="3" t="str">
        <f t="shared" si="3"/>
        <v>dark violet</v>
      </c>
      <c r="U16" s="3">
        <f t="shared" si="4"/>
        <v>1</v>
      </c>
      <c r="V16" s="3" t="str">
        <f t="shared" si="5"/>
        <v>mirrored coral</v>
      </c>
      <c r="W16" s="3">
        <f t="shared" si="6"/>
        <v>3</v>
      </c>
      <c r="X16" s="3" t="str">
        <f t="shared" si="7"/>
        <v>drab tan</v>
      </c>
      <c r="Y16" s="3">
        <f t="shared" si="8"/>
        <v>4</v>
      </c>
      <c r="Z16" s="3" t="str">
        <f t="shared" si="9"/>
        <v>muted olive</v>
      </c>
      <c r="AA16" s="13">
        <f t="shared" si="10"/>
        <v>11336370</v>
      </c>
      <c r="AB16" s="3">
        <f t="shared" si="11"/>
        <v>11336369</v>
      </c>
      <c r="AC16" s="3">
        <f t="shared" si="12"/>
        <v>1</v>
      </c>
      <c r="AD16" s="3">
        <f t="shared" si="13"/>
        <v>508749</v>
      </c>
      <c r="AE16" s="3">
        <f t="shared" si="14"/>
        <v>1</v>
      </c>
      <c r="AF16" s="3">
        <f t="shared" si="15"/>
        <v>53285</v>
      </c>
      <c r="AG16" s="3">
        <f t="shared" si="16"/>
        <v>3</v>
      </c>
      <c r="AH16" s="3">
        <f t="shared" si="17"/>
        <v>3591437</v>
      </c>
      <c r="AI16" s="3">
        <f t="shared" si="18"/>
        <v>4</v>
      </c>
      <c r="AJ16" s="3">
        <f t="shared" si="19"/>
        <v>6</v>
      </c>
    </row>
    <row r="17">
      <c r="C17" s="6" t="s">
        <v>17</v>
      </c>
      <c r="D17" s="3">
        <f t="shared" si="1"/>
        <v>1</v>
      </c>
      <c r="E17" s="3" t="str">
        <f>IFERROR(__xludf.DUMMYFUNCTION("REGEXEXTRACT(C17,""[^ ]* [^ ]*"")"),"shiny brown")</f>
        <v>shiny brown</v>
      </c>
      <c r="F17" s="3" t="str">
        <f>IFERROR(__xludf.DUMMYFUNCTION("MID(REGEXEXTRACT(C17,""contain.*$""),9,300)"),"5 vibrant lavender bags, 4 dark lavender bags.")</f>
        <v>5 vibrant lavender bags, 4 dark lavender bags.</v>
      </c>
      <c r="G17" s="3" t="str">
        <f>IFERROR(__xludf.DUMMYFUNCTION("INDEX(SPLIT($F17,"",""),COLUMN()-6)"),"5 vibrant lavender bags")</f>
        <v>5 vibrant lavender bags</v>
      </c>
      <c r="H17" s="3" t="str">
        <f>IFERROR(__xludf.DUMMYFUNCTION("MID(INDEX(SPLIT($F17,"",""),COLUMN()-6),2,300)"),"4 dark lavender bags.")</f>
        <v>4 dark lavender bags.</v>
      </c>
      <c r="I17" s="3" t="str">
        <f>IFERROR(__xludf.DUMMYFUNCTION("MID(INDEX(SPLIT($F17,"",""),COLUMN()-6),2,300)"),"#REF!")</f>
        <v>#REF!</v>
      </c>
      <c r="J17" s="3" t="str">
        <f>IFERROR(__xludf.DUMMYFUNCTION("MID(INDEX(SPLIT($F17,"",""),COLUMN()-6),2,300)"),"#REF!")</f>
        <v>#REF!</v>
      </c>
      <c r="K17" s="3">
        <f>IFERROR(__xludf.DUMMYFUNCTION("INDEX(SPLIT(G17,"" ""),1)"),5.0)</f>
        <v>5</v>
      </c>
      <c r="L17" s="3" t="str">
        <f>IFERROR(__xludf.DUMMYFUNCTION("REGEXEXTRACT(G17,"" [^ ]* [^ ]* "")")," vibrant lavender ")</f>
        <v> vibrant lavender </v>
      </c>
      <c r="M17" s="3">
        <f>IFERROR(__xludf.DUMMYFUNCTION("INDEX(SPLIT(H17,"" ""),1)"),4.0)</f>
        <v>4</v>
      </c>
      <c r="N17" s="3" t="str">
        <f>IFERROR(__xludf.DUMMYFUNCTION("MID(REGEXEXTRACT(H17,"" [^ ]* [^ ]*""),2,300)"),"dark lavender")</f>
        <v>dark lavender</v>
      </c>
      <c r="O17" s="3" t="str">
        <f>IFERROR(__xludf.DUMMYFUNCTION("INDEX(SPLIT(I17,"" ""),1)"),"#REF!")</f>
        <v>#REF!</v>
      </c>
      <c r="P17" s="3" t="str">
        <f>IFERROR(__xludf.DUMMYFUNCTION("MID(REGEXEXTRACT(I17,"" [^ ]* [^ ]*""),2,300)"),"#REF!")</f>
        <v>#REF!</v>
      </c>
      <c r="Q17" s="3" t="str">
        <f>IFERROR(__xludf.DUMMYFUNCTION("INDEX(SPLIT(J17,"" ""),1)"),"#REF!")</f>
        <v>#REF!</v>
      </c>
      <c r="R17" s="3" t="str">
        <f>IFERROR(__xludf.DUMMYFUNCTION("MID(REGEXEXTRACT(J17,"" [^ ]* [^ ]*""),2,300)"),"#REF!")</f>
        <v>#REF!</v>
      </c>
      <c r="S17" s="3">
        <f t="shared" si="2"/>
        <v>5</v>
      </c>
      <c r="T17" s="3" t="str">
        <f t="shared" si="3"/>
        <v>vibrant lavender</v>
      </c>
      <c r="U17" s="3">
        <f t="shared" si="4"/>
        <v>4</v>
      </c>
      <c r="V17" s="3" t="str">
        <f t="shared" si="5"/>
        <v>dark lavender</v>
      </c>
      <c r="W17" s="3" t="str">
        <f t="shared" si="6"/>
        <v/>
      </c>
      <c r="X17" s="3" t="str">
        <f t="shared" si="7"/>
        <v/>
      </c>
      <c r="Y17" s="3" t="str">
        <f t="shared" si="8"/>
        <v/>
      </c>
      <c r="Z17" s="3" t="str">
        <f t="shared" si="9"/>
        <v/>
      </c>
      <c r="AA17" s="13">
        <f t="shared" si="10"/>
        <v>3479893</v>
      </c>
      <c r="AB17" s="3">
        <f t="shared" si="11"/>
        <v>3479892</v>
      </c>
      <c r="AC17" s="3">
        <f t="shared" si="12"/>
        <v>5</v>
      </c>
      <c r="AD17" s="3">
        <f t="shared" si="13"/>
        <v>695872</v>
      </c>
      <c r="AE17" s="3">
        <f t="shared" si="14"/>
        <v>4</v>
      </c>
      <c r="AF17" s="3">
        <f t="shared" si="15"/>
        <v>133</v>
      </c>
      <c r="AG17" s="3" t="str">
        <f t="shared" si="16"/>
        <v/>
      </c>
      <c r="AH17" s="3">
        <f t="shared" si="17"/>
        <v>0</v>
      </c>
      <c r="AI17" s="3" t="str">
        <f t="shared" si="18"/>
        <v/>
      </c>
      <c r="AJ17" s="3">
        <f t="shared" si="19"/>
        <v>0</v>
      </c>
    </row>
    <row r="18">
      <c r="C18" s="6" t="s">
        <v>18</v>
      </c>
      <c r="D18" s="3">
        <f t="shared" si="1"/>
        <v>0</v>
      </c>
      <c r="E18" s="3" t="str">
        <f>IFERROR(__xludf.DUMMYFUNCTION("REGEXEXTRACT(C18,""[^ ]* [^ ]*"")"),"plaid plum")</f>
        <v>plaid plum</v>
      </c>
      <c r="F18" s="3" t="str">
        <f>IFERROR(__xludf.DUMMYFUNCTION("MID(REGEXEXTRACT(C18,""contain.*$""),9,300)"),"1 faded green bag.")</f>
        <v>1 faded green bag.</v>
      </c>
      <c r="G18" s="3" t="str">
        <f>IFERROR(__xludf.DUMMYFUNCTION("INDEX(SPLIT($F18,"",""),COLUMN()-6)"),"1 faded green bag.")</f>
        <v>1 faded green bag.</v>
      </c>
      <c r="H18" s="3" t="str">
        <f>IFERROR(__xludf.DUMMYFUNCTION("MID(INDEX(SPLIT($F18,"",""),COLUMN()-6),2,300)"),"#REF!")</f>
        <v>#REF!</v>
      </c>
      <c r="I18" s="3" t="str">
        <f>IFERROR(__xludf.DUMMYFUNCTION("MID(INDEX(SPLIT($F18,"",""),COLUMN()-6),2,300)"),"#REF!")</f>
        <v>#REF!</v>
      </c>
      <c r="J18" s="3" t="str">
        <f>IFERROR(__xludf.DUMMYFUNCTION("MID(INDEX(SPLIT($F18,"",""),COLUMN()-6),2,300)"),"#REF!")</f>
        <v>#REF!</v>
      </c>
      <c r="K18" s="3">
        <f>IFERROR(__xludf.DUMMYFUNCTION("INDEX(SPLIT(G18,"" ""),1)"),1.0)</f>
        <v>1</v>
      </c>
      <c r="L18" s="3" t="str">
        <f>IFERROR(__xludf.DUMMYFUNCTION("REGEXEXTRACT(G18,"" [^ ]* [^ ]* "")")," faded green ")</f>
        <v> faded green </v>
      </c>
      <c r="M18" s="3" t="str">
        <f>IFERROR(__xludf.DUMMYFUNCTION("INDEX(SPLIT(H18,"" ""),1)"),"#REF!")</f>
        <v>#REF!</v>
      </c>
      <c r="N18" s="3" t="str">
        <f>IFERROR(__xludf.DUMMYFUNCTION("MID(REGEXEXTRACT(H18,"" [^ ]* [^ ]*""),2,300)"),"#REF!")</f>
        <v>#REF!</v>
      </c>
      <c r="O18" s="3" t="str">
        <f>IFERROR(__xludf.DUMMYFUNCTION("INDEX(SPLIT(I18,"" ""),1)"),"#REF!")</f>
        <v>#REF!</v>
      </c>
      <c r="P18" s="3" t="str">
        <f>IFERROR(__xludf.DUMMYFUNCTION("MID(REGEXEXTRACT(I18,"" [^ ]* [^ ]*""),2,300)"),"#REF!")</f>
        <v>#REF!</v>
      </c>
      <c r="Q18" s="3" t="str">
        <f>IFERROR(__xludf.DUMMYFUNCTION("INDEX(SPLIT(J18,"" ""),1)"),"#REF!")</f>
        <v>#REF!</v>
      </c>
      <c r="R18" s="3" t="str">
        <f>IFERROR(__xludf.DUMMYFUNCTION("MID(REGEXEXTRACT(J18,"" [^ ]* [^ ]*""),2,300)"),"#REF!")</f>
        <v>#REF!</v>
      </c>
      <c r="S18" s="3">
        <f t="shared" si="2"/>
        <v>1</v>
      </c>
      <c r="T18" s="3" t="str">
        <f t="shared" si="3"/>
        <v>faded green</v>
      </c>
      <c r="U18" s="3" t="str">
        <f t="shared" si="4"/>
        <v/>
      </c>
      <c r="V18" s="3" t="str">
        <f t="shared" si="5"/>
        <v/>
      </c>
      <c r="W18" s="3" t="str">
        <f t="shared" si="6"/>
        <v/>
      </c>
      <c r="X18" s="3" t="str">
        <f t="shared" si="7"/>
        <v/>
      </c>
      <c r="Y18" s="3" t="str">
        <f t="shared" si="8"/>
        <v/>
      </c>
      <c r="Z18" s="3" t="str">
        <f t="shared" si="9"/>
        <v/>
      </c>
      <c r="AA18" s="13">
        <f t="shared" si="10"/>
        <v>3599</v>
      </c>
      <c r="AB18" s="3">
        <f t="shared" si="11"/>
        <v>3598</v>
      </c>
      <c r="AC18" s="3">
        <f t="shared" si="12"/>
        <v>1</v>
      </c>
      <c r="AD18" s="3">
        <f t="shared" si="13"/>
        <v>3598</v>
      </c>
      <c r="AE18" s="3" t="str">
        <f t="shared" si="14"/>
        <v/>
      </c>
      <c r="AF18" s="3">
        <f t="shared" si="15"/>
        <v>0</v>
      </c>
      <c r="AG18" s="3" t="str">
        <f t="shared" si="16"/>
        <v/>
      </c>
      <c r="AH18" s="3">
        <f t="shared" si="17"/>
        <v>0</v>
      </c>
      <c r="AI18" s="3" t="str">
        <f t="shared" si="18"/>
        <v/>
      </c>
      <c r="AJ18" s="3">
        <f t="shared" si="19"/>
        <v>0</v>
      </c>
    </row>
    <row r="19">
      <c r="C19" s="6" t="s">
        <v>19</v>
      </c>
      <c r="D19" s="3">
        <f t="shared" si="1"/>
        <v>2</v>
      </c>
      <c r="E19" s="3" t="str">
        <f>IFERROR(__xludf.DUMMYFUNCTION("REGEXEXTRACT(C19,""[^ ]* [^ ]*"")"),"vibrant lavender")</f>
        <v>vibrant lavender</v>
      </c>
      <c r="F19" s="3" t="str">
        <f>IFERROR(__xludf.DUMMYFUNCTION("MID(REGEXEXTRACT(C19,""contain.*$""),9,300)"),"4 bright chartreuse bags, 3 dark teal bags, 4 muted aqua bags.")</f>
        <v>4 bright chartreuse bags, 3 dark teal bags, 4 muted aqua bags.</v>
      </c>
      <c r="G19" s="3" t="str">
        <f>IFERROR(__xludf.DUMMYFUNCTION("INDEX(SPLIT($F19,"",""),COLUMN()-6)"),"4 bright chartreuse bags")</f>
        <v>4 bright chartreuse bags</v>
      </c>
      <c r="H19" s="3" t="str">
        <f>IFERROR(__xludf.DUMMYFUNCTION("MID(INDEX(SPLIT($F19,"",""),COLUMN()-6),2,300)"),"3 dark teal bags")</f>
        <v>3 dark teal bags</v>
      </c>
      <c r="I19" s="3" t="str">
        <f>IFERROR(__xludf.DUMMYFUNCTION("MID(INDEX(SPLIT($F19,"",""),COLUMN()-6),2,300)"),"4 muted aqua bags.")</f>
        <v>4 muted aqua bags.</v>
      </c>
      <c r="J19" s="3" t="str">
        <f>IFERROR(__xludf.DUMMYFUNCTION("MID(INDEX(SPLIT($F19,"",""),COLUMN()-6),2,300)"),"#REF!")</f>
        <v>#REF!</v>
      </c>
      <c r="K19" s="3">
        <f>IFERROR(__xludf.DUMMYFUNCTION("INDEX(SPLIT(G19,"" ""),1)"),4.0)</f>
        <v>4</v>
      </c>
      <c r="L19" s="3" t="str">
        <f>IFERROR(__xludf.DUMMYFUNCTION("REGEXEXTRACT(G19,"" [^ ]* [^ ]* "")")," bright chartreuse ")</f>
        <v> bright chartreuse </v>
      </c>
      <c r="M19" s="3">
        <f>IFERROR(__xludf.DUMMYFUNCTION("INDEX(SPLIT(H19,"" ""),1)"),3.0)</f>
        <v>3</v>
      </c>
      <c r="N19" s="3" t="str">
        <f>IFERROR(__xludf.DUMMYFUNCTION("MID(REGEXEXTRACT(H19,"" [^ ]* [^ ]*""),2,300)"),"dark teal")</f>
        <v>dark teal</v>
      </c>
      <c r="O19" s="3">
        <f>IFERROR(__xludf.DUMMYFUNCTION("INDEX(SPLIT(I19,"" ""),1)"),4.0)</f>
        <v>4</v>
      </c>
      <c r="P19" s="3" t="str">
        <f>IFERROR(__xludf.DUMMYFUNCTION("MID(REGEXEXTRACT(I19,"" [^ ]* [^ ]*""),2,300)"),"muted aqua")</f>
        <v>muted aqua</v>
      </c>
      <c r="Q19" s="3" t="str">
        <f>IFERROR(__xludf.DUMMYFUNCTION("INDEX(SPLIT(J19,"" ""),1)"),"#REF!")</f>
        <v>#REF!</v>
      </c>
      <c r="R19" s="3" t="str">
        <f>IFERROR(__xludf.DUMMYFUNCTION("MID(REGEXEXTRACT(J19,"" [^ ]* [^ ]*""),2,300)"),"#REF!")</f>
        <v>#REF!</v>
      </c>
      <c r="S19" s="3">
        <f t="shared" si="2"/>
        <v>4</v>
      </c>
      <c r="T19" s="3" t="str">
        <f t="shared" si="3"/>
        <v>bright chartreuse</v>
      </c>
      <c r="U19" s="3">
        <f t="shared" si="4"/>
        <v>3</v>
      </c>
      <c r="V19" s="3" t="str">
        <f t="shared" si="5"/>
        <v>dark teal</v>
      </c>
      <c r="W19" s="3">
        <f t="shared" si="6"/>
        <v>4</v>
      </c>
      <c r="X19" s="3" t="str">
        <f t="shared" si="7"/>
        <v>muted aqua</v>
      </c>
      <c r="Y19" s="3" t="str">
        <f t="shared" si="8"/>
        <v/>
      </c>
      <c r="Z19" s="3" t="str">
        <f t="shared" si="9"/>
        <v/>
      </c>
      <c r="AA19" s="13">
        <f t="shared" si="10"/>
        <v>695872</v>
      </c>
      <c r="AB19" s="3">
        <f t="shared" si="11"/>
        <v>695871</v>
      </c>
      <c r="AC19" s="3">
        <f t="shared" si="12"/>
        <v>4</v>
      </c>
      <c r="AD19" s="3">
        <f t="shared" si="13"/>
        <v>132604</v>
      </c>
      <c r="AE19" s="3">
        <f t="shared" si="14"/>
        <v>3</v>
      </c>
      <c r="AF19" s="3">
        <f t="shared" si="15"/>
        <v>15041</v>
      </c>
      <c r="AG19" s="3">
        <f t="shared" si="16"/>
        <v>4</v>
      </c>
      <c r="AH19" s="3">
        <f t="shared" si="17"/>
        <v>30083</v>
      </c>
      <c r="AI19" s="3" t="str">
        <f t="shared" si="18"/>
        <v/>
      </c>
      <c r="AJ19" s="3">
        <f t="shared" si="19"/>
        <v>0</v>
      </c>
    </row>
    <row r="20">
      <c r="C20" s="6" t="s">
        <v>20</v>
      </c>
      <c r="D20" s="3">
        <f t="shared" si="1"/>
        <v>3</v>
      </c>
      <c r="E20" s="3" t="str">
        <f>IFERROR(__xludf.DUMMYFUNCTION("REGEXEXTRACT(C20,""[^ ]* [^ ]*"")"),"muted yellow")</f>
        <v>muted yellow</v>
      </c>
      <c r="F20" s="3" t="str">
        <f>IFERROR(__xludf.DUMMYFUNCTION("MID(REGEXEXTRACT(C20,""contain.*$""),9,300)"),"5 posh yellow bags, 3 dim olive bags, 1 light cyan bag, 1 plaid gray bag.")</f>
        <v>5 posh yellow bags, 3 dim olive bags, 1 light cyan bag, 1 plaid gray bag.</v>
      </c>
      <c r="G20" s="3" t="str">
        <f>IFERROR(__xludf.DUMMYFUNCTION("INDEX(SPLIT($F20,"",""),COLUMN()-6)"),"5 posh yellow bags")</f>
        <v>5 posh yellow bags</v>
      </c>
      <c r="H20" s="3" t="str">
        <f>IFERROR(__xludf.DUMMYFUNCTION("MID(INDEX(SPLIT($F20,"",""),COLUMN()-6),2,300)"),"3 dim olive bags")</f>
        <v>3 dim olive bags</v>
      </c>
      <c r="I20" s="3" t="str">
        <f>IFERROR(__xludf.DUMMYFUNCTION("MID(INDEX(SPLIT($F20,"",""),COLUMN()-6),2,300)"),"1 light cyan bag")</f>
        <v>1 light cyan bag</v>
      </c>
      <c r="J20" s="3" t="str">
        <f>IFERROR(__xludf.DUMMYFUNCTION("MID(INDEX(SPLIT($F20,"",""),COLUMN()-6),2,300)"),"1 plaid gray bag.")</f>
        <v>1 plaid gray bag.</v>
      </c>
      <c r="K20" s="3">
        <f>IFERROR(__xludf.DUMMYFUNCTION("INDEX(SPLIT(G20,"" ""),1)"),5.0)</f>
        <v>5</v>
      </c>
      <c r="L20" s="3" t="str">
        <f>IFERROR(__xludf.DUMMYFUNCTION("REGEXEXTRACT(G20,"" [^ ]* [^ ]* "")")," posh yellow ")</f>
        <v> posh yellow </v>
      </c>
      <c r="M20" s="3">
        <f>IFERROR(__xludf.DUMMYFUNCTION("INDEX(SPLIT(H20,"" ""),1)"),3.0)</f>
        <v>3</v>
      </c>
      <c r="N20" s="3" t="str">
        <f>IFERROR(__xludf.DUMMYFUNCTION("MID(REGEXEXTRACT(H20,"" [^ ]* [^ ]*""),2,300)"),"dim olive")</f>
        <v>dim olive</v>
      </c>
      <c r="O20" s="3">
        <f>IFERROR(__xludf.DUMMYFUNCTION("INDEX(SPLIT(I20,"" ""),1)"),1.0)</f>
        <v>1</v>
      </c>
      <c r="P20" s="3" t="str">
        <f>IFERROR(__xludf.DUMMYFUNCTION("MID(REGEXEXTRACT(I20,"" [^ ]* [^ ]*""),2,300)"),"light cyan")</f>
        <v>light cyan</v>
      </c>
      <c r="Q20" s="3">
        <f>IFERROR(__xludf.DUMMYFUNCTION("INDEX(SPLIT(J20,"" ""),1)"),1.0)</f>
        <v>1</v>
      </c>
      <c r="R20" s="3" t="str">
        <f>IFERROR(__xludf.DUMMYFUNCTION("MID(REGEXEXTRACT(J20,"" [^ ]* [^ ]*""),2,300)"),"plaid gray")</f>
        <v>plaid gray</v>
      </c>
      <c r="S20" s="3">
        <f t="shared" si="2"/>
        <v>5</v>
      </c>
      <c r="T20" s="3" t="str">
        <f t="shared" si="3"/>
        <v>posh yellow</v>
      </c>
      <c r="U20" s="3">
        <f t="shared" si="4"/>
        <v>3</v>
      </c>
      <c r="V20" s="3" t="str">
        <f t="shared" si="5"/>
        <v>dim olive</v>
      </c>
      <c r="W20" s="3">
        <f t="shared" si="6"/>
        <v>1</v>
      </c>
      <c r="X20" s="3" t="str">
        <f t="shared" si="7"/>
        <v>light cyan</v>
      </c>
      <c r="Y20" s="3">
        <f t="shared" si="8"/>
        <v>1</v>
      </c>
      <c r="Z20" s="3" t="str">
        <f t="shared" si="9"/>
        <v>plaid gray</v>
      </c>
      <c r="AA20" s="13">
        <f t="shared" si="10"/>
        <v>3828</v>
      </c>
      <c r="AB20" s="3">
        <f t="shared" si="11"/>
        <v>3827</v>
      </c>
      <c r="AC20" s="3">
        <f t="shared" si="12"/>
        <v>5</v>
      </c>
      <c r="AD20" s="3">
        <f t="shared" si="13"/>
        <v>4</v>
      </c>
      <c r="AE20" s="3">
        <f t="shared" si="14"/>
        <v>3</v>
      </c>
      <c r="AF20" s="3">
        <f t="shared" si="15"/>
        <v>1</v>
      </c>
      <c r="AG20" s="3">
        <f t="shared" si="16"/>
        <v>1</v>
      </c>
      <c r="AH20" s="3">
        <f t="shared" si="17"/>
        <v>3750</v>
      </c>
      <c r="AI20" s="3">
        <f t="shared" si="18"/>
        <v>1</v>
      </c>
      <c r="AJ20" s="3">
        <f t="shared" si="19"/>
        <v>54</v>
      </c>
    </row>
    <row r="21">
      <c r="C21" s="6" t="s">
        <v>21</v>
      </c>
      <c r="D21" s="3">
        <f t="shared" si="1"/>
        <v>2</v>
      </c>
      <c r="E21" s="3" t="str">
        <f>IFERROR(__xludf.DUMMYFUNCTION("REGEXEXTRACT(C21,""[^ ]* [^ ]*"")"),"light beige")</f>
        <v>light beige</v>
      </c>
      <c r="F21" s="3" t="str">
        <f>IFERROR(__xludf.DUMMYFUNCTION("MID(REGEXEXTRACT(C21,""contain.*$""),9,300)"),"2 wavy orange bags, 5 vibrant salmon bags, 2 dim brown bags.")</f>
        <v>2 wavy orange bags, 5 vibrant salmon bags, 2 dim brown bags.</v>
      </c>
      <c r="G21" s="3" t="str">
        <f>IFERROR(__xludf.DUMMYFUNCTION("INDEX(SPLIT($F21,"",""),COLUMN()-6)"),"2 wavy orange bags")</f>
        <v>2 wavy orange bags</v>
      </c>
      <c r="H21" s="3" t="str">
        <f>IFERROR(__xludf.DUMMYFUNCTION("MID(INDEX(SPLIT($F21,"",""),COLUMN()-6),2,300)"),"5 vibrant salmon bags")</f>
        <v>5 vibrant salmon bags</v>
      </c>
      <c r="I21" s="3" t="str">
        <f>IFERROR(__xludf.DUMMYFUNCTION("MID(INDEX(SPLIT($F21,"",""),COLUMN()-6),2,300)"),"2 dim brown bags.")</f>
        <v>2 dim brown bags.</v>
      </c>
      <c r="J21" s="3" t="str">
        <f>IFERROR(__xludf.DUMMYFUNCTION("MID(INDEX(SPLIT($F21,"",""),COLUMN()-6),2,300)"),"#REF!")</f>
        <v>#REF!</v>
      </c>
      <c r="K21" s="3">
        <f>IFERROR(__xludf.DUMMYFUNCTION("INDEX(SPLIT(G21,"" ""),1)"),2.0)</f>
        <v>2</v>
      </c>
      <c r="L21" s="3" t="str">
        <f>IFERROR(__xludf.DUMMYFUNCTION("REGEXEXTRACT(G21,"" [^ ]* [^ ]* "")")," wavy orange ")</f>
        <v> wavy orange </v>
      </c>
      <c r="M21" s="3">
        <f>IFERROR(__xludf.DUMMYFUNCTION("INDEX(SPLIT(H21,"" ""),1)"),5.0)</f>
        <v>5</v>
      </c>
      <c r="N21" s="3" t="str">
        <f>IFERROR(__xludf.DUMMYFUNCTION("MID(REGEXEXTRACT(H21,"" [^ ]* [^ ]*""),2,300)"),"vibrant salmon")</f>
        <v>vibrant salmon</v>
      </c>
      <c r="O21" s="3">
        <f>IFERROR(__xludf.DUMMYFUNCTION("INDEX(SPLIT(I21,"" ""),1)"),2.0)</f>
        <v>2</v>
      </c>
      <c r="P21" s="3" t="str">
        <f>IFERROR(__xludf.DUMMYFUNCTION("MID(REGEXEXTRACT(I21,"" [^ ]* [^ ]*""),2,300)"),"dim brown")</f>
        <v>dim brown</v>
      </c>
      <c r="Q21" s="3" t="str">
        <f>IFERROR(__xludf.DUMMYFUNCTION("INDEX(SPLIT(J21,"" ""),1)"),"#REF!")</f>
        <v>#REF!</v>
      </c>
      <c r="R21" s="3" t="str">
        <f>IFERROR(__xludf.DUMMYFUNCTION("MID(REGEXEXTRACT(J21,"" [^ ]* [^ ]*""),2,300)"),"#REF!")</f>
        <v>#REF!</v>
      </c>
      <c r="S21" s="3">
        <f t="shared" si="2"/>
        <v>2</v>
      </c>
      <c r="T21" s="3" t="str">
        <f t="shared" si="3"/>
        <v>wavy orange</v>
      </c>
      <c r="U21" s="3">
        <f t="shared" si="4"/>
        <v>5</v>
      </c>
      <c r="V21" s="3" t="str">
        <f t="shared" si="5"/>
        <v>vibrant salmon</v>
      </c>
      <c r="W21" s="3">
        <f t="shared" si="6"/>
        <v>2</v>
      </c>
      <c r="X21" s="3" t="str">
        <f t="shared" si="7"/>
        <v>dim brown</v>
      </c>
      <c r="Y21" s="3" t="str">
        <f t="shared" si="8"/>
        <v/>
      </c>
      <c r="Z21" s="3" t="str">
        <f t="shared" si="9"/>
        <v/>
      </c>
      <c r="AA21" s="13">
        <f t="shared" si="10"/>
        <v>30775348</v>
      </c>
      <c r="AB21" s="3">
        <f t="shared" si="11"/>
        <v>30775347</v>
      </c>
      <c r="AC21" s="3">
        <f t="shared" si="12"/>
        <v>2</v>
      </c>
      <c r="AD21" s="3">
        <f t="shared" si="13"/>
        <v>7433534</v>
      </c>
      <c r="AE21" s="3">
        <f t="shared" si="14"/>
        <v>5</v>
      </c>
      <c r="AF21" s="3">
        <f t="shared" si="15"/>
        <v>3172113</v>
      </c>
      <c r="AG21" s="3">
        <f t="shared" si="16"/>
        <v>2</v>
      </c>
      <c r="AH21" s="3">
        <f t="shared" si="17"/>
        <v>23857</v>
      </c>
      <c r="AI21" s="3" t="str">
        <f t="shared" si="18"/>
        <v/>
      </c>
      <c r="AJ21" s="3">
        <f t="shared" si="19"/>
        <v>0</v>
      </c>
    </row>
    <row r="22">
      <c r="C22" s="6" t="s">
        <v>22</v>
      </c>
      <c r="D22" s="3">
        <f t="shared" si="1"/>
        <v>1</v>
      </c>
      <c r="E22" s="3" t="str">
        <f>IFERROR(__xludf.DUMMYFUNCTION("REGEXEXTRACT(C22,""[^ ]* [^ ]*"")"),"muted indigo")</f>
        <v>muted indigo</v>
      </c>
      <c r="F22" s="3" t="str">
        <f>IFERROR(__xludf.DUMMYFUNCTION("MID(REGEXEXTRACT(C22,""contain.*$""),9,300)"),"3 dim brown bags, 3 drab brown bags.")</f>
        <v>3 dim brown bags, 3 drab brown bags.</v>
      </c>
      <c r="G22" s="3" t="str">
        <f>IFERROR(__xludf.DUMMYFUNCTION("INDEX(SPLIT($F22,"",""),COLUMN()-6)"),"3 dim brown bags")</f>
        <v>3 dim brown bags</v>
      </c>
      <c r="H22" s="3" t="str">
        <f>IFERROR(__xludf.DUMMYFUNCTION("MID(INDEX(SPLIT($F22,"",""),COLUMN()-6),2,300)"),"3 drab brown bags.")</f>
        <v>3 drab brown bags.</v>
      </c>
      <c r="I22" s="3" t="str">
        <f>IFERROR(__xludf.DUMMYFUNCTION("MID(INDEX(SPLIT($F22,"",""),COLUMN()-6),2,300)"),"#REF!")</f>
        <v>#REF!</v>
      </c>
      <c r="J22" s="3" t="str">
        <f>IFERROR(__xludf.DUMMYFUNCTION("MID(INDEX(SPLIT($F22,"",""),COLUMN()-6),2,300)"),"#REF!")</f>
        <v>#REF!</v>
      </c>
      <c r="K22" s="3">
        <f>IFERROR(__xludf.DUMMYFUNCTION("INDEX(SPLIT(G22,"" ""),1)"),3.0)</f>
        <v>3</v>
      </c>
      <c r="L22" s="3" t="str">
        <f>IFERROR(__xludf.DUMMYFUNCTION("REGEXEXTRACT(G22,"" [^ ]* [^ ]* "")")," dim brown ")</f>
        <v> dim brown </v>
      </c>
      <c r="M22" s="3">
        <f>IFERROR(__xludf.DUMMYFUNCTION("INDEX(SPLIT(H22,"" ""),1)"),3.0)</f>
        <v>3</v>
      </c>
      <c r="N22" s="3" t="str">
        <f>IFERROR(__xludf.DUMMYFUNCTION("MID(REGEXEXTRACT(H22,"" [^ ]* [^ ]*""),2,300)"),"drab brown")</f>
        <v>drab brown</v>
      </c>
      <c r="O22" s="3" t="str">
        <f>IFERROR(__xludf.DUMMYFUNCTION("INDEX(SPLIT(I22,"" ""),1)"),"#REF!")</f>
        <v>#REF!</v>
      </c>
      <c r="P22" s="3" t="str">
        <f>IFERROR(__xludf.DUMMYFUNCTION("MID(REGEXEXTRACT(I22,"" [^ ]* [^ ]*""),2,300)"),"#REF!")</f>
        <v>#REF!</v>
      </c>
      <c r="Q22" s="3" t="str">
        <f>IFERROR(__xludf.DUMMYFUNCTION("INDEX(SPLIT(J22,"" ""),1)"),"#REF!")</f>
        <v>#REF!</v>
      </c>
      <c r="R22" s="3" t="str">
        <f>IFERROR(__xludf.DUMMYFUNCTION("MID(REGEXEXTRACT(J22,"" [^ ]* [^ ]*""),2,300)"),"#REF!")</f>
        <v>#REF!</v>
      </c>
      <c r="S22" s="3">
        <f t="shared" si="2"/>
        <v>3</v>
      </c>
      <c r="T22" s="3" t="str">
        <f t="shared" si="3"/>
        <v>dim brown</v>
      </c>
      <c r="U22" s="3">
        <f t="shared" si="4"/>
        <v>3</v>
      </c>
      <c r="V22" s="3" t="str">
        <f t="shared" si="5"/>
        <v>drab brown</v>
      </c>
      <c r="W22" s="3" t="str">
        <f t="shared" si="6"/>
        <v/>
      </c>
      <c r="X22" s="3" t="str">
        <f t="shared" si="7"/>
        <v/>
      </c>
      <c r="Y22" s="3" t="str">
        <f t="shared" si="8"/>
        <v/>
      </c>
      <c r="Z22" s="3" t="str">
        <f t="shared" si="9"/>
        <v/>
      </c>
      <c r="AA22" s="13">
        <f t="shared" si="10"/>
        <v>362095</v>
      </c>
      <c r="AB22" s="3">
        <f t="shared" si="11"/>
        <v>362094</v>
      </c>
      <c r="AC22" s="3">
        <f t="shared" si="12"/>
        <v>3</v>
      </c>
      <c r="AD22" s="3">
        <f t="shared" si="13"/>
        <v>23857</v>
      </c>
      <c r="AE22" s="3">
        <f t="shared" si="14"/>
        <v>3</v>
      </c>
      <c r="AF22" s="3">
        <f t="shared" si="15"/>
        <v>96841</v>
      </c>
      <c r="AG22" s="3" t="str">
        <f t="shared" si="16"/>
        <v/>
      </c>
      <c r="AH22" s="3">
        <f t="shared" si="17"/>
        <v>0</v>
      </c>
      <c r="AI22" s="3" t="str">
        <f t="shared" si="18"/>
        <v/>
      </c>
      <c r="AJ22" s="3">
        <f t="shared" si="19"/>
        <v>0</v>
      </c>
    </row>
    <row r="23">
      <c r="C23" s="6" t="s">
        <v>23</v>
      </c>
      <c r="D23" s="3">
        <f t="shared" si="1"/>
        <v>3</v>
      </c>
      <c r="E23" s="3" t="str">
        <f>IFERROR(__xludf.DUMMYFUNCTION("REGEXEXTRACT(C23,""[^ ]* [^ ]*"")"),"dim bronze")</f>
        <v>dim bronze</v>
      </c>
      <c r="F23" s="3" t="str">
        <f>IFERROR(__xludf.DUMMYFUNCTION("MID(REGEXEXTRACT(C23,""contain.*$""),9,300)"),"4 dim black bags, 5 wavy turquoise bags, 5 bright violet bags, 2 dark bronze bags.")</f>
        <v>4 dim black bags, 5 wavy turquoise bags, 5 bright violet bags, 2 dark bronze bags.</v>
      </c>
      <c r="G23" s="3" t="str">
        <f>IFERROR(__xludf.DUMMYFUNCTION("INDEX(SPLIT($F23,"",""),COLUMN()-6)"),"4 dim black bags")</f>
        <v>4 dim black bags</v>
      </c>
      <c r="H23" s="3" t="str">
        <f>IFERROR(__xludf.DUMMYFUNCTION("MID(INDEX(SPLIT($F23,"",""),COLUMN()-6),2,300)"),"5 wavy turquoise bags")</f>
        <v>5 wavy turquoise bags</v>
      </c>
      <c r="I23" s="3" t="str">
        <f>IFERROR(__xludf.DUMMYFUNCTION("MID(INDEX(SPLIT($F23,"",""),COLUMN()-6),2,300)"),"5 bright violet bags")</f>
        <v>5 bright violet bags</v>
      </c>
      <c r="J23" s="3" t="str">
        <f>IFERROR(__xludf.DUMMYFUNCTION("MID(INDEX(SPLIT($F23,"",""),COLUMN()-6),2,300)"),"2 dark bronze bags.")</f>
        <v>2 dark bronze bags.</v>
      </c>
      <c r="K23" s="3">
        <f>IFERROR(__xludf.DUMMYFUNCTION("INDEX(SPLIT(G23,"" ""),1)"),4.0)</f>
        <v>4</v>
      </c>
      <c r="L23" s="3" t="str">
        <f>IFERROR(__xludf.DUMMYFUNCTION("REGEXEXTRACT(G23,"" [^ ]* [^ ]* "")")," dim black ")</f>
        <v> dim black </v>
      </c>
      <c r="M23" s="3">
        <f>IFERROR(__xludf.DUMMYFUNCTION("INDEX(SPLIT(H23,"" ""),1)"),5.0)</f>
        <v>5</v>
      </c>
      <c r="N23" s="3" t="str">
        <f>IFERROR(__xludf.DUMMYFUNCTION("MID(REGEXEXTRACT(H23,"" [^ ]* [^ ]*""),2,300)"),"wavy turquoise")</f>
        <v>wavy turquoise</v>
      </c>
      <c r="O23" s="3">
        <f>IFERROR(__xludf.DUMMYFUNCTION("INDEX(SPLIT(I23,"" ""),1)"),5.0)</f>
        <v>5</v>
      </c>
      <c r="P23" s="3" t="str">
        <f>IFERROR(__xludf.DUMMYFUNCTION("MID(REGEXEXTRACT(I23,"" [^ ]* [^ ]*""),2,300)"),"bright violet")</f>
        <v>bright violet</v>
      </c>
      <c r="Q23" s="3">
        <f>IFERROR(__xludf.DUMMYFUNCTION("INDEX(SPLIT(J23,"" ""),1)"),2.0)</f>
        <v>2</v>
      </c>
      <c r="R23" s="3" t="str">
        <f>IFERROR(__xludf.DUMMYFUNCTION("MID(REGEXEXTRACT(J23,"" [^ ]* [^ ]*""),2,300)"),"dark bronze")</f>
        <v>dark bronze</v>
      </c>
      <c r="S23" s="3">
        <f t="shared" si="2"/>
        <v>4</v>
      </c>
      <c r="T23" s="3" t="str">
        <f t="shared" si="3"/>
        <v>dim black</v>
      </c>
      <c r="U23" s="3">
        <f t="shared" si="4"/>
        <v>5</v>
      </c>
      <c r="V23" s="3" t="str">
        <f t="shared" si="5"/>
        <v>wavy turquoise</v>
      </c>
      <c r="W23" s="3">
        <f t="shared" si="6"/>
        <v>5</v>
      </c>
      <c r="X23" s="3" t="str">
        <f t="shared" si="7"/>
        <v>bright violet</v>
      </c>
      <c r="Y23" s="3">
        <f t="shared" si="8"/>
        <v>2</v>
      </c>
      <c r="Z23" s="3" t="str">
        <f t="shared" si="9"/>
        <v>dark bronze</v>
      </c>
      <c r="AA23" s="13">
        <f t="shared" si="10"/>
        <v>557021</v>
      </c>
      <c r="AB23" s="3">
        <f t="shared" si="11"/>
        <v>557020</v>
      </c>
      <c r="AC23" s="3">
        <f t="shared" si="12"/>
        <v>4</v>
      </c>
      <c r="AD23" s="3">
        <f t="shared" si="13"/>
        <v>117480</v>
      </c>
      <c r="AE23" s="3">
        <f t="shared" si="14"/>
        <v>5</v>
      </c>
      <c r="AF23" s="3">
        <f t="shared" si="15"/>
        <v>11485</v>
      </c>
      <c r="AG23" s="3">
        <f t="shared" si="16"/>
        <v>5</v>
      </c>
      <c r="AH23" s="3">
        <f t="shared" si="17"/>
        <v>1</v>
      </c>
      <c r="AI23" s="3">
        <f t="shared" si="18"/>
        <v>2</v>
      </c>
      <c r="AJ23" s="3">
        <f t="shared" si="19"/>
        <v>14835</v>
      </c>
    </row>
    <row r="24">
      <c r="C24" s="6" t="s">
        <v>24</v>
      </c>
      <c r="D24" s="3">
        <f t="shared" si="1"/>
        <v>0</v>
      </c>
      <c r="E24" s="3" t="str">
        <f>IFERROR(__xludf.DUMMYFUNCTION("REGEXEXTRACT(C24,""[^ ]* [^ ]*"")"),"shiny teal")</f>
        <v>shiny teal</v>
      </c>
      <c r="F24" s="3" t="str">
        <f>IFERROR(__xludf.DUMMYFUNCTION("MID(REGEXEXTRACT(C24,""contain.*$""),9,300)"),"5 plaid chartreuse bags.")</f>
        <v>5 plaid chartreuse bags.</v>
      </c>
      <c r="G24" s="3" t="str">
        <f>IFERROR(__xludf.DUMMYFUNCTION("INDEX(SPLIT($F24,"",""),COLUMN()-6)"),"5 plaid chartreuse bags.")</f>
        <v>5 plaid chartreuse bags.</v>
      </c>
      <c r="H24" s="3" t="str">
        <f>IFERROR(__xludf.DUMMYFUNCTION("MID(INDEX(SPLIT($F24,"",""),COLUMN()-6),2,300)"),"#REF!")</f>
        <v>#REF!</v>
      </c>
      <c r="I24" s="3" t="str">
        <f>IFERROR(__xludf.DUMMYFUNCTION("MID(INDEX(SPLIT($F24,"",""),COLUMN()-6),2,300)"),"#REF!")</f>
        <v>#REF!</v>
      </c>
      <c r="J24" s="3" t="str">
        <f>IFERROR(__xludf.DUMMYFUNCTION("MID(INDEX(SPLIT($F24,"",""),COLUMN()-6),2,300)"),"#REF!")</f>
        <v>#REF!</v>
      </c>
      <c r="K24" s="3">
        <f>IFERROR(__xludf.DUMMYFUNCTION("INDEX(SPLIT(G24,"" ""),1)"),5.0)</f>
        <v>5</v>
      </c>
      <c r="L24" s="3" t="str">
        <f>IFERROR(__xludf.DUMMYFUNCTION("REGEXEXTRACT(G24,"" [^ ]* [^ ]* "")")," plaid chartreuse ")</f>
        <v> plaid chartreuse </v>
      </c>
      <c r="M24" s="3" t="str">
        <f>IFERROR(__xludf.DUMMYFUNCTION("INDEX(SPLIT(H24,"" ""),1)"),"#REF!")</f>
        <v>#REF!</v>
      </c>
      <c r="N24" s="3" t="str">
        <f>IFERROR(__xludf.DUMMYFUNCTION("MID(REGEXEXTRACT(H24,"" [^ ]* [^ ]*""),2,300)"),"#REF!")</f>
        <v>#REF!</v>
      </c>
      <c r="O24" s="3" t="str">
        <f>IFERROR(__xludf.DUMMYFUNCTION("INDEX(SPLIT(I24,"" ""),1)"),"#REF!")</f>
        <v>#REF!</v>
      </c>
      <c r="P24" s="3" t="str">
        <f>IFERROR(__xludf.DUMMYFUNCTION("MID(REGEXEXTRACT(I24,"" [^ ]* [^ ]*""),2,300)"),"#REF!")</f>
        <v>#REF!</v>
      </c>
      <c r="Q24" s="3" t="str">
        <f>IFERROR(__xludf.DUMMYFUNCTION("INDEX(SPLIT(J24,"" ""),1)"),"#REF!")</f>
        <v>#REF!</v>
      </c>
      <c r="R24" s="3" t="str">
        <f>IFERROR(__xludf.DUMMYFUNCTION("MID(REGEXEXTRACT(J24,"" [^ ]* [^ ]*""),2,300)"),"#REF!")</f>
        <v>#REF!</v>
      </c>
      <c r="S24" s="3">
        <f t="shared" si="2"/>
        <v>5</v>
      </c>
      <c r="T24" s="3" t="str">
        <f t="shared" si="3"/>
        <v>plaid chartreuse</v>
      </c>
      <c r="U24" s="3" t="str">
        <f t="shared" si="4"/>
        <v/>
      </c>
      <c r="V24" s="3" t="str">
        <f t="shared" si="5"/>
        <v/>
      </c>
      <c r="W24" s="3" t="str">
        <f t="shared" si="6"/>
        <v/>
      </c>
      <c r="X24" s="3" t="str">
        <f t="shared" si="7"/>
        <v/>
      </c>
      <c r="Y24" s="3" t="str">
        <f t="shared" si="8"/>
        <v/>
      </c>
      <c r="Z24" s="3" t="str">
        <f t="shared" si="9"/>
        <v/>
      </c>
      <c r="AA24" s="13">
        <f t="shared" si="10"/>
        <v>998496761</v>
      </c>
      <c r="AB24" s="3">
        <f t="shared" si="11"/>
        <v>998496760</v>
      </c>
      <c r="AC24" s="3">
        <f t="shared" si="12"/>
        <v>5</v>
      </c>
      <c r="AD24" s="3">
        <f t="shared" si="13"/>
        <v>199699352</v>
      </c>
      <c r="AE24" s="3" t="str">
        <f t="shared" si="14"/>
        <v/>
      </c>
      <c r="AF24" s="3">
        <f t="shared" si="15"/>
        <v>0</v>
      </c>
      <c r="AG24" s="3" t="str">
        <f t="shared" si="16"/>
        <v/>
      </c>
      <c r="AH24" s="3">
        <f t="shared" si="17"/>
        <v>0</v>
      </c>
      <c r="AI24" s="3" t="str">
        <f t="shared" si="18"/>
        <v/>
      </c>
      <c r="AJ24" s="3">
        <f t="shared" si="19"/>
        <v>0</v>
      </c>
    </row>
    <row r="25">
      <c r="C25" s="6" t="s">
        <v>25</v>
      </c>
      <c r="D25" s="3">
        <f t="shared" si="1"/>
        <v>3</v>
      </c>
      <c r="E25" s="3" t="str">
        <f>IFERROR(__xludf.DUMMYFUNCTION("REGEXEXTRACT(C25,""[^ ]* [^ ]*"")"),"pale aqua")</f>
        <v>pale aqua</v>
      </c>
      <c r="F25" s="3" t="str">
        <f>IFERROR(__xludf.DUMMYFUNCTION("MID(REGEXEXTRACT(C25,""contain.*$""),9,300)"),"2 striped lime bags, 4 dark turquoise bags, 3 dull tomato bags, 2 mirrored lavender bags.")</f>
        <v>2 striped lime bags, 4 dark turquoise bags, 3 dull tomato bags, 2 mirrored lavender bags.</v>
      </c>
      <c r="G25" s="3" t="str">
        <f>IFERROR(__xludf.DUMMYFUNCTION("INDEX(SPLIT($F25,"",""),COLUMN()-6)"),"2 striped lime bags")</f>
        <v>2 striped lime bags</v>
      </c>
      <c r="H25" s="3" t="str">
        <f>IFERROR(__xludf.DUMMYFUNCTION("MID(INDEX(SPLIT($F25,"",""),COLUMN()-6),2,300)"),"4 dark turquoise bags")</f>
        <v>4 dark turquoise bags</v>
      </c>
      <c r="I25" s="3" t="str">
        <f>IFERROR(__xludf.DUMMYFUNCTION("MID(INDEX(SPLIT($F25,"",""),COLUMN()-6),2,300)"),"3 dull tomato bags")</f>
        <v>3 dull tomato bags</v>
      </c>
      <c r="J25" s="3" t="str">
        <f>IFERROR(__xludf.DUMMYFUNCTION("MID(INDEX(SPLIT($F25,"",""),COLUMN()-6),2,300)"),"2 mirrored lavender bags.")</f>
        <v>2 mirrored lavender bags.</v>
      </c>
      <c r="K25" s="3">
        <f>IFERROR(__xludf.DUMMYFUNCTION("INDEX(SPLIT(G25,"" ""),1)"),2.0)</f>
        <v>2</v>
      </c>
      <c r="L25" s="3" t="str">
        <f>IFERROR(__xludf.DUMMYFUNCTION("REGEXEXTRACT(G25,"" [^ ]* [^ ]* "")")," striped lime ")</f>
        <v> striped lime </v>
      </c>
      <c r="M25" s="3">
        <f>IFERROR(__xludf.DUMMYFUNCTION("INDEX(SPLIT(H25,"" ""),1)"),4.0)</f>
        <v>4</v>
      </c>
      <c r="N25" s="3" t="str">
        <f>IFERROR(__xludf.DUMMYFUNCTION("MID(REGEXEXTRACT(H25,"" [^ ]* [^ ]*""),2,300)"),"dark turquoise")</f>
        <v>dark turquoise</v>
      </c>
      <c r="O25" s="3">
        <f>IFERROR(__xludf.DUMMYFUNCTION("INDEX(SPLIT(I25,"" ""),1)"),3.0)</f>
        <v>3</v>
      </c>
      <c r="P25" s="3" t="str">
        <f>IFERROR(__xludf.DUMMYFUNCTION("MID(REGEXEXTRACT(I25,"" [^ ]* [^ ]*""),2,300)"),"dull tomato")</f>
        <v>dull tomato</v>
      </c>
      <c r="Q25" s="3">
        <f>IFERROR(__xludf.DUMMYFUNCTION("INDEX(SPLIT(J25,"" ""),1)"),2.0)</f>
        <v>2</v>
      </c>
      <c r="R25" s="3" t="str">
        <f>IFERROR(__xludf.DUMMYFUNCTION("MID(REGEXEXTRACT(J25,"" [^ ]* [^ ]*""),2,300)"),"mirrored lavender")</f>
        <v>mirrored lavender</v>
      </c>
      <c r="S25" s="3">
        <f t="shared" si="2"/>
        <v>2</v>
      </c>
      <c r="T25" s="3" t="str">
        <f t="shared" si="3"/>
        <v>striped lime</v>
      </c>
      <c r="U25" s="3">
        <f t="shared" si="4"/>
        <v>4</v>
      </c>
      <c r="V25" s="3" t="str">
        <f t="shared" si="5"/>
        <v>dark turquoise</v>
      </c>
      <c r="W25" s="3">
        <f t="shared" si="6"/>
        <v>3</v>
      </c>
      <c r="X25" s="3" t="str">
        <f t="shared" si="7"/>
        <v>dull tomato</v>
      </c>
      <c r="Y25" s="3">
        <f t="shared" si="8"/>
        <v>2</v>
      </c>
      <c r="Z25" s="3" t="str">
        <f t="shared" si="9"/>
        <v>mirrored lavender</v>
      </c>
      <c r="AA25" s="13">
        <f t="shared" si="10"/>
        <v>1578216</v>
      </c>
      <c r="AB25" s="3">
        <f t="shared" si="11"/>
        <v>1578215</v>
      </c>
      <c r="AC25" s="3">
        <f t="shared" si="12"/>
        <v>2</v>
      </c>
      <c r="AD25" s="3">
        <f t="shared" si="13"/>
        <v>12130</v>
      </c>
      <c r="AE25" s="3">
        <f t="shared" si="14"/>
        <v>4</v>
      </c>
      <c r="AF25" s="3">
        <f t="shared" si="15"/>
        <v>385699</v>
      </c>
      <c r="AG25" s="3">
        <f t="shared" si="16"/>
        <v>3</v>
      </c>
      <c r="AH25" s="3">
        <f t="shared" si="17"/>
        <v>11</v>
      </c>
      <c r="AI25" s="3">
        <f t="shared" si="18"/>
        <v>2</v>
      </c>
      <c r="AJ25" s="3">
        <f t="shared" si="19"/>
        <v>5563</v>
      </c>
    </row>
    <row r="26">
      <c r="C26" s="6" t="s">
        <v>26</v>
      </c>
      <c r="D26" s="3">
        <f t="shared" si="1"/>
        <v>0</v>
      </c>
      <c r="E26" s="3" t="str">
        <f>IFERROR(__xludf.DUMMYFUNCTION("REGEXEXTRACT(C26,""[^ ]* [^ ]*"")"),"plaid violet")</f>
        <v>plaid violet</v>
      </c>
      <c r="F26" s="3" t="str">
        <f>IFERROR(__xludf.DUMMYFUNCTION("MID(REGEXEXTRACT(C26,""contain.*$""),9,300)"),"2 light olive bags.")</f>
        <v>2 light olive bags.</v>
      </c>
      <c r="G26" s="3" t="str">
        <f>IFERROR(__xludf.DUMMYFUNCTION("INDEX(SPLIT($F26,"",""),COLUMN()-6)"),"2 light olive bags.")</f>
        <v>2 light olive bags.</v>
      </c>
      <c r="H26" s="3" t="str">
        <f>IFERROR(__xludf.DUMMYFUNCTION("MID(INDEX(SPLIT($F26,"",""),COLUMN()-6),2,300)"),"#REF!")</f>
        <v>#REF!</v>
      </c>
      <c r="I26" s="3" t="str">
        <f>IFERROR(__xludf.DUMMYFUNCTION("MID(INDEX(SPLIT($F26,"",""),COLUMN()-6),2,300)"),"#REF!")</f>
        <v>#REF!</v>
      </c>
      <c r="J26" s="3" t="str">
        <f>IFERROR(__xludf.DUMMYFUNCTION("MID(INDEX(SPLIT($F26,"",""),COLUMN()-6),2,300)"),"#REF!")</f>
        <v>#REF!</v>
      </c>
      <c r="K26" s="3">
        <f>IFERROR(__xludf.DUMMYFUNCTION("INDEX(SPLIT(G26,"" ""),1)"),2.0)</f>
        <v>2</v>
      </c>
      <c r="L26" s="3" t="str">
        <f>IFERROR(__xludf.DUMMYFUNCTION("REGEXEXTRACT(G26,"" [^ ]* [^ ]* "")")," light olive ")</f>
        <v> light olive </v>
      </c>
      <c r="M26" s="3" t="str">
        <f>IFERROR(__xludf.DUMMYFUNCTION("INDEX(SPLIT(H26,"" ""),1)"),"#REF!")</f>
        <v>#REF!</v>
      </c>
      <c r="N26" s="3" t="str">
        <f>IFERROR(__xludf.DUMMYFUNCTION("MID(REGEXEXTRACT(H26,"" [^ ]* [^ ]*""),2,300)"),"#REF!")</f>
        <v>#REF!</v>
      </c>
      <c r="O26" s="3" t="str">
        <f>IFERROR(__xludf.DUMMYFUNCTION("INDEX(SPLIT(I26,"" ""),1)"),"#REF!")</f>
        <v>#REF!</v>
      </c>
      <c r="P26" s="3" t="str">
        <f>IFERROR(__xludf.DUMMYFUNCTION("MID(REGEXEXTRACT(I26,"" [^ ]* [^ ]*""),2,300)"),"#REF!")</f>
        <v>#REF!</v>
      </c>
      <c r="Q26" s="3" t="str">
        <f>IFERROR(__xludf.DUMMYFUNCTION("INDEX(SPLIT(J26,"" ""),1)"),"#REF!")</f>
        <v>#REF!</v>
      </c>
      <c r="R26" s="3" t="str">
        <f>IFERROR(__xludf.DUMMYFUNCTION("MID(REGEXEXTRACT(J26,"" [^ ]* [^ ]*""),2,300)"),"#REF!")</f>
        <v>#REF!</v>
      </c>
      <c r="S26" s="3">
        <f t="shared" si="2"/>
        <v>2</v>
      </c>
      <c r="T26" s="3" t="str">
        <f t="shared" si="3"/>
        <v>light olive</v>
      </c>
      <c r="U26" s="3" t="str">
        <f t="shared" si="4"/>
        <v/>
      </c>
      <c r="V26" s="3" t="str">
        <f t="shared" si="5"/>
        <v/>
      </c>
      <c r="W26" s="3" t="str">
        <f t="shared" si="6"/>
        <v/>
      </c>
      <c r="X26" s="3" t="str">
        <f t="shared" si="7"/>
        <v/>
      </c>
      <c r="Y26" s="3" t="str">
        <f t="shared" si="8"/>
        <v/>
      </c>
      <c r="Z26" s="3" t="str">
        <f t="shared" si="9"/>
        <v/>
      </c>
      <c r="AA26" s="13">
        <f t="shared" si="10"/>
        <v>25311181</v>
      </c>
      <c r="AB26" s="3">
        <f t="shared" si="11"/>
        <v>25311180</v>
      </c>
      <c r="AC26" s="3">
        <f t="shared" si="12"/>
        <v>2</v>
      </c>
      <c r="AD26" s="3">
        <f t="shared" si="13"/>
        <v>12655590</v>
      </c>
      <c r="AE26" s="3" t="str">
        <f t="shared" si="14"/>
        <v/>
      </c>
      <c r="AF26" s="3">
        <f t="shared" si="15"/>
        <v>0</v>
      </c>
      <c r="AG26" s="3" t="str">
        <f t="shared" si="16"/>
        <v/>
      </c>
      <c r="AH26" s="3">
        <f t="shared" si="17"/>
        <v>0</v>
      </c>
      <c r="AI26" s="3" t="str">
        <f t="shared" si="18"/>
        <v/>
      </c>
      <c r="AJ26" s="3">
        <f t="shared" si="19"/>
        <v>0</v>
      </c>
    </row>
    <row r="27">
      <c r="C27" s="6" t="s">
        <v>27</v>
      </c>
      <c r="D27" s="3">
        <f t="shared" si="1"/>
        <v>3</v>
      </c>
      <c r="E27" s="3" t="str">
        <f>IFERROR(__xludf.DUMMYFUNCTION("REGEXEXTRACT(C27,""[^ ]* [^ ]*"")"),"dotted maroon")</f>
        <v>dotted maroon</v>
      </c>
      <c r="F27" s="3" t="str">
        <f>IFERROR(__xludf.DUMMYFUNCTION("MID(REGEXEXTRACT(C27,""contain.*$""),9,300)"),"5 striped maroon bags, 2 shiny turquoise bags, 2 dull gold bags, 4 pale olive bags.")</f>
        <v>5 striped maroon bags, 2 shiny turquoise bags, 2 dull gold bags, 4 pale olive bags.</v>
      </c>
      <c r="G27" s="3" t="str">
        <f>IFERROR(__xludf.DUMMYFUNCTION("INDEX(SPLIT($F27,"",""),COLUMN()-6)"),"5 striped maroon bags")</f>
        <v>5 striped maroon bags</v>
      </c>
      <c r="H27" s="3" t="str">
        <f>IFERROR(__xludf.DUMMYFUNCTION("MID(INDEX(SPLIT($F27,"",""),COLUMN()-6),2,300)"),"2 shiny turquoise bags")</f>
        <v>2 shiny turquoise bags</v>
      </c>
      <c r="I27" s="3" t="str">
        <f>IFERROR(__xludf.DUMMYFUNCTION("MID(INDEX(SPLIT($F27,"",""),COLUMN()-6),2,300)"),"2 dull gold bags")</f>
        <v>2 dull gold bags</v>
      </c>
      <c r="J27" s="3" t="str">
        <f>IFERROR(__xludf.DUMMYFUNCTION("MID(INDEX(SPLIT($F27,"",""),COLUMN()-6),2,300)"),"4 pale olive bags.")</f>
        <v>4 pale olive bags.</v>
      </c>
      <c r="K27" s="3">
        <f>IFERROR(__xludf.DUMMYFUNCTION("INDEX(SPLIT(G27,"" ""),1)"),5.0)</f>
        <v>5</v>
      </c>
      <c r="L27" s="3" t="str">
        <f>IFERROR(__xludf.DUMMYFUNCTION("REGEXEXTRACT(G27,"" [^ ]* [^ ]* "")")," striped maroon ")</f>
        <v> striped maroon </v>
      </c>
      <c r="M27" s="3">
        <f>IFERROR(__xludf.DUMMYFUNCTION("INDEX(SPLIT(H27,"" ""),1)"),2.0)</f>
        <v>2</v>
      </c>
      <c r="N27" s="3" t="str">
        <f>IFERROR(__xludf.DUMMYFUNCTION("MID(REGEXEXTRACT(H27,"" [^ ]* [^ ]*""),2,300)"),"shiny turquoise")</f>
        <v>shiny turquoise</v>
      </c>
      <c r="O27" s="3">
        <f>IFERROR(__xludf.DUMMYFUNCTION("INDEX(SPLIT(I27,"" ""),1)"),2.0)</f>
        <v>2</v>
      </c>
      <c r="P27" s="3" t="str">
        <f>IFERROR(__xludf.DUMMYFUNCTION("MID(REGEXEXTRACT(I27,"" [^ ]* [^ ]*""),2,300)"),"dull gold")</f>
        <v>dull gold</v>
      </c>
      <c r="Q27" s="3">
        <f>IFERROR(__xludf.DUMMYFUNCTION("INDEX(SPLIT(J27,"" ""),1)"),4.0)</f>
        <v>4</v>
      </c>
      <c r="R27" s="3" t="str">
        <f>IFERROR(__xludf.DUMMYFUNCTION("MID(REGEXEXTRACT(J27,"" [^ ]* [^ ]*""),2,300)"),"pale olive")</f>
        <v>pale olive</v>
      </c>
      <c r="S27" s="3">
        <f t="shared" si="2"/>
        <v>5</v>
      </c>
      <c r="T27" s="3" t="str">
        <f t="shared" si="3"/>
        <v>striped maroon</v>
      </c>
      <c r="U27" s="3">
        <f t="shared" si="4"/>
        <v>2</v>
      </c>
      <c r="V27" s="3" t="str">
        <f t="shared" si="5"/>
        <v>shiny turquoise</v>
      </c>
      <c r="W27" s="3">
        <f t="shared" si="6"/>
        <v>2</v>
      </c>
      <c r="X27" s="3" t="str">
        <f t="shared" si="7"/>
        <v>dull gold</v>
      </c>
      <c r="Y27" s="3">
        <f t="shared" si="8"/>
        <v>4</v>
      </c>
      <c r="Z27" s="3" t="str">
        <f t="shared" si="9"/>
        <v>pale olive</v>
      </c>
      <c r="AA27" s="13">
        <f t="shared" si="10"/>
        <v>1062601</v>
      </c>
      <c r="AB27" s="3">
        <f t="shared" si="11"/>
        <v>1062600</v>
      </c>
      <c r="AC27" s="3">
        <f t="shared" si="12"/>
        <v>5</v>
      </c>
      <c r="AD27" s="3">
        <f t="shared" si="13"/>
        <v>124</v>
      </c>
      <c r="AE27" s="3">
        <f t="shared" si="14"/>
        <v>2</v>
      </c>
      <c r="AF27" s="3">
        <f t="shared" si="15"/>
        <v>528597</v>
      </c>
      <c r="AG27" s="3">
        <f t="shared" si="16"/>
        <v>2</v>
      </c>
      <c r="AH27" s="3">
        <f t="shared" si="17"/>
        <v>1781</v>
      </c>
      <c r="AI27" s="3">
        <f t="shared" si="18"/>
        <v>4</v>
      </c>
      <c r="AJ27" s="3">
        <f t="shared" si="19"/>
        <v>306</v>
      </c>
    </row>
    <row r="28">
      <c r="C28" s="6" t="s">
        <v>28</v>
      </c>
      <c r="D28" s="3">
        <f t="shared" si="1"/>
        <v>0</v>
      </c>
      <c r="E28" s="3" t="str">
        <f>IFERROR(__xludf.DUMMYFUNCTION("REGEXEXTRACT(C28,""[^ ]* [^ ]*"")"),"dim chartreuse")</f>
        <v>dim chartreuse</v>
      </c>
      <c r="F28" s="3" t="str">
        <f>IFERROR(__xludf.DUMMYFUNCTION("MID(REGEXEXTRACT(C28,""contain.*$""),9,300)"),"5 striped plum bags.")</f>
        <v>5 striped plum bags.</v>
      </c>
      <c r="G28" s="3" t="str">
        <f>IFERROR(__xludf.DUMMYFUNCTION("INDEX(SPLIT($F28,"",""),COLUMN()-6)"),"5 striped plum bags.")</f>
        <v>5 striped plum bags.</v>
      </c>
      <c r="H28" s="3" t="str">
        <f>IFERROR(__xludf.DUMMYFUNCTION("MID(INDEX(SPLIT($F28,"",""),COLUMN()-6),2,300)"),"#REF!")</f>
        <v>#REF!</v>
      </c>
      <c r="I28" s="3" t="str">
        <f>IFERROR(__xludf.DUMMYFUNCTION("MID(INDEX(SPLIT($F28,"",""),COLUMN()-6),2,300)"),"#REF!")</f>
        <v>#REF!</v>
      </c>
      <c r="J28" s="3" t="str">
        <f>IFERROR(__xludf.DUMMYFUNCTION("MID(INDEX(SPLIT($F28,"",""),COLUMN()-6),2,300)"),"#REF!")</f>
        <v>#REF!</v>
      </c>
      <c r="K28" s="3">
        <f>IFERROR(__xludf.DUMMYFUNCTION("INDEX(SPLIT(G28,"" ""),1)"),5.0)</f>
        <v>5</v>
      </c>
      <c r="L28" s="3" t="str">
        <f>IFERROR(__xludf.DUMMYFUNCTION("REGEXEXTRACT(G28,"" [^ ]* [^ ]* "")")," striped plum ")</f>
        <v> striped plum </v>
      </c>
      <c r="M28" s="3" t="str">
        <f>IFERROR(__xludf.DUMMYFUNCTION("INDEX(SPLIT(H28,"" ""),1)"),"#REF!")</f>
        <v>#REF!</v>
      </c>
      <c r="N28" s="3" t="str">
        <f>IFERROR(__xludf.DUMMYFUNCTION("MID(REGEXEXTRACT(H28,"" [^ ]* [^ ]*""),2,300)"),"#REF!")</f>
        <v>#REF!</v>
      </c>
      <c r="O28" s="3" t="str">
        <f>IFERROR(__xludf.DUMMYFUNCTION("INDEX(SPLIT(I28,"" ""),1)"),"#REF!")</f>
        <v>#REF!</v>
      </c>
      <c r="P28" s="3" t="str">
        <f>IFERROR(__xludf.DUMMYFUNCTION("MID(REGEXEXTRACT(I28,"" [^ ]* [^ ]*""),2,300)"),"#REF!")</f>
        <v>#REF!</v>
      </c>
      <c r="Q28" s="3" t="str">
        <f>IFERROR(__xludf.DUMMYFUNCTION("INDEX(SPLIT(J28,"" ""),1)"),"#REF!")</f>
        <v>#REF!</v>
      </c>
      <c r="R28" s="3" t="str">
        <f>IFERROR(__xludf.DUMMYFUNCTION("MID(REGEXEXTRACT(J28,"" [^ ]* [^ ]*""),2,300)"),"#REF!")</f>
        <v>#REF!</v>
      </c>
      <c r="S28" s="3">
        <f t="shared" si="2"/>
        <v>5</v>
      </c>
      <c r="T28" s="3" t="str">
        <f t="shared" si="3"/>
        <v>striped plum</v>
      </c>
      <c r="U28" s="3" t="str">
        <f t="shared" si="4"/>
        <v/>
      </c>
      <c r="V28" s="3" t="str">
        <f t="shared" si="5"/>
        <v/>
      </c>
      <c r="W28" s="3" t="str">
        <f t="shared" si="6"/>
        <v/>
      </c>
      <c r="X28" s="3" t="str">
        <f t="shared" si="7"/>
        <v/>
      </c>
      <c r="Y28" s="3" t="str">
        <f t="shared" si="8"/>
        <v/>
      </c>
      <c r="Z28" s="3" t="str">
        <f t="shared" si="9"/>
        <v/>
      </c>
      <c r="AA28" s="13">
        <f t="shared" si="10"/>
        <v>1142793311</v>
      </c>
      <c r="AB28" s="3">
        <f t="shared" si="11"/>
        <v>1142793310</v>
      </c>
      <c r="AC28" s="3">
        <f t="shared" si="12"/>
        <v>5</v>
      </c>
      <c r="AD28" s="3">
        <f t="shared" si="13"/>
        <v>228558662</v>
      </c>
      <c r="AE28" s="3" t="str">
        <f t="shared" si="14"/>
        <v/>
      </c>
      <c r="AF28" s="3">
        <f t="shared" si="15"/>
        <v>0</v>
      </c>
      <c r="AG28" s="3" t="str">
        <f t="shared" si="16"/>
        <v/>
      </c>
      <c r="AH28" s="3">
        <f t="shared" si="17"/>
        <v>0</v>
      </c>
      <c r="AI28" s="3" t="str">
        <f t="shared" si="18"/>
        <v/>
      </c>
      <c r="AJ28" s="3">
        <f t="shared" si="19"/>
        <v>0</v>
      </c>
    </row>
    <row r="29">
      <c r="C29" s="6" t="s">
        <v>29</v>
      </c>
      <c r="D29" s="3">
        <f t="shared" si="1"/>
        <v>2</v>
      </c>
      <c r="E29" s="3" t="str">
        <f>IFERROR(__xludf.DUMMYFUNCTION("REGEXEXTRACT(C29,""[^ ]* [^ ]*"")"),"plaid gold")</f>
        <v>plaid gold</v>
      </c>
      <c r="F29" s="3" t="str">
        <f>IFERROR(__xludf.DUMMYFUNCTION("MID(REGEXEXTRACT(C29,""contain.*$""),9,300)"),"1 striped green bag, 3 plaid coral bags, 4 dotted violet bags.")</f>
        <v>1 striped green bag, 3 plaid coral bags, 4 dotted violet bags.</v>
      </c>
      <c r="G29" s="3" t="str">
        <f>IFERROR(__xludf.DUMMYFUNCTION("INDEX(SPLIT($F29,"",""),COLUMN()-6)"),"1 striped green bag")</f>
        <v>1 striped green bag</v>
      </c>
      <c r="H29" s="3" t="str">
        <f>IFERROR(__xludf.DUMMYFUNCTION("MID(INDEX(SPLIT($F29,"",""),COLUMN()-6),2,300)"),"3 plaid coral bags")</f>
        <v>3 plaid coral bags</v>
      </c>
      <c r="I29" s="3" t="str">
        <f>IFERROR(__xludf.DUMMYFUNCTION("MID(INDEX(SPLIT($F29,"",""),COLUMN()-6),2,300)"),"4 dotted violet bags.")</f>
        <v>4 dotted violet bags.</v>
      </c>
      <c r="J29" s="3" t="str">
        <f>IFERROR(__xludf.DUMMYFUNCTION("MID(INDEX(SPLIT($F29,"",""),COLUMN()-6),2,300)"),"#REF!")</f>
        <v>#REF!</v>
      </c>
      <c r="K29" s="3">
        <f>IFERROR(__xludf.DUMMYFUNCTION("INDEX(SPLIT(G29,"" ""),1)"),1.0)</f>
        <v>1</v>
      </c>
      <c r="L29" s="3" t="str">
        <f>IFERROR(__xludf.DUMMYFUNCTION("REGEXEXTRACT(G29,"" [^ ]* [^ ]* "")")," striped green ")</f>
        <v> striped green </v>
      </c>
      <c r="M29" s="3">
        <f>IFERROR(__xludf.DUMMYFUNCTION("INDEX(SPLIT(H29,"" ""),1)"),3.0)</f>
        <v>3</v>
      </c>
      <c r="N29" s="3" t="str">
        <f>IFERROR(__xludf.DUMMYFUNCTION("MID(REGEXEXTRACT(H29,"" [^ ]* [^ ]*""),2,300)"),"plaid coral")</f>
        <v>plaid coral</v>
      </c>
      <c r="O29" s="3">
        <f>IFERROR(__xludf.DUMMYFUNCTION("INDEX(SPLIT(I29,"" ""),1)"),4.0)</f>
        <v>4</v>
      </c>
      <c r="P29" s="3" t="str">
        <f>IFERROR(__xludf.DUMMYFUNCTION("MID(REGEXEXTRACT(I29,"" [^ ]* [^ ]*""),2,300)"),"dotted violet")</f>
        <v>dotted violet</v>
      </c>
      <c r="Q29" s="3" t="str">
        <f>IFERROR(__xludf.DUMMYFUNCTION("INDEX(SPLIT(J29,"" ""),1)"),"#REF!")</f>
        <v>#REF!</v>
      </c>
      <c r="R29" s="3" t="str">
        <f>IFERROR(__xludf.DUMMYFUNCTION("MID(REGEXEXTRACT(J29,"" [^ ]* [^ ]*""),2,300)"),"#REF!")</f>
        <v>#REF!</v>
      </c>
      <c r="S29" s="3">
        <f t="shared" si="2"/>
        <v>1</v>
      </c>
      <c r="T29" s="3" t="str">
        <f t="shared" si="3"/>
        <v>striped green</v>
      </c>
      <c r="U29" s="3">
        <f t="shared" si="4"/>
        <v>3</v>
      </c>
      <c r="V29" s="3" t="str">
        <f t="shared" si="5"/>
        <v>plaid coral</v>
      </c>
      <c r="W29" s="3">
        <f t="shared" si="6"/>
        <v>4</v>
      </c>
      <c r="X29" s="3" t="str">
        <f t="shared" si="7"/>
        <v>dotted violet</v>
      </c>
      <c r="Y29" s="3" t="str">
        <f t="shared" si="8"/>
        <v/>
      </c>
      <c r="Z29" s="3" t="str">
        <f t="shared" si="9"/>
        <v/>
      </c>
      <c r="AA29" s="13">
        <f t="shared" si="10"/>
        <v>99079499</v>
      </c>
      <c r="AB29" s="3">
        <f t="shared" si="11"/>
        <v>99079498</v>
      </c>
      <c r="AC29" s="3">
        <f t="shared" si="12"/>
        <v>1</v>
      </c>
      <c r="AD29" s="3">
        <f t="shared" si="13"/>
        <v>11964728</v>
      </c>
      <c r="AE29" s="3">
        <f t="shared" si="14"/>
        <v>3</v>
      </c>
      <c r="AF29" s="3">
        <f t="shared" si="15"/>
        <v>28817922</v>
      </c>
      <c r="AG29" s="3">
        <f t="shared" si="16"/>
        <v>4</v>
      </c>
      <c r="AH29" s="3">
        <f t="shared" si="17"/>
        <v>165251</v>
      </c>
      <c r="AI29" s="3" t="str">
        <f t="shared" si="18"/>
        <v/>
      </c>
      <c r="AJ29" s="3">
        <f t="shared" si="19"/>
        <v>0</v>
      </c>
    </row>
    <row r="30">
      <c r="C30" s="6" t="s">
        <v>30</v>
      </c>
      <c r="D30" s="3">
        <f t="shared" si="1"/>
        <v>0</v>
      </c>
      <c r="E30" s="3" t="str">
        <f>IFERROR(__xludf.DUMMYFUNCTION("REGEXEXTRACT(C30,""[^ ]* [^ ]*"")"),"faded tomato")</f>
        <v>faded tomato</v>
      </c>
      <c r="F30" s="3" t="str">
        <f>IFERROR(__xludf.DUMMYFUNCTION("MID(REGEXEXTRACT(C30,""contain.*$""),9,300)"),"2 dark indigo bags.")</f>
        <v>2 dark indigo bags.</v>
      </c>
      <c r="G30" s="3" t="str">
        <f>IFERROR(__xludf.DUMMYFUNCTION("INDEX(SPLIT($F30,"",""),COLUMN()-6)"),"2 dark indigo bags.")</f>
        <v>2 dark indigo bags.</v>
      </c>
      <c r="H30" s="3" t="str">
        <f>IFERROR(__xludf.DUMMYFUNCTION("MID(INDEX(SPLIT($F30,"",""),COLUMN()-6),2,300)"),"#REF!")</f>
        <v>#REF!</v>
      </c>
      <c r="I30" s="3" t="str">
        <f>IFERROR(__xludf.DUMMYFUNCTION("MID(INDEX(SPLIT($F30,"",""),COLUMN()-6),2,300)"),"#REF!")</f>
        <v>#REF!</v>
      </c>
      <c r="J30" s="3" t="str">
        <f>IFERROR(__xludf.DUMMYFUNCTION("MID(INDEX(SPLIT($F30,"",""),COLUMN()-6),2,300)"),"#REF!")</f>
        <v>#REF!</v>
      </c>
      <c r="K30" s="3">
        <f>IFERROR(__xludf.DUMMYFUNCTION("INDEX(SPLIT(G30,"" ""),1)"),2.0)</f>
        <v>2</v>
      </c>
      <c r="L30" s="3" t="str">
        <f>IFERROR(__xludf.DUMMYFUNCTION("REGEXEXTRACT(G30,"" [^ ]* [^ ]* "")")," dark indigo ")</f>
        <v> dark indigo </v>
      </c>
      <c r="M30" s="3" t="str">
        <f>IFERROR(__xludf.DUMMYFUNCTION("INDEX(SPLIT(H30,"" ""),1)"),"#REF!")</f>
        <v>#REF!</v>
      </c>
      <c r="N30" s="3" t="str">
        <f>IFERROR(__xludf.DUMMYFUNCTION("MID(REGEXEXTRACT(H30,"" [^ ]* [^ ]*""),2,300)"),"#REF!")</f>
        <v>#REF!</v>
      </c>
      <c r="O30" s="3" t="str">
        <f>IFERROR(__xludf.DUMMYFUNCTION("INDEX(SPLIT(I30,"" ""),1)"),"#REF!")</f>
        <v>#REF!</v>
      </c>
      <c r="P30" s="3" t="str">
        <f>IFERROR(__xludf.DUMMYFUNCTION("MID(REGEXEXTRACT(I30,"" [^ ]* [^ ]*""),2,300)"),"#REF!")</f>
        <v>#REF!</v>
      </c>
      <c r="Q30" s="3" t="str">
        <f>IFERROR(__xludf.DUMMYFUNCTION("INDEX(SPLIT(J30,"" ""),1)"),"#REF!")</f>
        <v>#REF!</v>
      </c>
      <c r="R30" s="3" t="str">
        <f>IFERROR(__xludf.DUMMYFUNCTION("MID(REGEXEXTRACT(J30,"" [^ ]* [^ ]*""),2,300)"),"#REF!")</f>
        <v>#REF!</v>
      </c>
      <c r="S30" s="3">
        <f t="shared" si="2"/>
        <v>2</v>
      </c>
      <c r="T30" s="3" t="str">
        <f t="shared" si="3"/>
        <v>dark indigo</v>
      </c>
      <c r="U30" s="3" t="str">
        <f t="shared" si="4"/>
        <v/>
      </c>
      <c r="V30" s="3" t="str">
        <f t="shared" si="5"/>
        <v/>
      </c>
      <c r="W30" s="3" t="str">
        <f t="shared" si="6"/>
        <v/>
      </c>
      <c r="X30" s="3" t="str">
        <f t="shared" si="7"/>
        <v/>
      </c>
      <c r="Y30" s="3" t="str">
        <f t="shared" si="8"/>
        <v/>
      </c>
      <c r="Z30" s="3" t="str">
        <f t="shared" si="9"/>
        <v/>
      </c>
      <c r="AA30" s="13">
        <f t="shared" si="10"/>
        <v>1513927203</v>
      </c>
      <c r="AB30" s="3">
        <f t="shared" si="11"/>
        <v>1513927202</v>
      </c>
      <c r="AC30" s="3">
        <f t="shared" si="12"/>
        <v>2</v>
      </c>
      <c r="AD30" s="3">
        <f t="shared" si="13"/>
        <v>756963601</v>
      </c>
      <c r="AE30" s="3" t="str">
        <f t="shared" si="14"/>
        <v/>
      </c>
      <c r="AF30" s="3">
        <f t="shared" si="15"/>
        <v>0</v>
      </c>
      <c r="AG30" s="3" t="str">
        <f t="shared" si="16"/>
        <v/>
      </c>
      <c r="AH30" s="3">
        <f t="shared" si="17"/>
        <v>0</v>
      </c>
      <c r="AI30" s="3" t="str">
        <f t="shared" si="18"/>
        <v/>
      </c>
      <c r="AJ30" s="3">
        <f t="shared" si="19"/>
        <v>0</v>
      </c>
    </row>
    <row r="31">
      <c r="C31" s="6" t="s">
        <v>31</v>
      </c>
      <c r="D31" s="3">
        <f t="shared" si="1"/>
        <v>1</v>
      </c>
      <c r="E31" s="3" t="str">
        <f>IFERROR(__xludf.DUMMYFUNCTION("REGEXEXTRACT(C31,""[^ ]* [^ ]*"")"),"posh plum")</f>
        <v>posh plum</v>
      </c>
      <c r="F31" s="3" t="str">
        <f>IFERROR(__xludf.DUMMYFUNCTION("MID(REGEXEXTRACT(C31,""contain.*$""),9,300)"),"1 wavy chartreuse bag, 4 vibrant blue bags.")</f>
        <v>1 wavy chartreuse bag, 4 vibrant blue bags.</v>
      </c>
      <c r="G31" s="3" t="str">
        <f>IFERROR(__xludf.DUMMYFUNCTION("INDEX(SPLIT($F31,"",""),COLUMN()-6)"),"1 wavy chartreuse bag")</f>
        <v>1 wavy chartreuse bag</v>
      </c>
      <c r="H31" s="3" t="str">
        <f>IFERROR(__xludf.DUMMYFUNCTION("MID(INDEX(SPLIT($F31,"",""),COLUMN()-6),2,300)"),"4 vibrant blue bags.")</f>
        <v>4 vibrant blue bags.</v>
      </c>
      <c r="I31" s="3" t="str">
        <f>IFERROR(__xludf.DUMMYFUNCTION("MID(INDEX(SPLIT($F31,"",""),COLUMN()-6),2,300)"),"#REF!")</f>
        <v>#REF!</v>
      </c>
      <c r="J31" s="3" t="str">
        <f>IFERROR(__xludf.DUMMYFUNCTION("MID(INDEX(SPLIT($F31,"",""),COLUMN()-6),2,300)"),"#REF!")</f>
        <v>#REF!</v>
      </c>
      <c r="K31" s="3">
        <f>IFERROR(__xludf.DUMMYFUNCTION("INDEX(SPLIT(G31,"" ""),1)"),1.0)</f>
        <v>1</v>
      </c>
      <c r="L31" s="3" t="str">
        <f>IFERROR(__xludf.DUMMYFUNCTION("REGEXEXTRACT(G31,"" [^ ]* [^ ]* "")")," wavy chartreuse ")</f>
        <v> wavy chartreuse </v>
      </c>
      <c r="M31" s="3">
        <f>IFERROR(__xludf.DUMMYFUNCTION("INDEX(SPLIT(H31,"" ""),1)"),4.0)</f>
        <v>4</v>
      </c>
      <c r="N31" s="3" t="str">
        <f>IFERROR(__xludf.DUMMYFUNCTION("MID(REGEXEXTRACT(H31,"" [^ ]* [^ ]*""),2,300)"),"vibrant blue")</f>
        <v>vibrant blue</v>
      </c>
      <c r="O31" s="3" t="str">
        <f>IFERROR(__xludf.DUMMYFUNCTION("INDEX(SPLIT(I31,"" ""),1)"),"#REF!")</f>
        <v>#REF!</v>
      </c>
      <c r="P31" s="3" t="str">
        <f>IFERROR(__xludf.DUMMYFUNCTION("MID(REGEXEXTRACT(I31,"" [^ ]* [^ ]*""),2,300)"),"#REF!")</f>
        <v>#REF!</v>
      </c>
      <c r="Q31" s="3" t="str">
        <f>IFERROR(__xludf.DUMMYFUNCTION("INDEX(SPLIT(J31,"" ""),1)"),"#REF!")</f>
        <v>#REF!</v>
      </c>
      <c r="R31" s="3" t="str">
        <f>IFERROR(__xludf.DUMMYFUNCTION("MID(REGEXEXTRACT(J31,"" [^ ]* [^ ]*""),2,300)"),"#REF!")</f>
        <v>#REF!</v>
      </c>
      <c r="S31" s="3">
        <f t="shared" si="2"/>
        <v>1</v>
      </c>
      <c r="T31" s="3" t="str">
        <f t="shared" si="3"/>
        <v>wavy chartreuse</v>
      </c>
      <c r="U31" s="3">
        <f t="shared" si="4"/>
        <v>4</v>
      </c>
      <c r="V31" s="3" t="str">
        <f t="shared" si="5"/>
        <v>vibrant blue</v>
      </c>
      <c r="W31" s="3" t="str">
        <f t="shared" si="6"/>
        <v/>
      </c>
      <c r="X31" s="3" t="str">
        <f t="shared" si="7"/>
        <v/>
      </c>
      <c r="Y31" s="3" t="str">
        <f t="shared" si="8"/>
        <v/>
      </c>
      <c r="Z31" s="3" t="str">
        <f t="shared" si="9"/>
        <v/>
      </c>
      <c r="AA31" s="13">
        <f t="shared" si="10"/>
        <v>6182</v>
      </c>
      <c r="AB31" s="3">
        <f t="shared" si="11"/>
        <v>6181</v>
      </c>
      <c r="AC31" s="3">
        <f t="shared" si="12"/>
        <v>1</v>
      </c>
      <c r="AD31" s="3">
        <f t="shared" si="13"/>
        <v>1</v>
      </c>
      <c r="AE31" s="3">
        <f t="shared" si="14"/>
        <v>4</v>
      </c>
      <c r="AF31" s="3">
        <f t="shared" si="15"/>
        <v>1545</v>
      </c>
      <c r="AG31" s="3" t="str">
        <f t="shared" si="16"/>
        <v/>
      </c>
      <c r="AH31" s="3">
        <f t="shared" si="17"/>
        <v>0</v>
      </c>
      <c r="AI31" s="3" t="str">
        <f t="shared" si="18"/>
        <v/>
      </c>
      <c r="AJ31" s="3">
        <f t="shared" si="19"/>
        <v>0</v>
      </c>
    </row>
    <row r="32">
      <c r="C32" s="6" t="s">
        <v>32</v>
      </c>
      <c r="D32" s="3">
        <f t="shared" si="1"/>
        <v>1</v>
      </c>
      <c r="E32" s="3" t="str">
        <f>IFERROR(__xludf.DUMMYFUNCTION("REGEXEXTRACT(C32,""[^ ]* [^ ]*"")"),"drab bronze")</f>
        <v>drab bronze</v>
      </c>
      <c r="F32" s="3" t="str">
        <f>IFERROR(__xludf.DUMMYFUNCTION("MID(REGEXEXTRACT(C32,""contain.*$""),9,300)"),"2 mirrored gray bags, 3 vibrant plum bags.")</f>
        <v>2 mirrored gray bags, 3 vibrant plum bags.</v>
      </c>
      <c r="G32" s="3" t="str">
        <f>IFERROR(__xludf.DUMMYFUNCTION("INDEX(SPLIT($F32,"",""),COLUMN()-6)"),"2 mirrored gray bags")</f>
        <v>2 mirrored gray bags</v>
      </c>
      <c r="H32" s="3" t="str">
        <f>IFERROR(__xludf.DUMMYFUNCTION("MID(INDEX(SPLIT($F32,"",""),COLUMN()-6),2,300)"),"3 vibrant plum bags.")</f>
        <v>3 vibrant plum bags.</v>
      </c>
      <c r="I32" s="3" t="str">
        <f>IFERROR(__xludf.DUMMYFUNCTION("MID(INDEX(SPLIT($F32,"",""),COLUMN()-6),2,300)"),"#REF!")</f>
        <v>#REF!</v>
      </c>
      <c r="J32" s="3" t="str">
        <f>IFERROR(__xludf.DUMMYFUNCTION("MID(INDEX(SPLIT($F32,"",""),COLUMN()-6),2,300)"),"#REF!")</f>
        <v>#REF!</v>
      </c>
      <c r="K32" s="3">
        <f>IFERROR(__xludf.DUMMYFUNCTION("INDEX(SPLIT(G32,"" ""),1)"),2.0)</f>
        <v>2</v>
      </c>
      <c r="L32" s="3" t="str">
        <f>IFERROR(__xludf.DUMMYFUNCTION("REGEXEXTRACT(G32,"" [^ ]* [^ ]* "")")," mirrored gray ")</f>
        <v> mirrored gray </v>
      </c>
      <c r="M32" s="3">
        <f>IFERROR(__xludf.DUMMYFUNCTION("INDEX(SPLIT(H32,"" ""),1)"),3.0)</f>
        <v>3</v>
      </c>
      <c r="N32" s="3" t="str">
        <f>IFERROR(__xludf.DUMMYFUNCTION("MID(REGEXEXTRACT(H32,"" [^ ]* [^ ]*""),2,300)"),"vibrant plum")</f>
        <v>vibrant plum</v>
      </c>
      <c r="O32" s="3" t="str">
        <f>IFERROR(__xludf.DUMMYFUNCTION("INDEX(SPLIT(I32,"" ""),1)"),"#REF!")</f>
        <v>#REF!</v>
      </c>
      <c r="P32" s="3" t="str">
        <f>IFERROR(__xludf.DUMMYFUNCTION("MID(REGEXEXTRACT(I32,"" [^ ]* [^ ]*""),2,300)"),"#REF!")</f>
        <v>#REF!</v>
      </c>
      <c r="Q32" s="3" t="str">
        <f>IFERROR(__xludf.DUMMYFUNCTION("INDEX(SPLIT(J32,"" ""),1)"),"#REF!")</f>
        <v>#REF!</v>
      </c>
      <c r="R32" s="3" t="str">
        <f>IFERROR(__xludf.DUMMYFUNCTION("MID(REGEXEXTRACT(J32,"" [^ ]* [^ ]*""),2,300)"),"#REF!")</f>
        <v>#REF!</v>
      </c>
      <c r="S32" s="3">
        <f t="shared" si="2"/>
        <v>2</v>
      </c>
      <c r="T32" s="3" t="str">
        <f t="shared" si="3"/>
        <v>mirrored gray</v>
      </c>
      <c r="U32" s="3">
        <f t="shared" si="4"/>
        <v>3</v>
      </c>
      <c r="V32" s="3" t="str">
        <f t="shared" si="5"/>
        <v>vibrant plum</v>
      </c>
      <c r="W32" s="3" t="str">
        <f t="shared" si="6"/>
        <v/>
      </c>
      <c r="X32" s="3" t="str">
        <f t="shared" si="7"/>
        <v/>
      </c>
      <c r="Y32" s="3" t="str">
        <f t="shared" si="8"/>
        <v/>
      </c>
      <c r="Z32" s="3" t="str">
        <f t="shared" si="9"/>
        <v/>
      </c>
      <c r="AA32" s="13">
        <f t="shared" si="10"/>
        <v>79943</v>
      </c>
      <c r="AB32" s="3">
        <f t="shared" si="11"/>
        <v>79942</v>
      </c>
      <c r="AC32" s="3">
        <f t="shared" si="12"/>
        <v>2</v>
      </c>
      <c r="AD32" s="3">
        <f t="shared" si="13"/>
        <v>8</v>
      </c>
      <c r="AE32" s="3">
        <f t="shared" si="14"/>
        <v>3</v>
      </c>
      <c r="AF32" s="3">
        <f t="shared" si="15"/>
        <v>26642</v>
      </c>
      <c r="AG32" s="3" t="str">
        <f t="shared" si="16"/>
        <v/>
      </c>
      <c r="AH32" s="3">
        <f t="shared" si="17"/>
        <v>0</v>
      </c>
      <c r="AI32" s="3" t="str">
        <f t="shared" si="18"/>
        <v/>
      </c>
      <c r="AJ32" s="3">
        <f t="shared" si="19"/>
        <v>0</v>
      </c>
    </row>
    <row r="33">
      <c r="C33" s="6" t="s">
        <v>33</v>
      </c>
      <c r="D33" s="3">
        <f t="shared" si="1"/>
        <v>3</v>
      </c>
      <c r="E33" s="3" t="str">
        <f>IFERROR(__xludf.DUMMYFUNCTION("REGEXEXTRACT(C33,""[^ ]* [^ ]*"")"),"muted blue")</f>
        <v>muted blue</v>
      </c>
      <c r="F33" s="3" t="str">
        <f>IFERROR(__xludf.DUMMYFUNCTION("MID(REGEXEXTRACT(C33,""contain.*$""),9,300)"),"1 bright brown bag, 2 pale coral bags, 5 plaid purple bags, 4 dim lavender bags.")</f>
        <v>1 bright brown bag, 2 pale coral bags, 5 plaid purple bags, 4 dim lavender bags.</v>
      </c>
      <c r="G33" s="3" t="str">
        <f>IFERROR(__xludf.DUMMYFUNCTION("INDEX(SPLIT($F33,"",""),COLUMN()-6)"),"1 bright brown bag")</f>
        <v>1 bright brown bag</v>
      </c>
      <c r="H33" s="3" t="str">
        <f>IFERROR(__xludf.DUMMYFUNCTION("MID(INDEX(SPLIT($F33,"",""),COLUMN()-6),2,300)"),"2 pale coral bags")</f>
        <v>2 pale coral bags</v>
      </c>
      <c r="I33" s="3" t="str">
        <f>IFERROR(__xludf.DUMMYFUNCTION("MID(INDEX(SPLIT($F33,"",""),COLUMN()-6),2,300)"),"5 plaid purple bags")</f>
        <v>5 plaid purple bags</v>
      </c>
      <c r="J33" s="3" t="str">
        <f>IFERROR(__xludf.DUMMYFUNCTION("MID(INDEX(SPLIT($F33,"",""),COLUMN()-6),2,300)"),"4 dim lavender bags.")</f>
        <v>4 dim lavender bags.</v>
      </c>
      <c r="K33" s="3">
        <f>IFERROR(__xludf.DUMMYFUNCTION("INDEX(SPLIT(G33,"" ""),1)"),1.0)</f>
        <v>1</v>
      </c>
      <c r="L33" s="3" t="str">
        <f>IFERROR(__xludf.DUMMYFUNCTION("REGEXEXTRACT(G33,"" [^ ]* [^ ]* "")")," bright brown ")</f>
        <v> bright brown </v>
      </c>
      <c r="M33" s="3">
        <f>IFERROR(__xludf.DUMMYFUNCTION("INDEX(SPLIT(H33,"" ""),1)"),2.0)</f>
        <v>2</v>
      </c>
      <c r="N33" s="3" t="str">
        <f>IFERROR(__xludf.DUMMYFUNCTION("MID(REGEXEXTRACT(H33,"" [^ ]* [^ ]*""),2,300)"),"pale coral")</f>
        <v>pale coral</v>
      </c>
      <c r="O33" s="3">
        <f>IFERROR(__xludf.DUMMYFUNCTION("INDEX(SPLIT(I33,"" ""),1)"),5.0)</f>
        <v>5</v>
      </c>
      <c r="P33" s="3" t="str">
        <f>IFERROR(__xludf.DUMMYFUNCTION("MID(REGEXEXTRACT(I33,"" [^ ]* [^ ]*""),2,300)"),"plaid purple")</f>
        <v>plaid purple</v>
      </c>
      <c r="Q33" s="3">
        <f>IFERROR(__xludf.DUMMYFUNCTION("INDEX(SPLIT(J33,"" ""),1)"),4.0)</f>
        <v>4</v>
      </c>
      <c r="R33" s="3" t="str">
        <f>IFERROR(__xludf.DUMMYFUNCTION("MID(REGEXEXTRACT(J33,"" [^ ]* [^ ]*""),2,300)"),"dim lavender")</f>
        <v>dim lavender</v>
      </c>
      <c r="S33" s="3">
        <f t="shared" si="2"/>
        <v>1</v>
      </c>
      <c r="T33" s="3" t="str">
        <f t="shared" si="3"/>
        <v>bright brown</v>
      </c>
      <c r="U33" s="3">
        <f t="shared" si="4"/>
        <v>2</v>
      </c>
      <c r="V33" s="3" t="str">
        <f t="shared" si="5"/>
        <v>pale coral</v>
      </c>
      <c r="W33" s="3">
        <f t="shared" si="6"/>
        <v>5</v>
      </c>
      <c r="X33" s="3" t="str">
        <f t="shared" si="7"/>
        <v>plaid purple</v>
      </c>
      <c r="Y33" s="3">
        <f t="shared" si="8"/>
        <v>4</v>
      </c>
      <c r="Z33" s="3" t="str">
        <f t="shared" si="9"/>
        <v>dim lavender</v>
      </c>
      <c r="AA33" s="13">
        <f t="shared" si="10"/>
        <v>3381607</v>
      </c>
      <c r="AB33" s="3">
        <f t="shared" si="11"/>
        <v>3381606</v>
      </c>
      <c r="AC33" s="3">
        <f t="shared" si="12"/>
        <v>1</v>
      </c>
      <c r="AD33" s="3">
        <f t="shared" si="13"/>
        <v>1</v>
      </c>
      <c r="AE33" s="3">
        <f t="shared" si="14"/>
        <v>2</v>
      </c>
      <c r="AF33" s="3">
        <f t="shared" si="15"/>
        <v>79927</v>
      </c>
      <c r="AG33" s="3">
        <f t="shared" si="16"/>
        <v>5</v>
      </c>
      <c r="AH33" s="3">
        <f t="shared" si="17"/>
        <v>27231</v>
      </c>
      <c r="AI33" s="3">
        <f t="shared" si="18"/>
        <v>4</v>
      </c>
      <c r="AJ33" s="3">
        <f t="shared" si="19"/>
        <v>771399</v>
      </c>
    </row>
    <row r="34">
      <c r="C34" s="6" t="s">
        <v>34</v>
      </c>
      <c r="D34" s="3">
        <f t="shared" si="1"/>
        <v>0</v>
      </c>
      <c r="E34" s="3" t="str">
        <f>IFERROR(__xludf.DUMMYFUNCTION("REGEXEXTRACT(C34,""[^ ]* [^ ]*"")"),"striped indigo")</f>
        <v>striped indigo</v>
      </c>
      <c r="F34" s="3" t="str">
        <f>IFERROR(__xludf.DUMMYFUNCTION("MID(REGEXEXTRACT(C34,""contain.*$""),9,300)"),"5 dark salmon bags.")</f>
        <v>5 dark salmon bags.</v>
      </c>
      <c r="G34" s="3" t="str">
        <f>IFERROR(__xludf.DUMMYFUNCTION("INDEX(SPLIT($F34,"",""),COLUMN()-6)"),"5 dark salmon bags.")</f>
        <v>5 dark salmon bags.</v>
      </c>
      <c r="H34" s="3" t="str">
        <f>IFERROR(__xludf.DUMMYFUNCTION("MID(INDEX(SPLIT($F34,"",""),COLUMN()-6),2,300)"),"#REF!")</f>
        <v>#REF!</v>
      </c>
      <c r="I34" s="3" t="str">
        <f>IFERROR(__xludf.DUMMYFUNCTION("MID(INDEX(SPLIT($F34,"",""),COLUMN()-6),2,300)"),"#REF!")</f>
        <v>#REF!</v>
      </c>
      <c r="J34" s="3" t="str">
        <f>IFERROR(__xludf.DUMMYFUNCTION("MID(INDEX(SPLIT($F34,"",""),COLUMN()-6),2,300)"),"#REF!")</f>
        <v>#REF!</v>
      </c>
      <c r="K34" s="3">
        <f>IFERROR(__xludf.DUMMYFUNCTION("INDEX(SPLIT(G34,"" ""),1)"),5.0)</f>
        <v>5</v>
      </c>
      <c r="L34" s="3" t="str">
        <f>IFERROR(__xludf.DUMMYFUNCTION("REGEXEXTRACT(G34,"" [^ ]* [^ ]* "")")," dark salmon ")</f>
        <v> dark salmon </v>
      </c>
      <c r="M34" s="3" t="str">
        <f>IFERROR(__xludf.DUMMYFUNCTION("INDEX(SPLIT(H34,"" ""),1)"),"#REF!")</f>
        <v>#REF!</v>
      </c>
      <c r="N34" s="3" t="str">
        <f>IFERROR(__xludf.DUMMYFUNCTION("MID(REGEXEXTRACT(H34,"" [^ ]* [^ ]*""),2,300)"),"#REF!")</f>
        <v>#REF!</v>
      </c>
      <c r="O34" s="3" t="str">
        <f>IFERROR(__xludf.DUMMYFUNCTION("INDEX(SPLIT(I34,"" ""),1)"),"#REF!")</f>
        <v>#REF!</v>
      </c>
      <c r="P34" s="3" t="str">
        <f>IFERROR(__xludf.DUMMYFUNCTION("MID(REGEXEXTRACT(I34,"" [^ ]* [^ ]*""),2,300)"),"#REF!")</f>
        <v>#REF!</v>
      </c>
      <c r="Q34" s="3" t="str">
        <f>IFERROR(__xludf.DUMMYFUNCTION("INDEX(SPLIT(J34,"" ""),1)"),"#REF!")</f>
        <v>#REF!</v>
      </c>
      <c r="R34" s="3" t="str">
        <f>IFERROR(__xludf.DUMMYFUNCTION("MID(REGEXEXTRACT(J34,"" [^ ]* [^ ]*""),2,300)"),"#REF!")</f>
        <v>#REF!</v>
      </c>
      <c r="S34" s="3">
        <f t="shared" si="2"/>
        <v>5</v>
      </c>
      <c r="T34" s="3" t="str">
        <f t="shared" si="3"/>
        <v>dark salmon</v>
      </c>
      <c r="U34" s="3" t="str">
        <f t="shared" si="4"/>
        <v/>
      </c>
      <c r="V34" s="3" t="str">
        <f t="shared" si="5"/>
        <v/>
      </c>
      <c r="W34" s="3" t="str">
        <f t="shared" si="6"/>
        <v/>
      </c>
      <c r="X34" s="3" t="str">
        <f t="shared" si="7"/>
        <v/>
      </c>
      <c r="Y34" s="3" t="str">
        <f t="shared" si="8"/>
        <v/>
      </c>
      <c r="Z34" s="3" t="str">
        <f t="shared" si="9"/>
        <v/>
      </c>
      <c r="AA34" s="13">
        <f t="shared" si="10"/>
        <v>1881044201</v>
      </c>
      <c r="AB34" s="3">
        <f t="shared" si="11"/>
        <v>1881044200</v>
      </c>
      <c r="AC34" s="3">
        <f t="shared" si="12"/>
        <v>5</v>
      </c>
      <c r="AD34" s="3">
        <f t="shared" si="13"/>
        <v>376208840</v>
      </c>
      <c r="AE34" s="3" t="str">
        <f t="shared" si="14"/>
        <v/>
      </c>
      <c r="AF34" s="3">
        <f t="shared" si="15"/>
        <v>0</v>
      </c>
      <c r="AG34" s="3" t="str">
        <f t="shared" si="16"/>
        <v/>
      </c>
      <c r="AH34" s="3">
        <f t="shared" si="17"/>
        <v>0</v>
      </c>
      <c r="AI34" s="3" t="str">
        <f t="shared" si="18"/>
        <v/>
      </c>
      <c r="AJ34" s="3">
        <f t="shared" si="19"/>
        <v>0</v>
      </c>
    </row>
    <row r="35">
      <c r="C35" s="6" t="s">
        <v>35</v>
      </c>
      <c r="D35" s="3">
        <f t="shared" si="1"/>
        <v>2</v>
      </c>
      <c r="E35" s="3" t="str">
        <f>IFERROR(__xludf.DUMMYFUNCTION("REGEXEXTRACT(C35,""[^ ]* [^ ]*"")"),"shiny tan")</f>
        <v>shiny tan</v>
      </c>
      <c r="F35" s="3" t="str">
        <f>IFERROR(__xludf.DUMMYFUNCTION("MID(REGEXEXTRACT(C35,""contain.*$""),9,300)"),"2 faded bronze bags, 3 mirrored lavender bags, 2 mirrored cyan bags.")</f>
        <v>2 faded bronze bags, 3 mirrored lavender bags, 2 mirrored cyan bags.</v>
      </c>
      <c r="G35" s="3" t="str">
        <f>IFERROR(__xludf.DUMMYFUNCTION("INDEX(SPLIT($F35,"",""),COLUMN()-6)"),"2 faded bronze bags")</f>
        <v>2 faded bronze bags</v>
      </c>
      <c r="H35" s="3" t="str">
        <f>IFERROR(__xludf.DUMMYFUNCTION("MID(INDEX(SPLIT($F35,"",""),COLUMN()-6),2,300)"),"3 mirrored lavender bags")</f>
        <v>3 mirrored lavender bags</v>
      </c>
      <c r="I35" s="3" t="str">
        <f>IFERROR(__xludf.DUMMYFUNCTION("MID(INDEX(SPLIT($F35,"",""),COLUMN()-6),2,300)"),"2 mirrored cyan bags.")</f>
        <v>2 mirrored cyan bags.</v>
      </c>
      <c r="J35" s="3" t="str">
        <f>IFERROR(__xludf.DUMMYFUNCTION("MID(INDEX(SPLIT($F35,"",""),COLUMN()-6),2,300)"),"#REF!")</f>
        <v>#REF!</v>
      </c>
      <c r="K35" s="3">
        <f>IFERROR(__xludf.DUMMYFUNCTION("INDEX(SPLIT(G35,"" ""),1)"),2.0)</f>
        <v>2</v>
      </c>
      <c r="L35" s="3" t="str">
        <f>IFERROR(__xludf.DUMMYFUNCTION("REGEXEXTRACT(G35,"" [^ ]* [^ ]* "")")," faded bronze ")</f>
        <v> faded bronze </v>
      </c>
      <c r="M35" s="3">
        <f>IFERROR(__xludf.DUMMYFUNCTION("INDEX(SPLIT(H35,"" ""),1)"),3.0)</f>
        <v>3</v>
      </c>
      <c r="N35" s="3" t="str">
        <f>IFERROR(__xludf.DUMMYFUNCTION("MID(REGEXEXTRACT(H35,"" [^ ]* [^ ]*""),2,300)"),"mirrored lavender")</f>
        <v>mirrored lavender</v>
      </c>
      <c r="O35" s="3">
        <f>IFERROR(__xludf.DUMMYFUNCTION("INDEX(SPLIT(I35,"" ""),1)"),2.0)</f>
        <v>2</v>
      </c>
      <c r="P35" s="3" t="str">
        <f>IFERROR(__xludf.DUMMYFUNCTION("MID(REGEXEXTRACT(I35,"" [^ ]* [^ ]*""),2,300)"),"mirrored cyan")</f>
        <v>mirrored cyan</v>
      </c>
      <c r="Q35" s="3" t="str">
        <f>IFERROR(__xludf.DUMMYFUNCTION("INDEX(SPLIT(J35,"" ""),1)"),"#REF!")</f>
        <v>#REF!</v>
      </c>
      <c r="R35" s="3" t="str">
        <f>IFERROR(__xludf.DUMMYFUNCTION("MID(REGEXEXTRACT(J35,"" [^ ]* [^ ]*""),2,300)"),"#REF!")</f>
        <v>#REF!</v>
      </c>
      <c r="S35" s="3">
        <f t="shared" si="2"/>
        <v>2</v>
      </c>
      <c r="T35" s="3" t="str">
        <f t="shared" si="3"/>
        <v>faded bronze</v>
      </c>
      <c r="U35" s="3">
        <f t="shared" si="4"/>
        <v>3</v>
      </c>
      <c r="V35" s="3" t="str">
        <f t="shared" si="5"/>
        <v>mirrored lavender</v>
      </c>
      <c r="W35" s="3">
        <f t="shared" si="6"/>
        <v>2</v>
      </c>
      <c r="X35" s="3" t="str">
        <f t="shared" si="7"/>
        <v>mirrored cyan</v>
      </c>
      <c r="Y35" s="3" t="str">
        <f t="shared" si="8"/>
        <v/>
      </c>
      <c r="Z35" s="3" t="str">
        <f t="shared" si="9"/>
        <v/>
      </c>
      <c r="AA35" s="13">
        <f t="shared" si="10"/>
        <v>69856</v>
      </c>
      <c r="AB35" s="3">
        <f t="shared" si="11"/>
        <v>69855</v>
      </c>
      <c r="AC35" s="3">
        <f t="shared" si="12"/>
        <v>2</v>
      </c>
      <c r="AD35" s="3">
        <f t="shared" si="13"/>
        <v>24729</v>
      </c>
      <c r="AE35" s="3">
        <f t="shared" si="14"/>
        <v>3</v>
      </c>
      <c r="AF35" s="3">
        <f t="shared" si="15"/>
        <v>5563</v>
      </c>
      <c r="AG35" s="3">
        <f t="shared" si="16"/>
        <v>2</v>
      </c>
      <c r="AH35" s="3">
        <f t="shared" si="17"/>
        <v>1854</v>
      </c>
      <c r="AI35" s="3" t="str">
        <f t="shared" si="18"/>
        <v/>
      </c>
      <c r="AJ35" s="3">
        <f t="shared" si="19"/>
        <v>0</v>
      </c>
    </row>
    <row r="36">
      <c r="C36" s="6" t="s">
        <v>36</v>
      </c>
      <c r="D36" s="3">
        <f t="shared" si="1"/>
        <v>2</v>
      </c>
      <c r="E36" s="3" t="str">
        <f>IFERROR(__xludf.DUMMYFUNCTION("REGEXEXTRACT(C36,""[^ ]* [^ ]*"")"),"dim red")</f>
        <v>dim red</v>
      </c>
      <c r="F36" s="3" t="str">
        <f>IFERROR(__xludf.DUMMYFUNCTION("MID(REGEXEXTRACT(C36,""contain.*$""),9,300)"),"5 dull salmon bags, 3 dim purple bags, 2 striped crimson bags.")</f>
        <v>5 dull salmon bags, 3 dim purple bags, 2 striped crimson bags.</v>
      </c>
      <c r="G36" s="3" t="str">
        <f>IFERROR(__xludf.DUMMYFUNCTION("INDEX(SPLIT($F36,"",""),COLUMN()-6)"),"5 dull salmon bags")</f>
        <v>5 dull salmon bags</v>
      </c>
      <c r="H36" s="3" t="str">
        <f>IFERROR(__xludf.DUMMYFUNCTION("MID(INDEX(SPLIT($F36,"",""),COLUMN()-6),2,300)"),"3 dim purple bags")</f>
        <v>3 dim purple bags</v>
      </c>
      <c r="I36" s="3" t="str">
        <f>IFERROR(__xludf.DUMMYFUNCTION("MID(INDEX(SPLIT($F36,"",""),COLUMN()-6),2,300)"),"2 striped crimson bags.")</f>
        <v>2 striped crimson bags.</v>
      </c>
      <c r="J36" s="3" t="str">
        <f>IFERROR(__xludf.DUMMYFUNCTION("MID(INDEX(SPLIT($F36,"",""),COLUMN()-6),2,300)"),"#REF!")</f>
        <v>#REF!</v>
      </c>
      <c r="K36" s="3">
        <f>IFERROR(__xludf.DUMMYFUNCTION("INDEX(SPLIT(G36,"" ""),1)"),5.0)</f>
        <v>5</v>
      </c>
      <c r="L36" s="3" t="str">
        <f>IFERROR(__xludf.DUMMYFUNCTION("REGEXEXTRACT(G36,"" [^ ]* [^ ]* "")")," dull salmon ")</f>
        <v> dull salmon </v>
      </c>
      <c r="M36" s="3">
        <f>IFERROR(__xludf.DUMMYFUNCTION("INDEX(SPLIT(H36,"" ""),1)"),3.0)</f>
        <v>3</v>
      </c>
      <c r="N36" s="3" t="str">
        <f>IFERROR(__xludf.DUMMYFUNCTION("MID(REGEXEXTRACT(H36,"" [^ ]* [^ ]*""),2,300)"),"dim purple")</f>
        <v>dim purple</v>
      </c>
      <c r="O36" s="3">
        <f>IFERROR(__xludf.DUMMYFUNCTION("INDEX(SPLIT(I36,"" ""),1)"),2.0)</f>
        <v>2</v>
      </c>
      <c r="P36" s="3" t="str">
        <f>IFERROR(__xludf.DUMMYFUNCTION("MID(REGEXEXTRACT(I36,"" [^ ]* [^ ]*""),2,300)"),"striped crimson")</f>
        <v>striped crimson</v>
      </c>
      <c r="Q36" s="3" t="str">
        <f>IFERROR(__xludf.DUMMYFUNCTION("INDEX(SPLIT(J36,"" ""),1)"),"#REF!")</f>
        <v>#REF!</v>
      </c>
      <c r="R36" s="3" t="str">
        <f>IFERROR(__xludf.DUMMYFUNCTION("MID(REGEXEXTRACT(J36,"" [^ ]* [^ ]*""),2,300)"),"#REF!")</f>
        <v>#REF!</v>
      </c>
      <c r="S36" s="3">
        <f t="shared" si="2"/>
        <v>5</v>
      </c>
      <c r="T36" s="3" t="str">
        <f t="shared" si="3"/>
        <v>dull salmon</v>
      </c>
      <c r="U36" s="3">
        <f t="shared" si="4"/>
        <v>3</v>
      </c>
      <c r="V36" s="3" t="str">
        <f t="shared" si="5"/>
        <v>dim purple</v>
      </c>
      <c r="W36" s="3">
        <f t="shared" si="6"/>
        <v>2</v>
      </c>
      <c r="X36" s="3" t="str">
        <f t="shared" si="7"/>
        <v>striped crimson</v>
      </c>
      <c r="Y36" s="3" t="str">
        <f t="shared" si="8"/>
        <v/>
      </c>
      <c r="Z36" s="3" t="str">
        <f t="shared" si="9"/>
        <v/>
      </c>
      <c r="AA36" s="13">
        <f t="shared" si="10"/>
        <v>18012427</v>
      </c>
      <c r="AB36" s="3">
        <f t="shared" si="11"/>
        <v>18012426</v>
      </c>
      <c r="AC36" s="3">
        <f t="shared" si="12"/>
        <v>5</v>
      </c>
      <c r="AD36" s="3">
        <f t="shared" si="13"/>
        <v>2893451</v>
      </c>
      <c r="AE36" s="3">
        <f t="shared" si="14"/>
        <v>3</v>
      </c>
      <c r="AF36" s="3">
        <f t="shared" si="15"/>
        <v>1160117</v>
      </c>
      <c r="AG36" s="3">
        <f t="shared" si="16"/>
        <v>2</v>
      </c>
      <c r="AH36" s="3">
        <f t="shared" si="17"/>
        <v>32410</v>
      </c>
      <c r="AI36" s="3" t="str">
        <f t="shared" si="18"/>
        <v/>
      </c>
      <c r="AJ36" s="3">
        <f t="shared" si="19"/>
        <v>0</v>
      </c>
    </row>
    <row r="37">
      <c r="C37" s="6" t="s">
        <v>37</v>
      </c>
      <c r="D37" s="3">
        <f t="shared" si="1"/>
        <v>2</v>
      </c>
      <c r="E37" s="3" t="str">
        <f>IFERROR(__xludf.DUMMYFUNCTION("REGEXEXTRACT(C37,""[^ ]* [^ ]*"")"),"plaid gray")</f>
        <v>plaid gray</v>
      </c>
      <c r="F37" s="3" t="str">
        <f>IFERROR(__xludf.DUMMYFUNCTION("MID(REGEXEXTRACT(C37,""contain.*$""),9,300)"),"5 bright violet bags, 4 vibrant aqua bags, 4 dull tomato bags.")</f>
        <v>5 bright violet bags, 4 vibrant aqua bags, 4 dull tomato bags.</v>
      </c>
      <c r="G37" s="3" t="str">
        <f>IFERROR(__xludf.DUMMYFUNCTION("INDEX(SPLIT($F37,"",""),COLUMN()-6)"),"5 bright violet bags")</f>
        <v>5 bright violet bags</v>
      </c>
      <c r="H37" s="3" t="str">
        <f>IFERROR(__xludf.DUMMYFUNCTION("MID(INDEX(SPLIT($F37,"",""),COLUMN()-6),2,300)"),"4 vibrant aqua bags")</f>
        <v>4 vibrant aqua bags</v>
      </c>
      <c r="I37" s="3" t="str">
        <f>IFERROR(__xludf.DUMMYFUNCTION("MID(INDEX(SPLIT($F37,"",""),COLUMN()-6),2,300)"),"4 dull tomato bags.")</f>
        <v>4 dull tomato bags.</v>
      </c>
      <c r="J37" s="3" t="str">
        <f>IFERROR(__xludf.DUMMYFUNCTION("MID(INDEX(SPLIT($F37,"",""),COLUMN()-6),2,300)"),"#REF!")</f>
        <v>#REF!</v>
      </c>
      <c r="K37" s="3">
        <f>IFERROR(__xludf.DUMMYFUNCTION("INDEX(SPLIT(G37,"" ""),1)"),5.0)</f>
        <v>5</v>
      </c>
      <c r="L37" s="3" t="str">
        <f>IFERROR(__xludf.DUMMYFUNCTION("REGEXEXTRACT(G37,"" [^ ]* [^ ]* "")")," bright violet ")</f>
        <v> bright violet </v>
      </c>
      <c r="M37" s="3">
        <f>IFERROR(__xludf.DUMMYFUNCTION("INDEX(SPLIT(H37,"" ""),1)"),4.0)</f>
        <v>4</v>
      </c>
      <c r="N37" s="3" t="str">
        <f>IFERROR(__xludf.DUMMYFUNCTION("MID(REGEXEXTRACT(H37,"" [^ ]* [^ ]*""),2,300)"),"vibrant aqua")</f>
        <v>vibrant aqua</v>
      </c>
      <c r="O37" s="3">
        <f>IFERROR(__xludf.DUMMYFUNCTION("INDEX(SPLIT(I37,"" ""),1)"),4.0)</f>
        <v>4</v>
      </c>
      <c r="P37" s="3" t="str">
        <f>IFERROR(__xludf.DUMMYFUNCTION("MID(REGEXEXTRACT(I37,"" [^ ]* [^ ]*""),2,300)"),"dull tomato")</f>
        <v>dull tomato</v>
      </c>
      <c r="Q37" s="3" t="str">
        <f>IFERROR(__xludf.DUMMYFUNCTION("INDEX(SPLIT(J37,"" ""),1)"),"#REF!")</f>
        <v>#REF!</v>
      </c>
      <c r="R37" s="3" t="str">
        <f>IFERROR(__xludf.DUMMYFUNCTION("MID(REGEXEXTRACT(J37,"" [^ ]* [^ ]*""),2,300)"),"#REF!")</f>
        <v>#REF!</v>
      </c>
      <c r="S37" s="3">
        <f t="shared" si="2"/>
        <v>5</v>
      </c>
      <c r="T37" s="3" t="str">
        <f t="shared" si="3"/>
        <v>bright violet</v>
      </c>
      <c r="U37" s="3">
        <f t="shared" si="4"/>
        <v>4</v>
      </c>
      <c r="V37" s="3" t="str">
        <f t="shared" si="5"/>
        <v>vibrant aqua</v>
      </c>
      <c r="W37" s="3">
        <f t="shared" si="6"/>
        <v>4</v>
      </c>
      <c r="X37" s="3" t="str">
        <f t="shared" si="7"/>
        <v>dull tomato</v>
      </c>
      <c r="Y37" s="3" t="str">
        <f t="shared" si="8"/>
        <v/>
      </c>
      <c r="Z37" s="3" t="str">
        <f t="shared" si="9"/>
        <v/>
      </c>
      <c r="AA37" s="13">
        <f t="shared" si="10"/>
        <v>54</v>
      </c>
      <c r="AB37" s="3">
        <f t="shared" si="11"/>
        <v>53</v>
      </c>
      <c r="AC37" s="3">
        <f t="shared" si="12"/>
        <v>5</v>
      </c>
      <c r="AD37" s="3">
        <f t="shared" si="13"/>
        <v>1</v>
      </c>
      <c r="AE37" s="3">
        <f t="shared" si="14"/>
        <v>4</v>
      </c>
      <c r="AF37" s="3">
        <f t="shared" si="15"/>
        <v>1</v>
      </c>
      <c r="AG37" s="3">
        <f t="shared" si="16"/>
        <v>4</v>
      </c>
      <c r="AH37" s="3">
        <f t="shared" si="17"/>
        <v>11</v>
      </c>
      <c r="AI37" s="3" t="str">
        <f t="shared" si="18"/>
        <v/>
      </c>
      <c r="AJ37" s="3">
        <f t="shared" si="19"/>
        <v>0</v>
      </c>
    </row>
    <row r="38">
      <c r="C38" s="6" t="s">
        <v>38</v>
      </c>
      <c r="D38" s="3">
        <f t="shared" si="1"/>
        <v>1</v>
      </c>
      <c r="E38" s="3" t="str">
        <f>IFERROR(__xludf.DUMMYFUNCTION("REGEXEXTRACT(C38,""[^ ]* [^ ]*"")"),"dotted white")</f>
        <v>dotted white</v>
      </c>
      <c r="F38" s="3" t="str">
        <f>IFERROR(__xludf.DUMMYFUNCTION("MID(REGEXEXTRACT(C38,""contain.*$""),9,300)"),"1 drab brown bag, 5 light brown bags.")</f>
        <v>1 drab brown bag, 5 light brown bags.</v>
      </c>
      <c r="G38" s="3" t="str">
        <f>IFERROR(__xludf.DUMMYFUNCTION("INDEX(SPLIT($F38,"",""),COLUMN()-6)"),"1 drab brown bag")</f>
        <v>1 drab brown bag</v>
      </c>
      <c r="H38" s="3" t="str">
        <f>IFERROR(__xludf.DUMMYFUNCTION("MID(INDEX(SPLIT($F38,"",""),COLUMN()-6),2,300)"),"5 light brown bags.")</f>
        <v>5 light brown bags.</v>
      </c>
      <c r="I38" s="3" t="str">
        <f>IFERROR(__xludf.DUMMYFUNCTION("MID(INDEX(SPLIT($F38,"",""),COLUMN()-6),2,300)"),"#REF!")</f>
        <v>#REF!</v>
      </c>
      <c r="J38" s="3" t="str">
        <f>IFERROR(__xludf.DUMMYFUNCTION("MID(INDEX(SPLIT($F38,"",""),COLUMN()-6),2,300)"),"#REF!")</f>
        <v>#REF!</v>
      </c>
      <c r="K38" s="3">
        <f>IFERROR(__xludf.DUMMYFUNCTION("INDEX(SPLIT(G38,"" ""),1)"),1.0)</f>
        <v>1</v>
      </c>
      <c r="L38" s="3" t="str">
        <f>IFERROR(__xludf.DUMMYFUNCTION("REGEXEXTRACT(G38,"" [^ ]* [^ ]* "")")," drab brown ")</f>
        <v> drab brown </v>
      </c>
      <c r="M38" s="3">
        <f>IFERROR(__xludf.DUMMYFUNCTION("INDEX(SPLIT(H38,"" ""),1)"),5.0)</f>
        <v>5</v>
      </c>
      <c r="N38" s="3" t="str">
        <f>IFERROR(__xludf.DUMMYFUNCTION("MID(REGEXEXTRACT(H38,"" [^ ]* [^ ]*""),2,300)"),"light brown")</f>
        <v>light brown</v>
      </c>
      <c r="O38" s="3" t="str">
        <f>IFERROR(__xludf.DUMMYFUNCTION("INDEX(SPLIT(I38,"" ""),1)"),"#REF!")</f>
        <v>#REF!</v>
      </c>
      <c r="P38" s="3" t="str">
        <f>IFERROR(__xludf.DUMMYFUNCTION("MID(REGEXEXTRACT(I38,"" [^ ]* [^ ]*""),2,300)"),"#REF!")</f>
        <v>#REF!</v>
      </c>
      <c r="Q38" s="3" t="str">
        <f>IFERROR(__xludf.DUMMYFUNCTION("INDEX(SPLIT(J38,"" ""),1)"),"#REF!")</f>
        <v>#REF!</v>
      </c>
      <c r="R38" s="3" t="str">
        <f>IFERROR(__xludf.DUMMYFUNCTION("MID(REGEXEXTRACT(J38,"" [^ ]* [^ ]*""),2,300)"),"#REF!")</f>
        <v>#REF!</v>
      </c>
      <c r="S38" s="3">
        <f t="shared" si="2"/>
        <v>1</v>
      </c>
      <c r="T38" s="3" t="str">
        <f t="shared" si="3"/>
        <v>drab brown</v>
      </c>
      <c r="U38" s="3">
        <f t="shared" si="4"/>
        <v>5</v>
      </c>
      <c r="V38" s="3" t="str">
        <f t="shared" si="5"/>
        <v>light brown</v>
      </c>
      <c r="W38" s="3" t="str">
        <f t="shared" si="6"/>
        <v/>
      </c>
      <c r="X38" s="3" t="str">
        <f t="shared" si="7"/>
        <v/>
      </c>
      <c r="Y38" s="3" t="str">
        <f t="shared" si="8"/>
        <v/>
      </c>
      <c r="Z38" s="3" t="str">
        <f t="shared" si="9"/>
        <v/>
      </c>
      <c r="AA38" s="13">
        <f t="shared" si="10"/>
        <v>3801522</v>
      </c>
      <c r="AB38" s="3">
        <f t="shared" si="11"/>
        <v>3801521</v>
      </c>
      <c r="AC38" s="3">
        <f t="shared" si="12"/>
        <v>1</v>
      </c>
      <c r="AD38" s="3">
        <f t="shared" si="13"/>
        <v>96841</v>
      </c>
      <c r="AE38" s="3">
        <f t="shared" si="14"/>
        <v>5</v>
      </c>
      <c r="AF38" s="3">
        <f t="shared" si="15"/>
        <v>740936</v>
      </c>
      <c r="AG38" s="3" t="str">
        <f t="shared" si="16"/>
        <v/>
      </c>
      <c r="AH38" s="3">
        <f t="shared" si="17"/>
        <v>0</v>
      </c>
      <c r="AI38" s="3" t="str">
        <f t="shared" si="18"/>
        <v/>
      </c>
      <c r="AJ38" s="3">
        <f t="shared" si="19"/>
        <v>0</v>
      </c>
    </row>
    <row r="39">
      <c r="C39" s="6" t="s">
        <v>39</v>
      </c>
      <c r="D39" s="3">
        <f t="shared" si="1"/>
        <v>1</v>
      </c>
      <c r="E39" s="3" t="str">
        <f>IFERROR(__xludf.DUMMYFUNCTION("REGEXEXTRACT(C39,""[^ ]* [^ ]*"")"),"plaid tan")</f>
        <v>plaid tan</v>
      </c>
      <c r="F39" s="3" t="str">
        <f>IFERROR(__xludf.DUMMYFUNCTION("MID(REGEXEXTRACT(C39,""contain.*$""),9,300)"),"3 striped teal bags, 2 dotted brown bags.")</f>
        <v>3 striped teal bags, 2 dotted brown bags.</v>
      </c>
      <c r="G39" s="3" t="str">
        <f>IFERROR(__xludf.DUMMYFUNCTION("INDEX(SPLIT($F39,"",""),COLUMN()-6)"),"3 striped teal bags")</f>
        <v>3 striped teal bags</v>
      </c>
      <c r="H39" s="3" t="str">
        <f>IFERROR(__xludf.DUMMYFUNCTION("MID(INDEX(SPLIT($F39,"",""),COLUMN()-6),2,300)"),"2 dotted brown bags.")</f>
        <v>2 dotted brown bags.</v>
      </c>
      <c r="I39" s="3" t="str">
        <f>IFERROR(__xludf.DUMMYFUNCTION("MID(INDEX(SPLIT($F39,"",""),COLUMN()-6),2,300)"),"#REF!")</f>
        <v>#REF!</v>
      </c>
      <c r="J39" s="3" t="str">
        <f>IFERROR(__xludf.DUMMYFUNCTION("MID(INDEX(SPLIT($F39,"",""),COLUMN()-6),2,300)"),"#REF!")</f>
        <v>#REF!</v>
      </c>
      <c r="K39" s="3">
        <f>IFERROR(__xludf.DUMMYFUNCTION("INDEX(SPLIT(G39,"" ""),1)"),3.0)</f>
        <v>3</v>
      </c>
      <c r="L39" s="3" t="str">
        <f>IFERROR(__xludf.DUMMYFUNCTION("REGEXEXTRACT(G39,"" [^ ]* [^ ]* "")")," striped teal ")</f>
        <v> striped teal </v>
      </c>
      <c r="M39" s="3">
        <f>IFERROR(__xludf.DUMMYFUNCTION("INDEX(SPLIT(H39,"" ""),1)"),2.0)</f>
        <v>2</v>
      </c>
      <c r="N39" s="3" t="str">
        <f>IFERROR(__xludf.DUMMYFUNCTION("MID(REGEXEXTRACT(H39,"" [^ ]* [^ ]*""),2,300)"),"dotted brown")</f>
        <v>dotted brown</v>
      </c>
      <c r="O39" s="3" t="str">
        <f>IFERROR(__xludf.DUMMYFUNCTION("INDEX(SPLIT(I39,"" ""),1)"),"#REF!")</f>
        <v>#REF!</v>
      </c>
      <c r="P39" s="3" t="str">
        <f>IFERROR(__xludf.DUMMYFUNCTION("MID(REGEXEXTRACT(I39,"" [^ ]* [^ ]*""),2,300)"),"#REF!")</f>
        <v>#REF!</v>
      </c>
      <c r="Q39" s="3" t="str">
        <f>IFERROR(__xludf.DUMMYFUNCTION("INDEX(SPLIT(J39,"" ""),1)"),"#REF!")</f>
        <v>#REF!</v>
      </c>
      <c r="R39" s="3" t="str">
        <f>IFERROR(__xludf.DUMMYFUNCTION("MID(REGEXEXTRACT(J39,"" [^ ]* [^ ]*""),2,300)"),"#REF!")</f>
        <v>#REF!</v>
      </c>
      <c r="S39" s="3">
        <f t="shared" si="2"/>
        <v>3</v>
      </c>
      <c r="T39" s="3" t="str">
        <f t="shared" si="3"/>
        <v>striped teal</v>
      </c>
      <c r="U39" s="3">
        <f t="shared" si="4"/>
        <v>2</v>
      </c>
      <c r="V39" s="3" t="str">
        <f t="shared" si="5"/>
        <v>dotted brown</v>
      </c>
      <c r="W39" s="3" t="str">
        <f t="shared" si="6"/>
        <v/>
      </c>
      <c r="X39" s="3" t="str">
        <f t="shared" si="7"/>
        <v/>
      </c>
      <c r="Y39" s="3" t="str">
        <f t="shared" si="8"/>
        <v/>
      </c>
      <c r="Z39" s="3" t="str">
        <f t="shared" si="9"/>
        <v/>
      </c>
      <c r="AA39" s="13">
        <f t="shared" si="10"/>
        <v>43778</v>
      </c>
      <c r="AB39" s="3">
        <f t="shared" si="11"/>
        <v>43777</v>
      </c>
      <c r="AC39" s="3">
        <f t="shared" si="12"/>
        <v>3</v>
      </c>
      <c r="AD39" s="3">
        <f t="shared" si="13"/>
        <v>14389</v>
      </c>
      <c r="AE39" s="3">
        <f t="shared" si="14"/>
        <v>2</v>
      </c>
      <c r="AF39" s="3">
        <f t="shared" si="15"/>
        <v>305</v>
      </c>
      <c r="AG39" s="3" t="str">
        <f t="shared" si="16"/>
        <v/>
      </c>
      <c r="AH39" s="3">
        <f t="shared" si="17"/>
        <v>0</v>
      </c>
      <c r="AI39" s="3" t="str">
        <f t="shared" si="18"/>
        <v/>
      </c>
      <c r="AJ39" s="3">
        <f t="shared" si="19"/>
        <v>0</v>
      </c>
    </row>
    <row r="40">
      <c r="C40" s="6" t="s">
        <v>40</v>
      </c>
      <c r="D40" s="3">
        <f t="shared" si="1"/>
        <v>3</v>
      </c>
      <c r="E40" s="3" t="str">
        <f>IFERROR(__xludf.DUMMYFUNCTION("REGEXEXTRACT(C40,""[^ ]* [^ ]*"")"),"vibrant black")</f>
        <v>vibrant black</v>
      </c>
      <c r="F40" s="3" t="str">
        <f>IFERROR(__xludf.DUMMYFUNCTION("MID(REGEXEXTRACT(C40,""contain.*$""),9,300)"),"3 plaid tan bags, 4 muted white bags, 4 drab orange bags, 5 muted aqua bags.")</f>
        <v>3 plaid tan bags, 4 muted white bags, 4 drab orange bags, 5 muted aqua bags.</v>
      </c>
      <c r="G40" s="3" t="str">
        <f>IFERROR(__xludf.DUMMYFUNCTION("INDEX(SPLIT($F40,"",""),COLUMN()-6)"),"3 plaid tan bags")</f>
        <v>3 plaid tan bags</v>
      </c>
      <c r="H40" s="3" t="str">
        <f>IFERROR(__xludf.DUMMYFUNCTION("MID(INDEX(SPLIT($F40,"",""),COLUMN()-6),2,300)"),"4 muted white bags")</f>
        <v>4 muted white bags</v>
      </c>
      <c r="I40" s="3" t="str">
        <f>IFERROR(__xludf.DUMMYFUNCTION("MID(INDEX(SPLIT($F40,"",""),COLUMN()-6),2,300)"),"4 drab orange bags")</f>
        <v>4 drab orange bags</v>
      </c>
      <c r="J40" s="3" t="str">
        <f>IFERROR(__xludf.DUMMYFUNCTION("MID(INDEX(SPLIT($F40,"",""),COLUMN()-6),2,300)"),"5 muted aqua bags.")</f>
        <v>5 muted aqua bags.</v>
      </c>
      <c r="K40" s="3">
        <f>IFERROR(__xludf.DUMMYFUNCTION("INDEX(SPLIT(G40,"" ""),1)"),3.0)</f>
        <v>3</v>
      </c>
      <c r="L40" s="3" t="str">
        <f>IFERROR(__xludf.DUMMYFUNCTION("REGEXEXTRACT(G40,"" [^ ]* [^ ]* "")")," plaid tan ")</f>
        <v> plaid tan </v>
      </c>
      <c r="M40" s="3">
        <f>IFERROR(__xludf.DUMMYFUNCTION("INDEX(SPLIT(H40,"" ""),1)"),4.0)</f>
        <v>4</v>
      </c>
      <c r="N40" s="3" t="str">
        <f>IFERROR(__xludf.DUMMYFUNCTION("MID(REGEXEXTRACT(H40,"" [^ ]* [^ ]*""),2,300)"),"muted white")</f>
        <v>muted white</v>
      </c>
      <c r="O40" s="3">
        <f>IFERROR(__xludf.DUMMYFUNCTION("INDEX(SPLIT(I40,"" ""),1)"),4.0)</f>
        <v>4</v>
      </c>
      <c r="P40" s="3" t="str">
        <f>IFERROR(__xludf.DUMMYFUNCTION("MID(REGEXEXTRACT(I40,"" [^ ]* [^ ]*""),2,300)"),"drab orange")</f>
        <v>drab orange</v>
      </c>
      <c r="Q40" s="3">
        <f>IFERROR(__xludf.DUMMYFUNCTION("INDEX(SPLIT(J40,"" ""),1)"),5.0)</f>
        <v>5</v>
      </c>
      <c r="R40" s="3" t="str">
        <f>IFERROR(__xludf.DUMMYFUNCTION("MID(REGEXEXTRACT(J40,"" [^ ]* [^ ]*""),2,300)"),"muted aqua")</f>
        <v>muted aqua</v>
      </c>
      <c r="S40" s="3">
        <f t="shared" si="2"/>
        <v>3</v>
      </c>
      <c r="T40" s="3" t="str">
        <f t="shared" si="3"/>
        <v>plaid tan</v>
      </c>
      <c r="U40" s="3">
        <f t="shared" si="4"/>
        <v>4</v>
      </c>
      <c r="V40" s="3" t="str">
        <f t="shared" si="5"/>
        <v>muted white</v>
      </c>
      <c r="W40" s="3">
        <f t="shared" si="6"/>
        <v>4</v>
      </c>
      <c r="X40" s="3" t="str">
        <f t="shared" si="7"/>
        <v>drab orange</v>
      </c>
      <c r="Y40" s="3">
        <f t="shared" si="8"/>
        <v>5</v>
      </c>
      <c r="Z40" s="3" t="str">
        <f t="shared" si="9"/>
        <v>muted aqua</v>
      </c>
      <c r="AA40" s="13">
        <f t="shared" si="10"/>
        <v>152100230</v>
      </c>
      <c r="AB40" s="3">
        <f t="shared" si="11"/>
        <v>152100229</v>
      </c>
      <c r="AC40" s="3">
        <f t="shared" si="12"/>
        <v>3</v>
      </c>
      <c r="AD40" s="3">
        <f t="shared" si="13"/>
        <v>43778</v>
      </c>
      <c r="AE40" s="3">
        <f t="shared" si="14"/>
        <v>4</v>
      </c>
      <c r="AF40" s="3">
        <f t="shared" si="15"/>
        <v>2893450</v>
      </c>
      <c r="AG40" s="3">
        <f t="shared" si="16"/>
        <v>4</v>
      </c>
      <c r="AH40" s="3">
        <f t="shared" si="17"/>
        <v>35061170</v>
      </c>
      <c r="AI40" s="3">
        <f t="shared" si="18"/>
        <v>5</v>
      </c>
      <c r="AJ40" s="3">
        <f t="shared" si="19"/>
        <v>30083</v>
      </c>
    </row>
    <row r="41">
      <c r="C41" s="6" t="s">
        <v>41</v>
      </c>
      <c r="D41" s="3">
        <f t="shared" si="1"/>
        <v>2</v>
      </c>
      <c r="E41" s="3" t="str">
        <f>IFERROR(__xludf.DUMMYFUNCTION("REGEXEXTRACT(C41,""[^ ]* [^ ]*"")"),"drab purple")</f>
        <v>drab purple</v>
      </c>
      <c r="F41" s="3" t="str">
        <f>IFERROR(__xludf.DUMMYFUNCTION("MID(REGEXEXTRACT(C41,""contain.*$""),9,300)"),"5 muted violet bags, 2 vibrant blue bags, 4 pale olive bags.")</f>
        <v>5 muted violet bags, 2 vibrant blue bags, 4 pale olive bags.</v>
      </c>
      <c r="G41" s="3" t="str">
        <f>IFERROR(__xludf.DUMMYFUNCTION("INDEX(SPLIT($F41,"",""),COLUMN()-6)"),"5 muted violet bags")</f>
        <v>5 muted violet bags</v>
      </c>
      <c r="H41" s="3" t="str">
        <f>IFERROR(__xludf.DUMMYFUNCTION("MID(INDEX(SPLIT($F41,"",""),COLUMN()-6),2,300)"),"2 vibrant blue bags")</f>
        <v>2 vibrant blue bags</v>
      </c>
      <c r="I41" s="3" t="str">
        <f>IFERROR(__xludf.DUMMYFUNCTION("MID(INDEX(SPLIT($F41,"",""),COLUMN()-6),2,300)"),"4 pale olive bags.")</f>
        <v>4 pale olive bags.</v>
      </c>
      <c r="J41" s="3" t="str">
        <f>IFERROR(__xludf.DUMMYFUNCTION("MID(INDEX(SPLIT($F41,"",""),COLUMN()-6),2,300)"),"#REF!")</f>
        <v>#REF!</v>
      </c>
      <c r="K41" s="3">
        <f>IFERROR(__xludf.DUMMYFUNCTION("INDEX(SPLIT(G41,"" ""),1)"),5.0)</f>
        <v>5</v>
      </c>
      <c r="L41" s="3" t="str">
        <f>IFERROR(__xludf.DUMMYFUNCTION("REGEXEXTRACT(G41,"" [^ ]* [^ ]* "")")," muted violet ")</f>
        <v> muted violet </v>
      </c>
      <c r="M41" s="3">
        <f>IFERROR(__xludf.DUMMYFUNCTION("INDEX(SPLIT(H41,"" ""),1)"),2.0)</f>
        <v>2</v>
      </c>
      <c r="N41" s="3" t="str">
        <f>IFERROR(__xludf.DUMMYFUNCTION("MID(REGEXEXTRACT(H41,"" [^ ]* [^ ]*""),2,300)"),"vibrant blue")</f>
        <v>vibrant blue</v>
      </c>
      <c r="O41" s="3">
        <f>IFERROR(__xludf.DUMMYFUNCTION("INDEX(SPLIT(I41,"" ""),1)"),4.0)</f>
        <v>4</v>
      </c>
      <c r="P41" s="3" t="str">
        <f>IFERROR(__xludf.DUMMYFUNCTION("MID(REGEXEXTRACT(I41,"" [^ ]* [^ ]*""),2,300)"),"pale olive")</f>
        <v>pale olive</v>
      </c>
      <c r="Q41" s="3" t="str">
        <f>IFERROR(__xludf.DUMMYFUNCTION("INDEX(SPLIT(J41,"" ""),1)"),"#REF!")</f>
        <v>#REF!</v>
      </c>
      <c r="R41" s="3" t="str">
        <f>IFERROR(__xludf.DUMMYFUNCTION("MID(REGEXEXTRACT(J41,"" [^ ]* [^ ]*""),2,300)"),"#REF!")</f>
        <v>#REF!</v>
      </c>
      <c r="S41" s="3">
        <f t="shared" si="2"/>
        <v>5</v>
      </c>
      <c r="T41" s="3" t="str">
        <f t="shared" si="3"/>
        <v>muted violet</v>
      </c>
      <c r="U41" s="3">
        <f t="shared" si="4"/>
        <v>2</v>
      </c>
      <c r="V41" s="3" t="str">
        <f t="shared" si="5"/>
        <v>vibrant blue</v>
      </c>
      <c r="W41" s="3">
        <f t="shared" si="6"/>
        <v>4</v>
      </c>
      <c r="X41" s="3" t="str">
        <f t="shared" si="7"/>
        <v>pale olive</v>
      </c>
      <c r="Y41" s="3" t="str">
        <f t="shared" si="8"/>
        <v/>
      </c>
      <c r="Z41" s="3" t="str">
        <f t="shared" si="9"/>
        <v/>
      </c>
      <c r="AA41" s="13">
        <f t="shared" si="10"/>
        <v>4335</v>
      </c>
      <c r="AB41" s="3">
        <f t="shared" si="11"/>
        <v>4334</v>
      </c>
      <c r="AC41" s="3">
        <f t="shared" si="12"/>
        <v>5</v>
      </c>
      <c r="AD41" s="3">
        <f t="shared" si="13"/>
        <v>4</v>
      </c>
      <c r="AE41" s="3">
        <f t="shared" si="14"/>
        <v>2</v>
      </c>
      <c r="AF41" s="3">
        <f t="shared" si="15"/>
        <v>1545</v>
      </c>
      <c r="AG41" s="3">
        <f t="shared" si="16"/>
        <v>4</v>
      </c>
      <c r="AH41" s="3">
        <f t="shared" si="17"/>
        <v>306</v>
      </c>
      <c r="AI41" s="3" t="str">
        <f t="shared" si="18"/>
        <v/>
      </c>
      <c r="AJ41" s="3">
        <f t="shared" si="19"/>
        <v>0</v>
      </c>
    </row>
    <row r="42">
      <c r="C42" s="6" t="s">
        <v>42</v>
      </c>
      <c r="D42" s="3">
        <f t="shared" si="1"/>
        <v>2</v>
      </c>
      <c r="E42" s="3" t="str">
        <f>IFERROR(__xludf.DUMMYFUNCTION("REGEXEXTRACT(C42,""[^ ]* [^ ]*"")"),"mirrored beige")</f>
        <v>mirrored beige</v>
      </c>
      <c r="F42" s="3" t="str">
        <f>IFERROR(__xludf.DUMMYFUNCTION("MID(REGEXEXTRACT(C42,""contain.*$""),9,300)"),"1 plaid gray bag, 2 mirrored lime bags, 3 dark brown bags.")</f>
        <v>1 plaid gray bag, 2 mirrored lime bags, 3 dark brown bags.</v>
      </c>
      <c r="G42" s="3" t="str">
        <f>IFERROR(__xludf.DUMMYFUNCTION("INDEX(SPLIT($F42,"",""),COLUMN()-6)"),"1 plaid gray bag")</f>
        <v>1 plaid gray bag</v>
      </c>
      <c r="H42" s="3" t="str">
        <f>IFERROR(__xludf.DUMMYFUNCTION("MID(INDEX(SPLIT($F42,"",""),COLUMN()-6),2,300)"),"2 mirrored lime bags")</f>
        <v>2 mirrored lime bags</v>
      </c>
      <c r="I42" s="3" t="str">
        <f>IFERROR(__xludf.DUMMYFUNCTION("MID(INDEX(SPLIT($F42,"",""),COLUMN()-6),2,300)"),"3 dark brown bags.")</f>
        <v>3 dark brown bags.</v>
      </c>
      <c r="J42" s="3" t="str">
        <f>IFERROR(__xludf.DUMMYFUNCTION("MID(INDEX(SPLIT($F42,"",""),COLUMN()-6),2,300)"),"#REF!")</f>
        <v>#REF!</v>
      </c>
      <c r="K42" s="3">
        <f>IFERROR(__xludf.DUMMYFUNCTION("INDEX(SPLIT(G42,"" ""),1)"),1.0)</f>
        <v>1</v>
      </c>
      <c r="L42" s="3" t="str">
        <f>IFERROR(__xludf.DUMMYFUNCTION("REGEXEXTRACT(G42,"" [^ ]* [^ ]* "")")," plaid gray ")</f>
        <v> plaid gray </v>
      </c>
      <c r="M42" s="3">
        <f>IFERROR(__xludf.DUMMYFUNCTION("INDEX(SPLIT(H42,"" ""),1)"),2.0)</f>
        <v>2</v>
      </c>
      <c r="N42" s="3" t="str">
        <f>IFERROR(__xludf.DUMMYFUNCTION("MID(REGEXEXTRACT(H42,"" [^ ]* [^ ]*""),2,300)"),"mirrored lime")</f>
        <v>mirrored lime</v>
      </c>
      <c r="O42" s="3">
        <f>IFERROR(__xludf.DUMMYFUNCTION("INDEX(SPLIT(I42,"" ""),1)"),3.0)</f>
        <v>3</v>
      </c>
      <c r="P42" s="3" t="str">
        <f>IFERROR(__xludf.DUMMYFUNCTION("MID(REGEXEXTRACT(I42,"" [^ ]* [^ ]*""),2,300)"),"dark brown")</f>
        <v>dark brown</v>
      </c>
      <c r="Q42" s="3" t="str">
        <f>IFERROR(__xludf.DUMMYFUNCTION("INDEX(SPLIT(J42,"" ""),1)"),"#REF!")</f>
        <v>#REF!</v>
      </c>
      <c r="R42" s="3" t="str">
        <f>IFERROR(__xludf.DUMMYFUNCTION("MID(REGEXEXTRACT(J42,"" [^ ]* [^ ]*""),2,300)"),"#REF!")</f>
        <v>#REF!</v>
      </c>
      <c r="S42" s="3">
        <f t="shared" si="2"/>
        <v>1</v>
      </c>
      <c r="T42" s="3" t="str">
        <f t="shared" si="3"/>
        <v>plaid gray</v>
      </c>
      <c r="U42" s="3">
        <f t="shared" si="4"/>
        <v>2</v>
      </c>
      <c r="V42" s="3" t="str">
        <f t="shared" si="5"/>
        <v>mirrored lime</v>
      </c>
      <c r="W42" s="3">
        <f t="shared" si="6"/>
        <v>3</v>
      </c>
      <c r="X42" s="3" t="str">
        <f t="shared" si="7"/>
        <v>dark brown</v>
      </c>
      <c r="Y42" s="3" t="str">
        <f t="shared" si="8"/>
        <v/>
      </c>
      <c r="Z42" s="3" t="str">
        <f t="shared" si="9"/>
        <v/>
      </c>
      <c r="AA42" s="13">
        <f t="shared" si="10"/>
        <v>598224</v>
      </c>
      <c r="AB42" s="3">
        <f t="shared" si="11"/>
        <v>598223</v>
      </c>
      <c r="AC42" s="3">
        <f t="shared" si="12"/>
        <v>1</v>
      </c>
      <c r="AD42" s="3">
        <f t="shared" si="13"/>
        <v>54</v>
      </c>
      <c r="AE42" s="3">
        <f t="shared" si="14"/>
        <v>2</v>
      </c>
      <c r="AF42" s="3">
        <f t="shared" si="15"/>
        <v>97231</v>
      </c>
      <c r="AG42" s="3">
        <f t="shared" si="16"/>
        <v>3</v>
      </c>
      <c r="AH42" s="3">
        <f t="shared" si="17"/>
        <v>134569</v>
      </c>
      <c r="AI42" s="3" t="str">
        <f t="shared" si="18"/>
        <v/>
      </c>
      <c r="AJ42" s="3">
        <f t="shared" si="19"/>
        <v>0</v>
      </c>
    </row>
    <row r="43">
      <c r="C43" s="6" t="s">
        <v>43</v>
      </c>
      <c r="D43" s="3">
        <f t="shared" si="1"/>
        <v>0</v>
      </c>
      <c r="E43" s="3" t="str">
        <f>IFERROR(__xludf.DUMMYFUNCTION("REGEXEXTRACT(C43,""[^ ]* [^ ]*"")"),"vibrant olive")</f>
        <v>vibrant olive</v>
      </c>
      <c r="F43" s="3" t="str">
        <f>IFERROR(__xludf.DUMMYFUNCTION("MID(REGEXEXTRACT(C43,""contain.*$""),9,300)"),"5 shiny indigo bags.")</f>
        <v>5 shiny indigo bags.</v>
      </c>
      <c r="G43" s="3" t="str">
        <f>IFERROR(__xludf.DUMMYFUNCTION("INDEX(SPLIT($F43,"",""),COLUMN()-6)"),"5 shiny indigo bags.")</f>
        <v>5 shiny indigo bags.</v>
      </c>
      <c r="H43" s="3" t="str">
        <f>IFERROR(__xludf.DUMMYFUNCTION("MID(INDEX(SPLIT($F43,"",""),COLUMN()-6),2,300)"),"#REF!")</f>
        <v>#REF!</v>
      </c>
      <c r="I43" s="3" t="str">
        <f>IFERROR(__xludf.DUMMYFUNCTION("MID(INDEX(SPLIT($F43,"",""),COLUMN()-6),2,300)"),"#REF!")</f>
        <v>#REF!</v>
      </c>
      <c r="J43" s="3" t="str">
        <f>IFERROR(__xludf.DUMMYFUNCTION("MID(INDEX(SPLIT($F43,"",""),COLUMN()-6),2,300)"),"#REF!")</f>
        <v>#REF!</v>
      </c>
      <c r="K43" s="3">
        <f>IFERROR(__xludf.DUMMYFUNCTION("INDEX(SPLIT(G43,"" ""),1)"),5.0)</f>
        <v>5</v>
      </c>
      <c r="L43" s="3" t="str">
        <f>IFERROR(__xludf.DUMMYFUNCTION("REGEXEXTRACT(G43,"" [^ ]* [^ ]* "")")," shiny indigo ")</f>
        <v> shiny indigo </v>
      </c>
      <c r="M43" s="3" t="str">
        <f>IFERROR(__xludf.DUMMYFUNCTION("INDEX(SPLIT(H43,"" ""),1)"),"#REF!")</f>
        <v>#REF!</v>
      </c>
      <c r="N43" s="3" t="str">
        <f>IFERROR(__xludf.DUMMYFUNCTION("MID(REGEXEXTRACT(H43,"" [^ ]* [^ ]*""),2,300)"),"#REF!")</f>
        <v>#REF!</v>
      </c>
      <c r="O43" s="3" t="str">
        <f>IFERROR(__xludf.DUMMYFUNCTION("INDEX(SPLIT(I43,"" ""),1)"),"#REF!")</f>
        <v>#REF!</v>
      </c>
      <c r="P43" s="3" t="str">
        <f>IFERROR(__xludf.DUMMYFUNCTION("MID(REGEXEXTRACT(I43,"" [^ ]* [^ ]*""),2,300)"),"#REF!")</f>
        <v>#REF!</v>
      </c>
      <c r="Q43" s="3" t="str">
        <f>IFERROR(__xludf.DUMMYFUNCTION("INDEX(SPLIT(J43,"" ""),1)"),"#REF!")</f>
        <v>#REF!</v>
      </c>
      <c r="R43" s="3" t="str">
        <f>IFERROR(__xludf.DUMMYFUNCTION("MID(REGEXEXTRACT(J43,"" [^ ]* [^ ]*""),2,300)"),"#REF!")</f>
        <v>#REF!</v>
      </c>
      <c r="S43" s="3">
        <f t="shared" si="2"/>
        <v>5</v>
      </c>
      <c r="T43" s="3" t="str">
        <f t="shared" si="3"/>
        <v>shiny indigo</v>
      </c>
      <c r="U43" s="3" t="str">
        <f t="shared" si="4"/>
        <v/>
      </c>
      <c r="V43" s="3" t="str">
        <f t="shared" si="5"/>
        <v/>
      </c>
      <c r="W43" s="3" t="str">
        <f t="shared" si="6"/>
        <v/>
      </c>
      <c r="X43" s="3" t="str">
        <f t="shared" si="7"/>
        <v/>
      </c>
      <c r="Y43" s="3" t="str">
        <f t="shared" si="8"/>
        <v/>
      </c>
      <c r="Z43" s="3" t="str">
        <f t="shared" si="9"/>
        <v/>
      </c>
      <c r="AA43" s="13">
        <f t="shared" si="10"/>
        <v>3772681</v>
      </c>
      <c r="AB43" s="3">
        <f t="shared" si="11"/>
        <v>3772680</v>
      </c>
      <c r="AC43" s="3">
        <f t="shared" si="12"/>
        <v>5</v>
      </c>
      <c r="AD43" s="3">
        <f t="shared" si="13"/>
        <v>754536</v>
      </c>
      <c r="AE43" s="3" t="str">
        <f t="shared" si="14"/>
        <v/>
      </c>
      <c r="AF43" s="3">
        <f t="shared" si="15"/>
        <v>0</v>
      </c>
      <c r="AG43" s="3" t="str">
        <f t="shared" si="16"/>
        <v/>
      </c>
      <c r="AH43" s="3">
        <f t="shared" si="17"/>
        <v>0</v>
      </c>
      <c r="AI43" s="3" t="str">
        <f t="shared" si="18"/>
        <v/>
      </c>
      <c r="AJ43" s="3">
        <f t="shared" si="19"/>
        <v>0</v>
      </c>
    </row>
    <row r="44">
      <c r="C44" s="6" t="s">
        <v>44</v>
      </c>
      <c r="D44" s="3">
        <f t="shared" si="1"/>
        <v>0</v>
      </c>
      <c r="E44" s="3" t="str">
        <f>IFERROR(__xludf.DUMMYFUNCTION("REGEXEXTRACT(C44,""[^ ]* [^ ]*"")"),"drab green")</f>
        <v>drab green</v>
      </c>
      <c r="F44" s="3" t="str">
        <f>IFERROR(__xludf.DUMMYFUNCTION("MID(REGEXEXTRACT(C44,""contain.*$""),9,300)"),"1 muted violet bag.")</f>
        <v>1 muted violet bag.</v>
      </c>
      <c r="G44" s="3" t="str">
        <f>IFERROR(__xludf.DUMMYFUNCTION("INDEX(SPLIT($F44,"",""),COLUMN()-6)"),"1 muted violet bag.")</f>
        <v>1 muted violet bag.</v>
      </c>
      <c r="H44" s="3" t="str">
        <f>IFERROR(__xludf.DUMMYFUNCTION("MID(INDEX(SPLIT($F44,"",""),COLUMN()-6),2,300)"),"#REF!")</f>
        <v>#REF!</v>
      </c>
      <c r="I44" s="3" t="str">
        <f>IFERROR(__xludf.DUMMYFUNCTION("MID(INDEX(SPLIT($F44,"",""),COLUMN()-6),2,300)"),"#REF!")</f>
        <v>#REF!</v>
      </c>
      <c r="J44" s="3" t="str">
        <f>IFERROR(__xludf.DUMMYFUNCTION("MID(INDEX(SPLIT($F44,"",""),COLUMN()-6),2,300)"),"#REF!")</f>
        <v>#REF!</v>
      </c>
      <c r="K44" s="3">
        <f>IFERROR(__xludf.DUMMYFUNCTION("INDEX(SPLIT(G44,"" ""),1)"),1.0)</f>
        <v>1</v>
      </c>
      <c r="L44" s="3" t="str">
        <f>IFERROR(__xludf.DUMMYFUNCTION("REGEXEXTRACT(G44,"" [^ ]* [^ ]* "")")," muted violet ")</f>
        <v> muted violet </v>
      </c>
      <c r="M44" s="3" t="str">
        <f>IFERROR(__xludf.DUMMYFUNCTION("INDEX(SPLIT(H44,"" ""),1)"),"#REF!")</f>
        <v>#REF!</v>
      </c>
      <c r="N44" s="3" t="str">
        <f>IFERROR(__xludf.DUMMYFUNCTION("MID(REGEXEXTRACT(H44,"" [^ ]* [^ ]*""),2,300)"),"#REF!")</f>
        <v>#REF!</v>
      </c>
      <c r="O44" s="3" t="str">
        <f>IFERROR(__xludf.DUMMYFUNCTION("INDEX(SPLIT(I44,"" ""),1)"),"#REF!")</f>
        <v>#REF!</v>
      </c>
      <c r="P44" s="3" t="str">
        <f>IFERROR(__xludf.DUMMYFUNCTION("MID(REGEXEXTRACT(I44,"" [^ ]* [^ ]*""),2,300)"),"#REF!")</f>
        <v>#REF!</v>
      </c>
      <c r="Q44" s="3" t="str">
        <f>IFERROR(__xludf.DUMMYFUNCTION("INDEX(SPLIT(J44,"" ""),1)"),"#REF!")</f>
        <v>#REF!</v>
      </c>
      <c r="R44" s="3" t="str">
        <f>IFERROR(__xludf.DUMMYFUNCTION("MID(REGEXEXTRACT(J44,"" [^ ]* [^ ]*""),2,300)"),"#REF!")</f>
        <v>#REF!</v>
      </c>
      <c r="S44" s="3">
        <f t="shared" si="2"/>
        <v>1</v>
      </c>
      <c r="T44" s="3" t="str">
        <f t="shared" si="3"/>
        <v>muted violet</v>
      </c>
      <c r="U44" s="3" t="str">
        <f t="shared" si="4"/>
        <v/>
      </c>
      <c r="V44" s="3" t="str">
        <f t="shared" si="5"/>
        <v/>
      </c>
      <c r="W44" s="3" t="str">
        <f t="shared" si="6"/>
        <v/>
      </c>
      <c r="X44" s="3" t="str">
        <f t="shared" si="7"/>
        <v/>
      </c>
      <c r="Y44" s="3" t="str">
        <f t="shared" si="8"/>
        <v/>
      </c>
      <c r="Z44" s="3" t="str">
        <f t="shared" si="9"/>
        <v/>
      </c>
      <c r="AA44" s="13">
        <f t="shared" si="10"/>
        <v>5</v>
      </c>
      <c r="AB44" s="3">
        <f t="shared" si="11"/>
        <v>4</v>
      </c>
      <c r="AC44" s="3">
        <f t="shared" si="12"/>
        <v>1</v>
      </c>
      <c r="AD44" s="3">
        <f t="shared" si="13"/>
        <v>4</v>
      </c>
      <c r="AE44" s="3" t="str">
        <f t="shared" si="14"/>
        <v/>
      </c>
      <c r="AF44" s="3">
        <f t="shared" si="15"/>
        <v>0</v>
      </c>
      <c r="AG44" s="3" t="str">
        <f t="shared" si="16"/>
        <v/>
      </c>
      <c r="AH44" s="3">
        <f t="shared" si="17"/>
        <v>0</v>
      </c>
      <c r="AI44" s="3" t="str">
        <f t="shared" si="18"/>
        <v/>
      </c>
      <c r="AJ44" s="3">
        <f t="shared" si="19"/>
        <v>0</v>
      </c>
    </row>
    <row r="45">
      <c r="C45" s="6" t="s">
        <v>45</v>
      </c>
      <c r="D45" s="3">
        <f t="shared" si="1"/>
        <v>3</v>
      </c>
      <c r="E45" s="3" t="str">
        <f>IFERROR(__xludf.DUMMYFUNCTION("REGEXEXTRACT(C45,""[^ ]* [^ ]*"")"),"faded turquoise")</f>
        <v>faded turquoise</v>
      </c>
      <c r="F45" s="3" t="str">
        <f>IFERROR(__xludf.DUMMYFUNCTION("MID(REGEXEXTRACT(C45,""contain.*$""),9,300)"),"2 striped brown bags, 3 vibrant white bags, 1 dull lavender bag, 5 bright olive bags.")</f>
        <v>2 striped brown bags, 3 vibrant white bags, 1 dull lavender bag, 5 bright olive bags.</v>
      </c>
      <c r="G45" s="3" t="str">
        <f>IFERROR(__xludf.DUMMYFUNCTION("INDEX(SPLIT($F45,"",""),COLUMN()-6)"),"2 striped brown bags")</f>
        <v>2 striped brown bags</v>
      </c>
      <c r="H45" s="3" t="str">
        <f>IFERROR(__xludf.DUMMYFUNCTION("MID(INDEX(SPLIT($F45,"",""),COLUMN()-6),2,300)"),"3 vibrant white bags")</f>
        <v>3 vibrant white bags</v>
      </c>
      <c r="I45" s="3" t="str">
        <f>IFERROR(__xludf.DUMMYFUNCTION("MID(INDEX(SPLIT($F45,"",""),COLUMN()-6),2,300)"),"1 dull lavender bag")</f>
        <v>1 dull lavender bag</v>
      </c>
      <c r="J45" s="3" t="str">
        <f>IFERROR(__xludf.DUMMYFUNCTION("MID(INDEX(SPLIT($F45,"",""),COLUMN()-6),2,300)"),"5 bright olive bags.")</f>
        <v>5 bright olive bags.</v>
      </c>
      <c r="K45" s="3">
        <f>IFERROR(__xludf.DUMMYFUNCTION("INDEX(SPLIT(G45,"" ""),1)"),2.0)</f>
        <v>2</v>
      </c>
      <c r="L45" s="3" t="str">
        <f>IFERROR(__xludf.DUMMYFUNCTION("REGEXEXTRACT(G45,"" [^ ]* [^ ]* "")")," striped brown ")</f>
        <v> striped brown </v>
      </c>
      <c r="M45" s="3">
        <f>IFERROR(__xludf.DUMMYFUNCTION("INDEX(SPLIT(H45,"" ""),1)"),3.0)</f>
        <v>3</v>
      </c>
      <c r="N45" s="3" t="str">
        <f>IFERROR(__xludf.DUMMYFUNCTION("MID(REGEXEXTRACT(H45,"" [^ ]* [^ ]*""),2,300)"),"vibrant white")</f>
        <v>vibrant white</v>
      </c>
      <c r="O45" s="3">
        <f>IFERROR(__xludf.DUMMYFUNCTION("INDEX(SPLIT(I45,"" ""),1)"),1.0)</f>
        <v>1</v>
      </c>
      <c r="P45" s="3" t="str">
        <f>IFERROR(__xludf.DUMMYFUNCTION("MID(REGEXEXTRACT(I45,"" [^ ]* [^ ]*""),2,300)"),"dull lavender")</f>
        <v>dull lavender</v>
      </c>
      <c r="Q45" s="3">
        <f>IFERROR(__xludf.DUMMYFUNCTION("INDEX(SPLIT(J45,"" ""),1)"),5.0)</f>
        <v>5</v>
      </c>
      <c r="R45" s="3" t="str">
        <f>IFERROR(__xludf.DUMMYFUNCTION("MID(REGEXEXTRACT(J45,"" [^ ]* [^ ]*""),2,300)"),"bright olive")</f>
        <v>bright olive</v>
      </c>
      <c r="S45" s="3">
        <f t="shared" si="2"/>
        <v>2</v>
      </c>
      <c r="T45" s="3" t="str">
        <f t="shared" si="3"/>
        <v>striped brown</v>
      </c>
      <c r="U45" s="3">
        <f t="shared" si="4"/>
        <v>3</v>
      </c>
      <c r="V45" s="3" t="str">
        <f t="shared" si="5"/>
        <v>vibrant white</v>
      </c>
      <c r="W45" s="3">
        <f t="shared" si="6"/>
        <v>1</v>
      </c>
      <c r="X45" s="3" t="str">
        <f t="shared" si="7"/>
        <v>dull lavender</v>
      </c>
      <c r="Y45" s="3">
        <f t="shared" si="8"/>
        <v>5</v>
      </c>
      <c r="Z45" s="3" t="str">
        <f t="shared" si="9"/>
        <v>bright olive</v>
      </c>
      <c r="AA45" s="13">
        <f t="shared" si="10"/>
        <v>349023494</v>
      </c>
      <c r="AB45" s="3">
        <f t="shared" si="11"/>
        <v>349023493</v>
      </c>
      <c r="AC45" s="3">
        <f t="shared" si="12"/>
        <v>2</v>
      </c>
      <c r="AD45" s="3">
        <f t="shared" si="13"/>
        <v>156980933</v>
      </c>
      <c r="AE45" s="3">
        <f t="shared" si="14"/>
        <v>3</v>
      </c>
      <c r="AF45" s="3">
        <f t="shared" si="15"/>
        <v>1249859</v>
      </c>
      <c r="AG45" s="3">
        <f t="shared" si="16"/>
        <v>1</v>
      </c>
      <c r="AH45" s="3">
        <f t="shared" si="17"/>
        <v>17050595</v>
      </c>
      <c r="AI45" s="3">
        <f t="shared" si="18"/>
        <v>5</v>
      </c>
      <c r="AJ45" s="3">
        <f t="shared" si="19"/>
        <v>2852291</v>
      </c>
    </row>
    <row r="46">
      <c r="C46" s="6" t="s">
        <v>46</v>
      </c>
      <c r="D46" s="3">
        <f t="shared" si="1"/>
        <v>0</v>
      </c>
      <c r="E46" s="3" t="str">
        <f>IFERROR(__xludf.DUMMYFUNCTION("REGEXEXTRACT(C46,""[^ ]* [^ ]*"")"),"shiny maroon")</f>
        <v>shiny maroon</v>
      </c>
      <c r="F46" s="3" t="str">
        <f>IFERROR(__xludf.DUMMYFUNCTION("MID(REGEXEXTRACT(C46,""contain.*$""),9,300)"),"1 dim bronze bag.")</f>
        <v>1 dim bronze bag.</v>
      </c>
      <c r="G46" s="3" t="str">
        <f>IFERROR(__xludf.DUMMYFUNCTION("INDEX(SPLIT($F46,"",""),COLUMN()-6)"),"1 dim bronze bag.")</f>
        <v>1 dim bronze bag.</v>
      </c>
      <c r="H46" s="3" t="str">
        <f>IFERROR(__xludf.DUMMYFUNCTION("MID(INDEX(SPLIT($F46,"",""),COLUMN()-6),2,300)"),"#REF!")</f>
        <v>#REF!</v>
      </c>
      <c r="I46" s="3" t="str">
        <f>IFERROR(__xludf.DUMMYFUNCTION("MID(INDEX(SPLIT($F46,"",""),COLUMN()-6),2,300)"),"#REF!")</f>
        <v>#REF!</v>
      </c>
      <c r="J46" s="3" t="str">
        <f>IFERROR(__xludf.DUMMYFUNCTION("MID(INDEX(SPLIT($F46,"",""),COLUMN()-6),2,300)"),"#REF!")</f>
        <v>#REF!</v>
      </c>
      <c r="K46" s="3">
        <f>IFERROR(__xludf.DUMMYFUNCTION("INDEX(SPLIT(G46,"" ""),1)"),1.0)</f>
        <v>1</v>
      </c>
      <c r="L46" s="3" t="str">
        <f>IFERROR(__xludf.DUMMYFUNCTION("REGEXEXTRACT(G46,"" [^ ]* [^ ]* "")")," dim bronze ")</f>
        <v> dim bronze </v>
      </c>
      <c r="M46" s="3" t="str">
        <f>IFERROR(__xludf.DUMMYFUNCTION("INDEX(SPLIT(H46,"" ""),1)"),"#REF!")</f>
        <v>#REF!</v>
      </c>
      <c r="N46" s="3" t="str">
        <f>IFERROR(__xludf.DUMMYFUNCTION("MID(REGEXEXTRACT(H46,"" [^ ]* [^ ]*""),2,300)"),"#REF!")</f>
        <v>#REF!</v>
      </c>
      <c r="O46" s="3" t="str">
        <f>IFERROR(__xludf.DUMMYFUNCTION("INDEX(SPLIT(I46,"" ""),1)"),"#REF!")</f>
        <v>#REF!</v>
      </c>
      <c r="P46" s="3" t="str">
        <f>IFERROR(__xludf.DUMMYFUNCTION("MID(REGEXEXTRACT(I46,"" [^ ]* [^ ]*""),2,300)"),"#REF!")</f>
        <v>#REF!</v>
      </c>
      <c r="Q46" s="3" t="str">
        <f>IFERROR(__xludf.DUMMYFUNCTION("INDEX(SPLIT(J46,"" ""),1)"),"#REF!")</f>
        <v>#REF!</v>
      </c>
      <c r="R46" s="3" t="str">
        <f>IFERROR(__xludf.DUMMYFUNCTION("MID(REGEXEXTRACT(J46,"" [^ ]* [^ ]*""),2,300)"),"#REF!")</f>
        <v>#REF!</v>
      </c>
      <c r="S46" s="3">
        <f t="shared" si="2"/>
        <v>1</v>
      </c>
      <c r="T46" s="3" t="str">
        <f t="shared" si="3"/>
        <v>dim bronze</v>
      </c>
      <c r="U46" s="3" t="str">
        <f t="shared" si="4"/>
        <v/>
      </c>
      <c r="V46" s="3" t="str">
        <f t="shared" si="5"/>
        <v/>
      </c>
      <c r="W46" s="3" t="str">
        <f t="shared" si="6"/>
        <v/>
      </c>
      <c r="X46" s="3" t="str">
        <f t="shared" si="7"/>
        <v/>
      </c>
      <c r="Y46" s="3" t="str">
        <f t="shared" si="8"/>
        <v/>
      </c>
      <c r="Z46" s="3" t="str">
        <f t="shared" si="9"/>
        <v/>
      </c>
      <c r="AA46" s="13">
        <f t="shared" si="10"/>
        <v>557022</v>
      </c>
      <c r="AB46" s="3">
        <f t="shared" si="11"/>
        <v>557021</v>
      </c>
      <c r="AC46" s="3">
        <f t="shared" si="12"/>
        <v>1</v>
      </c>
      <c r="AD46" s="3">
        <f t="shared" si="13"/>
        <v>557021</v>
      </c>
      <c r="AE46" s="3" t="str">
        <f t="shared" si="14"/>
        <v/>
      </c>
      <c r="AF46" s="3">
        <f t="shared" si="15"/>
        <v>0</v>
      </c>
      <c r="AG46" s="3" t="str">
        <f t="shared" si="16"/>
        <v/>
      </c>
      <c r="AH46" s="3">
        <f t="shared" si="17"/>
        <v>0</v>
      </c>
      <c r="AI46" s="3" t="str">
        <f t="shared" si="18"/>
        <v/>
      </c>
      <c r="AJ46" s="3">
        <f t="shared" si="19"/>
        <v>0</v>
      </c>
    </row>
    <row r="47">
      <c r="C47" s="6" t="s">
        <v>47</v>
      </c>
      <c r="D47" s="3">
        <f t="shared" si="1"/>
        <v>3</v>
      </c>
      <c r="E47" s="3" t="str">
        <f>IFERROR(__xludf.DUMMYFUNCTION("REGEXEXTRACT(C47,""[^ ]* [^ ]*"")"),"dull white")</f>
        <v>dull white</v>
      </c>
      <c r="F47" s="3" t="str">
        <f>IFERROR(__xludf.DUMMYFUNCTION("MID(REGEXEXTRACT(C47,""contain.*$""),9,300)"),"1 muted salmon bag, 4 dim olive bags, 5 drab white bags, 1 dotted teal bag.")</f>
        <v>1 muted salmon bag, 4 dim olive bags, 5 drab white bags, 1 dotted teal bag.</v>
      </c>
      <c r="G47" s="3" t="str">
        <f>IFERROR(__xludf.DUMMYFUNCTION("INDEX(SPLIT($F47,"",""),COLUMN()-6)"),"1 muted salmon bag")</f>
        <v>1 muted salmon bag</v>
      </c>
      <c r="H47" s="3" t="str">
        <f>IFERROR(__xludf.DUMMYFUNCTION("MID(INDEX(SPLIT($F47,"",""),COLUMN()-6),2,300)"),"4 dim olive bags")</f>
        <v>4 dim olive bags</v>
      </c>
      <c r="I47" s="3" t="str">
        <f>IFERROR(__xludf.DUMMYFUNCTION("MID(INDEX(SPLIT($F47,"",""),COLUMN()-6),2,300)"),"5 drab white bags")</f>
        <v>5 drab white bags</v>
      </c>
      <c r="J47" s="3" t="str">
        <f>IFERROR(__xludf.DUMMYFUNCTION("MID(INDEX(SPLIT($F47,"",""),COLUMN()-6),2,300)"),"1 dotted teal bag.")</f>
        <v>1 dotted teal bag.</v>
      </c>
      <c r="K47" s="3">
        <f>IFERROR(__xludf.DUMMYFUNCTION("INDEX(SPLIT(G47,"" ""),1)"),1.0)</f>
        <v>1</v>
      </c>
      <c r="L47" s="3" t="str">
        <f>IFERROR(__xludf.DUMMYFUNCTION("REGEXEXTRACT(G47,"" [^ ]* [^ ]* "")")," muted salmon ")</f>
        <v> muted salmon </v>
      </c>
      <c r="M47" s="3">
        <f>IFERROR(__xludf.DUMMYFUNCTION("INDEX(SPLIT(H47,"" ""),1)"),4.0)</f>
        <v>4</v>
      </c>
      <c r="N47" s="3" t="str">
        <f>IFERROR(__xludf.DUMMYFUNCTION("MID(REGEXEXTRACT(H47,"" [^ ]* [^ ]*""),2,300)"),"dim olive")</f>
        <v>dim olive</v>
      </c>
      <c r="O47" s="3">
        <f>IFERROR(__xludf.DUMMYFUNCTION("INDEX(SPLIT(I47,"" ""),1)"),5.0)</f>
        <v>5</v>
      </c>
      <c r="P47" s="3" t="str">
        <f>IFERROR(__xludf.DUMMYFUNCTION("MID(REGEXEXTRACT(I47,"" [^ ]* [^ ]*""),2,300)"),"drab white")</f>
        <v>drab white</v>
      </c>
      <c r="Q47" s="3">
        <f>IFERROR(__xludf.DUMMYFUNCTION("INDEX(SPLIT(J47,"" ""),1)"),1.0)</f>
        <v>1</v>
      </c>
      <c r="R47" s="3" t="str">
        <f>IFERROR(__xludf.DUMMYFUNCTION("MID(REGEXEXTRACT(J47,"" [^ ]* [^ ]*""),2,300)"),"dotted teal")</f>
        <v>dotted teal</v>
      </c>
      <c r="S47" s="3">
        <f t="shared" si="2"/>
        <v>1</v>
      </c>
      <c r="T47" s="3" t="str">
        <f t="shared" si="3"/>
        <v>muted salmon</v>
      </c>
      <c r="U47" s="3">
        <f t="shared" si="4"/>
        <v>4</v>
      </c>
      <c r="V47" s="3" t="str">
        <f t="shared" si="5"/>
        <v>dim olive</v>
      </c>
      <c r="W47" s="3">
        <f t="shared" si="6"/>
        <v>5</v>
      </c>
      <c r="X47" s="3" t="str">
        <f t="shared" si="7"/>
        <v>drab white</v>
      </c>
      <c r="Y47" s="3">
        <f t="shared" si="8"/>
        <v>1</v>
      </c>
      <c r="Z47" s="3" t="str">
        <f t="shared" si="9"/>
        <v>dotted teal</v>
      </c>
      <c r="AA47" s="13">
        <f t="shared" si="10"/>
        <v>797608672</v>
      </c>
      <c r="AB47" s="3">
        <f t="shared" si="11"/>
        <v>797608671</v>
      </c>
      <c r="AC47" s="3">
        <f t="shared" si="12"/>
        <v>1</v>
      </c>
      <c r="AD47" s="3">
        <f t="shared" si="13"/>
        <v>3012</v>
      </c>
      <c r="AE47" s="3">
        <f t="shared" si="14"/>
        <v>4</v>
      </c>
      <c r="AF47" s="3">
        <f t="shared" si="15"/>
        <v>1</v>
      </c>
      <c r="AG47" s="3">
        <f t="shared" si="16"/>
        <v>5</v>
      </c>
      <c r="AH47" s="3">
        <f t="shared" si="17"/>
        <v>14961</v>
      </c>
      <c r="AI47" s="3">
        <f t="shared" si="18"/>
        <v>1</v>
      </c>
      <c r="AJ47" s="3">
        <f t="shared" si="19"/>
        <v>797530850</v>
      </c>
    </row>
    <row r="48">
      <c r="C48" s="6" t="s">
        <v>48</v>
      </c>
      <c r="D48" s="3">
        <f t="shared" si="1"/>
        <v>0</v>
      </c>
      <c r="E48" s="3" t="str">
        <f>IFERROR(__xludf.DUMMYFUNCTION("REGEXEXTRACT(C48,""[^ ]* [^ ]*"")"),"dim white")</f>
        <v>dim white</v>
      </c>
      <c r="F48" s="3" t="str">
        <f>IFERROR(__xludf.DUMMYFUNCTION("MID(REGEXEXTRACT(C48,""contain.*$""),9,300)"),"3 mirrored lavender bags.")</f>
        <v>3 mirrored lavender bags.</v>
      </c>
      <c r="G48" s="3" t="str">
        <f>IFERROR(__xludf.DUMMYFUNCTION("INDEX(SPLIT($F48,"",""),COLUMN()-6)"),"3 mirrored lavender bags.")</f>
        <v>3 mirrored lavender bags.</v>
      </c>
      <c r="H48" s="3" t="str">
        <f>IFERROR(__xludf.DUMMYFUNCTION("MID(INDEX(SPLIT($F48,"",""),COLUMN()-6),2,300)"),"#REF!")</f>
        <v>#REF!</v>
      </c>
      <c r="I48" s="3" t="str">
        <f>IFERROR(__xludf.DUMMYFUNCTION("MID(INDEX(SPLIT($F48,"",""),COLUMN()-6),2,300)"),"#REF!")</f>
        <v>#REF!</v>
      </c>
      <c r="J48" s="3" t="str">
        <f>IFERROR(__xludf.DUMMYFUNCTION("MID(INDEX(SPLIT($F48,"",""),COLUMN()-6),2,300)"),"#REF!")</f>
        <v>#REF!</v>
      </c>
      <c r="K48" s="3">
        <f>IFERROR(__xludf.DUMMYFUNCTION("INDEX(SPLIT(G48,"" ""),1)"),3.0)</f>
        <v>3</v>
      </c>
      <c r="L48" s="3" t="str">
        <f>IFERROR(__xludf.DUMMYFUNCTION("REGEXEXTRACT(G48,"" [^ ]* [^ ]* "")")," mirrored lavender ")</f>
        <v> mirrored lavender </v>
      </c>
      <c r="M48" s="3" t="str">
        <f>IFERROR(__xludf.DUMMYFUNCTION("INDEX(SPLIT(H48,"" ""),1)"),"#REF!")</f>
        <v>#REF!</v>
      </c>
      <c r="N48" s="3" t="str">
        <f>IFERROR(__xludf.DUMMYFUNCTION("MID(REGEXEXTRACT(H48,"" [^ ]* [^ ]*""),2,300)"),"#REF!")</f>
        <v>#REF!</v>
      </c>
      <c r="O48" s="3" t="str">
        <f>IFERROR(__xludf.DUMMYFUNCTION("INDEX(SPLIT(I48,"" ""),1)"),"#REF!")</f>
        <v>#REF!</v>
      </c>
      <c r="P48" s="3" t="str">
        <f>IFERROR(__xludf.DUMMYFUNCTION("MID(REGEXEXTRACT(I48,"" [^ ]* [^ ]*""),2,300)"),"#REF!")</f>
        <v>#REF!</v>
      </c>
      <c r="Q48" s="3" t="str">
        <f>IFERROR(__xludf.DUMMYFUNCTION("INDEX(SPLIT(J48,"" ""),1)"),"#REF!")</f>
        <v>#REF!</v>
      </c>
      <c r="R48" s="3" t="str">
        <f>IFERROR(__xludf.DUMMYFUNCTION("MID(REGEXEXTRACT(J48,"" [^ ]* [^ ]*""),2,300)"),"#REF!")</f>
        <v>#REF!</v>
      </c>
      <c r="S48" s="3">
        <f t="shared" si="2"/>
        <v>3</v>
      </c>
      <c r="T48" s="3" t="str">
        <f t="shared" si="3"/>
        <v>mirrored lavender</v>
      </c>
      <c r="U48" s="3" t="str">
        <f t="shared" si="4"/>
        <v/>
      </c>
      <c r="V48" s="3" t="str">
        <f t="shared" si="5"/>
        <v/>
      </c>
      <c r="W48" s="3" t="str">
        <f t="shared" si="6"/>
        <v/>
      </c>
      <c r="X48" s="3" t="str">
        <f t="shared" si="7"/>
        <v/>
      </c>
      <c r="Y48" s="3" t="str">
        <f t="shared" si="8"/>
        <v/>
      </c>
      <c r="Z48" s="3" t="str">
        <f t="shared" si="9"/>
        <v/>
      </c>
      <c r="AA48" s="13">
        <f t="shared" si="10"/>
        <v>16690</v>
      </c>
      <c r="AB48" s="3">
        <f t="shared" si="11"/>
        <v>16689</v>
      </c>
      <c r="AC48" s="3">
        <f t="shared" si="12"/>
        <v>3</v>
      </c>
      <c r="AD48" s="3">
        <f t="shared" si="13"/>
        <v>5563</v>
      </c>
      <c r="AE48" s="3" t="str">
        <f t="shared" si="14"/>
        <v/>
      </c>
      <c r="AF48" s="3">
        <f t="shared" si="15"/>
        <v>0</v>
      </c>
      <c r="AG48" s="3" t="str">
        <f t="shared" si="16"/>
        <v/>
      </c>
      <c r="AH48" s="3">
        <f t="shared" si="17"/>
        <v>0</v>
      </c>
      <c r="AI48" s="3" t="str">
        <f t="shared" si="18"/>
        <v/>
      </c>
      <c r="AJ48" s="3">
        <f t="shared" si="19"/>
        <v>0</v>
      </c>
    </row>
    <row r="49">
      <c r="C49" s="6" t="s">
        <v>49</v>
      </c>
      <c r="D49" s="3">
        <f t="shared" si="1"/>
        <v>1</v>
      </c>
      <c r="E49" s="3" t="str">
        <f>IFERROR(__xludf.DUMMYFUNCTION("REGEXEXTRACT(C49,""[^ ]* [^ ]*"")"),"clear beige")</f>
        <v>clear beige</v>
      </c>
      <c r="F49" s="3" t="str">
        <f>IFERROR(__xludf.DUMMYFUNCTION("MID(REGEXEXTRACT(C49,""contain.*$""),9,300)"),"5 shiny cyan bags, 3 clear chartreuse bags.")</f>
        <v>5 shiny cyan bags, 3 clear chartreuse bags.</v>
      </c>
      <c r="G49" s="3" t="str">
        <f>IFERROR(__xludf.DUMMYFUNCTION("INDEX(SPLIT($F49,"",""),COLUMN()-6)"),"5 shiny cyan bags")</f>
        <v>5 shiny cyan bags</v>
      </c>
      <c r="H49" s="3" t="str">
        <f>IFERROR(__xludf.DUMMYFUNCTION("MID(INDEX(SPLIT($F49,"",""),COLUMN()-6),2,300)"),"3 clear chartreuse bags.")</f>
        <v>3 clear chartreuse bags.</v>
      </c>
      <c r="I49" s="3" t="str">
        <f>IFERROR(__xludf.DUMMYFUNCTION("MID(INDEX(SPLIT($F49,"",""),COLUMN()-6),2,300)"),"#REF!")</f>
        <v>#REF!</v>
      </c>
      <c r="J49" s="3" t="str">
        <f>IFERROR(__xludf.DUMMYFUNCTION("MID(INDEX(SPLIT($F49,"",""),COLUMN()-6),2,300)"),"#REF!")</f>
        <v>#REF!</v>
      </c>
      <c r="K49" s="3">
        <f>IFERROR(__xludf.DUMMYFUNCTION("INDEX(SPLIT(G49,"" ""),1)"),5.0)</f>
        <v>5</v>
      </c>
      <c r="L49" s="3" t="str">
        <f>IFERROR(__xludf.DUMMYFUNCTION("REGEXEXTRACT(G49,"" [^ ]* [^ ]* "")")," shiny cyan ")</f>
        <v> shiny cyan </v>
      </c>
      <c r="M49" s="3">
        <f>IFERROR(__xludf.DUMMYFUNCTION("INDEX(SPLIT(H49,"" ""),1)"),3.0)</f>
        <v>3</v>
      </c>
      <c r="N49" s="3" t="str">
        <f>IFERROR(__xludf.DUMMYFUNCTION("MID(REGEXEXTRACT(H49,"" [^ ]* [^ ]*""),2,300)"),"clear chartreuse")</f>
        <v>clear chartreuse</v>
      </c>
      <c r="O49" s="3" t="str">
        <f>IFERROR(__xludf.DUMMYFUNCTION("INDEX(SPLIT(I49,"" ""),1)"),"#REF!")</f>
        <v>#REF!</v>
      </c>
      <c r="P49" s="3" t="str">
        <f>IFERROR(__xludf.DUMMYFUNCTION("MID(REGEXEXTRACT(I49,"" [^ ]* [^ ]*""),2,300)"),"#REF!")</f>
        <v>#REF!</v>
      </c>
      <c r="Q49" s="3" t="str">
        <f>IFERROR(__xludf.DUMMYFUNCTION("INDEX(SPLIT(J49,"" ""),1)"),"#REF!")</f>
        <v>#REF!</v>
      </c>
      <c r="R49" s="3" t="str">
        <f>IFERROR(__xludf.DUMMYFUNCTION("MID(REGEXEXTRACT(J49,"" [^ ]* [^ ]*""),2,300)"),"#REF!")</f>
        <v>#REF!</v>
      </c>
      <c r="S49" s="3">
        <f t="shared" si="2"/>
        <v>5</v>
      </c>
      <c r="T49" s="3" t="str">
        <f t="shared" si="3"/>
        <v>shiny cyan</v>
      </c>
      <c r="U49" s="3">
        <f t="shared" si="4"/>
        <v>3</v>
      </c>
      <c r="V49" s="3" t="str">
        <f t="shared" si="5"/>
        <v>clear chartreuse</v>
      </c>
      <c r="W49" s="3" t="str">
        <f t="shared" si="6"/>
        <v/>
      </c>
      <c r="X49" s="3" t="str">
        <f t="shared" si="7"/>
        <v/>
      </c>
      <c r="Y49" s="3" t="str">
        <f t="shared" si="8"/>
        <v/>
      </c>
      <c r="Z49" s="3" t="str">
        <f t="shared" si="9"/>
        <v/>
      </c>
      <c r="AA49" s="13">
        <f t="shared" si="10"/>
        <v>156976053</v>
      </c>
      <c r="AB49" s="3">
        <f t="shared" si="11"/>
        <v>156976052</v>
      </c>
      <c r="AC49" s="3">
        <f t="shared" si="12"/>
        <v>5</v>
      </c>
      <c r="AD49" s="3">
        <f t="shared" si="13"/>
        <v>4</v>
      </c>
      <c r="AE49" s="3">
        <f t="shared" si="14"/>
        <v>3</v>
      </c>
      <c r="AF49" s="3">
        <f t="shared" si="15"/>
        <v>52325344</v>
      </c>
      <c r="AG49" s="3" t="str">
        <f t="shared" si="16"/>
        <v/>
      </c>
      <c r="AH49" s="3">
        <f t="shared" si="17"/>
        <v>0</v>
      </c>
      <c r="AI49" s="3" t="str">
        <f t="shared" si="18"/>
        <v/>
      </c>
      <c r="AJ49" s="3">
        <f t="shared" si="19"/>
        <v>0</v>
      </c>
    </row>
    <row r="50">
      <c r="C50" s="6" t="s">
        <v>50</v>
      </c>
      <c r="D50" s="3">
        <f t="shared" si="1"/>
        <v>0</v>
      </c>
      <c r="E50" s="3" t="str">
        <f>IFERROR(__xludf.DUMMYFUNCTION("REGEXEXTRACT(C50,""[^ ]* [^ ]*"")"),"plaid tomato")</f>
        <v>plaid tomato</v>
      </c>
      <c r="F50" s="3" t="str">
        <f>IFERROR(__xludf.DUMMYFUNCTION("MID(REGEXEXTRACT(C50,""contain.*$""),9,300)"),"5 muted beige bags.")</f>
        <v>5 muted beige bags.</v>
      </c>
      <c r="G50" s="3" t="str">
        <f>IFERROR(__xludf.DUMMYFUNCTION("INDEX(SPLIT($F50,"",""),COLUMN()-6)"),"5 muted beige bags.")</f>
        <v>5 muted beige bags.</v>
      </c>
      <c r="H50" s="3" t="str">
        <f>IFERROR(__xludf.DUMMYFUNCTION("MID(INDEX(SPLIT($F50,"",""),COLUMN()-6),2,300)"),"#REF!")</f>
        <v>#REF!</v>
      </c>
      <c r="I50" s="3" t="str">
        <f>IFERROR(__xludf.DUMMYFUNCTION("MID(INDEX(SPLIT($F50,"",""),COLUMN()-6),2,300)"),"#REF!")</f>
        <v>#REF!</v>
      </c>
      <c r="J50" s="3" t="str">
        <f>IFERROR(__xludf.DUMMYFUNCTION("MID(INDEX(SPLIT($F50,"",""),COLUMN()-6),2,300)"),"#REF!")</f>
        <v>#REF!</v>
      </c>
      <c r="K50" s="3">
        <f>IFERROR(__xludf.DUMMYFUNCTION("INDEX(SPLIT(G50,"" ""),1)"),5.0)</f>
        <v>5</v>
      </c>
      <c r="L50" s="3" t="str">
        <f>IFERROR(__xludf.DUMMYFUNCTION("REGEXEXTRACT(G50,"" [^ ]* [^ ]* "")")," muted beige ")</f>
        <v> muted beige </v>
      </c>
      <c r="M50" s="3" t="str">
        <f>IFERROR(__xludf.DUMMYFUNCTION("INDEX(SPLIT(H50,"" ""),1)"),"#REF!")</f>
        <v>#REF!</v>
      </c>
      <c r="N50" s="3" t="str">
        <f>IFERROR(__xludf.DUMMYFUNCTION("MID(REGEXEXTRACT(H50,"" [^ ]* [^ ]*""),2,300)"),"#REF!")</f>
        <v>#REF!</v>
      </c>
      <c r="O50" s="3" t="str">
        <f>IFERROR(__xludf.DUMMYFUNCTION("INDEX(SPLIT(I50,"" ""),1)"),"#REF!")</f>
        <v>#REF!</v>
      </c>
      <c r="P50" s="3" t="str">
        <f>IFERROR(__xludf.DUMMYFUNCTION("MID(REGEXEXTRACT(I50,"" [^ ]* [^ ]*""),2,300)"),"#REF!")</f>
        <v>#REF!</v>
      </c>
      <c r="Q50" s="3" t="str">
        <f>IFERROR(__xludf.DUMMYFUNCTION("INDEX(SPLIT(J50,"" ""),1)"),"#REF!")</f>
        <v>#REF!</v>
      </c>
      <c r="R50" s="3" t="str">
        <f>IFERROR(__xludf.DUMMYFUNCTION("MID(REGEXEXTRACT(J50,"" [^ ]* [^ ]*""),2,300)"),"#REF!")</f>
        <v>#REF!</v>
      </c>
      <c r="S50" s="3">
        <f t="shared" si="2"/>
        <v>5</v>
      </c>
      <c r="T50" s="3" t="str">
        <f t="shared" si="3"/>
        <v>muted beige</v>
      </c>
      <c r="U50" s="3" t="str">
        <f t="shared" si="4"/>
        <v/>
      </c>
      <c r="V50" s="3" t="str">
        <f t="shared" si="5"/>
        <v/>
      </c>
      <c r="W50" s="3" t="str">
        <f t="shared" si="6"/>
        <v/>
      </c>
      <c r="X50" s="3" t="str">
        <f t="shared" si="7"/>
        <v/>
      </c>
      <c r="Y50" s="3" t="str">
        <f t="shared" si="8"/>
        <v/>
      </c>
      <c r="Z50" s="3" t="str">
        <f t="shared" si="9"/>
        <v/>
      </c>
      <c r="AA50" s="13">
        <f t="shared" si="10"/>
        <v>94877726</v>
      </c>
      <c r="AB50" s="3">
        <f t="shared" si="11"/>
        <v>94877725</v>
      </c>
      <c r="AC50" s="3">
        <f t="shared" si="12"/>
        <v>5</v>
      </c>
      <c r="AD50" s="3">
        <f t="shared" si="13"/>
        <v>18975545</v>
      </c>
      <c r="AE50" s="3" t="str">
        <f t="shared" si="14"/>
        <v/>
      </c>
      <c r="AF50" s="3">
        <f t="shared" si="15"/>
        <v>0</v>
      </c>
      <c r="AG50" s="3" t="str">
        <f t="shared" si="16"/>
        <v/>
      </c>
      <c r="AH50" s="3">
        <f t="shared" si="17"/>
        <v>0</v>
      </c>
      <c r="AI50" s="3" t="str">
        <f t="shared" si="18"/>
        <v/>
      </c>
      <c r="AJ50" s="3">
        <f t="shared" si="19"/>
        <v>0</v>
      </c>
    </row>
    <row r="51">
      <c r="C51" s="6" t="s">
        <v>51</v>
      </c>
      <c r="D51" s="3">
        <f t="shared" si="1"/>
        <v>2</v>
      </c>
      <c r="E51" s="3" t="str">
        <f>IFERROR(__xludf.DUMMYFUNCTION("REGEXEXTRACT(C51,""[^ ]* [^ ]*"")"),"bright teal")</f>
        <v>bright teal</v>
      </c>
      <c r="F51" s="3" t="str">
        <f>IFERROR(__xludf.DUMMYFUNCTION("MID(REGEXEXTRACT(C51,""contain.*$""),9,300)"),"5 shiny gold bags, 4 clear beige bags, 5 vibrant chartreuse bags.")</f>
        <v>5 shiny gold bags, 4 clear beige bags, 5 vibrant chartreuse bags.</v>
      </c>
      <c r="G51" s="3" t="str">
        <f>IFERROR(__xludf.DUMMYFUNCTION("INDEX(SPLIT($F51,"",""),COLUMN()-6)"),"5 shiny gold bags")</f>
        <v>5 shiny gold bags</v>
      </c>
      <c r="H51" s="3" t="str">
        <f>IFERROR(__xludf.DUMMYFUNCTION("MID(INDEX(SPLIT($F51,"",""),COLUMN()-6),2,300)"),"4 clear beige bags")</f>
        <v>4 clear beige bags</v>
      </c>
      <c r="I51" s="3" t="str">
        <f>IFERROR(__xludf.DUMMYFUNCTION("MID(INDEX(SPLIT($F51,"",""),COLUMN()-6),2,300)"),"5 vibrant chartreuse bags.")</f>
        <v>5 vibrant chartreuse bags.</v>
      </c>
      <c r="J51" s="3" t="str">
        <f>IFERROR(__xludf.DUMMYFUNCTION("MID(INDEX(SPLIT($F51,"",""),COLUMN()-6),2,300)"),"#REF!")</f>
        <v>#REF!</v>
      </c>
      <c r="K51" s="3">
        <f>IFERROR(__xludf.DUMMYFUNCTION("INDEX(SPLIT(G51,"" ""),1)"),5.0)</f>
        <v>5</v>
      </c>
      <c r="L51" s="3" t="str">
        <f>IFERROR(__xludf.DUMMYFUNCTION("REGEXEXTRACT(G51,"" [^ ]* [^ ]* "")")," shiny gold ")</f>
        <v> shiny gold </v>
      </c>
      <c r="M51" s="3">
        <f>IFERROR(__xludf.DUMMYFUNCTION("INDEX(SPLIT(H51,"" ""),1)"),4.0)</f>
        <v>4</v>
      </c>
      <c r="N51" s="3" t="str">
        <f>IFERROR(__xludf.DUMMYFUNCTION("MID(REGEXEXTRACT(H51,"" [^ ]* [^ ]*""),2,300)"),"clear beige")</f>
        <v>clear beige</v>
      </c>
      <c r="O51" s="3">
        <f>IFERROR(__xludf.DUMMYFUNCTION("INDEX(SPLIT(I51,"" ""),1)"),5.0)</f>
        <v>5</v>
      </c>
      <c r="P51" s="3" t="str">
        <f>IFERROR(__xludf.DUMMYFUNCTION("MID(REGEXEXTRACT(I51,"" [^ ]* [^ ]*""),2,300)"),"vibrant chartreuse")</f>
        <v>vibrant chartreuse</v>
      </c>
      <c r="Q51" s="3" t="str">
        <f>IFERROR(__xludf.DUMMYFUNCTION("INDEX(SPLIT(J51,"" ""),1)"),"#REF!")</f>
        <v>#REF!</v>
      </c>
      <c r="R51" s="3" t="str">
        <f>IFERROR(__xludf.DUMMYFUNCTION("MID(REGEXEXTRACT(J51,"" [^ ]* [^ ]*""),2,300)"),"#REF!")</f>
        <v>#REF!</v>
      </c>
      <c r="S51" s="3">
        <f t="shared" si="2"/>
        <v>5</v>
      </c>
      <c r="T51" s="3" t="str">
        <f t="shared" si="3"/>
        <v>shiny gold</v>
      </c>
      <c r="U51" s="3">
        <f t="shared" si="4"/>
        <v>4</v>
      </c>
      <c r="V51" s="3" t="str">
        <f t="shared" si="5"/>
        <v>clear beige</v>
      </c>
      <c r="W51" s="3">
        <f t="shared" si="6"/>
        <v>5</v>
      </c>
      <c r="X51" s="3" t="str">
        <f t="shared" si="7"/>
        <v>vibrant chartreuse</v>
      </c>
      <c r="Y51" s="3" t="str">
        <f t="shared" si="8"/>
        <v/>
      </c>
      <c r="Z51" s="3" t="str">
        <f t="shared" si="9"/>
        <v/>
      </c>
      <c r="AA51" s="13">
        <f t="shared" si="10"/>
        <v>627964923</v>
      </c>
      <c r="AB51" s="3">
        <f t="shared" si="11"/>
        <v>627964922</v>
      </c>
      <c r="AC51" s="3">
        <f t="shared" si="12"/>
        <v>5</v>
      </c>
      <c r="AD51" s="3">
        <f t="shared" si="13"/>
        <v>12129</v>
      </c>
      <c r="AE51" s="3">
        <f t="shared" si="14"/>
        <v>4</v>
      </c>
      <c r="AF51" s="3">
        <f t="shared" si="15"/>
        <v>156976053</v>
      </c>
      <c r="AG51" s="3">
        <f t="shared" si="16"/>
        <v>5</v>
      </c>
      <c r="AH51" s="3">
        <f t="shared" si="17"/>
        <v>13</v>
      </c>
      <c r="AI51" s="3" t="str">
        <f t="shared" si="18"/>
        <v/>
      </c>
      <c r="AJ51" s="3">
        <f t="shared" si="19"/>
        <v>0</v>
      </c>
    </row>
    <row r="52">
      <c r="C52" s="6" t="s">
        <v>52</v>
      </c>
      <c r="D52" s="3">
        <f t="shared" si="1"/>
        <v>3</v>
      </c>
      <c r="E52" s="3" t="str">
        <f>IFERROR(__xludf.DUMMYFUNCTION("REGEXEXTRACT(C52,""[^ ]* [^ ]*"")"),"dotted salmon")</f>
        <v>dotted salmon</v>
      </c>
      <c r="F52" s="3" t="str">
        <f>IFERROR(__xludf.DUMMYFUNCTION("MID(REGEXEXTRACT(C52,""contain.*$""),9,300)"),"1 clear fuchsia bag, 2 muted maroon bags, 4 posh yellow bags, 1 drab chartreuse bag.")</f>
        <v>1 clear fuchsia bag, 2 muted maroon bags, 4 posh yellow bags, 1 drab chartreuse bag.</v>
      </c>
      <c r="G52" s="3" t="str">
        <f>IFERROR(__xludf.DUMMYFUNCTION("INDEX(SPLIT($F52,"",""),COLUMN()-6)"),"1 clear fuchsia bag")</f>
        <v>1 clear fuchsia bag</v>
      </c>
      <c r="H52" s="3" t="str">
        <f>IFERROR(__xludf.DUMMYFUNCTION("MID(INDEX(SPLIT($F52,"",""),COLUMN()-6),2,300)"),"2 muted maroon bags")</f>
        <v>2 muted maroon bags</v>
      </c>
      <c r="I52" s="3" t="str">
        <f>IFERROR(__xludf.DUMMYFUNCTION("MID(INDEX(SPLIT($F52,"",""),COLUMN()-6),2,300)"),"4 posh yellow bags")</f>
        <v>4 posh yellow bags</v>
      </c>
      <c r="J52" s="3" t="str">
        <f>IFERROR(__xludf.DUMMYFUNCTION("MID(INDEX(SPLIT($F52,"",""),COLUMN()-6),2,300)"),"1 drab chartreuse bag.")</f>
        <v>1 drab chartreuse bag.</v>
      </c>
      <c r="K52" s="3">
        <f>IFERROR(__xludf.DUMMYFUNCTION("INDEX(SPLIT(G52,"" ""),1)"),1.0)</f>
        <v>1</v>
      </c>
      <c r="L52" s="3" t="str">
        <f>IFERROR(__xludf.DUMMYFUNCTION("REGEXEXTRACT(G52,"" [^ ]* [^ ]* "")")," clear fuchsia ")</f>
        <v> clear fuchsia </v>
      </c>
      <c r="M52" s="3">
        <f>IFERROR(__xludf.DUMMYFUNCTION("INDEX(SPLIT(H52,"" ""),1)"),2.0)</f>
        <v>2</v>
      </c>
      <c r="N52" s="3" t="str">
        <f>IFERROR(__xludf.DUMMYFUNCTION("MID(REGEXEXTRACT(H52,"" [^ ]* [^ ]*""),2,300)"),"muted maroon")</f>
        <v>muted maroon</v>
      </c>
      <c r="O52" s="3">
        <f>IFERROR(__xludf.DUMMYFUNCTION("INDEX(SPLIT(I52,"" ""),1)"),4.0)</f>
        <v>4</v>
      </c>
      <c r="P52" s="3" t="str">
        <f>IFERROR(__xludf.DUMMYFUNCTION("MID(REGEXEXTRACT(I52,"" [^ ]* [^ ]*""),2,300)"),"posh yellow")</f>
        <v>posh yellow</v>
      </c>
      <c r="Q52" s="3">
        <f>IFERROR(__xludf.DUMMYFUNCTION("INDEX(SPLIT(J52,"" ""),1)"),1.0)</f>
        <v>1</v>
      </c>
      <c r="R52" s="3" t="str">
        <f>IFERROR(__xludf.DUMMYFUNCTION("MID(REGEXEXTRACT(J52,"" [^ ]* [^ ]*""),2,300)"),"drab chartreuse")</f>
        <v>drab chartreuse</v>
      </c>
      <c r="S52" s="3">
        <f t="shared" si="2"/>
        <v>1</v>
      </c>
      <c r="T52" s="3" t="str">
        <f t="shared" si="3"/>
        <v>clear fuchsia</v>
      </c>
      <c r="U52" s="3">
        <f t="shared" si="4"/>
        <v>2</v>
      </c>
      <c r="V52" s="3" t="str">
        <f t="shared" si="5"/>
        <v>muted maroon</v>
      </c>
      <c r="W52" s="3">
        <f t="shared" si="6"/>
        <v>4</v>
      </c>
      <c r="X52" s="3" t="str">
        <f t="shared" si="7"/>
        <v>posh yellow</v>
      </c>
      <c r="Y52" s="3">
        <f t="shared" si="8"/>
        <v>1</v>
      </c>
      <c r="Z52" s="3" t="str">
        <f t="shared" si="9"/>
        <v>drab chartreuse</v>
      </c>
      <c r="AA52" s="13">
        <f t="shared" si="10"/>
        <v>97296</v>
      </c>
      <c r="AB52" s="3">
        <f t="shared" si="11"/>
        <v>97295</v>
      </c>
      <c r="AC52" s="3">
        <f t="shared" si="12"/>
        <v>1</v>
      </c>
      <c r="AD52" s="3">
        <f t="shared" si="13"/>
        <v>19368</v>
      </c>
      <c r="AE52" s="3">
        <f t="shared" si="14"/>
        <v>2</v>
      </c>
      <c r="AF52" s="3">
        <f t="shared" si="15"/>
        <v>25481</v>
      </c>
      <c r="AG52" s="3">
        <f t="shared" si="16"/>
        <v>4</v>
      </c>
      <c r="AH52" s="3">
        <f t="shared" si="17"/>
        <v>4</v>
      </c>
      <c r="AI52" s="3">
        <f t="shared" si="18"/>
        <v>1</v>
      </c>
      <c r="AJ52" s="3">
        <f t="shared" si="19"/>
        <v>26949</v>
      </c>
    </row>
    <row r="53">
      <c r="C53" s="6" t="s">
        <v>53</v>
      </c>
      <c r="D53" s="3">
        <f t="shared" si="1"/>
        <v>0</v>
      </c>
      <c r="E53" s="3" t="str">
        <f>IFERROR(__xludf.DUMMYFUNCTION("REGEXEXTRACT(C53,""[^ ]* [^ ]*"")"),"light gold")</f>
        <v>light gold</v>
      </c>
      <c r="F53" s="3" t="str">
        <f>IFERROR(__xludf.DUMMYFUNCTION("MID(REGEXEXTRACT(C53,""contain.*$""),9,300)"),"4 light maroon bags.")</f>
        <v>4 light maroon bags.</v>
      </c>
      <c r="G53" s="3" t="str">
        <f>IFERROR(__xludf.DUMMYFUNCTION("INDEX(SPLIT($F53,"",""),COLUMN()-6)"),"4 light maroon bags.")</f>
        <v>4 light maroon bags.</v>
      </c>
      <c r="H53" s="3" t="str">
        <f>IFERROR(__xludf.DUMMYFUNCTION("MID(INDEX(SPLIT($F53,"",""),COLUMN()-6),2,300)"),"#REF!")</f>
        <v>#REF!</v>
      </c>
      <c r="I53" s="3" t="str">
        <f>IFERROR(__xludf.DUMMYFUNCTION("MID(INDEX(SPLIT($F53,"",""),COLUMN()-6),2,300)"),"#REF!")</f>
        <v>#REF!</v>
      </c>
      <c r="J53" s="3" t="str">
        <f>IFERROR(__xludf.DUMMYFUNCTION("MID(INDEX(SPLIT($F53,"",""),COLUMN()-6),2,300)"),"#REF!")</f>
        <v>#REF!</v>
      </c>
      <c r="K53" s="3">
        <f>IFERROR(__xludf.DUMMYFUNCTION("INDEX(SPLIT(G53,"" ""),1)"),4.0)</f>
        <v>4</v>
      </c>
      <c r="L53" s="3" t="str">
        <f>IFERROR(__xludf.DUMMYFUNCTION("REGEXEXTRACT(G53,"" [^ ]* [^ ]* "")")," light maroon ")</f>
        <v> light maroon </v>
      </c>
      <c r="M53" s="3" t="str">
        <f>IFERROR(__xludf.DUMMYFUNCTION("INDEX(SPLIT(H53,"" ""),1)"),"#REF!")</f>
        <v>#REF!</v>
      </c>
      <c r="N53" s="3" t="str">
        <f>IFERROR(__xludf.DUMMYFUNCTION("MID(REGEXEXTRACT(H53,"" [^ ]* [^ ]*""),2,300)"),"#REF!")</f>
        <v>#REF!</v>
      </c>
      <c r="O53" s="3" t="str">
        <f>IFERROR(__xludf.DUMMYFUNCTION("INDEX(SPLIT(I53,"" ""),1)"),"#REF!")</f>
        <v>#REF!</v>
      </c>
      <c r="P53" s="3" t="str">
        <f>IFERROR(__xludf.DUMMYFUNCTION("MID(REGEXEXTRACT(I53,"" [^ ]* [^ ]*""),2,300)"),"#REF!")</f>
        <v>#REF!</v>
      </c>
      <c r="Q53" s="3" t="str">
        <f>IFERROR(__xludf.DUMMYFUNCTION("INDEX(SPLIT(J53,"" ""),1)"),"#REF!")</f>
        <v>#REF!</v>
      </c>
      <c r="R53" s="3" t="str">
        <f>IFERROR(__xludf.DUMMYFUNCTION("MID(REGEXEXTRACT(J53,"" [^ ]* [^ ]*""),2,300)"),"#REF!")</f>
        <v>#REF!</v>
      </c>
      <c r="S53" s="3">
        <f t="shared" si="2"/>
        <v>4</v>
      </c>
      <c r="T53" s="3" t="str">
        <f t="shared" si="3"/>
        <v>light maroon</v>
      </c>
      <c r="U53" s="3" t="str">
        <f t="shared" si="4"/>
        <v/>
      </c>
      <c r="V53" s="3" t="str">
        <f t="shared" si="5"/>
        <v/>
      </c>
      <c r="W53" s="3" t="str">
        <f t="shared" si="6"/>
        <v/>
      </c>
      <c r="X53" s="3" t="str">
        <f t="shared" si="7"/>
        <v/>
      </c>
      <c r="Y53" s="3" t="str">
        <f t="shared" si="8"/>
        <v/>
      </c>
      <c r="Z53" s="3" t="str">
        <f t="shared" si="9"/>
        <v/>
      </c>
      <c r="AA53" s="13">
        <f t="shared" si="10"/>
        <v>112904201</v>
      </c>
      <c r="AB53" s="3">
        <f t="shared" si="11"/>
        <v>112904200</v>
      </c>
      <c r="AC53" s="3">
        <f t="shared" si="12"/>
        <v>4</v>
      </c>
      <c r="AD53" s="3">
        <f t="shared" si="13"/>
        <v>28226050</v>
      </c>
      <c r="AE53" s="3" t="str">
        <f t="shared" si="14"/>
        <v/>
      </c>
      <c r="AF53" s="3">
        <f t="shared" si="15"/>
        <v>0</v>
      </c>
      <c r="AG53" s="3" t="str">
        <f t="shared" si="16"/>
        <v/>
      </c>
      <c r="AH53" s="3">
        <f t="shared" si="17"/>
        <v>0</v>
      </c>
      <c r="AI53" s="3" t="str">
        <f t="shared" si="18"/>
        <v/>
      </c>
      <c r="AJ53" s="3">
        <f t="shared" si="19"/>
        <v>0</v>
      </c>
    </row>
    <row r="54">
      <c r="C54" s="6" t="s">
        <v>54</v>
      </c>
      <c r="D54" s="3">
        <f t="shared" si="1"/>
        <v>1</v>
      </c>
      <c r="E54" s="3" t="str">
        <f>IFERROR(__xludf.DUMMYFUNCTION("REGEXEXTRACT(C54,""[^ ]* [^ ]*"")"),"faded cyan")</f>
        <v>faded cyan</v>
      </c>
      <c r="F54" s="3" t="str">
        <f>IFERROR(__xludf.DUMMYFUNCTION("MID(REGEXEXTRACT(C54,""contain.*$""),9,300)"),"2 posh magenta bags, 2 dark violet bags.")</f>
        <v>2 posh magenta bags, 2 dark violet bags.</v>
      </c>
      <c r="G54" s="3" t="str">
        <f>IFERROR(__xludf.DUMMYFUNCTION("INDEX(SPLIT($F54,"",""),COLUMN()-6)"),"2 posh magenta bags")</f>
        <v>2 posh magenta bags</v>
      </c>
      <c r="H54" s="3" t="str">
        <f>IFERROR(__xludf.DUMMYFUNCTION("MID(INDEX(SPLIT($F54,"",""),COLUMN()-6),2,300)"),"2 dark violet bags.")</f>
        <v>2 dark violet bags.</v>
      </c>
      <c r="I54" s="3" t="str">
        <f>IFERROR(__xludf.DUMMYFUNCTION("MID(INDEX(SPLIT($F54,"",""),COLUMN()-6),2,300)"),"#REF!")</f>
        <v>#REF!</v>
      </c>
      <c r="J54" s="3" t="str">
        <f>IFERROR(__xludf.DUMMYFUNCTION("MID(INDEX(SPLIT($F54,"",""),COLUMN()-6),2,300)"),"#REF!")</f>
        <v>#REF!</v>
      </c>
      <c r="K54" s="3">
        <f>IFERROR(__xludf.DUMMYFUNCTION("INDEX(SPLIT(G54,"" ""),1)"),2.0)</f>
        <v>2</v>
      </c>
      <c r="L54" s="3" t="str">
        <f>IFERROR(__xludf.DUMMYFUNCTION("REGEXEXTRACT(G54,"" [^ ]* [^ ]* "")")," posh magenta ")</f>
        <v> posh magenta </v>
      </c>
      <c r="M54" s="3">
        <f>IFERROR(__xludf.DUMMYFUNCTION("INDEX(SPLIT(H54,"" ""),1)"),2.0)</f>
        <v>2</v>
      </c>
      <c r="N54" s="3" t="str">
        <f>IFERROR(__xludf.DUMMYFUNCTION("MID(REGEXEXTRACT(H54,"" [^ ]* [^ ]*""),2,300)"),"dark violet")</f>
        <v>dark violet</v>
      </c>
      <c r="O54" s="3" t="str">
        <f>IFERROR(__xludf.DUMMYFUNCTION("INDEX(SPLIT(I54,"" ""),1)"),"#REF!")</f>
        <v>#REF!</v>
      </c>
      <c r="P54" s="3" t="str">
        <f>IFERROR(__xludf.DUMMYFUNCTION("MID(REGEXEXTRACT(I54,"" [^ ]* [^ ]*""),2,300)"),"#REF!")</f>
        <v>#REF!</v>
      </c>
      <c r="Q54" s="3" t="str">
        <f>IFERROR(__xludf.DUMMYFUNCTION("INDEX(SPLIT(J54,"" ""),1)"),"#REF!")</f>
        <v>#REF!</v>
      </c>
      <c r="R54" s="3" t="str">
        <f>IFERROR(__xludf.DUMMYFUNCTION("MID(REGEXEXTRACT(J54,"" [^ ]* [^ ]*""),2,300)"),"#REF!")</f>
        <v>#REF!</v>
      </c>
      <c r="S54" s="3">
        <f t="shared" si="2"/>
        <v>2</v>
      </c>
      <c r="T54" s="3" t="str">
        <f t="shared" si="3"/>
        <v>posh magenta</v>
      </c>
      <c r="U54" s="3">
        <f t="shared" si="4"/>
        <v>2</v>
      </c>
      <c r="V54" s="3" t="str">
        <f t="shared" si="5"/>
        <v>dark violet</v>
      </c>
      <c r="W54" s="3" t="str">
        <f t="shared" si="6"/>
        <v/>
      </c>
      <c r="X54" s="3" t="str">
        <f t="shared" si="7"/>
        <v/>
      </c>
      <c r="Y54" s="3" t="str">
        <f t="shared" si="8"/>
        <v/>
      </c>
      <c r="Z54" s="3" t="str">
        <f t="shared" si="9"/>
        <v/>
      </c>
      <c r="AA54" s="13">
        <f t="shared" si="10"/>
        <v>1017501</v>
      </c>
      <c r="AB54" s="3">
        <f t="shared" si="11"/>
        <v>1017500</v>
      </c>
      <c r="AC54" s="3">
        <f t="shared" si="12"/>
        <v>2</v>
      </c>
      <c r="AD54" s="3">
        <f t="shared" si="13"/>
        <v>1</v>
      </c>
      <c r="AE54" s="3">
        <f t="shared" si="14"/>
        <v>2</v>
      </c>
      <c r="AF54" s="3">
        <f t="shared" si="15"/>
        <v>508749</v>
      </c>
      <c r="AG54" s="3" t="str">
        <f t="shared" si="16"/>
        <v/>
      </c>
      <c r="AH54" s="3">
        <f t="shared" si="17"/>
        <v>0</v>
      </c>
      <c r="AI54" s="3" t="str">
        <f t="shared" si="18"/>
        <v/>
      </c>
      <c r="AJ54" s="3">
        <f t="shared" si="19"/>
        <v>0</v>
      </c>
    </row>
    <row r="55">
      <c r="C55" s="6" t="s">
        <v>55</v>
      </c>
      <c r="D55" s="3">
        <f t="shared" si="1"/>
        <v>3</v>
      </c>
      <c r="E55" s="3" t="str">
        <f>IFERROR(__xludf.DUMMYFUNCTION("REGEXEXTRACT(C55,""[^ ]* [^ ]*"")"),"drab cyan")</f>
        <v>drab cyan</v>
      </c>
      <c r="F55" s="3" t="str">
        <f>IFERROR(__xludf.DUMMYFUNCTION("MID(REGEXEXTRACT(C55,""contain.*$""),9,300)"),"5 faded purple bags, 4 striped crimson bags, 1 shiny maroon bag, 4 drab tomato bags.")</f>
        <v>5 faded purple bags, 4 striped crimson bags, 1 shiny maroon bag, 4 drab tomato bags.</v>
      </c>
      <c r="G55" s="3" t="str">
        <f>IFERROR(__xludf.DUMMYFUNCTION("INDEX(SPLIT($F55,"",""),COLUMN()-6)"),"5 faded purple bags")</f>
        <v>5 faded purple bags</v>
      </c>
      <c r="H55" s="3" t="str">
        <f>IFERROR(__xludf.DUMMYFUNCTION("MID(INDEX(SPLIT($F55,"",""),COLUMN()-6),2,300)"),"4 striped crimson bags")</f>
        <v>4 striped crimson bags</v>
      </c>
      <c r="I55" s="3" t="str">
        <f>IFERROR(__xludf.DUMMYFUNCTION("MID(INDEX(SPLIT($F55,"",""),COLUMN()-6),2,300)"),"1 shiny maroon bag")</f>
        <v>1 shiny maroon bag</v>
      </c>
      <c r="J55" s="3" t="str">
        <f>IFERROR(__xludf.DUMMYFUNCTION("MID(INDEX(SPLIT($F55,"",""),COLUMN()-6),2,300)"),"4 drab tomato bags.")</f>
        <v>4 drab tomato bags.</v>
      </c>
      <c r="K55" s="3">
        <f>IFERROR(__xludf.DUMMYFUNCTION("INDEX(SPLIT(G55,"" ""),1)"),5.0)</f>
        <v>5</v>
      </c>
      <c r="L55" s="3" t="str">
        <f>IFERROR(__xludf.DUMMYFUNCTION("REGEXEXTRACT(G55,"" [^ ]* [^ ]* "")")," faded purple ")</f>
        <v> faded purple </v>
      </c>
      <c r="M55" s="3">
        <f>IFERROR(__xludf.DUMMYFUNCTION("INDEX(SPLIT(H55,"" ""),1)"),4.0)</f>
        <v>4</v>
      </c>
      <c r="N55" s="3" t="str">
        <f>IFERROR(__xludf.DUMMYFUNCTION("MID(REGEXEXTRACT(H55,"" [^ ]* [^ ]*""),2,300)"),"striped crimson")</f>
        <v>striped crimson</v>
      </c>
      <c r="O55" s="3">
        <f>IFERROR(__xludf.DUMMYFUNCTION("INDEX(SPLIT(I55,"" ""),1)"),1.0)</f>
        <v>1</v>
      </c>
      <c r="P55" s="3" t="str">
        <f>IFERROR(__xludf.DUMMYFUNCTION("MID(REGEXEXTRACT(I55,"" [^ ]* [^ ]*""),2,300)"),"shiny maroon")</f>
        <v>shiny maroon</v>
      </c>
      <c r="Q55" s="3">
        <f>IFERROR(__xludf.DUMMYFUNCTION("INDEX(SPLIT(J55,"" ""),1)"),4.0)</f>
        <v>4</v>
      </c>
      <c r="R55" s="3" t="str">
        <f>IFERROR(__xludf.DUMMYFUNCTION("MID(REGEXEXTRACT(J55,"" [^ ]* [^ ]*""),2,300)"),"drab tomato")</f>
        <v>drab tomato</v>
      </c>
      <c r="S55" s="3">
        <f t="shared" si="2"/>
        <v>5</v>
      </c>
      <c r="T55" s="3" t="str">
        <f t="shared" si="3"/>
        <v>faded purple</v>
      </c>
      <c r="U55" s="3">
        <f t="shared" si="4"/>
        <v>4</v>
      </c>
      <c r="V55" s="3" t="str">
        <f t="shared" si="5"/>
        <v>striped crimson</v>
      </c>
      <c r="W55" s="3">
        <f t="shared" si="6"/>
        <v>1</v>
      </c>
      <c r="X55" s="3" t="str">
        <f t="shared" si="7"/>
        <v>shiny maroon</v>
      </c>
      <c r="Y55" s="3">
        <f t="shared" si="8"/>
        <v>4</v>
      </c>
      <c r="Z55" s="3" t="str">
        <f t="shared" si="9"/>
        <v>drab tomato</v>
      </c>
      <c r="AA55" s="13">
        <f t="shared" si="10"/>
        <v>873196</v>
      </c>
      <c r="AB55" s="3">
        <f t="shared" si="11"/>
        <v>873195</v>
      </c>
      <c r="AC55" s="3">
        <f t="shared" si="12"/>
        <v>5</v>
      </c>
      <c r="AD55" s="3">
        <f t="shared" si="13"/>
        <v>6357</v>
      </c>
      <c r="AE55" s="3">
        <f t="shared" si="14"/>
        <v>4</v>
      </c>
      <c r="AF55" s="3">
        <f t="shared" si="15"/>
        <v>32410</v>
      </c>
      <c r="AG55" s="3">
        <f t="shared" si="16"/>
        <v>1</v>
      </c>
      <c r="AH55" s="3">
        <f t="shared" si="17"/>
        <v>557022</v>
      </c>
      <c r="AI55" s="3">
        <f t="shared" si="18"/>
        <v>4</v>
      </c>
      <c r="AJ55" s="3">
        <f t="shared" si="19"/>
        <v>38687</v>
      </c>
    </row>
    <row r="56">
      <c r="C56" s="6" t="s">
        <v>56</v>
      </c>
      <c r="D56" s="3">
        <f t="shared" si="1"/>
        <v>2</v>
      </c>
      <c r="E56" s="3" t="str">
        <f>IFERROR(__xludf.DUMMYFUNCTION("REGEXEXTRACT(C56,""[^ ]* [^ ]*"")"),"dotted black")</f>
        <v>dotted black</v>
      </c>
      <c r="F56" s="3" t="str">
        <f>IFERROR(__xludf.DUMMYFUNCTION("MID(REGEXEXTRACT(C56,""contain.*$""),9,300)"),"3 striped turquoise bags, 4 dark tan bags, 4 vibrant lavender bags.")</f>
        <v>3 striped turquoise bags, 4 dark tan bags, 4 vibrant lavender bags.</v>
      </c>
      <c r="G56" s="3" t="str">
        <f>IFERROR(__xludf.DUMMYFUNCTION("INDEX(SPLIT($F56,"",""),COLUMN()-6)"),"3 striped turquoise bags")</f>
        <v>3 striped turquoise bags</v>
      </c>
      <c r="H56" s="3" t="str">
        <f>IFERROR(__xludf.DUMMYFUNCTION("MID(INDEX(SPLIT($F56,"",""),COLUMN()-6),2,300)"),"4 dark tan bags")</f>
        <v>4 dark tan bags</v>
      </c>
      <c r="I56" s="3" t="str">
        <f>IFERROR(__xludf.DUMMYFUNCTION("MID(INDEX(SPLIT($F56,"",""),COLUMN()-6),2,300)"),"4 vibrant lavender bags.")</f>
        <v>4 vibrant lavender bags.</v>
      </c>
      <c r="J56" s="3" t="str">
        <f>IFERROR(__xludf.DUMMYFUNCTION("MID(INDEX(SPLIT($F56,"",""),COLUMN()-6),2,300)"),"#REF!")</f>
        <v>#REF!</v>
      </c>
      <c r="K56" s="3">
        <f>IFERROR(__xludf.DUMMYFUNCTION("INDEX(SPLIT(G56,"" ""),1)"),3.0)</f>
        <v>3</v>
      </c>
      <c r="L56" s="3" t="str">
        <f>IFERROR(__xludf.DUMMYFUNCTION("REGEXEXTRACT(G56,"" [^ ]* [^ ]* "")")," striped turquoise ")</f>
        <v> striped turquoise </v>
      </c>
      <c r="M56" s="3">
        <f>IFERROR(__xludf.DUMMYFUNCTION("INDEX(SPLIT(H56,"" ""),1)"),4.0)</f>
        <v>4</v>
      </c>
      <c r="N56" s="3" t="str">
        <f>IFERROR(__xludf.DUMMYFUNCTION("MID(REGEXEXTRACT(H56,"" [^ ]* [^ ]*""),2,300)"),"dark tan")</f>
        <v>dark tan</v>
      </c>
      <c r="O56" s="3">
        <f>IFERROR(__xludf.DUMMYFUNCTION("INDEX(SPLIT(I56,"" ""),1)"),4.0)</f>
        <v>4</v>
      </c>
      <c r="P56" s="3" t="str">
        <f>IFERROR(__xludf.DUMMYFUNCTION("MID(REGEXEXTRACT(I56,"" [^ ]* [^ ]*""),2,300)"),"vibrant lavender")</f>
        <v>vibrant lavender</v>
      </c>
      <c r="Q56" s="3" t="str">
        <f>IFERROR(__xludf.DUMMYFUNCTION("INDEX(SPLIT(J56,"" ""),1)"),"#REF!")</f>
        <v>#REF!</v>
      </c>
      <c r="R56" s="3" t="str">
        <f>IFERROR(__xludf.DUMMYFUNCTION("MID(REGEXEXTRACT(J56,"" [^ ]* [^ ]*""),2,300)"),"#REF!")</f>
        <v>#REF!</v>
      </c>
      <c r="S56" s="3">
        <f t="shared" si="2"/>
        <v>3</v>
      </c>
      <c r="T56" s="3" t="str">
        <f t="shared" si="3"/>
        <v>striped turquoise</v>
      </c>
      <c r="U56" s="3">
        <f t="shared" si="4"/>
        <v>4</v>
      </c>
      <c r="V56" s="3" t="str">
        <f t="shared" si="5"/>
        <v>dark tan</v>
      </c>
      <c r="W56" s="3">
        <f t="shared" si="6"/>
        <v>4</v>
      </c>
      <c r="X56" s="3" t="str">
        <f t="shared" si="7"/>
        <v>vibrant lavender</v>
      </c>
      <c r="Y56" s="3" t="str">
        <f t="shared" si="8"/>
        <v/>
      </c>
      <c r="Z56" s="3" t="str">
        <f t="shared" si="9"/>
        <v/>
      </c>
      <c r="AA56" s="13">
        <f t="shared" si="10"/>
        <v>13561077401</v>
      </c>
      <c r="AB56" s="3">
        <f t="shared" si="11"/>
        <v>13561077400</v>
      </c>
      <c r="AC56" s="3">
        <f t="shared" si="12"/>
        <v>3</v>
      </c>
      <c r="AD56" s="3">
        <f t="shared" si="13"/>
        <v>4519429856</v>
      </c>
      <c r="AE56" s="3">
        <f t="shared" si="14"/>
        <v>4</v>
      </c>
      <c r="AF56" s="3">
        <f t="shared" si="15"/>
        <v>1086</v>
      </c>
      <c r="AG56" s="3">
        <f t="shared" si="16"/>
        <v>4</v>
      </c>
      <c r="AH56" s="3">
        <f t="shared" si="17"/>
        <v>695872</v>
      </c>
      <c r="AI56" s="3" t="str">
        <f t="shared" si="18"/>
        <v/>
      </c>
      <c r="AJ56" s="3">
        <f t="shared" si="19"/>
        <v>0</v>
      </c>
    </row>
    <row r="57">
      <c r="C57" s="6" t="s">
        <v>57</v>
      </c>
      <c r="D57" s="3">
        <f t="shared" si="1"/>
        <v>0</v>
      </c>
      <c r="E57" s="3" t="str">
        <f>IFERROR(__xludf.DUMMYFUNCTION("REGEXEXTRACT(C57,""[^ ]* [^ ]*"")"),"faded purple")</f>
        <v>faded purple</v>
      </c>
      <c r="F57" s="3" t="str">
        <f>IFERROR(__xludf.DUMMYFUNCTION("MID(REGEXEXTRACT(C57,""contain.*$""),9,300)"),"4 dull purple bags.")</f>
        <v>4 dull purple bags.</v>
      </c>
      <c r="G57" s="3" t="str">
        <f>IFERROR(__xludf.DUMMYFUNCTION("INDEX(SPLIT($F57,"",""),COLUMN()-6)"),"4 dull purple bags.")</f>
        <v>4 dull purple bags.</v>
      </c>
      <c r="H57" s="3" t="str">
        <f>IFERROR(__xludf.DUMMYFUNCTION("MID(INDEX(SPLIT($F57,"",""),COLUMN()-6),2,300)"),"#REF!")</f>
        <v>#REF!</v>
      </c>
      <c r="I57" s="3" t="str">
        <f>IFERROR(__xludf.DUMMYFUNCTION("MID(INDEX(SPLIT($F57,"",""),COLUMN()-6),2,300)"),"#REF!")</f>
        <v>#REF!</v>
      </c>
      <c r="J57" s="3" t="str">
        <f>IFERROR(__xludf.DUMMYFUNCTION("MID(INDEX(SPLIT($F57,"",""),COLUMN()-6),2,300)"),"#REF!")</f>
        <v>#REF!</v>
      </c>
      <c r="K57" s="3">
        <f>IFERROR(__xludf.DUMMYFUNCTION("INDEX(SPLIT(G57,"" ""),1)"),4.0)</f>
        <v>4</v>
      </c>
      <c r="L57" s="3" t="str">
        <f>IFERROR(__xludf.DUMMYFUNCTION("REGEXEXTRACT(G57,"" [^ ]* [^ ]* "")")," dull purple ")</f>
        <v> dull purple </v>
      </c>
      <c r="M57" s="3" t="str">
        <f>IFERROR(__xludf.DUMMYFUNCTION("INDEX(SPLIT(H57,"" ""),1)"),"#REF!")</f>
        <v>#REF!</v>
      </c>
      <c r="N57" s="3" t="str">
        <f>IFERROR(__xludf.DUMMYFUNCTION("MID(REGEXEXTRACT(H57,"" [^ ]* [^ ]*""),2,300)"),"#REF!")</f>
        <v>#REF!</v>
      </c>
      <c r="O57" s="3" t="str">
        <f>IFERROR(__xludf.DUMMYFUNCTION("INDEX(SPLIT(I57,"" ""),1)"),"#REF!")</f>
        <v>#REF!</v>
      </c>
      <c r="P57" s="3" t="str">
        <f>IFERROR(__xludf.DUMMYFUNCTION("MID(REGEXEXTRACT(I57,"" [^ ]* [^ ]*""),2,300)"),"#REF!")</f>
        <v>#REF!</v>
      </c>
      <c r="Q57" s="3" t="str">
        <f>IFERROR(__xludf.DUMMYFUNCTION("INDEX(SPLIT(J57,"" ""),1)"),"#REF!")</f>
        <v>#REF!</v>
      </c>
      <c r="R57" s="3" t="str">
        <f>IFERROR(__xludf.DUMMYFUNCTION("MID(REGEXEXTRACT(J57,"" [^ ]* [^ ]*""),2,300)"),"#REF!")</f>
        <v>#REF!</v>
      </c>
      <c r="S57" s="3">
        <f t="shared" si="2"/>
        <v>4</v>
      </c>
      <c r="T57" s="3" t="str">
        <f t="shared" si="3"/>
        <v>dull purple</v>
      </c>
      <c r="U57" s="3" t="str">
        <f t="shared" si="4"/>
        <v/>
      </c>
      <c r="V57" s="3" t="str">
        <f t="shared" si="5"/>
        <v/>
      </c>
      <c r="W57" s="3" t="str">
        <f t="shared" si="6"/>
        <v/>
      </c>
      <c r="X57" s="3" t="str">
        <f t="shared" si="7"/>
        <v/>
      </c>
      <c r="Y57" s="3" t="str">
        <f t="shared" si="8"/>
        <v/>
      </c>
      <c r="Z57" s="3" t="str">
        <f t="shared" si="9"/>
        <v/>
      </c>
      <c r="AA57" s="13">
        <f t="shared" si="10"/>
        <v>6357</v>
      </c>
      <c r="AB57" s="3">
        <f t="shared" si="11"/>
        <v>6356</v>
      </c>
      <c r="AC57" s="3">
        <f t="shared" si="12"/>
        <v>4</v>
      </c>
      <c r="AD57" s="3">
        <f t="shared" si="13"/>
        <v>1589</v>
      </c>
      <c r="AE57" s="3" t="str">
        <f t="shared" si="14"/>
        <v/>
      </c>
      <c r="AF57" s="3">
        <f t="shared" si="15"/>
        <v>0</v>
      </c>
      <c r="AG57" s="3" t="str">
        <f t="shared" si="16"/>
        <v/>
      </c>
      <c r="AH57" s="3">
        <f t="shared" si="17"/>
        <v>0</v>
      </c>
      <c r="AI57" s="3" t="str">
        <f t="shared" si="18"/>
        <v/>
      </c>
      <c r="AJ57" s="3">
        <f t="shared" si="19"/>
        <v>0</v>
      </c>
    </row>
    <row r="58">
      <c r="C58" s="6" t="s">
        <v>58</v>
      </c>
      <c r="D58" s="3">
        <f t="shared" si="1"/>
        <v>0</v>
      </c>
      <c r="E58" s="3" t="str">
        <f>IFERROR(__xludf.DUMMYFUNCTION("REGEXEXTRACT(C58,""[^ ]* [^ ]*"")"),"dim violet")</f>
        <v>dim violet</v>
      </c>
      <c r="F58" s="3" t="str">
        <f>IFERROR(__xludf.DUMMYFUNCTION("MID(REGEXEXTRACT(C58,""contain.*$""),9,300)"),"2 clear blue bags.")</f>
        <v>2 clear blue bags.</v>
      </c>
      <c r="G58" s="3" t="str">
        <f>IFERROR(__xludf.DUMMYFUNCTION("INDEX(SPLIT($F58,"",""),COLUMN()-6)"),"2 clear blue bags.")</f>
        <v>2 clear blue bags.</v>
      </c>
      <c r="H58" s="3" t="str">
        <f>IFERROR(__xludf.DUMMYFUNCTION("MID(INDEX(SPLIT($F58,"",""),COLUMN()-6),2,300)"),"#REF!")</f>
        <v>#REF!</v>
      </c>
      <c r="I58" s="3" t="str">
        <f>IFERROR(__xludf.DUMMYFUNCTION("MID(INDEX(SPLIT($F58,"",""),COLUMN()-6),2,300)"),"#REF!")</f>
        <v>#REF!</v>
      </c>
      <c r="J58" s="3" t="str">
        <f>IFERROR(__xludf.DUMMYFUNCTION("MID(INDEX(SPLIT($F58,"",""),COLUMN()-6),2,300)"),"#REF!")</f>
        <v>#REF!</v>
      </c>
      <c r="K58" s="3">
        <f>IFERROR(__xludf.DUMMYFUNCTION("INDEX(SPLIT(G58,"" ""),1)"),2.0)</f>
        <v>2</v>
      </c>
      <c r="L58" s="3" t="str">
        <f>IFERROR(__xludf.DUMMYFUNCTION("REGEXEXTRACT(G58,"" [^ ]* [^ ]* "")")," clear blue ")</f>
        <v> clear blue </v>
      </c>
      <c r="M58" s="3" t="str">
        <f>IFERROR(__xludf.DUMMYFUNCTION("INDEX(SPLIT(H58,"" ""),1)"),"#REF!")</f>
        <v>#REF!</v>
      </c>
      <c r="N58" s="3" t="str">
        <f>IFERROR(__xludf.DUMMYFUNCTION("MID(REGEXEXTRACT(H58,"" [^ ]* [^ ]*""),2,300)"),"#REF!")</f>
        <v>#REF!</v>
      </c>
      <c r="O58" s="3" t="str">
        <f>IFERROR(__xludf.DUMMYFUNCTION("INDEX(SPLIT(I58,"" ""),1)"),"#REF!")</f>
        <v>#REF!</v>
      </c>
      <c r="P58" s="3" t="str">
        <f>IFERROR(__xludf.DUMMYFUNCTION("MID(REGEXEXTRACT(I58,"" [^ ]* [^ ]*""),2,300)"),"#REF!")</f>
        <v>#REF!</v>
      </c>
      <c r="Q58" s="3" t="str">
        <f>IFERROR(__xludf.DUMMYFUNCTION("INDEX(SPLIT(J58,"" ""),1)"),"#REF!")</f>
        <v>#REF!</v>
      </c>
      <c r="R58" s="3" t="str">
        <f>IFERROR(__xludf.DUMMYFUNCTION("MID(REGEXEXTRACT(J58,"" [^ ]* [^ ]*""),2,300)"),"#REF!")</f>
        <v>#REF!</v>
      </c>
      <c r="S58" s="3">
        <f t="shared" si="2"/>
        <v>2</v>
      </c>
      <c r="T58" s="3" t="str">
        <f t="shared" si="3"/>
        <v>clear blue</v>
      </c>
      <c r="U58" s="3" t="str">
        <f t="shared" si="4"/>
        <v/>
      </c>
      <c r="V58" s="3" t="str">
        <f t="shared" si="5"/>
        <v/>
      </c>
      <c r="W58" s="3" t="str">
        <f t="shared" si="6"/>
        <v/>
      </c>
      <c r="X58" s="3" t="str">
        <f t="shared" si="7"/>
        <v/>
      </c>
      <c r="Y58" s="3" t="str">
        <f t="shared" si="8"/>
        <v/>
      </c>
      <c r="Z58" s="3" t="str">
        <f t="shared" si="9"/>
        <v/>
      </c>
      <c r="AA58" s="13">
        <f t="shared" si="10"/>
        <v>153</v>
      </c>
      <c r="AB58" s="3">
        <f t="shared" si="11"/>
        <v>152</v>
      </c>
      <c r="AC58" s="3">
        <f t="shared" si="12"/>
        <v>2</v>
      </c>
      <c r="AD58" s="3">
        <f t="shared" si="13"/>
        <v>76</v>
      </c>
      <c r="AE58" s="3" t="str">
        <f t="shared" si="14"/>
        <v/>
      </c>
      <c r="AF58" s="3">
        <f t="shared" si="15"/>
        <v>0</v>
      </c>
      <c r="AG58" s="3" t="str">
        <f t="shared" si="16"/>
        <v/>
      </c>
      <c r="AH58" s="3">
        <f t="shared" si="17"/>
        <v>0</v>
      </c>
      <c r="AI58" s="3" t="str">
        <f t="shared" si="18"/>
        <v/>
      </c>
      <c r="AJ58" s="3">
        <f t="shared" si="19"/>
        <v>0</v>
      </c>
    </row>
    <row r="59">
      <c r="C59" s="6" t="s">
        <v>59</v>
      </c>
      <c r="D59" s="3">
        <f t="shared" si="1"/>
        <v>2</v>
      </c>
      <c r="E59" s="3" t="str">
        <f>IFERROR(__xludf.DUMMYFUNCTION("REGEXEXTRACT(C59,""[^ ]* [^ ]*"")"),"wavy gray")</f>
        <v>wavy gray</v>
      </c>
      <c r="F59" s="3" t="str">
        <f>IFERROR(__xludf.DUMMYFUNCTION("MID(REGEXEXTRACT(C59,""contain.*$""),9,300)"),"4 muted crimson bags, 2 mirrored silver bags, 5 vibrant chartreuse bags.")</f>
        <v>4 muted crimson bags, 2 mirrored silver bags, 5 vibrant chartreuse bags.</v>
      </c>
      <c r="G59" s="3" t="str">
        <f>IFERROR(__xludf.DUMMYFUNCTION("INDEX(SPLIT($F59,"",""),COLUMN()-6)"),"4 muted crimson bags")</f>
        <v>4 muted crimson bags</v>
      </c>
      <c r="H59" s="3" t="str">
        <f>IFERROR(__xludf.DUMMYFUNCTION("MID(INDEX(SPLIT($F59,"",""),COLUMN()-6),2,300)"),"2 mirrored silver bags")</f>
        <v>2 mirrored silver bags</v>
      </c>
      <c r="I59" s="3" t="str">
        <f>IFERROR(__xludf.DUMMYFUNCTION("MID(INDEX(SPLIT($F59,"",""),COLUMN()-6),2,300)"),"5 vibrant chartreuse bags.")</f>
        <v>5 vibrant chartreuse bags.</v>
      </c>
      <c r="J59" s="3" t="str">
        <f>IFERROR(__xludf.DUMMYFUNCTION("MID(INDEX(SPLIT($F59,"",""),COLUMN()-6),2,300)"),"#REF!")</f>
        <v>#REF!</v>
      </c>
      <c r="K59" s="3">
        <f>IFERROR(__xludf.DUMMYFUNCTION("INDEX(SPLIT(G59,"" ""),1)"),4.0)</f>
        <v>4</v>
      </c>
      <c r="L59" s="3" t="str">
        <f>IFERROR(__xludf.DUMMYFUNCTION("REGEXEXTRACT(G59,"" [^ ]* [^ ]* "")")," muted crimson ")</f>
        <v> muted crimson </v>
      </c>
      <c r="M59" s="3">
        <f>IFERROR(__xludf.DUMMYFUNCTION("INDEX(SPLIT(H59,"" ""),1)"),2.0)</f>
        <v>2</v>
      </c>
      <c r="N59" s="3" t="str">
        <f>IFERROR(__xludf.DUMMYFUNCTION("MID(REGEXEXTRACT(H59,"" [^ ]* [^ ]*""),2,300)"),"mirrored silver")</f>
        <v>mirrored silver</v>
      </c>
      <c r="O59" s="3">
        <f>IFERROR(__xludf.DUMMYFUNCTION("INDEX(SPLIT(I59,"" ""),1)"),5.0)</f>
        <v>5</v>
      </c>
      <c r="P59" s="3" t="str">
        <f>IFERROR(__xludf.DUMMYFUNCTION("MID(REGEXEXTRACT(I59,"" [^ ]* [^ ]*""),2,300)"),"vibrant chartreuse")</f>
        <v>vibrant chartreuse</v>
      </c>
      <c r="Q59" s="3" t="str">
        <f>IFERROR(__xludf.DUMMYFUNCTION("INDEX(SPLIT(J59,"" ""),1)"),"#REF!")</f>
        <v>#REF!</v>
      </c>
      <c r="R59" s="3" t="str">
        <f>IFERROR(__xludf.DUMMYFUNCTION("MID(REGEXEXTRACT(J59,"" [^ ]* [^ ]*""),2,300)"),"#REF!")</f>
        <v>#REF!</v>
      </c>
      <c r="S59" s="3">
        <f t="shared" si="2"/>
        <v>4</v>
      </c>
      <c r="T59" s="3" t="str">
        <f t="shared" si="3"/>
        <v>muted crimson</v>
      </c>
      <c r="U59" s="3">
        <f t="shared" si="4"/>
        <v>2</v>
      </c>
      <c r="V59" s="3" t="str">
        <f t="shared" si="5"/>
        <v>mirrored silver</v>
      </c>
      <c r="W59" s="3">
        <f t="shared" si="6"/>
        <v>5</v>
      </c>
      <c r="X59" s="3" t="str">
        <f t="shared" si="7"/>
        <v>vibrant chartreuse</v>
      </c>
      <c r="Y59" s="3" t="str">
        <f t="shared" si="8"/>
        <v/>
      </c>
      <c r="Z59" s="3" t="str">
        <f t="shared" si="9"/>
        <v/>
      </c>
      <c r="AA59" s="13">
        <f t="shared" si="10"/>
        <v>3322</v>
      </c>
      <c r="AB59" s="3">
        <f t="shared" si="11"/>
        <v>3321</v>
      </c>
      <c r="AC59" s="3">
        <f t="shared" si="12"/>
        <v>4</v>
      </c>
      <c r="AD59" s="3">
        <f t="shared" si="13"/>
        <v>621</v>
      </c>
      <c r="AE59" s="3">
        <f t="shared" si="14"/>
        <v>2</v>
      </c>
      <c r="AF59" s="3">
        <f t="shared" si="15"/>
        <v>386</v>
      </c>
      <c r="AG59" s="3">
        <f t="shared" si="16"/>
        <v>5</v>
      </c>
      <c r="AH59" s="3">
        <f t="shared" si="17"/>
        <v>13</v>
      </c>
      <c r="AI59" s="3" t="str">
        <f t="shared" si="18"/>
        <v/>
      </c>
      <c r="AJ59" s="3">
        <f t="shared" si="19"/>
        <v>0</v>
      </c>
    </row>
    <row r="60">
      <c r="C60" s="6" t="s">
        <v>60</v>
      </c>
      <c r="D60" s="3">
        <f t="shared" si="1"/>
        <v>3</v>
      </c>
      <c r="E60" s="3" t="str">
        <f>IFERROR(__xludf.DUMMYFUNCTION("REGEXEXTRACT(C60,""[^ ]* [^ ]*"")"),"posh tan")</f>
        <v>posh tan</v>
      </c>
      <c r="F60" s="3" t="str">
        <f>IFERROR(__xludf.DUMMYFUNCTION("MID(REGEXEXTRACT(C60,""contain.*$""),9,300)"),"4 drab tan bags, 3 muted crimson bags, 2 striped crimson bags, 2 plaid fuchsia bags.")</f>
        <v>4 drab tan bags, 3 muted crimson bags, 2 striped crimson bags, 2 plaid fuchsia bags.</v>
      </c>
      <c r="G60" s="3" t="str">
        <f>IFERROR(__xludf.DUMMYFUNCTION("INDEX(SPLIT($F60,"",""),COLUMN()-6)"),"4 drab tan bags")</f>
        <v>4 drab tan bags</v>
      </c>
      <c r="H60" s="3" t="str">
        <f>IFERROR(__xludf.DUMMYFUNCTION("MID(INDEX(SPLIT($F60,"",""),COLUMN()-6),2,300)"),"3 muted crimson bags")</f>
        <v>3 muted crimson bags</v>
      </c>
      <c r="I60" s="3" t="str">
        <f>IFERROR(__xludf.DUMMYFUNCTION("MID(INDEX(SPLIT($F60,"",""),COLUMN()-6),2,300)"),"2 striped crimson bags")</f>
        <v>2 striped crimson bags</v>
      </c>
      <c r="J60" s="3" t="str">
        <f>IFERROR(__xludf.DUMMYFUNCTION("MID(INDEX(SPLIT($F60,"",""),COLUMN()-6),2,300)"),"2 plaid fuchsia bags.")</f>
        <v>2 plaid fuchsia bags.</v>
      </c>
      <c r="K60" s="3">
        <f>IFERROR(__xludf.DUMMYFUNCTION("INDEX(SPLIT(G60,"" ""),1)"),4.0)</f>
        <v>4</v>
      </c>
      <c r="L60" s="3" t="str">
        <f>IFERROR(__xludf.DUMMYFUNCTION("REGEXEXTRACT(G60,"" [^ ]* [^ ]* "")")," drab tan ")</f>
        <v> drab tan </v>
      </c>
      <c r="M60" s="3">
        <f>IFERROR(__xludf.DUMMYFUNCTION("INDEX(SPLIT(H60,"" ""),1)"),3.0)</f>
        <v>3</v>
      </c>
      <c r="N60" s="3" t="str">
        <f>IFERROR(__xludf.DUMMYFUNCTION("MID(REGEXEXTRACT(H60,"" [^ ]* [^ ]*""),2,300)"),"muted crimson")</f>
        <v>muted crimson</v>
      </c>
      <c r="O60" s="3">
        <f>IFERROR(__xludf.DUMMYFUNCTION("INDEX(SPLIT(I60,"" ""),1)"),2.0)</f>
        <v>2</v>
      </c>
      <c r="P60" s="3" t="str">
        <f>IFERROR(__xludf.DUMMYFUNCTION("MID(REGEXEXTRACT(I60,"" [^ ]* [^ ]*""),2,300)"),"striped crimson")</f>
        <v>striped crimson</v>
      </c>
      <c r="Q60" s="3">
        <f>IFERROR(__xludf.DUMMYFUNCTION("INDEX(SPLIT(J60,"" ""),1)"),2.0)</f>
        <v>2</v>
      </c>
      <c r="R60" s="3" t="str">
        <f>IFERROR(__xludf.DUMMYFUNCTION("MID(REGEXEXTRACT(J60,"" [^ ]* [^ ]*""),2,300)"),"plaid fuchsia")</f>
        <v>plaid fuchsia</v>
      </c>
      <c r="S60" s="3">
        <f t="shared" si="2"/>
        <v>4</v>
      </c>
      <c r="T60" s="3" t="str">
        <f t="shared" si="3"/>
        <v>drab tan</v>
      </c>
      <c r="U60" s="3">
        <f t="shared" si="4"/>
        <v>3</v>
      </c>
      <c r="V60" s="3" t="str">
        <f t="shared" si="5"/>
        <v>muted crimson</v>
      </c>
      <c r="W60" s="3">
        <f t="shared" si="6"/>
        <v>2</v>
      </c>
      <c r="X60" s="3" t="str">
        <f t="shared" si="7"/>
        <v>striped crimson</v>
      </c>
      <c r="Y60" s="3">
        <f t="shared" si="8"/>
        <v>2</v>
      </c>
      <c r="Z60" s="3" t="str">
        <f t="shared" si="9"/>
        <v>plaid fuchsia</v>
      </c>
      <c r="AA60" s="13">
        <f t="shared" si="10"/>
        <v>14432438</v>
      </c>
      <c r="AB60" s="3">
        <f t="shared" si="11"/>
        <v>14432437</v>
      </c>
      <c r="AC60" s="3">
        <f t="shared" si="12"/>
        <v>4</v>
      </c>
      <c r="AD60" s="3">
        <f t="shared" si="13"/>
        <v>3591437</v>
      </c>
      <c r="AE60" s="3">
        <f t="shared" si="14"/>
        <v>3</v>
      </c>
      <c r="AF60" s="3">
        <f t="shared" si="15"/>
        <v>621</v>
      </c>
      <c r="AG60" s="3">
        <f t="shared" si="16"/>
        <v>2</v>
      </c>
      <c r="AH60" s="3">
        <f t="shared" si="17"/>
        <v>32410</v>
      </c>
      <c r="AI60" s="3">
        <f t="shared" si="18"/>
        <v>2</v>
      </c>
      <c r="AJ60" s="3">
        <f t="shared" si="19"/>
        <v>3</v>
      </c>
    </row>
    <row r="61">
      <c r="C61" s="6" t="s">
        <v>61</v>
      </c>
      <c r="D61" s="3">
        <f t="shared" si="1"/>
        <v>0</v>
      </c>
      <c r="E61" s="3" t="str">
        <f>IFERROR(__xludf.DUMMYFUNCTION("REGEXEXTRACT(C61,""[^ ]* [^ ]*"")"),"mirrored magenta")</f>
        <v>mirrored magenta</v>
      </c>
      <c r="F61" s="3" t="str">
        <f>IFERROR(__xludf.DUMMYFUNCTION("MID(REGEXEXTRACT(C61,""contain.*$""),9,300)"),"5 pale bronze bags.")</f>
        <v>5 pale bronze bags.</v>
      </c>
      <c r="G61" s="3" t="str">
        <f>IFERROR(__xludf.DUMMYFUNCTION("INDEX(SPLIT($F61,"",""),COLUMN()-6)"),"5 pale bronze bags.")</f>
        <v>5 pale bronze bags.</v>
      </c>
      <c r="H61" s="3" t="str">
        <f>IFERROR(__xludf.DUMMYFUNCTION("MID(INDEX(SPLIT($F61,"",""),COLUMN()-6),2,300)"),"#REF!")</f>
        <v>#REF!</v>
      </c>
      <c r="I61" s="3" t="str">
        <f>IFERROR(__xludf.DUMMYFUNCTION("MID(INDEX(SPLIT($F61,"",""),COLUMN()-6),2,300)"),"#REF!")</f>
        <v>#REF!</v>
      </c>
      <c r="J61" s="3" t="str">
        <f>IFERROR(__xludf.DUMMYFUNCTION("MID(INDEX(SPLIT($F61,"",""),COLUMN()-6),2,300)"),"#REF!")</f>
        <v>#REF!</v>
      </c>
      <c r="K61" s="3">
        <f>IFERROR(__xludf.DUMMYFUNCTION("INDEX(SPLIT(G61,"" ""),1)"),5.0)</f>
        <v>5</v>
      </c>
      <c r="L61" s="3" t="str">
        <f>IFERROR(__xludf.DUMMYFUNCTION("REGEXEXTRACT(G61,"" [^ ]* [^ ]* "")")," pale bronze ")</f>
        <v> pale bronze </v>
      </c>
      <c r="M61" s="3" t="str">
        <f>IFERROR(__xludf.DUMMYFUNCTION("INDEX(SPLIT(H61,"" ""),1)"),"#REF!")</f>
        <v>#REF!</v>
      </c>
      <c r="N61" s="3" t="str">
        <f>IFERROR(__xludf.DUMMYFUNCTION("MID(REGEXEXTRACT(H61,"" [^ ]* [^ ]*""),2,300)"),"#REF!")</f>
        <v>#REF!</v>
      </c>
      <c r="O61" s="3" t="str">
        <f>IFERROR(__xludf.DUMMYFUNCTION("INDEX(SPLIT(I61,"" ""),1)"),"#REF!")</f>
        <v>#REF!</v>
      </c>
      <c r="P61" s="3" t="str">
        <f>IFERROR(__xludf.DUMMYFUNCTION("MID(REGEXEXTRACT(I61,"" [^ ]* [^ ]*""),2,300)"),"#REF!")</f>
        <v>#REF!</v>
      </c>
      <c r="Q61" s="3" t="str">
        <f>IFERROR(__xludf.DUMMYFUNCTION("INDEX(SPLIT(J61,"" ""),1)"),"#REF!")</f>
        <v>#REF!</v>
      </c>
      <c r="R61" s="3" t="str">
        <f>IFERROR(__xludf.DUMMYFUNCTION("MID(REGEXEXTRACT(J61,"" [^ ]* [^ ]*""),2,300)"),"#REF!")</f>
        <v>#REF!</v>
      </c>
      <c r="S61" s="3">
        <f t="shared" si="2"/>
        <v>5</v>
      </c>
      <c r="T61" s="3" t="str">
        <f t="shared" si="3"/>
        <v>pale bronze</v>
      </c>
      <c r="U61" s="3" t="str">
        <f t="shared" si="4"/>
        <v/>
      </c>
      <c r="V61" s="3" t="str">
        <f t="shared" si="5"/>
        <v/>
      </c>
      <c r="W61" s="3" t="str">
        <f t="shared" si="6"/>
        <v/>
      </c>
      <c r="X61" s="3" t="str">
        <f t="shared" si="7"/>
        <v/>
      </c>
      <c r="Y61" s="3" t="str">
        <f t="shared" si="8"/>
        <v/>
      </c>
      <c r="Z61" s="3" t="str">
        <f t="shared" si="9"/>
        <v/>
      </c>
      <c r="AA61" s="13">
        <f t="shared" si="10"/>
        <v>8971</v>
      </c>
      <c r="AB61" s="3">
        <f t="shared" si="11"/>
        <v>8970</v>
      </c>
      <c r="AC61" s="3">
        <f t="shared" si="12"/>
        <v>5</v>
      </c>
      <c r="AD61" s="3">
        <f t="shared" si="13"/>
        <v>1794</v>
      </c>
      <c r="AE61" s="3" t="str">
        <f t="shared" si="14"/>
        <v/>
      </c>
      <c r="AF61" s="3">
        <f t="shared" si="15"/>
        <v>0</v>
      </c>
      <c r="AG61" s="3" t="str">
        <f t="shared" si="16"/>
        <v/>
      </c>
      <c r="AH61" s="3">
        <f t="shared" si="17"/>
        <v>0</v>
      </c>
      <c r="AI61" s="3" t="str">
        <f t="shared" si="18"/>
        <v/>
      </c>
      <c r="AJ61" s="3">
        <f t="shared" si="19"/>
        <v>0</v>
      </c>
    </row>
    <row r="62">
      <c r="C62" s="6" t="s">
        <v>62</v>
      </c>
      <c r="D62" s="3">
        <f t="shared" si="1"/>
        <v>0</v>
      </c>
      <c r="E62" s="3" t="str">
        <f>IFERROR(__xludf.DUMMYFUNCTION("REGEXEXTRACT(C62,""[^ ]* [^ ]*"")"),"plaid brown")</f>
        <v>plaid brown</v>
      </c>
      <c r="F62" s="3" t="str">
        <f>IFERROR(__xludf.DUMMYFUNCTION("MID(REGEXEXTRACT(C62,""contain.*$""),9,300)"),"1 bright chartreuse bag.")</f>
        <v>1 bright chartreuse bag.</v>
      </c>
      <c r="G62" s="3" t="str">
        <f>IFERROR(__xludf.DUMMYFUNCTION("INDEX(SPLIT($F62,"",""),COLUMN()-6)"),"1 bright chartreuse bag.")</f>
        <v>1 bright chartreuse bag.</v>
      </c>
      <c r="H62" s="3" t="str">
        <f>IFERROR(__xludf.DUMMYFUNCTION("MID(INDEX(SPLIT($F62,"",""),COLUMN()-6),2,300)"),"#REF!")</f>
        <v>#REF!</v>
      </c>
      <c r="I62" s="3" t="str">
        <f>IFERROR(__xludf.DUMMYFUNCTION("MID(INDEX(SPLIT($F62,"",""),COLUMN()-6),2,300)"),"#REF!")</f>
        <v>#REF!</v>
      </c>
      <c r="J62" s="3" t="str">
        <f>IFERROR(__xludf.DUMMYFUNCTION("MID(INDEX(SPLIT($F62,"",""),COLUMN()-6),2,300)"),"#REF!")</f>
        <v>#REF!</v>
      </c>
      <c r="K62" s="3">
        <f>IFERROR(__xludf.DUMMYFUNCTION("INDEX(SPLIT(G62,"" ""),1)"),1.0)</f>
        <v>1</v>
      </c>
      <c r="L62" s="3" t="str">
        <f>IFERROR(__xludf.DUMMYFUNCTION("REGEXEXTRACT(G62,"" [^ ]* [^ ]* "")")," bright chartreuse ")</f>
        <v> bright chartreuse </v>
      </c>
      <c r="M62" s="3" t="str">
        <f>IFERROR(__xludf.DUMMYFUNCTION("INDEX(SPLIT(H62,"" ""),1)"),"#REF!")</f>
        <v>#REF!</v>
      </c>
      <c r="N62" s="3" t="str">
        <f>IFERROR(__xludf.DUMMYFUNCTION("MID(REGEXEXTRACT(H62,"" [^ ]* [^ ]*""),2,300)"),"#REF!")</f>
        <v>#REF!</v>
      </c>
      <c r="O62" s="3" t="str">
        <f>IFERROR(__xludf.DUMMYFUNCTION("INDEX(SPLIT(I62,"" ""),1)"),"#REF!")</f>
        <v>#REF!</v>
      </c>
      <c r="P62" s="3" t="str">
        <f>IFERROR(__xludf.DUMMYFUNCTION("MID(REGEXEXTRACT(I62,"" [^ ]* [^ ]*""),2,300)"),"#REF!")</f>
        <v>#REF!</v>
      </c>
      <c r="Q62" s="3" t="str">
        <f>IFERROR(__xludf.DUMMYFUNCTION("INDEX(SPLIT(J62,"" ""),1)"),"#REF!")</f>
        <v>#REF!</v>
      </c>
      <c r="R62" s="3" t="str">
        <f>IFERROR(__xludf.DUMMYFUNCTION("MID(REGEXEXTRACT(J62,"" [^ ]* [^ ]*""),2,300)"),"#REF!")</f>
        <v>#REF!</v>
      </c>
      <c r="S62" s="3">
        <f t="shared" si="2"/>
        <v>1</v>
      </c>
      <c r="T62" s="3" t="str">
        <f t="shared" si="3"/>
        <v>bright chartreuse</v>
      </c>
      <c r="U62" s="3" t="str">
        <f t="shared" si="4"/>
        <v/>
      </c>
      <c r="V62" s="3" t="str">
        <f t="shared" si="5"/>
        <v/>
      </c>
      <c r="W62" s="3" t="str">
        <f t="shared" si="6"/>
        <v/>
      </c>
      <c r="X62" s="3" t="str">
        <f t="shared" si="7"/>
        <v/>
      </c>
      <c r="Y62" s="3" t="str">
        <f t="shared" si="8"/>
        <v/>
      </c>
      <c r="Z62" s="3" t="str">
        <f t="shared" si="9"/>
        <v/>
      </c>
      <c r="AA62" s="13">
        <f t="shared" si="10"/>
        <v>132605</v>
      </c>
      <c r="AB62" s="3">
        <f t="shared" si="11"/>
        <v>132604</v>
      </c>
      <c r="AC62" s="3">
        <f t="shared" si="12"/>
        <v>1</v>
      </c>
      <c r="AD62" s="3">
        <f t="shared" si="13"/>
        <v>132604</v>
      </c>
      <c r="AE62" s="3" t="str">
        <f t="shared" si="14"/>
        <v/>
      </c>
      <c r="AF62" s="3">
        <f t="shared" si="15"/>
        <v>0</v>
      </c>
      <c r="AG62" s="3" t="str">
        <f t="shared" si="16"/>
        <v/>
      </c>
      <c r="AH62" s="3">
        <f t="shared" si="17"/>
        <v>0</v>
      </c>
      <c r="AI62" s="3" t="str">
        <f t="shared" si="18"/>
        <v/>
      </c>
      <c r="AJ62" s="3">
        <f t="shared" si="19"/>
        <v>0</v>
      </c>
    </row>
    <row r="63">
      <c r="C63" s="6" t="s">
        <v>63</v>
      </c>
      <c r="D63" s="3">
        <f t="shared" si="1"/>
        <v>2</v>
      </c>
      <c r="E63" s="3" t="str">
        <f>IFERROR(__xludf.DUMMYFUNCTION("REGEXEXTRACT(C63,""[^ ]* [^ ]*"")"),"drab orange")</f>
        <v>drab orange</v>
      </c>
      <c r="F63" s="3" t="str">
        <f>IFERROR(__xludf.DUMMYFUNCTION("MID(REGEXEXTRACT(C63,""contain.*$""),9,300)"),"4 drab teal bags, 1 dark bronze bag, 2 clear purple bags.")</f>
        <v>4 drab teal bags, 1 dark bronze bag, 2 clear purple bags.</v>
      </c>
      <c r="G63" s="3" t="str">
        <f>IFERROR(__xludf.DUMMYFUNCTION("INDEX(SPLIT($F63,"",""),COLUMN()-6)"),"4 drab teal bags")</f>
        <v>4 drab teal bags</v>
      </c>
      <c r="H63" s="3" t="str">
        <f>IFERROR(__xludf.DUMMYFUNCTION("MID(INDEX(SPLIT($F63,"",""),COLUMN()-6),2,300)"),"1 dark bronze bag")</f>
        <v>1 dark bronze bag</v>
      </c>
      <c r="I63" s="3" t="str">
        <f>IFERROR(__xludf.DUMMYFUNCTION("MID(INDEX(SPLIT($F63,"",""),COLUMN()-6),2,300)"),"2 clear purple bags.")</f>
        <v>2 clear purple bags.</v>
      </c>
      <c r="J63" s="3" t="str">
        <f>IFERROR(__xludf.DUMMYFUNCTION("MID(INDEX(SPLIT($F63,"",""),COLUMN()-6),2,300)"),"#REF!")</f>
        <v>#REF!</v>
      </c>
      <c r="K63" s="3">
        <f>IFERROR(__xludf.DUMMYFUNCTION("INDEX(SPLIT(G63,"" ""),1)"),4.0)</f>
        <v>4</v>
      </c>
      <c r="L63" s="3" t="str">
        <f>IFERROR(__xludf.DUMMYFUNCTION("REGEXEXTRACT(G63,"" [^ ]* [^ ]* "")")," drab teal ")</f>
        <v> drab teal </v>
      </c>
      <c r="M63" s="3">
        <f>IFERROR(__xludf.DUMMYFUNCTION("INDEX(SPLIT(H63,"" ""),1)"),1.0)</f>
        <v>1</v>
      </c>
      <c r="N63" s="3" t="str">
        <f>IFERROR(__xludf.DUMMYFUNCTION("MID(REGEXEXTRACT(H63,"" [^ ]* [^ ]*""),2,300)"),"dark bronze")</f>
        <v>dark bronze</v>
      </c>
      <c r="O63" s="3">
        <f>IFERROR(__xludf.DUMMYFUNCTION("INDEX(SPLIT(I63,"" ""),1)"),2.0)</f>
        <v>2</v>
      </c>
      <c r="P63" s="3" t="str">
        <f>IFERROR(__xludf.DUMMYFUNCTION("MID(REGEXEXTRACT(I63,"" [^ ]* [^ ]*""),2,300)"),"clear purple")</f>
        <v>clear purple</v>
      </c>
      <c r="Q63" s="3" t="str">
        <f>IFERROR(__xludf.DUMMYFUNCTION("INDEX(SPLIT(J63,"" ""),1)"),"#REF!")</f>
        <v>#REF!</v>
      </c>
      <c r="R63" s="3" t="str">
        <f>IFERROR(__xludf.DUMMYFUNCTION("MID(REGEXEXTRACT(J63,"" [^ ]* [^ ]*""),2,300)"),"#REF!")</f>
        <v>#REF!</v>
      </c>
      <c r="S63" s="3">
        <f t="shared" si="2"/>
        <v>4</v>
      </c>
      <c r="T63" s="3" t="str">
        <f t="shared" si="3"/>
        <v>drab teal</v>
      </c>
      <c r="U63" s="3">
        <f t="shared" si="4"/>
        <v>1</v>
      </c>
      <c r="V63" s="3" t="str">
        <f t="shared" si="5"/>
        <v>dark bronze</v>
      </c>
      <c r="W63" s="3">
        <f t="shared" si="6"/>
        <v>2</v>
      </c>
      <c r="X63" s="3" t="str">
        <f t="shared" si="7"/>
        <v>clear purple</v>
      </c>
      <c r="Y63" s="3" t="str">
        <f t="shared" si="8"/>
        <v/>
      </c>
      <c r="Z63" s="3" t="str">
        <f t="shared" si="9"/>
        <v/>
      </c>
      <c r="AA63" s="13">
        <f t="shared" si="10"/>
        <v>35061170</v>
      </c>
      <c r="AB63" s="3">
        <f t="shared" si="11"/>
        <v>35061169</v>
      </c>
      <c r="AC63" s="3">
        <f t="shared" si="12"/>
        <v>4</v>
      </c>
      <c r="AD63" s="3">
        <f t="shared" si="13"/>
        <v>40693</v>
      </c>
      <c r="AE63" s="3">
        <f t="shared" si="14"/>
        <v>1</v>
      </c>
      <c r="AF63" s="3">
        <f t="shared" si="15"/>
        <v>14835</v>
      </c>
      <c r="AG63" s="3">
        <f t="shared" si="16"/>
        <v>2</v>
      </c>
      <c r="AH63" s="3">
        <f t="shared" si="17"/>
        <v>17441781</v>
      </c>
      <c r="AI63" s="3" t="str">
        <f t="shared" si="18"/>
        <v/>
      </c>
      <c r="AJ63" s="3">
        <f t="shared" si="19"/>
        <v>0</v>
      </c>
    </row>
    <row r="64">
      <c r="C64" s="6" t="s">
        <v>64</v>
      </c>
      <c r="D64" s="3">
        <f t="shared" si="1"/>
        <v>1</v>
      </c>
      <c r="E64" s="3" t="str">
        <f>IFERROR(__xludf.DUMMYFUNCTION("REGEXEXTRACT(C64,""[^ ]* [^ ]*"")"),"dim green")</f>
        <v>dim green</v>
      </c>
      <c r="F64" s="3" t="str">
        <f>IFERROR(__xludf.DUMMYFUNCTION("MID(REGEXEXTRACT(C64,""contain.*$""),9,300)"),"5 dull maroon bags, 1 dull green bag.")</f>
        <v>5 dull maroon bags, 1 dull green bag.</v>
      </c>
      <c r="G64" s="3" t="str">
        <f>IFERROR(__xludf.DUMMYFUNCTION("INDEX(SPLIT($F64,"",""),COLUMN()-6)"),"5 dull maroon bags")</f>
        <v>5 dull maroon bags</v>
      </c>
      <c r="H64" s="3" t="str">
        <f>IFERROR(__xludf.DUMMYFUNCTION("MID(INDEX(SPLIT($F64,"",""),COLUMN()-6),2,300)"),"1 dull green bag.")</f>
        <v>1 dull green bag.</v>
      </c>
      <c r="I64" s="3" t="str">
        <f>IFERROR(__xludf.DUMMYFUNCTION("MID(INDEX(SPLIT($F64,"",""),COLUMN()-6),2,300)"),"#REF!")</f>
        <v>#REF!</v>
      </c>
      <c r="J64" s="3" t="str">
        <f>IFERROR(__xludf.DUMMYFUNCTION("MID(INDEX(SPLIT($F64,"",""),COLUMN()-6),2,300)"),"#REF!")</f>
        <v>#REF!</v>
      </c>
      <c r="K64" s="3">
        <f>IFERROR(__xludf.DUMMYFUNCTION("INDEX(SPLIT(G64,"" ""),1)"),5.0)</f>
        <v>5</v>
      </c>
      <c r="L64" s="3" t="str">
        <f>IFERROR(__xludf.DUMMYFUNCTION("REGEXEXTRACT(G64,"" [^ ]* [^ ]* "")")," dull maroon ")</f>
        <v> dull maroon </v>
      </c>
      <c r="M64" s="3">
        <f>IFERROR(__xludf.DUMMYFUNCTION("INDEX(SPLIT(H64,"" ""),1)"),1.0)</f>
        <v>1</v>
      </c>
      <c r="N64" s="3" t="str">
        <f>IFERROR(__xludf.DUMMYFUNCTION("MID(REGEXEXTRACT(H64,"" [^ ]* [^ ]*""),2,300)"),"dull green")</f>
        <v>dull green</v>
      </c>
      <c r="O64" s="3" t="str">
        <f>IFERROR(__xludf.DUMMYFUNCTION("INDEX(SPLIT(I64,"" ""),1)"),"#REF!")</f>
        <v>#REF!</v>
      </c>
      <c r="P64" s="3" t="str">
        <f>IFERROR(__xludf.DUMMYFUNCTION("MID(REGEXEXTRACT(I64,"" [^ ]* [^ ]*""),2,300)"),"#REF!")</f>
        <v>#REF!</v>
      </c>
      <c r="Q64" s="3" t="str">
        <f>IFERROR(__xludf.DUMMYFUNCTION("INDEX(SPLIT(J64,"" ""),1)"),"#REF!")</f>
        <v>#REF!</v>
      </c>
      <c r="R64" s="3" t="str">
        <f>IFERROR(__xludf.DUMMYFUNCTION("MID(REGEXEXTRACT(J64,"" [^ ]* [^ ]*""),2,300)"),"#REF!")</f>
        <v>#REF!</v>
      </c>
      <c r="S64" s="3">
        <f t="shared" si="2"/>
        <v>5</v>
      </c>
      <c r="T64" s="3" t="str">
        <f t="shared" si="3"/>
        <v>dull maroon</v>
      </c>
      <c r="U64" s="3">
        <f t="shared" si="4"/>
        <v>1</v>
      </c>
      <c r="V64" s="3" t="str">
        <f t="shared" si="5"/>
        <v>dull green</v>
      </c>
      <c r="W64" s="3" t="str">
        <f t="shared" si="6"/>
        <v/>
      </c>
      <c r="X64" s="3" t="str">
        <f t="shared" si="7"/>
        <v/>
      </c>
      <c r="Y64" s="3" t="str">
        <f t="shared" si="8"/>
        <v/>
      </c>
      <c r="Z64" s="3" t="str">
        <f t="shared" si="9"/>
        <v/>
      </c>
      <c r="AA64" s="13">
        <f t="shared" si="10"/>
        <v>1129802</v>
      </c>
      <c r="AB64" s="3">
        <f t="shared" si="11"/>
        <v>1129801</v>
      </c>
      <c r="AC64" s="3">
        <f t="shared" si="12"/>
        <v>5</v>
      </c>
      <c r="AD64" s="3">
        <f t="shared" si="13"/>
        <v>11485</v>
      </c>
      <c r="AE64" s="3">
        <f t="shared" si="14"/>
        <v>1</v>
      </c>
      <c r="AF64" s="3">
        <f t="shared" si="15"/>
        <v>1072376</v>
      </c>
      <c r="AG64" s="3" t="str">
        <f t="shared" si="16"/>
        <v/>
      </c>
      <c r="AH64" s="3">
        <f t="shared" si="17"/>
        <v>0</v>
      </c>
      <c r="AI64" s="3" t="str">
        <f t="shared" si="18"/>
        <v/>
      </c>
      <c r="AJ64" s="3">
        <f t="shared" si="19"/>
        <v>0</v>
      </c>
    </row>
    <row r="65">
      <c r="C65" s="6" t="s">
        <v>65</v>
      </c>
      <c r="D65" s="3">
        <f t="shared" si="1"/>
        <v>2</v>
      </c>
      <c r="E65" s="3" t="str">
        <f>IFERROR(__xludf.DUMMYFUNCTION("REGEXEXTRACT(C65,""[^ ]* [^ ]*"")"),"faded teal")</f>
        <v>faded teal</v>
      </c>
      <c r="F65" s="3" t="str">
        <f>IFERROR(__xludf.DUMMYFUNCTION("MID(REGEXEXTRACT(C65,""contain.*$""),9,300)"),"2 bright yellow bags, 2 posh red bags, 2 posh indigo bags.")</f>
        <v>2 bright yellow bags, 2 posh red bags, 2 posh indigo bags.</v>
      </c>
      <c r="G65" s="3" t="str">
        <f>IFERROR(__xludf.DUMMYFUNCTION("INDEX(SPLIT($F65,"",""),COLUMN()-6)"),"2 bright yellow bags")</f>
        <v>2 bright yellow bags</v>
      </c>
      <c r="H65" s="3" t="str">
        <f>IFERROR(__xludf.DUMMYFUNCTION("MID(INDEX(SPLIT($F65,"",""),COLUMN()-6),2,300)"),"2 posh red bags")</f>
        <v>2 posh red bags</v>
      </c>
      <c r="I65" s="3" t="str">
        <f>IFERROR(__xludf.DUMMYFUNCTION("MID(INDEX(SPLIT($F65,"",""),COLUMN()-6),2,300)"),"2 posh indigo bags.")</f>
        <v>2 posh indigo bags.</v>
      </c>
      <c r="J65" s="3" t="str">
        <f>IFERROR(__xludf.DUMMYFUNCTION("MID(INDEX(SPLIT($F65,"",""),COLUMN()-6),2,300)"),"#REF!")</f>
        <v>#REF!</v>
      </c>
      <c r="K65" s="3">
        <f>IFERROR(__xludf.DUMMYFUNCTION("INDEX(SPLIT(G65,"" ""),1)"),2.0)</f>
        <v>2</v>
      </c>
      <c r="L65" s="3" t="str">
        <f>IFERROR(__xludf.DUMMYFUNCTION("REGEXEXTRACT(G65,"" [^ ]* [^ ]* "")")," bright yellow ")</f>
        <v> bright yellow </v>
      </c>
      <c r="M65" s="3">
        <f>IFERROR(__xludf.DUMMYFUNCTION("INDEX(SPLIT(H65,"" ""),1)"),2.0)</f>
        <v>2</v>
      </c>
      <c r="N65" s="3" t="str">
        <f>IFERROR(__xludf.DUMMYFUNCTION("MID(REGEXEXTRACT(H65,"" [^ ]* [^ ]*""),2,300)"),"posh red")</f>
        <v>posh red</v>
      </c>
      <c r="O65" s="3">
        <f>IFERROR(__xludf.DUMMYFUNCTION("INDEX(SPLIT(I65,"" ""),1)"),2.0)</f>
        <v>2</v>
      </c>
      <c r="P65" s="3" t="str">
        <f>IFERROR(__xludf.DUMMYFUNCTION("MID(REGEXEXTRACT(I65,"" [^ ]* [^ ]*""),2,300)"),"posh indigo")</f>
        <v>posh indigo</v>
      </c>
      <c r="Q65" s="3" t="str">
        <f>IFERROR(__xludf.DUMMYFUNCTION("INDEX(SPLIT(J65,"" ""),1)"),"#REF!")</f>
        <v>#REF!</v>
      </c>
      <c r="R65" s="3" t="str">
        <f>IFERROR(__xludf.DUMMYFUNCTION("MID(REGEXEXTRACT(J65,"" [^ ]* [^ ]*""),2,300)"),"#REF!")</f>
        <v>#REF!</v>
      </c>
      <c r="S65" s="3">
        <f t="shared" si="2"/>
        <v>2</v>
      </c>
      <c r="T65" s="3" t="str">
        <f t="shared" si="3"/>
        <v>bright yellow</v>
      </c>
      <c r="U65" s="3">
        <f t="shared" si="4"/>
        <v>2</v>
      </c>
      <c r="V65" s="3" t="str">
        <f t="shared" si="5"/>
        <v>posh red</v>
      </c>
      <c r="W65" s="3">
        <f t="shared" si="6"/>
        <v>2</v>
      </c>
      <c r="X65" s="3" t="str">
        <f t="shared" si="7"/>
        <v>posh indigo</v>
      </c>
      <c r="Y65" s="3" t="str">
        <f t="shared" si="8"/>
        <v/>
      </c>
      <c r="Z65" s="3" t="str">
        <f t="shared" si="9"/>
        <v/>
      </c>
      <c r="AA65" s="13">
        <f t="shared" si="10"/>
        <v>14000733</v>
      </c>
      <c r="AB65" s="3">
        <f t="shared" si="11"/>
        <v>14000732</v>
      </c>
      <c r="AC65" s="3">
        <f t="shared" si="12"/>
        <v>2</v>
      </c>
      <c r="AD65" s="3">
        <f t="shared" si="13"/>
        <v>6312865</v>
      </c>
      <c r="AE65" s="3">
        <f t="shared" si="14"/>
        <v>2</v>
      </c>
      <c r="AF65" s="3">
        <f t="shared" si="15"/>
        <v>367934</v>
      </c>
      <c r="AG65" s="3">
        <f t="shared" si="16"/>
        <v>2</v>
      </c>
      <c r="AH65" s="3">
        <f t="shared" si="17"/>
        <v>319567</v>
      </c>
      <c r="AI65" s="3" t="str">
        <f t="shared" si="18"/>
        <v/>
      </c>
      <c r="AJ65" s="3">
        <f t="shared" si="19"/>
        <v>0</v>
      </c>
    </row>
    <row r="66">
      <c r="C66" s="6" t="s">
        <v>66</v>
      </c>
      <c r="D66" s="3">
        <f t="shared" si="1"/>
        <v>2</v>
      </c>
      <c r="E66" s="3" t="str">
        <f>IFERROR(__xludf.DUMMYFUNCTION("REGEXEXTRACT(C66,""[^ ]* [^ ]*"")"),"dim gray")</f>
        <v>dim gray</v>
      </c>
      <c r="F66" s="3" t="str">
        <f>IFERROR(__xludf.DUMMYFUNCTION("MID(REGEXEXTRACT(C66,""contain.*$""),9,300)"),"4 wavy blue bags, 2 shiny maroon bags, 1 pale cyan bag.")</f>
        <v>4 wavy blue bags, 2 shiny maroon bags, 1 pale cyan bag.</v>
      </c>
      <c r="G66" s="3" t="str">
        <f>IFERROR(__xludf.DUMMYFUNCTION("INDEX(SPLIT($F66,"",""),COLUMN()-6)"),"4 wavy blue bags")</f>
        <v>4 wavy blue bags</v>
      </c>
      <c r="H66" s="3" t="str">
        <f>IFERROR(__xludf.DUMMYFUNCTION("MID(INDEX(SPLIT($F66,"",""),COLUMN()-6),2,300)"),"2 shiny maroon bags")</f>
        <v>2 shiny maroon bags</v>
      </c>
      <c r="I66" s="3" t="str">
        <f>IFERROR(__xludf.DUMMYFUNCTION("MID(INDEX(SPLIT($F66,"",""),COLUMN()-6),2,300)"),"1 pale cyan bag.")</f>
        <v>1 pale cyan bag.</v>
      </c>
      <c r="J66" s="3" t="str">
        <f>IFERROR(__xludf.DUMMYFUNCTION("MID(INDEX(SPLIT($F66,"",""),COLUMN()-6),2,300)"),"#REF!")</f>
        <v>#REF!</v>
      </c>
      <c r="K66" s="3">
        <f>IFERROR(__xludf.DUMMYFUNCTION("INDEX(SPLIT(G66,"" ""),1)"),4.0)</f>
        <v>4</v>
      </c>
      <c r="L66" s="3" t="str">
        <f>IFERROR(__xludf.DUMMYFUNCTION("REGEXEXTRACT(G66,"" [^ ]* [^ ]* "")")," wavy blue ")</f>
        <v> wavy blue </v>
      </c>
      <c r="M66" s="3">
        <f>IFERROR(__xludf.DUMMYFUNCTION("INDEX(SPLIT(H66,"" ""),1)"),2.0)</f>
        <v>2</v>
      </c>
      <c r="N66" s="3" t="str">
        <f>IFERROR(__xludf.DUMMYFUNCTION("MID(REGEXEXTRACT(H66,"" [^ ]* [^ ]*""),2,300)"),"shiny maroon")</f>
        <v>shiny maroon</v>
      </c>
      <c r="O66" s="3">
        <f>IFERROR(__xludf.DUMMYFUNCTION("INDEX(SPLIT(I66,"" ""),1)"),1.0)</f>
        <v>1</v>
      </c>
      <c r="P66" s="3" t="str">
        <f>IFERROR(__xludf.DUMMYFUNCTION("MID(REGEXEXTRACT(I66,"" [^ ]* [^ ]*""),2,300)"),"pale cyan")</f>
        <v>pale cyan</v>
      </c>
      <c r="Q66" s="3" t="str">
        <f>IFERROR(__xludf.DUMMYFUNCTION("INDEX(SPLIT(J66,"" ""),1)"),"#REF!")</f>
        <v>#REF!</v>
      </c>
      <c r="R66" s="3" t="str">
        <f>IFERROR(__xludf.DUMMYFUNCTION("MID(REGEXEXTRACT(J66,"" [^ ]* [^ ]*""),2,300)"),"#REF!")</f>
        <v>#REF!</v>
      </c>
      <c r="S66" s="3">
        <f t="shared" si="2"/>
        <v>4</v>
      </c>
      <c r="T66" s="3" t="str">
        <f t="shared" si="3"/>
        <v>wavy blue</v>
      </c>
      <c r="U66" s="3">
        <f t="shared" si="4"/>
        <v>2</v>
      </c>
      <c r="V66" s="3" t="str">
        <f t="shared" si="5"/>
        <v>shiny maroon</v>
      </c>
      <c r="W66" s="3">
        <f t="shared" si="6"/>
        <v>1</v>
      </c>
      <c r="X66" s="3" t="str">
        <f t="shared" si="7"/>
        <v>pale cyan</v>
      </c>
      <c r="Y66" s="3" t="str">
        <f t="shared" si="8"/>
        <v/>
      </c>
      <c r="Z66" s="3" t="str">
        <f t="shared" si="9"/>
        <v/>
      </c>
      <c r="AA66" s="13">
        <f t="shared" si="10"/>
        <v>227276525</v>
      </c>
      <c r="AB66" s="3">
        <f t="shared" si="11"/>
        <v>227276524</v>
      </c>
      <c r="AC66" s="3">
        <f t="shared" si="12"/>
        <v>4</v>
      </c>
      <c r="AD66" s="3">
        <f t="shared" si="13"/>
        <v>42954399</v>
      </c>
      <c r="AE66" s="3">
        <f t="shared" si="14"/>
        <v>2</v>
      </c>
      <c r="AF66" s="3">
        <f t="shared" si="15"/>
        <v>557022</v>
      </c>
      <c r="AG66" s="3">
        <f t="shared" si="16"/>
        <v>1</v>
      </c>
      <c r="AH66" s="3">
        <f t="shared" si="17"/>
        <v>54344884</v>
      </c>
      <c r="AI66" s="3" t="str">
        <f t="shared" si="18"/>
        <v/>
      </c>
      <c r="AJ66" s="3">
        <f t="shared" si="19"/>
        <v>0</v>
      </c>
    </row>
    <row r="67">
      <c r="C67" s="6" t="s">
        <v>67</v>
      </c>
      <c r="D67" s="3">
        <f t="shared" si="1"/>
        <v>3</v>
      </c>
      <c r="E67" s="3" t="str">
        <f>IFERROR(__xludf.DUMMYFUNCTION("REGEXEXTRACT(C67,""[^ ]* [^ ]*"")"),"light crimson")</f>
        <v>light crimson</v>
      </c>
      <c r="F67" s="3" t="str">
        <f>IFERROR(__xludf.DUMMYFUNCTION("MID(REGEXEXTRACT(C67,""contain.*$""),9,300)"),"1 wavy plum bag, 3 muted magenta bags, 3 plaid aqua bags, 2 striped chartreuse bags.")</f>
        <v>1 wavy plum bag, 3 muted magenta bags, 3 plaid aqua bags, 2 striped chartreuse bags.</v>
      </c>
      <c r="G67" s="3" t="str">
        <f>IFERROR(__xludf.DUMMYFUNCTION("INDEX(SPLIT($F67,"",""),COLUMN()-6)"),"1 wavy plum bag")</f>
        <v>1 wavy plum bag</v>
      </c>
      <c r="H67" s="3" t="str">
        <f>IFERROR(__xludf.DUMMYFUNCTION("MID(INDEX(SPLIT($F67,"",""),COLUMN()-6),2,300)"),"3 muted magenta bags")</f>
        <v>3 muted magenta bags</v>
      </c>
      <c r="I67" s="3" t="str">
        <f>IFERROR(__xludf.DUMMYFUNCTION("MID(INDEX(SPLIT($F67,"",""),COLUMN()-6),2,300)"),"3 plaid aqua bags")</f>
        <v>3 plaid aqua bags</v>
      </c>
      <c r="J67" s="3" t="str">
        <f>IFERROR(__xludf.DUMMYFUNCTION("MID(INDEX(SPLIT($F67,"",""),COLUMN()-6),2,300)"),"2 striped chartreuse bags.")</f>
        <v>2 striped chartreuse bags.</v>
      </c>
      <c r="K67" s="3">
        <f>IFERROR(__xludf.DUMMYFUNCTION("INDEX(SPLIT(G67,"" ""),1)"),1.0)</f>
        <v>1</v>
      </c>
      <c r="L67" s="3" t="str">
        <f>IFERROR(__xludf.DUMMYFUNCTION("REGEXEXTRACT(G67,"" [^ ]* [^ ]* "")")," wavy plum ")</f>
        <v> wavy plum </v>
      </c>
      <c r="M67" s="3">
        <f>IFERROR(__xludf.DUMMYFUNCTION("INDEX(SPLIT(H67,"" ""),1)"),3.0)</f>
        <v>3</v>
      </c>
      <c r="N67" s="3" t="str">
        <f>IFERROR(__xludf.DUMMYFUNCTION("MID(REGEXEXTRACT(H67,"" [^ ]* [^ ]*""),2,300)"),"muted magenta")</f>
        <v>muted magenta</v>
      </c>
      <c r="O67" s="3">
        <f>IFERROR(__xludf.DUMMYFUNCTION("INDEX(SPLIT(I67,"" ""),1)"),3.0)</f>
        <v>3</v>
      </c>
      <c r="P67" s="3" t="str">
        <f>IFERROR(__xludf.DUMMYFUNCTION("MID(REGEXEXTRACT(I67,"" [^ ]* [^ ]*""),2,300)"),"plaid aqua")</f>
        <v>plaid aqua</v>
      </c>
      <c r="Q67" s="3">
        <f>IFERROR(__xludf.DUMMYFUNCTION("INDEX(SPLIT(J67,"" ""),1)"),2.0)</f>
        <v>2</v>
      </c>
      <c r="R67" s="3" t="str">
        <f>IFERROR(__xludf.DUMMYFUNCTION("MID(REGEXEXTRACT(J67,"" [^ ]* [^ ]*""),2,300)"),"striped chartreuse")</f>
        <v>striped chartreuse</v>
      </c>
      <c r="S67" s="3">
        <f t="shared" si="2"/>
        <v>1</v>
      </c>
      <c r="T67" s="3" t="str">
        <f t="shared" si="3"/>
        <v>wavy plum</v>
      </c>
      <c r="U67" s="3">
        <f t="shared" si="4"/>
        <v>3</v>
      </c>
      <c r="V67" s="3" t="str">
        <f t="shared" si="5"/>
        <v>muted magenta</v>
      </c>
      <c r="W67" s="3">
        <f t="shared" si="6"/>
        <v>3</v>
      </c>
      <c r="X67" s="3" t="str">
        <f t="shared" si="7"/>
        <v>plaid aqua</v>
      </c>
      <c r="Y67" s="3">
        <f t="shared" si="8"/>
        <v>2</v>
      </c>
      <c r="Z67" s="3" t="str">
        <f t="shared" si="9"/>
        <v>striped chartreuse</v>
      </c>
      <c r="AA67" s="13">
        <f t="shared" si="10"/>
        <v>2442329</v>
      </c>
      <c r="AB67" s="3">
        <f t="shared" si="11"/>
        <v>2442328</v>
      </c>
      <c r="AC67" s="3">
        <f t="shared" si="12"/>
        <v>1</v>
      </c>
      <c r="AD67" s="3">
        <f t="shared" si="13"/>
        <v>148186</v>
      </c>
      <c r="AE67" s="3">
        <f t="shared" si="14"/>
        <v>3</v>
      </c>
      <c r="AF67" s="3">
        <f t="shared" si="15"/>
        <v>762011</v>
      </c>
      <c r="AG67" s="3">
        <f t="shared" si="16"/>
        <v>3</v>
      </c>
      <c r="AH67" s="3">
        <f t="shared" si="17"/>
        <v>1</v>
      </c>
      <c r="AI67" s="3">
        <f t="shared" si="18"/>
        <v>2</v>
      </c>
      <c r="AJ67" s="3">
        <f t="shared" si="19"/>
        <v>4053</v>
      </c>
    </row>
    <row r="68">
      <c r="C68" s="6" t="s">
        <v>68</v>
      </c>
      <c r="D68" s="3">
        <f t="shared" si="1"/>
        <v>3</v>
      </c>
      <c r="E68" s="3" t="str">
        <f>IFERROR(__xludf.DUMMYFUNCTION("REGEXEXTRACT(C68,""[^ ]* [^ ]*"")"),"clear white")</f>
        <v>clear white</v>
      </c>
      <c r="F68" s="3" t="str">
        <f>IFERROR(__xludf.DUMMYFUNCTION("MID(REGEXEXTRACT(C68,""contain.*$""),9,300)"),"2 posh magenta bags, 5 bright white bags, 5 drab bronze bags, 3 vibrant beige bags.")</f>
        <v>2 posh magenta bags, 5 bright white bags, 5 drab bronze bags, 3 vibrant beige bags.</v>
      </c>
      <c r="G68" s="3" t="str">
        <f>IFERROR(__xludf.DUMMYFUNCTION("INDEX(SPLIT($F68,"",""),COLUMN()-6)"),"2 posh magenta bags")</f>
        <v>2 posh magenta bags</v>
      </c>
      <c r="H68" s="3" t="str">
        <f>IFERROR(__xludf.DUMMYFUNCTION("MID(INDEX(SPLIT($F68,"",""),COLUMN()-6),2,300)"),"5 bright white bags")</f>
        <v>5 bright white bags</v>
      </c>
      <c r="I68" s="3" t="str">
        <f>IFERROR(__xludf.DUMMYFUNCTION("MID(INDEX(SPLIT($F68,"",""),COLUMN()-6),2,300)"),"5 drab bronze bags")</f>
        <v>5 drab bronze bags</v>
      </c>
      <c r="J68" s="3" t="str">
        <f>IFERROR(__xludf.DUMMYFUNCTION("MID(INDEX(SPLIT($F68,"",""),COLUMN()-6),2,300)"),"3 vibrant beige bags.")</f>
        <v>3 vibrant beige bags.</v>
      </c>
      <c r="K68" s="3">
        <f>IFERROR(__xludf.DUMMYFUNCTION("INDEX(SPLIT(G68,"" ""),1)"),2.0)</f>
        <v>2</v>
      </c>
      <c r="L68" s="3" t="str">
        <f>IFERROR(__xludf.DUMMYFUNCTION("REGEXEXTRACT(G68,"" [^ ]* [^ ]* "")")," posh magenta ")</f>
        <v> posh magenta </v>
      </c>
      <c r="M68" s="3">
        <f>IFERROR(__xludf.DUMMYFUNCTION("INDEX(SPLIT(H68,"" ""),1)"),5.0)</f>
        <v>5</v>
      </c>
      <c r="N68" s="3" t="str">
        <f>IFERROR(__xludf.DUMMYFUNCTION("MID(REGEXEXTRACT(H68,"" [^ ]* [^ ]*""),2,300)"),"bright white")</f>
        <v>bright white</v>
      </c>
      <c r="O68" s="3">
        <f>IFERROR(__xludf.DUMMYFUNCTION("INDEX(SPLIT(I68,"" ""),1)"),5.0)</f>
        <v>5</v>
      </c>
      <c r="P68" s="3" t="str">
        <f>IFERROR(__xludf.DUMMYFUNCTION("MID(REGEXEXTRACT(I68,"" [^ ]* [^ ]*""),2,300)"),"drab bronze")</f>
        <v>drab bronze</v>
      </c>
      <c r="Q68" s="3">
        <f>IFERROR(__xludf.DUMMYFUNCTION("INDEX(SPLIT(J68,"" ""),1)"),3.0)</f>
        <v>3</v>
      </c>
      <c r="R68" s="3" t="str">
        <f>IFERROR(__xludf.DUMMYFUNCTION("MID(REGEXEXTRACT(J68,"" [^ ]* [^ ]*""),2,300)"),"vibrant beige")</f>
        <v>vibrant beige</v>
      </c>
      <c r="S68" s="3">
        <f t="shared" si="2"/>
        <v>2</v>
      </c>
      <c r="T68" s="3" t="str">
        <f t="shared" si="3"/>
        <v>posh magenta</v>
      </c>
      <c r="U68" s="3">
        <f t="shared" si="4"/>
        <v>5</v>
      </c>
      <c r="V68" s="3" t="str">
        <f t="shared" si="5"/>
        <v>bright white</v>
      </c>
      <c r="W68" s="3">
        <f t="shared" si="6"/>
        <v>5</v>
      </c>
      <c r="X68" s="3" t="str">
        <f t="shared" si="7"/>
        <v>drab bronze</v>
      </c>
      <c r="Y68" s="3">
        <f t="shared" si="8"/>
        <v>3</v>
      </c>
      <c r="Z68" s="3" t="str">
        <f t="shared" si="9"/>
        <v>vibrant beige</v>
      </c>
      <c r="AA68" s="13">
        <f t="shared" si="10"/>
        <v>125334121</v>
      </c>
      <c r="AB68" s="3">
        <f t="shared" si="11"/>
        <v>125334120</v>
      </c>
      <c r="AC68" s="3">
        <f t="shared" si="12"/>
        <v>2</v>
      </c>
      <c r="AD68" s="3">
        <f t="shared" si="13"/>
        <v>1</v>
      </c>
      <c r="AE68" s="3">
        <f t="shared" si="14"/>
        <v>5</v>
      </c>
      <c r="AF68" s="3">
        <f t="shared" si="15"/>
        <v>24984108</v>
      </c>
      <c r="AG68" s="3">
        <f t="shared" si="16"/>
        <v>5</v>
      </c>
      <c r="AH68" s="3">
        <f t="shared" si="17"/>
        <v>79943</v>
      </c>
      <c r="AI68" s="3">
        <f t="shared" si="18"/>
        <v>3</v>
      </c>
      <c r="AJ68" s="3">
        <f t="shared" si="19"/>
        <v>4621</v>
      </c>
    </row>
    <row r="69">
      <c r="C69" s="6" t="s">
        <v>69</v>
      </c>
      <c r="D69" s="3">
        <f t="shared" si="1"/>
        <v>0</v>
      </c>
      <c r="E69" s="3" t="str">
        <f>IFERROR(__xludf.DUMMYFUNCTION("REGEXEXTRACT(C69,""[^ ]* [^ ]*"")"),"drab magenta")</f>
        <v>drab magenta</v>
      </c>
      <c r="F69" s="3" t="str">
        <f>IFERROR(__xludf.DUMMYFUNCTION("MID(REGEXEXTRACT(C69,""contain.*$""),9,300)"),"4 pale olive bags.")</f>
        <v>4 pale olive bags.</v>
      </c>
      <c r="G69" s="3" t="str">
        <f>IFERROR(__xludf.DUMMYFUNCTION("INDEX(SPLIT($F69,"",""),COLUMN()-6)"),"4 pale olive bags.")</f>
        <v>4 pale olive bags.</v>
      </c>
      <c r="H69" s="3" t="str">
        <f>IFERROR(__xludf.DUMMYFUNCTION("MID(INDEX(SPLIT($F69,"",""),COLUMN()-6),2,300)"),"#REF!")</f>
        <v>#REF!</v>
      </c>
      <c r="I69" s="3" t="str">
        <f>IFERROR(__xludf.DUMMYFUNCTION("MID(INDEX(SPLIT($F69,"",""),COLUMN()-6),2,300)"),"#REF!")</f>
        <v>#REF!</v>
      </c>
      <c r="J69" s="3" t="str">
        <f>IFERROR(__xludf.DUMMYFUNCTION("MID(INDEX(SPLIT($F69,"",""),COLUMN()-6),2,300)"),"#REF!")</f>
        <v>#REF!</v>
      </c>
      <c r="K69" s="3">
        <f>IFERROR(__xludf.DUMMYFUNCTION("INDEX(SPLIT(G69,"" ""),1)"),4.0)</f>
        <v>4</v>
      </c>
      <c r="L69" s="3" t="str">
        <f>IFERROR(__xludf.DUMMYFUNCTION("REGEXEXTRACT(G69,"" [^ ]* [^ ]* "")")," pale olive ")</f>
        <v> pale olive </v>
      </c>
      <c r="M69" s="3" t="str">
        <f>IFERROR(__xludf.DUMMYFUNCTION("INDEX(SPLIT(H69,"" ""),1)"),"#REF!")</f>
        <v>#REF!</v>
      </c>
      <c r="N69" s="3" t="str">
        <f>IFERROR(__xludf.DUMMYFUNCTION("MID(REGEXEXTRACT(H69,"" [^ ]* [^ ]*""),2,300)"),"#REF!")</f>
        <v>#REF!</v>
      </c>
      <c r="O69" s="3" t="str">
        <f>IFERROR(__xludf.DUMMYFUNCTION("INDEX(SPLIT(I69,"" ""),1)"),"#REF!")</f>
        <v>#REF!</v>
      </c>
      <c r="P69" s="3" t="str">
        <f>IFERROR(__xludf.DUMMYFUNCTION("MID(REGEXEXTRACT(I69,"" [^ ]* [^ ]*""),2,300)"),"#REF!")</f>
        <v>#REF!</v>
      </c>
      <c r="Q69" s="3" t="str">
        <f>IFERROR(__xludf.DUMMYFUNCTION("INDEX(SPLIT(J69,"" ""),1)"),"#REF!")</f>
        <v>#REF!</v>
      </c>
      <c r="R69" s="3" t="str">
        <f>IFERROR(__xludf.DUMMYFUNCTION("MID(REGEXEXTRACT(J69,"" [^ ]* [^ ]*""),2,300)"),"#REF!")</f>
        <v>#REF!</v>
      </c>
      <c r="S69" s="3">
        <f t="shared" si="2"/>
        <v>4</v>
      </c>
      <c r="T69" s="3" t="str">
        <f t="shared" si="3"/>
        <v>pale olive</v>
      </c>
      <c r="U69" s="3" t="str">
        <f t="shared" si="4"/>
        <v/>
      </c>
      <c r="V69" s="3" t="str">
        <f t="shared" si="5"/>
        <v/>
      </c>
      <c r="W69" s="3" t="str">
        <f t="shared" si="6"/>
        <v/>
      </c>
      <c r="X69" s="3" t="str">
        <f t="shared" si="7"/>
        <v/>
      </c>
      <c r="Y69" s="3" t="str">
        <f t="shared" si="8"/>
        <v/>
      </c>
      <c r="Z69" s="3" t="str">
        <f t="shared" si="9"/>
        <v/>
      </c>
      <c r="AA69" s="13">
        <f t="shared" si="10"/>
        <v>1225</v>
      </c>
      <c r="AB69" s="3">
        <f t="shared" si="11"/>
        <v>1224</v>
      </c>
      <c r="AC69" s="3">
        <f t="shared" si="12"/>
        <v>4</v>
      </c>
      <c r="AD69" s="3">
        <f t="shared" si="13"/>
        <v>306</v>
      </c>
      <c r="AE69" s="3" t="str">
        <f t="shared" si="14"/>
        <v/>
      </c>
      <c r="AF69" s="3">
        <f t="shared" si="15"/>
        <v>0</v>
      </c>
      <c r="AG69" s="3" t="str">
        <f t="shared" si="16"/>
        <v/>
      </c>
      <c r="AH69" s="3">
        <f t="shared" si="17"/>
        <v>0</v>
      </c>
      <c r="AI69" s="3" t="str">
        <f t="shared" si="18"/>
        <v/>
      </c>
      <c r="AJ69" s="3">
        <f t="shared" si="19"/>
        <v>0</v>
      </c>
    </row>
    <row r="70">
      <c r="C70" s="6" t="s">
        <v>70</v>
      </c>
      <c r="D70" s="3">
        <f t="shared" si="1"/>
        <v>2</v>
      </c>
      <c r="E70" s="3" t="str">
        <f>IFERROR(__xludf.DUMMYFUNCTION("REGEXEXTRACT(C70,""[^ ]* [^ ]*"")"),"plaid silver")</f>
        <v>plaid silver</v>
      </c>
      <c r="F70" s="3" t="str">
        <f>IFERROR(__xludf.DUMMYFUNCTION("MID(REGEXEXTRACT(C70,""contain.*$""),9,300)"),"4 bright violet bags, 3 dim brown bags, 1 dark teal bag.")</f>
        <v>4 bright violet bags, 3 dim brown bags, 1 dark teal bag.</v>
      </c>
      <c r="G70" s="3" t="str">
        <f>IFERROR(__xludf.DUMMYFUNCTION("INDEX(SPLIT($F70,"",""),COLUMN()-6)"),"4 bright violet bags")</f>
        <v>4 bright violet bags</v>
      </c>
      <c r="H70" s="3" t="str">
        <f>IFERROR(__xludf.DUMMYFUNCTION("MID(INDEX(SPLIT($F70,"",""),COLUMN()-6),2,300)"),"3 dim brown bags")</f>
        <v>3 dim brown bags</v>
      </c>
      <c r="I70" s="3" t="str">
        <f>IFERROR(__xludf.DUMMYFUNCTION("MID(INDEX(SPLIT($F70,"",""),COLUMN()-6),2,300)"),"1 dark teal bag.")</f>
        <v>1 dark teal bag.</v>
      </c>
      <c r="J70" s="3" t="str">
        <f>IFERROR(__xludf.DUMMYFUNCTION("MID(INDEX(SPLIT($F70,"",""),COLUMN()-6),2,300)"),"#REF!")</f>
        <v>#REF!</v>
      </c>
      <c r="K70" s="3">
        <f>IFERROR(__xludf.DUMMYFUNCTION("INDEX(SPLIT(G70,"" ""),1)"),4.0)</f>
        <v>4</v>
      </c>
      <c r="L70" s="3" t="str">
        <f>IFERROR(__xludf.DUMMYFUNCTION("REGEXEXTRACT(G70,"" [^ ]* [^ ]* "")")," bright violet ")</f>
        <v> bright violet </v>
      </c>
      <c r="M70" s="3">
        <f>IFERROR(__xludf.DUMMYFUNCTION("INDEX(SPLIT(H70,"" ""),1)"),3.0)</f>
        <v>3</v>
      </c>
      <c r="N70" s="3" t="str">
        <f>IFERROR(__xludf.DUMMYFUNCTION("MID(REGEXEXTRACT(H70,"" [^ ]* [^ ]*""),2,300)"),"dim brown")</f>
        <v>dim brown</v>
      </c>
      <c r="O70" s="3">
        <f>IFERROR(__xludf.DUMMYFUNCTION("INDEX(SPLIT(I70,"" ""),1)"),1.0)</f>
        <v>1</v>
      </c>
      <c r="P70" s="3" t="str">
        <f>IFERROR(__xludf.DUMMYFUNCTION("MID(REGEXEXTRACT(I70,"" [^ ]* [^ ]*""),2,300)"),"dark teal")</f>
        <v>dark teal</v>
      </c>
      <c r="Q70" s="3" t="str">
        <f>IFERROR(__xludf.DUMMYFUNCTION("INDEX(SPLIT(J70,"" ""),1)"),"#REF!")</f>
        <v>#REF!</v>
      </c>
      <c r="R70" s="3" t="str">
        <f>IFERROR(__xludf.DUMMYFUNCTION("MID(REGEXEXTRACT(J70,"" [^ ]* [^ ]*""),2,300)"),"#REF!")</f>
        <v>#REF!</v>
      </c>
      <c r="S70" s="3">
        <f t="shared" si="2"/>
        <v>4</v>
      </c>
      <c r="T70" s="3" t="str">
        <f t="shared" si="3"/>
        <v>bright violet</v>
      </c>
      <c r="U70" s="3">
        <f t="shared" si="4"/>
        <v>3</v>
      </c>
      <c r="V70" s="3" t="str">
        <f t="shared" si="5"/>
        <v>dim brown</v>
      </c>
      <c r="W70" s="3">
        <f t="shared" si="6"/>
        <v>1</v>
      </c>
      <c r="X70" s="3" t="str">
        <f t="shared" si="7"/>
        <v>dark teal</v>
      </c>
      <c r="Y70" s="3" t="str">
        <f t="shared" si="8"/>
        <v/>
      </c>
      <c r="Z70" s="3" t="str">
        <f t="shared" si="9"/>
        <v/>
      </c>
      <c r="AA70" s="13">
        <f t="shared" si="10"/>
        <v>86617</v>
      </c>
      <c r="AB70" s="3">
        <f t="shared" si="11"/>
        <v>86616</v>
      </c>
      <c r="AC70" s="3">
        <f t="shared" si="12"/>
        <v>4</v>
      </c>
      <c r="AD70" s="3">
        <f t="shared" si="13"/>
        <v>1</v>
      </c>
      <c r="AE70" s="3">
        <f t="shared" si="14"/>
        <v>3</v>
      </c>
      <c r="AF70" s="3">
        <f t="shared" si="15"/>
        <v>23857</v>
      </c>
      <c r="AG70" s="3">
        <f t="shared" si="16"/>
        <v>1</v>
      </c>
      <c r="AH70" s="3">
        <f t="shared" si="17"/>
        <v>15041</v>
      </c>
      <c r="AI70" s="3" t="str">
        <f t="shared" si="18"/>
        <v/>
      </c>
      <c r="AJ70" s="3">
        <f t="shared" si="19"/>
        <v>0</v>
      </c>
    </row>
    <row r="71">
      <c r="C71" s="6" t="s">
        <v>71</v>
      </c>
      <c r="D71" s="3">
        <f t="shared" si="1"/>
        <v>1</v>
      </c>
      <c r="E71" s="3" t="str">
        <f>IFERROR(__xludf.DUMMYFUNCTION("REGEXEXTRACT(C71,""[^ ]* [^ ]*"")"),"bright bronze")</f>
        <v>bright bronze</v>
      </c>
      <c r="F71" s="3" t="str">
        <f>IFERROR(__xludf.DUMMYFUNCTION("MID(REGEXEXTRACT(C71,""contain.*$""),9,300)"),"4 posh white bags, 3 dull salmon bags.")</f>
        <v>4 posh white bags, 3 dull salmon bags.</v>
      </c>
      <c r="G71" s="3" t="str">
        <f>IFERROR(__xludf.DUMMYFUNCTION("INDEX(SPLIT($F71,"",""),COLUMN()-6)"),"4 posh white bags")</f>
        <v>4 posh white bags</v>
      </c>
      <c r="H71" s="3" t="str">
        <f>IFERROR(__xludf.DUMMYFUNCTION("MID(INDEX(SPLIT($F71,"",""),COLUMN()-6),2,300)"),"3 dull salmon bags.")</f>
        <v>3 dull salmon bags.</v>
      </c>
      <c r="I71" s="3" t="str">
        <f>IFERROR(__xludf.DUMMYFUNCTION("MID(INDEX(SPLIT($F71,"",""),COLUMN()-6),2,300)"),"#REF!")</f>
        <v>#REF!</v>
      </c>
      <c r="J71" s="3" t="str">
        <f>IFERROR(__xludf.DUMMYFUNCTION("MID(INDEX(SPLIT($F71,"",""),COLUMN()-6),2,300)"),"#REF!")</f>
        <v>#REF!</v>
      </c>
      <c r="K71" s="3">
        <f>IFERROR(__xludf.DUMMYFUNCTION("INDEX(SPLIT(G71,"" ""),1)"),4.0)</f>
        <v>4</v>
      </c>
      <c r="L71" s="3" t="str">
        <f>IFERROR(__xludf.DUMMYFUNCTION("REGEXEXTRACT(G71,"" [^ ]* [^ ]* "")")," posh white ")</f>
        <v> posh white </v>
      </c>
      <c r="M71" s="3">
        <f>IFERROR(__xludf.DUMMYFUNCTION("INDEX(SPLIT(H71,"" ""),1)"),3.0)</f>
        <v>3</v>
      </c>
      <c r="N71" s="3" t="str">
        <f>IFERROR(__xludf.DUMMYFUNCTION("MID(REGEXEXTRACT(H71,"" [^ ]* [^ ]*""),2,300)"),"dull salmon")</f>
        <v>dull salmon</v>
      </c>
      <c r="O71" s="3" t="str">
        <f>IFERROR(__xludf.DUMMYFUNCTION("INDEX(SPLIT(I71,"" ""),1)"),"#REF!")</f>
        <v>#REF!</v>
      </c>
      <c r="P71" s="3" t="str">
        <f>IFERROR(__xludf.DUMMYFUNCTION("MID(REGEXEXTRACT(I71,"" [^ ]* [^ ]*""),2,300)"),"#REF!")</f>
        <v>#REF!</v>
      </c>
      <c r="Q71" s="3" t="str">
        <f>IFERROR(__xludf.DUMMYFUNCTION("INDEX(SPLIT(J71,"" ""),1)"),"#REF!")</f>
        <v>#REF!</v>
      </c>
      <c r="R71" s="3" t="str">
        <f>IFERROR(__xludf.DUMMYFUNCTION("MID(REGEXEXTRACT(J71,"" [^ ]* [^ ]*""),2,300)"),"#REF!")</f>
        <v>#REF!</v>
      </c>
      <c r="S71" s="3">
        <f t="shared" si="2"/>
        <v>4</v>
      </c>
      <c r="T71" s="3" t="str">
        <f t="shared" si="3"/>
        <v>posh white</v>
      </c>
      <c r="U71" s="3">
        <f t="shared" si="4"/>
        <v>3</v>
      </c>
      <c r="V71" s="3" t="str">
        <f t="shared" si="5"/>
        <v>dull salmon</v>
      </c>
      <c r="W71" s="3" t="str">
        <f t="shared" si="6"/>
        <v/>
      </c>
      <c r="X71" s="3" t="str">
        <f t="shared" si="7"/>
        <v/>
      </c>
      <c r="Y71" s="3" t="str">
        <f t="shared" si="8"/>
        <v/>
      </c>
      <c r="Z71" s="3" t="str">
        <f t="shared" si="9"/>
        <v/>
      </c>
      <c r="AA71" s="13">
        <f t="shared" si="10"/>
        <v>9540014</v>
      </c>
      <c r="AB71" s="3">
        <f t="shared" si="11"/>
        <v>9540013</v>
      </c>
      <c r="AC71" s="3">
        <f t="shared" si="12"/>
        <v>4</v>
      </c>
      <c r="AD71" s="3">
        <f t="shared" si="13"/>
        <v>214915</v>
      </c>
      <c r="AE71" s="3">
        <f t="shared" si="14"/>
        <v>3</v>
      </c>
      <c r="AF71" s="3">
        <f t="shared" si="15"/>
        <v>2893451</v>
      </c>
      <c r="AG71" s="3" t="str">
        <f t="shared" si="16"/>
        <v/>
      </c>
      <c r="AH71" s="3">
        <f t="shared" si="17"/>
        <v>0</v>
      </c>
      <c r="AI71" s="3" t="str">
        <f t="shared" si="18"/>
        <v/>
      </c>
      <c r="AJ71" s="3">
        <f t="shared" si="19"/>
        <v>0</v>
      </c>
    </row>
    <row r="72">
      <c r="C72" s="6" t="s">
        <v>72</v>
      </c>
      <c r="D72" s="3">
        <f t="shared" si="1"/>
        <v>1</v>
      </c>
      <c r="E72" s="3" t="str">
        <f>IFERROR(__xludf.DUMMYFUNCTION("REGEXEXTRACT(C72,""[^ ]* [^ ]*"")"),"drab maroon")</f>
        <v>drab maroon</v>
      </c>
      <c r="F72" s="3" t="str">
        <f>IFERROR(__xludf.DUMMYFUNCTION("MID(REGEXEXTRACT(C72,""contain.*$""),9,300)"),"3 clear black bags, 2 dotted orange bags.")</f>
        <v>3 clear black bags, 2 dotted orange bags.</v>
      </c>
      <c r="G72" s="3" t="str">
        <f>IFERROR(__xludf.DUMMYFUNCTION("INDEX(SPLIT($F72,"",""),COLUMN()-6)"),"3 clear black bags")</f>
        <v>3 clear black bags</v>
      </c>
      <c r="H72" s="3" t="str">
        <f>IFERROR(__xludf.DUMMYFUNCTION("MID(INDEX(SPLIT($F72,"",""),COLUMN()-6),2,300)"),"2 dotted orange bags.")</f>
        <v>2 dotted orange bags.</v>
      </c>
      <c r="I72" s="3" t="str">
        <f>IFERROR(__xludf.DUMMYFUNCTION("MID(INDEX(SPLIT($F72,"",""),COLUMN()-6),2,300)"),"#REF!")</f>
        <v>#REF!</v>
      </c>
      <c r="J72" s="3" t="str">
        <f>IFERROR(__xludf.DUMMYFUNCTION("MID(INDEX(SPLIT($F72,"",""),COLUMN()-6),2,300)"),"#REF!")</f>
        <v>#REF!</v>
      </c>
      <c r="K72" s="3">
        <f>IFERROR(__xludf.DUMMYFUNCTION("INDEX(SPLIT(G72,"" ""),1)"),3.0)</f>
        <v>3</v>
      </c>
      <c r="L72" s="3" t="str">
        <f>IFERROR(__xludf.DUMMYFUNCTION("REGEXEXTRACT(G72,"" [^ ]* [^ ]* "")")," clear black ")</f>
        <v> clear black </v>
      </c>
      <c r="M72" s="3">
        <f>IFERROR(__xludf.DUMMYFUNCTION("INDEX(SPLIT(H72,"" ""),1)"),2.0)</f>
        <v>2</v>
      </c>
      <c r="N72" s="3" t="str">
        <f>IFERROR(__xludf.DUMMYFUNCTION("MID(REGEXEXTRACT(H72,"" [^ ]* [^ ]*""),2,300)"),"dotted orange")</f>
        <v>dotted orange</v>
      </c>
      <c r="O72" s="3" t="str">
        <f>IFERROR(__xludf.DUMMYFUNCTION("INDEX(SPLIT(I72,"" ""),1)"),"#REF!")</f>
        <v>#REF!</v>
      </c>
      <c r="P72" s="3" t="str">
        <f>IFERROR(__xludf.DUMMYFUNCTION("MID(REGEXEXTRACT(I72,"" [^ ]* [^ ]*""),2,300)"),"#REF!")</f>
        <v>#REF!</v>
      </c>
      <c r="Q72" s="3" t="str">
        <f>IFERROR(__xludf.DUMMYFUNCTION("INDEX(SPLIT(J72,"" ""),1)"),"#REF!")</f>
        <v>#REF!</v>
      </c>
      <c r="R72" s="3" t="str">
        <f>IFERROR(__xludf.DUMMYFUNCTION("MID(REGEXEXTRACT(J72,"" [^ ]* [^ ]*""),2,300)"),"#REF!")</f>
        <v>#REF!</v>
      </c>
      <c r="S72" s="3">
        <f t="shared" si="2"/>
        <v>3</v>
      </c>
      <c r="T72" s="3" t="str">
        <f t="shared" si="3"/>
        <v>clear black</v>
      </c>
      <c r="U72" s="3">
        <f t="shared" si="4"/>
        <v>2</v>
      </c>
      <c r="V72" s="3" t="str">
        <f t="shared" si="5"/>
        <v>dotted orange</v>
      </c>
      <c r="W72" s="3" t="str">
        <f t="shared" si="6"/>
        <v/>
      </c>
      <c r="X72" s="3" t="str">
        <f t="shared" si="7"/>
        <v/>
      </c>
      <c r="Y72" s="3" t="str">
        <f t="shared" si="8"/>
        <v/>
      </c>
      <c r="Z72" s="3" t="str">
        <f t="shared" si="9"/>
        <v/>
      </c>
      <c r="AA72" s="13">
        <f t="shared" si="10"/>
        <v>3597</v>
      </c>
      <c r="AB72" s="3">
        <f t="shared" si="11"/>
        <v>3596</v>
      </c>
      <c r="AC72" s="3">
        <f t="shared" si="12"/>
        <v>3</v>
      </c>
      <c r="AD72" s="3">
        <f t="shared" si="13"/>
        <v>12</v>
      </c>
      <c r="AE72" s="3">
        <f t="shared" si="14"/>
        <v>2</v>
      </c>
      <c r="AF72" s="3">
        <f t="shared" si="15"/>
        <v>1780</v>
      </c>
      <c r="AG72" s="3" t="str">
        <f t="shared" si="16"/>
        <v/>
      </c>
      <c r="AH72" s="3">
        <f t="shared" si="17"/>
        <v>0</v>
      </c>
      <c r="AI72" s="3" t="str">
        <f t="shared" si="18"/>
        <v/>
      </c>
      <c r="AJ72" s="3">
        <f t="shared" si="19"/>
        <v>0</v>
      </c>
    </row>
    <row r="73">
      <c r="C73" s="6" t="s">
        <v>73</v>
      </c>
      <c r="D73" s="3">
        <f t="shared" si="1"/>
        <v>2</v>
      </c>
      <c r="E73" s="3" t="str">
        <f>IFERROR(__xludf.DUMMYFUNCTION("REGEXEXTRACT(C73,""[^ ]* [^ ]*"")"),"dark fuchsia")</f>
        <v>dark fuchsia</v>
      </c>
      <c r="F73" s="3" t="str">
        <f>IFERROR(__xludf.DUMMYFUNCTION("MID(REGEXEXTRACT(C73,""contain.*$""),9,300)"),"3 faded chartreuse bags, 5 clear green bags, 4 bright brown bags.")</f>
        <v>3 faded chartreuse bags, 5 clear green bags, 4 bright brown bags.</v>
      </c>
      <c r="G73" s="3" t="str">
        <f>IFERROR(__xludf.DUMMYFUNCTION("INDEX(SPLIT($F73,"",""),COLUMN()-6)"),"3 faded chartreuse bags")</f>
        <v>3 faded chartreuse bags</v>
      </c>
      <c r="H73" s="3" t="str">
        <f>IFERROR(__xludf.DUMMYFUNCTION("MID(INDEX(SPLIT($F73,"",""),COLUMN()-6),2,300)"),"5 clear green bags")</f>
        <v>5 clear green bags</v>
      </c>
      <c r="I73" s="3" t="str">
        <f>IFERROR(__xludf.DUMMYFUNCTION("MID(INDEX(SPLIT($F73,"",""),COLUMN()-6),2,300)"),"4 bright brown bags.")</f>
        <v>4 bright brown bags.</v>
      </c>
      <c r="J73" s="3" t="str">
        <f>IFERROR(__xludf.DUMMYFUNCTION("MID(INDEX(SPLIT($F73,"",""),COLUMN()-6),2,300)"),"#REF!")</f>
        <v>#REF!</v>
      </c>
      <c r="K73" s="3">
        <f>IFERROR(__xludf.DUMMYFUNCTION("INDEX(SPLIT(G73,"" ""),1)"),3.0)</f>
        <v>3</v>
      </c>
      <c r="L73" s="3" t="str">
        <f>IFERROR(__xludf.DUMMYFUNCTION("REGEXEXTRACT(G73,"" [^ ]* [^ ]* "")")," faded chartreuse ")</f>
        <v> faded chartreuse </v>
      </c>
      <c r="M73" s="3">
        <f>IFERROR(__xludf.DUMMYFUNCTION("INDEX(SPLIT(H73,"" ""),1)"),5.0)</f>
        <v>5</v>
      </c>
      <c r="N73" s="3" t="str">
        <f>IFERROR(__xludf.DUMMYFUNCTION("MID(REGEXEXTRACT(H73,"" [^ ]* [^ ]*""),2,300)"),"clear green")</f>
        <v>clear green</v>
      </c>
      <c r="O73" s="3">
        <f>IFERROR(__xludf.DUMMYFUNCTION("INDEX(SPLIT(I73,"" ""),1)"),4.0)</f>
        <v>4</v>
      </c>
      <c r="P73" s="3" t="str">
        <f>IFERROR(__xludf.DUMMYFUNCTION("MID(REGEXEXTRACT(I73,"" [^ ]* [^ ]*""),2,300)"),"bright brown")</f>
        <v>bright brown</v>
      </c>
      <c r="Q73" s="3" t="str">
        <f>IFERROR(__xludf.DUMMYFUNCTION("INDEX(SPLIT(J73,"" ""),1)"),"#REF!")</f>
        <v>#REF!</v>
      </c>
      <c r="R73" s="3" t="str">
        <f>IFERROR(__xludf.DUMMYFUNCTION("MID(REGEXEXTRACT(J73,"" [^ ]* [^ ]*""),2,300)"),"#REF!")</f>
        <v>#REF!</v>
      </c>
      <c r="S73" s="3">
        <f t="shared" si="2"/>
        <v>3</v>
      </c>
      <c r="T73" s="3" t="str">
        <f t="shared" si="3"/>
        <v>faded chartreuse</v>
      </c>
      <c r="U73" s="3">
        <f t="shared" si="4"/>
        <v>5</v>
      </c>
      <c r="V73" s="3" t="str">
        <f t="shared" si="5"/>
        <v>clear green</v>
      </c>
      <c r="W73" s="3">
        <f t="shared" si="6"/>
        <v>4</v>
      </c>
      <c r="X73" s="3" t="str">
        <f t="shared" si="7"/>
        <v>bright brown</v>
      </c>
      <c r="Y73" s="3" t="str">
        <f t="shared" si="8"/>
        <v/>
      </c>
      <c r="Z73" s="3" t="str">
        <f t="shared" si="9"/>
        <v/>
      </c>
      <c r="AA73" s="13">
        <f t="shared" si="10"/>
        <v>941276</v>
      </c>
      <c r="AB73" s="3">
        <f t="shared" si="11"/>
        <v>941275</v>
      </c>
      <c r="AC73" s="3">
        <f t="shared" si="12"/>
        <v>3</v>
      </c>
      <c r="AD73" s="3">
        <f t="shared" si="13"/>
        <v>305892</v>
      </c>
      <c r="AE73" s="3">
        <f t="shared" si="14"/>
        <v>5</v>
      </c>
      <c r="AF73" s="3">
        <f t="shared" si="15"/>
        <v>4719</v>
      </c>
      <c r="AG73" s="3">
        <f t="shared" si="16"/>
        <v>4</v>
      </c>
      <c r="AH73" s="3">
        <f t="shared" si="17"/>
        <v>1</v>
      </c>
      <c r="AI73" s="3" t="str">
        <f t="shared" si="18"/>
        <v/>
      </c>
      <c r="AJ73" s="3">
        <f t="shared" si="19"/>
        <v>0</v>
      </c>
    </row>
    <row r="74">
      <c r="C74" s="6" t="s">
        <v>74</v>
      </c>
      <c r="D74" s="3">
        <f t="shared" si="1"/>
        <v>2</v>
      </c>
      <c r="E74" s="3" t="str">
        <f>IFERROR(__xludf.DUMMYFUNCTION("REGEXEXTRACT(C74,""[^ ]* [^ ]*"")"),"vibrant salmon")</f>
        <v>vibrant salmon</v>
      </c>
      <c r="F74" s="3" t="str">
        <f>IFERROR(__xludf.DUMMYFUNCTION("MID(REGEXEXTRACT(C74,""contain.*$""),9,300)"),"1 bright red bag, 5 clear black bags, 2 clear green bags.")</f>
        <v>1 bright red bag, 5 clear black bags, 2 clear green bags.</v>
      </c>
      <c r="G74" s="3" t="str">
        <f>IFERROR(__xludf.DUMMYFUNCTION("INDEX(SPLIT($F74,"",""),COLUMN()-6)"),"1 bright red bag")</f>
        <v>1 bright red bag</v>
      </c>
      <c r="H74" s="3" t="str">
        <f>IFERROR(__xludf.DUMMYFUNCTION("MID(INDEX(SPLIT($F74,"",""),COLUMN()-6),2,300)"),"5 clear black bags")</f>
        <v>5 clear black bags</v>
      </c>
      <c r="I74" s="3" t="str">
        <f>IFERROR(__xludf.DUMMYFUNCTION("MID(INDEX(SPLIT($F74,"",""),COLUMN()-6),2,300)"),"2 clear green bags.")</f>
        <v>2 clear green bags.</v>
      </c>
      <c r="J74" s="3" t="str">
        <f>IFERROR(__xludf.DUMMYFUNCTION("MID(INDEX(SPLIT($F74,"",""),COLUMN()-6),2,300)"),"#REF!")</f>
        <v>#REF!</v>
      </c>
      <c r="K74" s="3">
        <f>IFERROR(__xludf.DUMMYFUNCTION("INDEX(SPLIT(G74,"" ""),1)"),1.0)</f>
        <v>1</v>
      </c>
      <c r="L74" s="3" t="str">
        <f>IFERROR(__xludf.DUMMYFUNCTION("REGEXEXTRACT(G74,"" [^ ]* [^ ]* "")")," bright red ")</f>
        <v> bright red </v>
      </c>
      <c r="M74" s="3">
        <f>IFERROR(__xludf.DUMMYFUNCTION("INDEX(SPLIT(H74,"" ""),1)"),5.0)</f>
        <v>5</v>
      </c>
      <c r="N74" s="3" t="str">
        <f>IFERROR(__xludf.DUMMYFUNCTION("MID(REGEXEXTRACT(H74,"" [^ ]* [^ ]*""),2,300)"),"clear black")</f>
        <v>clear black</v>
      </c>
      <c r="O74" s="3">
        <f>IFERROR(__xludf.DUMMYFUNCTION("INDEX(SPLIT(I74,"" ""),1)"),2.0)</f>
        <v>2</v>
      </c>
      <c r="P74" s="3" t="str">
        <f>IFERROR(__xludf.DUMMYFUNCTION("MID(REGEXEXTRACT(I74,"" [^ ]* [^ ]*""),2,300)"),"clear green")</f>
        <v>clear green</v>
      </c>
      <c r="Q74" s="3" t="str">
        <f>IFERROR(__xludf.DUMMYFUNCTION("INDEX(SPLIT(J74,"" ""),1)"),"#REF!")</f>
        <v>#REF!</v>
      </c>
      <c r="R74" s="3" t="str">
        <f>IFERROR(__xludf.DUMMYFUNCTION("MID(REGEXEXTRACT(J74,"" [^ ]* [^ ]*""),2,300)"),"#REF!")</f>
        <v>#REF!</v>
      </c>
      <c r="S74" s="3">
        <f t="shared" si="2"/>
        <v>1</v>
      </c>
      <c r="T74" s="3" t="str">
        <f t="shared" si="3"/>
        <v>bright red</v>
      </c>
      <c r="U74" s="3">
        <f t="shared" si="4"/>
        <v>5</v>
      </c>
      <c r="V74" s="3" t="str">
        <f t="shared" si="5"/>
        <v>clear black</v>
      </c>
      <c r="W74" s="3">
        <f t="shared" si="6"/>
        <v>2</v>
      </c>
      <c r="X74" s="3" t="str">
        <f t="shared" si="7"/>
        <v>clear green</v>
      </c>
      <c r="Y74" s="3" t="str">
        <f t="shared" si="8"/>
        <v/>
      </c>
      <c r="Z74" s="3" t="str">
        <f t="shared" si="9"/>
        <v/>
      </c>
      <c r="AA74" s="13">
        <f t="shared" si="10"/>
        <v>3172113</v>
      </c>
      <c r="AB74" s="3">
        <f t="shared" si="11"/>
        <v>3172112</v>
      </c>
      <c r="AC74" s="3">
        <f t="shared" si="12"/>
        <v>1</v>
      </c>
      <c r="AD74" s="3">
        <f t="shared" si="13"/>
        <v>3162614</v>
      </c>
      <c r="AE74" s="3">
        <f t="shared" si="14"/>
        <v>5</v>
      </c>
      <c r="AF74" s="3">
        <f t="shared" si="15"/>
        <v>12</v>
      </c>
      <c r="AG74" s="3">
        <f t="shared" si="16"/>
        <v>2</v>
      </c>
      <c r="AH74" s="3">
        <f t="shared" si="17"/>
        <v>4719</v>
      </c>
      <c r="AI74" s="3" t="str">
        <f t="shared" si="18"/>
        <v/>
      </c>
      <c r="AJ74" s="3">
        <f t="shared" si="19"/>
        <v>0</v>
      </c>
    </row>
    <row r="75">
      <c r="C75" s="6" t="s">
        <v>75</v>
      </c>
      <c r="D75" s="3">
        <f t="shared" si="1"/>
        <v>2</v>
      </c>
      <c r="E75" s="3" t="str">
        <f>IFERROR(__xludf.DUMMYFUNCTION("REGEXEXTRACT(C75,""[^ ]* [^ ]*"")"),"shiny crimson")</f>
        <v>shiny crimson</v>
      </c>
      <c r="F75" s="3" t="str">
        <f>IFERROR(__xludf.DUMMYFUNCTION("MID(REGEXEXTRACT(C75,""contain.*$""),9,300)"),"4 muted fuchsia bags, 2 plaid red bags, 3 clear green bags.")</f>
        <v>4 muted fuchsia bags, 2 plaid red bags, 3 clear green bags.</v>
      </c>
      <c r="G75" s="3" t="str">
        <f>IFERROR(__xludf.DUMMYFUNCTION("INDEX(SPLIT($F75,"",""),COLUMN()-6)"),"4 muted fuchsia bags")</f>
        <v>4 muted fuchsia bags</v>
      </c>
      <c r="H75" s="3" t="str">
        <f>IFERROR(__xludf.DUMMYFUNCTION("MID(INDEX(SPLIT($F75,"",""),COLUMN()-6),2,300)"),"2 plaid red bags")</f>
        <v>2 plaid red bags</v>
      </c>
      <c r="I75" s="3" t="str">
        <f>IFERROR(__xludf.DUMMYFUNCTION("MID(INDEX(SPLIT($F75,"",""),COLUMN()-6),2,300)"),"3 clear green bags.")</f>
        <v>3 clear green bags.</v>
      </c>
      <c r="J75" s="3" t="str">
        <f>IFERROR(__xludf.DUMMYFUNCTION("MID(INDEX(SPLIT($F75,"",""),COLUMN()-6),2,300)"),"#REF!")</f>
        <v>#REF!</v>
      </c>
      <c r="K75" s="3">
        <f>IFERROR(__xludf.DUMMYFUNCTION("INDEX(SPLIT(G75,"" ""),1)"),4.0)</f>
        <v>4</v>
      </c>
      <c r="L75" s="3" t="str">
        <f>IFERROR(__xludf.DUMMYFUNCTION("REGEXEXTRACT(G75,"" [^ ]* [^ ]* "")")," muted fuchsia ")</f>
        <v> muted fuchsia </v>
      </c>
      <c r="M75" s="3">
        <f>IFERROR(__xludf.DUMMYFUNCTION("INDEX(SPLIT(H75,"" ""),1)"),2.0)</f>
        <v>2</v>
      </c>
      <c r="N75" s="3" t="str">
        <f>IFERROR(__xludf.DUMMYFUNCTION("MID(REGEXEXTRACT(H75,"" [^ ]* [^ ]*""),2,300)"),"plaid red")</f>
        <v>plaid red</v>
      </c>
      <c r="O75" s="3">
        <f>IFERROR(__xludf.DUMMYFUNCTION("INDEX(SPLIT(I75,"" ""),1)"),3.0)</f>
        <v>3</v>
      </c>
      <c r="P75" s="3" t="str">
        <f>IFERROR(__xludf.DUMMYFUNCTION("MID(REGEXEXTRACT(I75,"" [^ ]* [^ ]*""),2,300)"),"clear green")</f>
        <v>clear green</v>
      </c>
      <c r="Q75" s="3" t="str">
        <f>IFERROR(__xludf.DUMMYFUNCTION("INDEX(SPLIT(J75,"" ""),1)"),"#REF!")</f>
        <v>#REF!</v>
      </c>
      <c r="R75" s="3" t="str">
        <f>IFERROR(__xludf.DUMMYFUNCTION("MID(REGEXEXTRACT(J75,"" [^ ]* [^ ]*""),2,300)"),"#REF!")</f>
        <v>#REF!</v>
      </c>
      <c r="S75" s="3">
        <f t="shared" si="2"/>
        <v>4</v>
      </c>
      <c r="T75" s="3" t="str">
        <f t="shared" si="3"/>
        <v>muted fuchsia</v>
      </c>
      <c r="U75" s="3">
        <f t="shared" si="4"/>
        <v>2</v>
      </c>
      <c r="V75" s="3" t="str">
        <f t="shared" si="5"/>
        <v>plaid red</v>
      </c>
      <c r="W75" s="3">
        <f t="shared" si="6"/>
        <v>3</v>
      </c>
      <c r="X75" s="3" t="str">
        <f t="shared" si="7"/>
        <v>clear green</v>
      </c>
      <c r="Y75" s="3" t="str">
        <f t="shared" si="8"/>
        <v/>
      </c>
      <c r="Z75" s="3" t="str">
        <f t="shared" si="9"/>
        <v/>
      </c>
      <c r="AA75" s="13">
        <f t="shared" si="10"/>
        <v>300556432</v>
      </c>
      <c r="AB75" s="3">
        <f t="shared" si="11"/>
        <v>300556431</v>
      </c>
      <c r="AC75" s="3">
        <f t="shared" si="12"/>
        <v>4</v>
      </c>
      <c r="AD75" s="3">
        <f t="shared" si="13"/>
        <v>19267</v>
      </c>
      <c r="AE75" s="3">
        <f t="shared" si="14"/>
        <v>2</v>
      </c>
      <c r="AF75" s="3">
        <f t="shared" si="15"/>
        <v>150232603</v>
      </c>
      <c r="AG75" s="3">
        <f t="shared" si="16"/>
        <v>3</v>
      </c>
      <c r="AH75" s="3">
        <f t="shared" si="17"/>
        <v>4719</v>
      </c>
      <c r="AI75" s="3" t="str">
        <f t="shared" si="18"/>
        <v/>
      </c>
      <c r="AJ75" s="3">
        <f t="shared" si="19"/>
        <v>0</v>
      </c>
    </row>
    <row r="76">
      <c r="C76" s="6" t="s">
        <v>76</v>
      </c>
      <c r="D76" s="3">
        <f t="shared" si="1"/>
        <v>2</v>
      </c>
      <c r="E76" s="3" t="str">
        <f>IFERROR(__xludf.DUMMYFUNCTION("REGEXEXTRACT(C76,""[^ ]* [^ ]*"")"),"plaid crimson")</f>
        <v>plaid crimson</v>
      </c>
      <c r="F76" s="3" t="str">
        <f>IFERROR(__xludf.DUMMYFUNCTION("MID(REGEXEXTRACT(C76,""contain.*$""),9,300)"),"4 bright gold bags, 2 clear turquoise bags, 3 faded magenta bags.")</f>
        <v>4 bright gold bags, 2 clear turquoise bags, 3 faded magenta bags.</v>
      </c>
      <c r="G76" s="3" t="str">
        <f>IFERROR(__xludf.DUMMYFUNCTION("INDEX(SPLIT($F76,"",""),COLUMN()-6)"),"4 bright gold bags")</f>
        <v>4 bright gold bags</v>
      </c>
      <c r="H76" s="3" t="str">
        <f>IFERROR(__xludf.DUMMYFUNCTION("MID(INDEX(SPLIT($F76,"",""),COLUMN()-6),2,300)"),"2 clear turquoise bags")</f>
        <v>2 clear turquoise bags</v>
      </c>
      <c r="I76" s="3" t="str">
        <f>IFERROR(__xludf.DUMMYFUNCTION("MID(INDEX(SPLIT($F76,"",""),COLUMN()-6),2,300)"),"3 faded magenta bags.")</f>
        <v>3 faded magenta bags.</v>
      </c>
      <c r="J76" s="3" t="str">
        <f>IFERROR(__xludf.DUMMYFUNCTION("MID(INDEX(SPLIT($F76,"",""),COLUMN()-6),2,300)"),"#REF!")</f>
        <v>#REF!</v>
      </c>
      <c r="K76" s="3">
        <f>IFERROR(__xludf.DUMMYFUNCTION("INDEX(SPLIT(G76,"" ""),1)"),4.0)</f>
        <v>4</v>
      </c>
      <c r="L76" s="3" t="str">
        <f>IFERROR(__xludf.DUMMYFUNCTION("REGEXEXTRACT(G76,"" [^ ]* [^ ]* "")")," bright gold ")</f>
        <v> bright gold </v>
      </c>
      <c r="M76" s="3">
        <f>IFERROR(__xludf.DUMMYFUNCTION("INDEX(SPLIT(H76,"" ""),1)"),2.0)</f>
        <v>2</v>
      </c>
      <c r="N76" s="3" t="str">
        <f>IFERROR(__xludf.DUMMYFUNCTION("MID(REGEXEXTRACT(H76,"" [^ ]* [^ ]*""),2,300)"),"clear turquoise")</f>
        <v>clear turquoise</v>
      </c>
      <c r="O76" s="3">
        <f>IFERROR(__xludf.DUMMYFUNCTION("INDEX(SPLIT(I76,"" ""),1)"),3.0)</f>
        <v>3</v>
      </c>
      <c r="P76" s="3" t="str">
        <f>IFERROR(__xludf.DUMMYFUNCTION("MID(REGEXEXTRACT(I76,"" [^ ]* [^ ]*""),2,300)"),"faded magenta")</f>
        <v>faded magenta</v>
      </c>
      <c r="Q76" s="3" t="str">
        <f>IFERROR(__xludf.DUMMYFUNCTION("INDEX(SPLIT(J76,"" ""),1)"),"#REF!")</f>
        <v>#REF!</v>
      </c>
      <c r="R76" s="3" t="str">
        <f>IFERROR(__xludf.DUMMYFUNCTION("MID(REGEXEXTRACT(J76,"" [^ ]* [^ ]*""),2,300)"),"#REF!")</f>
        <v>#REF!</v>
      </c>
      <c r="S76" s="3">
        <f t="shared" si="2"/>
        <v>4</v>
      </c>
      <c r="T76" s="3" t="str">
        <f t="shared" si="3"/>
        <v>bright gold</v>
      </c>
      <c r="U76" s="3">
        <f t="shared" si="4"/>
        <v>2</v>
      </c>
      <c r="V76" s="3" t="str">
        <f t="shared" si="5"/>
        <v>clear turquoise</v>
      </c>
      <c r="W76" s="3">
        <f t="shared" si="6"/>
        <v>3</v>
      </c>
      <c r="X76" s="3" t="str">
        <f t="shared" si="7"/>
        <v>faded magenta</v>
      </c>
      <c r="Y76" s="3" t="str">
        <f t="shared" si="8"/>
        <v/>
      </c>
      <c r="Z76" s="3" t="str">
        <f t="shared" si="9"/>
        <v/>
      </c>
      <c r="AA76" s="13">
        <f t="shared" si="10"/>
        <v>2323143617</v>
      </c>
      <c r="AB76" s="3">
        <f t="shared" si="11"/>
        <v>2323143616</v>
      </c>
      <c r="AC76" s="3">
        <f t="shared" si="12"/>
        <v>4</v>
      </c>
      <c r="AD76" s="3">
        <f t="shared" si="13"/>
        <v>442840048</v>
      </c>
      <c r="AE76" s="3">
        <f t="shared" si="14"/>
        <v>2</v>
      </c>
      <c r="AF76" s="3">
        <f t="shared" si="15"/>
        <v>269888361</v>
      </c>
      <c r="AG76" s="3">
        <f t="shared" si="16"/>
        <v>3</v>
      </c>
      <c r="AH76" s="3">
        <f t="shared" si="17"/>
        <v>4002234</v>
      </c>
      <c r="AI76" s="3" t="str">
        <f t="shared" si="18"/>
        <v/>
      </c>
      <c r="AJ76" s="3">
        <f t="shared" si="19"/>
        <v>0</v>
      </c>
    </row>
    <row r="77">
      <c r="C77" s="6" t="s">
        <v>77</v>
      </c>
      <c r="D77" s="3">
        <f t="shared" si="1"/>
        <v>3</v>
      </c>
      <c r="E77" s="3" t="str">
        <f>IFERROR(__xludf.DUMMYFUNCTION("REGEXEXTRACT(C77,""[^ ]* [^ ]*"")"),"dim turquoise")</f>
        <v>dim turquoise</v>
      </c>
      <c r="F77" s="3" t="str">
        <f>IFERROR(__xludf.DUMMYFUNCTION("MID(REGEXEXTRACT(C77,""contain.*$""),9,300)"),"3 drab brown bags, 5 plaid cyan bags, 3 plaid teal bags, 5 shiny silver bags.")</f>
        <v>3 drab brown bags, 5 plaid cyan bags, 3 plaid teal bags, 5 shiny silver bags.</v>
      </c>
      <c r="G77" s="3" t="str">
        <f>IFERROR(__xludf.DUMMYFUNCTION("INDEX(SPLIT($F77,"",""),COLUMN()-6)"),"3 drab brown bags")</f>
        <v>3 drab brown bags</v>
      </c>
      <c r="H77" s="3" t="str">
        <f>IFERROR(__xludf.DUMMYFUNCTION("MID(INDEX(SPLIT($F77,"",""),COLUMN()-6),2,300)"),"5 plaid cyan bags")</f>
        <v>5 plaid cyan bags</v>
      </c>
      <c r="I77" s="3" t="str">
        <f>IFERROR(__xludf.DUMMYFUNCTION("MID(INDEX(SPLIT($F77,"",""),COLUMN()-6),2,300)"),"3 plaid teal bags")</f>
        <v>3 plaid teal bags</v>
      </c>
      <c r="J77" s="3" t="str">
        <f>IFERROR(__xludf.DUMMYFUNCTION("MID(INDEX(SPLIT($F77,"",""),COLUMN()-6),2,300)"),"5 shiny silver bags.")</f>
        <v>5 shiny silver bags.</v>
      </c>
      <c r="K77" s="3">
        <f>IFERROR(__xludf.DUMMYFUNCTION("INDEX(SPLIT(G77,"" ""),1)"),3.0)</f>
        <v>3</v>
      </c>
      <c r="L77" s="3" t="str">
        <f>IFERROR(__xludf.DUMMYFUNCTION("REGEXEXTRACT(G77,"" [^ ]* [^ ]* "")")," drab brown ")</f>
        <v> drab brown </v>
      </c>
      <c r="M77" s="3">
        <f>IFERROR(__xludf.DUMMYFUNCTION("INDEX(SPLIT(H77,"" ""),1)"),5.0)</f>
        <v>5</v>
      </c>
      <c r="N77" s="3" t="str">
        <f>IFERROR(__xludf.DUMMYFUNCTION("MID(REGEXEXTRACT(H77,"" [^ ]* [^ ]*""),2,300)"),"plaid cyan")</f>
        <v>plaid cyan</v>
      </c>
      <c r="O77" s="3">
        <f>IFERROR(__xludf.DUMMYFUNCTION("INDEX(SPLIT(I77,"" ""),1)"),3.0)</f>
        <v>3</v>
      </c>
      <c r="P77" s="3" t="str">
        <f>IFERROR(__xludf.DUMMYFUNCTION("MID(REGEXEXTRACT(I77,"" [^ ]* [^ ]*""),2,300)"),"plaid teal")</f>
        <v>plaid teal</v>
      </c>
      <c r="Q77" s="3">
        <f>IFERROR(__xludf.DUMMYFUNCTION("INDEX(SPLIT(J77,"" ""),1)"),5.0)</f>
        <v>5</v>
      </c>
      <c r="R77" s="3" t="str">
        <f>IFERROR(__xludf.DUMMYFUNCTION("MID(REGEXEXTRACT(J77,"" [^ ]* [^ ]*""),2,300)"),"shiny silver")</f>
        <v>shiny silver</v>
      </c>
      <c r="S77" s="3">
        <f t="shared" si="2"/>
        <v>3</v>
      </c>
      <c r="T77" s="3" t="str">
        <f t="shared" si="3"/>
        <v>drab brown</v>
      </c>
      <c r="U77" s="3">
        <f t="shared" si="4"/>
        <v>5</v>
      </c>
      <c r="V77" s="3" t="str">
        <f t="shared" si="5"/>
        <v>plaid cyan</v>
      </c>
      <c r="W77" s="3">
        <f t="shared" si="6"/>
        <v>3</v>
      </c>
      <c r="X77" s="3" t="str">
        <f t="shared" si="7"/>
        <v>plaid teal</v>
      </c>
      <c r="Y77" s="3">
        <f t="shared" si="8"/>
        <v>5</v>
      </c>
      <c r="Z77" s="3" t="str">
        <f t="shared" si="9"/>
        <v>shiny silver</v>
      </c>
      <c r="AA77" s="13">
        <f t="shared" si="10"/>
        <v>1194623</v>
      </c>
      <c r="AB77" s="3">
        <f t="shared" si="11"/>
        <v>1194622</v>
      </c>
      <c r="AC77" s="3">
        <f t="shared" si="12"/>
        <v>3</v>
      </c>
      <c r="AD77" s="3">
        <f t="shared" si="13"/>
        <v>96841</v>
      </c>
      <c r="AE77" s="3">
        <f t="shared" si="14"/>
        <v>5</v>
      </c>
      <c r="AF77" s="3">
        <f t="shared" si="15"/>
        <v>80294</v>
      </c>
      <c r="AG77" s="3">
        <f t="shared" si="16"/>
        <v>3</v>
      </c>
      <c r="AH77" s="3">
        <f t="shared" si="17"/>
        <v>118598</v>
      </c>
      <c r="AI77" s="3">
        <f t="shared" si="18"/>
        <v>5</v>
      </c>
      <c r="AJ77" s="3">
        <f t="shared" si="19"/>
        <v>29367</v>
      </c>
    </row>
    <row r="78">
      <c r="C78" s="6" t="s">
        <v>78</v>
      </c>
      <c r="D78" s="3">
        <f t="shared" si="1"/>
        <v>3</v>
      </c>
      <c r="E78" s="3" t="str">
        <f>IFERROR(__xludf.DUMMYFUNCTION("REGEXEXTRACT(C78,""[^ ]* [^ ]*"")"),"clear crimson")</f>
        <v>clear crimson</v>
      </c>
      <c r="F78" s="3" t="str">
        <f>IFERROR(__xludf.DUMMYFUNCTION("MID(REGEXEXTRACT(C78,""contain.*$""),9,300)"),"3 plaid blue bags, 2 drab tomato bags, 2 dull cyan bags, 3 mirrored fuchsia bags.")</f>
        <v>3 plaid blue bags, 2 drab tomato bags, 2 dull cyan bags, 3 mirrored fuchsia bags.</v>
      </c>
      <c r="G78" s="3" t="str">
        <f>IFERROR(__xludf.DUMMYFUNCTION("INDEX(SPLIT($F78,"",""),COLUMN()-6)"),"3 plaid blue bags")</f>
        <v>3 plaid blue bags</v>
      </c>
      <c r="H78" s="3" t="str">
        <f>IFERROR(__xludf.DUMMYFUNCTION("MID(INDEX(SPLIT($F78,"",""),COLUMN()-6),2,300)"),"2 drab tomato bags")</f>
        <v>2 drab tomato bags</v>
      </c>
      <c r="I78" s="3" t="str">
        <f>IFERROR(__xludf.DUMMYFUNCTION("MID(INDEX(SPLIT($F78,"",""),COLUMN()-6),2,300)"),"2 dull cyan bags")</f>
        <v>2 dull cyan bags</v>
      </c>
      <c r="J78" s="3" t="str">
        <f>IFERROR(__xludf.DUMMYFUNCTION("MID(INDEX(SPLIT($F78,"",""),COLUMN()-6),2,300)"),"3 mirrored fuchsia bags.")</f>
        <v>3 mirrored fuchsia bags.</v>
      </c>
      <c r="K78" s="3">
        <f>IFERROR(__xludf.DUMMYFUNCTION("INDEX(SPLIT(G78,"" ""),1)"),3.0)</f>
        <v>3</v>
      </c>
      <c r="L78" s="3" t="str">
        <f>IFERROR(__xludf.DUMMYFUNCTION("REGEXEXTRACT(G78,"" [^ ]* [^ ]* "")")," plaid blue ")</f>
        <v> plaid blue </v>
      </c>
      <c r="M78" s="3">
        <f>IFERROR(__xludf.DUMMYFUNCTION("INDEX(SPLIT(H78,"" ""),1)"),2.0)</f>
        <v>2</v>
      </c>
      <c r="N78" s="3" t="str">
        <f>IFERROR(__xludf.DUMMYFUNCTION("MID(REGEXEXTRACT(H78,"" [^ ]* [^ ]*""),2,300)"),"drab tomato")</f>
        <v>drab tomato</v>
      </c>
      <c r="O78" s="3">
        <f>IFERROR(__xludf.DUMMYFUNCTION("INDEX(SPLIT(I78,"" ""),1)"),2.0)</f>
        <v>2</v>
      </c>
      <c r="P78" s="3" t="str">
        <f>IFERROR(__xludf.DUMMYFUNCTION("MID(REGEXEXTRACT(I78,"" [^ ]* [^ ]*""),2,300)"),"dull cyan")</f>
        <v>dull cyan</v>
      </c>
      <c r="Q78" s="3">
        <f>IFERROR(__xludf.DUMMYFUNCTION("INDEX(SPLIT(J78,"" ""),1)"),3.0)</f>
        <v>3</v>
      </c>
      <c r="R78" s="3" t="str">
        <f>IFERROR(__xludf.DUMMYFUNCTION("MID(REGEXEXTRACT(J78,"" [^ ]* [^ ]*""),2,300)"),"mirrored fuchsia")</f>
        <v>mirrored fuchsia</v>
      </c>
      <c r="S78" s="3">
        <f t="shared" si="2"/>
        <v>3</v>
      </c>
      <c r="T78" s="3" t="str">
        <f t="shared" si="3"/>
        <v>plaid blue</v>
      </c>
      <c r="U78" s="3">
        <f t="shared" si="4"/>
        <v>2</v>
      </c>
      <c r="V78" s="3" t="str">
        <f t="shared" si="5"/>
        <v>drab tomato</v>
      </c>
      <c r="W78" s="3">
        <f t="shared" si="6"/>
        <v>2</v>
      </c>
      <c r="X78" s="3" t="str">
        <f t="shared" si="7"/>
        <v>dull cyan</v>
      </c>
      <c r="Y78" s="3">
        <f t="shared" si="8"/>
        <v>3</v>
      </c>
      <c r="Z78" s="3" t="str">
        <f t="shared" si="9"/>
        <v>mirrored fuchsia</v>
      </c>
      <c r="AA78" s="13">
        <f t="shared" si="10"/>
        <v>25340133</v>
      </c>
      <c r="AB78" s="3">
        <f t="shared" si="11"/>
        <v>25340132</v>
      </c>
      <c r="AC78" s="3">
        <f t="shared" si="12"/>
        <v>3</v>
      </c>
      <c r="AD78" s="3">
        <f t="shared" si="13"/>
        <v>81694</v>
      </c>
      <c r="AE78" s="3">
        <f t="shared" si="14"/>
        <v>2</v>
      </c>
      <c r="AF78" s="3">
        <f t="shared" si="15"/>
        <v>38687</v>
      </c>
      <c r="AG78" s="3">
        <f t="shared" si="16"/>
        <v>2</v>
      </c>
      <c r="AH78" s="3">
        <f t="shared" si="17"/>
        <v>3008</v>
      </c>
      <c r="AI78" s="3">
        <f t="shared" si="18"/>
        <v>3</v>
      </c>
      <c r="AJ78" s="3">
        <f t="shared" si="19"/>
        <v>8337220</v>
      </c>
    </row>
    <row r="79">
      <c r="C79" s="6" t="s">
        <v>79</v>
      </c>
      <c r="D79" s="3">
        <f t="shared" si="1"/>
        <v>1</v>
      </c>
      <c r="E79" s="3" t="str">
        <f>IFERROR(__xludf.DUMMYFUNCTION("REGEXEXTRACT(C79,""[^ ]* [^ ]*"")"),"pale tomato")</f>
        <v>pale tomato</v>
      </c>
      <c r="F79" s="3" t="str">
        <f>IFERROR(__xludf.DUMMYFUNCTION("MID(REGEXEXTRACT(C79,""contain.*$""),9,300)"),"1 dull yellow bag, 3 muted aqua bags.")</f>
        <v>1 dull yellow bag, 3 muted aqua bags.</v>
      </c>
      <c r="G79" s="3" t="str">
        <f>IFERROR(__xludf.DUMMYFUNCTION("INDEX(SPLIT($F79,"",""),COLUMN()-6)"),"1 dull yellow bag")</f>
        <v>1 dull yellow bag</v>
      </c>
      <c r="H79" s="3" t="str">
        <f>IFERROR(__xludf.DUMMYFUNCTION("MID(INDEX(SPLIT($F79,"",""),COLUMN()-6),2,300)"),"3 muted aqua bags.")</f>
        <v>3 muted aqua bags.</v>
      </c>
      <c r="I79" s="3" t="str">
        <f>IFERROR(__xludf.DUMMYFUNCTION("MID(INDEX(SPLIT($F79,"",""),COLUMN()-6),2,300)"),"#REF!")</f>
        <v>#REF!</v>
      </c>
      <c r="J79" s="3" t="str">
        <f>IFERROR(__xludf.DUMMYFUNCTION("MID(INDEX(SPLIT($F79,"",""),COLUMN()-6),2,300)"),"#REF!")</f>
        <v>#REF!</v>
      </c>
      <c r="K79" s="3">
        <f>IFERROR(__xludf.DUMMYFUNCTION("INDEX(SPLIT(G79,"" ""),1)"),1.0)</f>
        <v>1</v>
      </c>
      <c r="L79" s="3" t="str">
        <f>IFERROR(__xludf.DUMMYFUNCTION("REGEXEXTRACT(G79,"" [^ ]* [^ ]* "")")," dull yellow ")</f>
        <v> dull yellow </v>
      </c>
      <c r="M79" s="3">
        <f>IFERROR(__xludf.DUMMYFUNCTION("INDEX(SPLIT(H79,"" ""),1)"),3.0)</f>
        <v>3</v>
      </c>
      <c r="N79" s="3" t="str">
        <f>IFERROR(__xludf.DUMMYFUNCTION("MID(REGEXEXTRACT(H79,"" [^ ]* [^ ]*""),2,300)"),"muted aqua")</f>
        <v>muted aqua</v>
      </c>
      <c r="O79" s="3" t="str">
        <f>IFERROR(__xludf.DUMMYFUNCTION("INDEX(SPLIT(I79,"" ""),1)"),"#REF!")</f>
        <v>#REF!</v>
      </c>
      <c r="P79" s="3" t="str">
        <f>IFERROR(__xludf.DUMMYFUNCTION("MID(REGEXEXTRACT(I79,"" [^ ]* [^ ]*""),2,300)"),"#REF!")</f>
        <v>#REF!</v>
      </c>
      <c r="Q79" s="3" t="str">
        <f>IFERROR(__xludf.DUMMYFUNCTION("INDEX(SPLIT(J79,"" ""),1)"),"#REF!")</f>
        <v>#REF!</v>
      </c>
      <c r="R79" s="3" t="str">
        <f>IFERROR(__xludf.DUMMYFUNCTION("MID(REGEXEXTRACT(J79,"" [^ ]* [^ ]*""),2,300)"),"#REF!")</f>
        <v>#REF!</v>
      </c>
      <c r="S79" s="3">
        <f t="shared" si="2"/>
        <v>1</v>
      </c>
      <c r="T79" s="3" t="str">
        <f t="shared" si="3"/>
        <v>dull yellow</v>
      </c>
      <c r="U79" s="3">
        <f t="shared" si="4"/>
        <v>3</v>
      </c>
      <c r="V79" s="3" t="str">
        <f t="shared" si="5"/>
        <v>muted aqua</v>
      </c>
      <c r="W79" s="3" t="str">
        <f t="shared" si="6"/>
        <v/>
      </c>
      <c r="X79" s="3" t="str">
        <f t="shared" si="7"/>
        <v/>
      </c>
      <c r="Y79" s="3" t="str">
        <f t="shared" si="8"/>
        <v/>
      </c>
      <c r="Z79" s="3" t="str">
        <f t="shared" si="9"/>
        <v/>
      </c>
      <c r="AA79" s="13">
        <f t="shared" si="10"/>
        <v>280269</v>
      </c>
      <c r="AB79" s="3">
        <f t="shared" si="11"/>
        <v>280268</v>
      </c>
      <c r="AC79" s="3">
        <f t="shared" si="12"/>
        <v>1</v>
      </c>
      <c r="AD79" s="3">
        <f t="shared" si="13"/>
        <v>190019</v>
      </c>
      <c r="AE79" s="3">
        <f t="shared" si="14"/>
        <v>3</v>
      </c>
      <c r="AF79" s="3">
        <f t="shared" si="15"/>
        <v>30083</v>
      </c>
      <c r="AG79" s="3" t="str">
        <f t="shared" si="16"/>
        <v/>
      </c>
      <c r="AH79" s="3">
        <f t="shared" si="17"/>
        <v>0</v>
      </c>
      <c r="AI79" s="3" t="str">
        <f t="shared" si="18"/>
        <v/>
      </c>
      <c r="AJ79" s="3">
        <f t="shared" si="19"/>
        <v>0</v>
      </c>
    </row>
    <row r="80">
      <c r="C80" s="6" t="s">
        <v>80</v>
      </c>
      <c r="D80" s="3">
        <f t="shared" si="1"/>
        <v>2</v>
      </c>
      <c r="E80" s="3" t="str">
        <f>IFERROR(__xludf.DUMMYFUNCTION("REGEXEXTRACT(C80,""[^ ]* [^ ]*"")"),"dim orange")</f>
        <v>dim orange</v>
      </c>
      <c r="F80" s="3" t="str">
        <f>IFERROR(__xludf.DUMMYFUNCTION("MID(REGEXEXTRACT(C80,""contain.*$""),9,300)"),"1 posh magenta bag, 2 wavy gray bags, 5 faded indigo bags.")</f>
        <v>1 posh magenta bag, 2 wavy gray bags, 5 faded indigo bags.</v>
      </c>
      <c r="G80" s="3" t="str">
        <f>IFERROR(__xludf.DUMMYFUNCTION("INDEX(SPLIT($F80,"",""),COLUMN()-6)"),"1 posh magenta bag")</f>
        <v>1 posh magenta bag</v>
      </c>
      <c r="H80" s="3" t="str">
        <f>IFERROR(__xludf.DUMMYFUNCTION("MID(INDEX(SPLIT($F80,"",""),COLUMN()-6),2,300)"),"2 wavy gray bags")</f>
        <v>2 wavy gray bags</v>
      </c>
      <c r="I80" s="3" t="str">
        <f>IFERROR(__xludf.DUMMYFUNCTION("MID(INDEX(SPLIT($F80,"",""),COLUMN()-6),2,300)"),"5 faded indigo bags.")</f>
        <v>5 faded indigo bags.</v>
      </c>
      <c r="J80" s="3" t="str">
        <f>IFERROR(__xludf.DUMMYFUNCTION("MID(INDEX(SPLIT($F80,"",""),COLUMN()-6),2,300)"),"#REF!")</f>
        <v>#REF!</v>
      </c>
      <c r="K80" s="3">
        <f>IFERROR(__xludf.DUMMYFUNCTION("INDEX(SPLIT(G80,"" ""),1)"),1.0)</f>
        <v>1</v>
      </c>
      <c r="L80" s="3" t="str">
        <f>IFERROR(__xludf.DUMMYFUNCTION("REGEXEXTRACT(G80,"" [^ ]* [^ ]* "")")," posh magenta ")</f>
        <v> posh magenta </v>
      </c>
      <c r="M80" s="3">
        <f>IFERROR(__xludf.DUMMYFUNCTION("INDEX(SPLIT(H80,"" ""),1)"),2.0)</f>
        <v>2</v>
      </c>
      <c r="N80" s="3" t="str">
        <f>IFERROR(__xludf.DUMMYFUNCTION("MID(REGEXEXTRACT(H80,"" [^ ]* [^ ]*""),2,300)"),"wavy gray")</f>
        <v>wavy gray</v>
      </c>
      <c r="O80" s="3">
        <f>IFERROR(__xludf.DUMMYFUNCTION("INDEX(SPLIT(I80,"" ""),1)"),5.0)</f>
        <v>5</v>
      </c>
      <c r="P80" s="3" t="str">
        <f>IFERROR(__xludf.DUMMYFUNCTION("MID(REGEXEXTRACT(I80,"" [^ ]* [^ ]*""),2,300)"),"faded indigo")</f>
        <v>faded indigo</v>
      </c>
      <c r="Q80" s="3" t="str">
        <f>IFERROR(__xludf.DUMMYFUNCTION("INDEX(SPLIT(J80,"" ""),1)"),"#REF!")</f>
        <v>#REF!</v>
      </c>
      <c r="R80" s="3" t="str">
        <f>IFERROR(__xludf.DUMMYFUNCTION("MID(REGEXEXTRACT(J80,"" [^ ]* [^ ]*""),2,300)"),"#REF!")</f>
        <v>#REF!</v>
      </c>
      <c r="S80" s="3">
        <f t="shared" si="2"/>
        <v>1</v>
      </c>
      <c r="T80" s="3" t="str">
        <f t="shared" si="3"/>
        <v>posh magenta</v>
      </c>
      <c r="U80" s="3">
        <f t="shared" si="4"/>
        <v>2</v>
      </c>
      <c r="V80" s="3" t="str">
        <f t="shared" si="5"/>
        <v>wavy gray</v>
      </c>
      <c r="W80" s="3">
        <f t="shared" si="6"/>
        <v>5</v>
      </c>
      <c r="X80" s="3" t="str">
        <f t="shared" si="7"/>
        <v>faded indigo</v>
      </c>
      <c r="Y80" s="3" t="str">
        <f t="shared" si="8"/>
        <v/>
      </c>
      <c r="Z80" s="3" t="str">
        <f t="shared" si="9"/>
        <v/>
      </c>
      <c r="AA80" s="13">
        <f t="shared" si="10"/>
        <v>1699303326</v>
      </c>
      <c r="AB80" s="3">
        <f t="shared" si="11"/>
        <v>1699303325</v>
      </c>
      <c r="AC80" s="3">
        <f t="shared" si="12"/>
        <v>1</v>
      </c>
      <c r="AD80" s="3">
        <f t="shared" si="13"/>
        <v>1</v>
      </c>
      <c r="AE80" s="3">
        <f t="shared" si="14"/>
        <v>2</v>
      </c>
      <c r="AF80" s="3">
        <f t="shared" si="15"/>
        <v>3322</v>
      </c>
      <c r="AG80" s="3">
        <f t="shared" si="16"/>
        <v>5</v>
      </c>
      <c r="AH80" s="3">
        <f t="shared" si="17"/>
        <v>339859336</v>
      </c>
      <c r="AI80" s="3" t="str">
        <f t="shared" si="18"/>
        <v/>
      </c>
      <c r="AJ80" s="3">
        <f t="shared" si="19"/>
        <v>0</v>
      </c>
    </row>
    <row r="81">
      <c r="C81" s="6" t="s">
        <v>81</v>
      </c>
      <c r="D81" s="3">
        <f t="shared" si="1"/>
        <v>3</v>
      </c>
      <c r="E81" s="3" t="str">
        <f>IFERROR(__xludf.DUMMYFUNCTION("REGEXEXTRACT(C81,""[^ ]* [^ ]*"")"),"mirrored orange")</f>
        <v>mirrored orange</v>
      </c>
      <c r="F81" s="3" t="str">
        <f>IFERROR(__xludf.DUMMYFUNCTION("MID(REGEXEXTRACT(C81,""contain.*$""),9,300)"),"1 posh bronze bag, 2 faded white bags, 1 light orange bag, 2 posh red bags.")</f>
        <v>1 posh bronze bag, 2 faded white bags, 1 light orange bag, 2 posh red bags.</v>
      </c>
      <c r="G81" s="3" t="str">
        <f>IFERROR(__xludf.DUMMYFUNCTION("INDEX(SPLIT($F81,"",""),COLUMN()-6)"),"1 posh bronze bag")</f>
        <v>1 posh bronze bag</v>
      </c>
      <c r="H81" s="3" t="str">
        <f>IFERROR(__xludf.DUMMYFUNCTION("MID(INDEX(SPLIT($F81,"",""),COLUMN()-6),2,300)"),"2 faded white bags")</f>
        <v>2 faded white bags</v>
      </c>
      <c r="I81" s="3" t="str">
        <f>IFERROR(__xludf.DUMMYFUNCTION("MID(INDEX(SPLIT($F81,"",""),COLUMN()-6),2,300)"),"1 light orange bag")</f>
        <v>1 light orange bag</v>
      </c>
      <c r="J81" s="3" t="str">
        <f>IFERROR(__xludf.DUMMYFUNCTION("MID(INDEX(SPLIT($F81,"",""),COLUMN()-6),2,300)"),"2 posh red bags.")</f>
        <v>2 posh red bags.</v>
      </c>
      <c r="K81" s="3">
        <f>IFERROR(__xludf.DUMMYFUNCTION("INDEX(SPLIT(G81,"" ""),1)"),1.0)</f>
        <v>1</v>
      </c>
      <c r="L81" s="3" t="str">
        <f>IFERROR(__xludf.DUMMYFUNCTION("REGEXEXTRACT(G81,"" [^ ]* [^ ]* "")")," posh bronze ")</f>
        <v> posh bronze </v>
      </c>
      <c r="M81" s="3">
        <f>IFERROR(__xludf.DUMMYFUNCTION("INDEX(SPLIT(H81,"" ""),1)"),2.0)</f>
        <v>2</v>
      </c>
      <c r="N81" s="3" t="str">
        <f>IFERROR(__xludf.DUMMYFUNCTION("MID(REGEXEXTRACT(H81,"" [^ ]* [^ ]*""),2,300)"),"faded white")</f>
        <v>faded white</v>
      </c>
      <c r="O81" s="3">
        <f>IFERROR(__xludf.DUMMYFUNCTION("INDEX(SPLIT(I81,"" ""),1)"),1.0)</f>
        <v>1</v>
      </c>
      <c r="P81" s="3" t="str">
        <f>IFERROR(__xludf.DUMMYFUNCTION("MID(REGEXEXTRACT(I81,"" [^ ]* [^ ]*""),2,300)"),"light orange")</f>
        <v>light orange</v>
      </c>
      <c r="Q81" s="3">
        <f>IFERROR(__xludf.DUMMYFUNCTION("INDEX(SPLIT(J81,"" ""),1)"),2.0)</f>
        <v>2</v>
      </c>
      <c r="R81" s="3" t="str">
        <f>IFERROR(__xludf.DUMMYFUNCTION("MID(REGEXEXTRACT(J81,"" [^ ]* [^ ]*""),2,300)"),"posh red")</f>
        <v>posh red</v>
      </c>
      <c r="S81" s="3">
        <f t="shared" si="2"/>
        <v>1</v>
      </c>
      <c r="T81" s="3" t="str">
        <f t="shared" si="3"/>
        <v>posh bronze</v>
      </c>
      <c r="U81" s="3">
        <f t="shared" si="4"/>
        <v>2</v>
      </c>
      <c r="V81" s="3" t="str">
        <f t="shared" si="5"/>
        <v>faded white</v>
      </c>
      <c r="W81" s="3">
        <f t="shared" si="6"/>
        <v>1</v>
      </c>
      <c r="X81" s="3" t="str">
        <f t="shared" si="7"/>
        <v>light orange</v>
      </c>
      <c r="Y81" s="3">
        <f t="shared" si="8"/>
        <v>2</v>
      </c>
      <c r="Z81" s="3" t="str">
        <f t="shared" si="9"/>
        <v>posh red</v>
      </c>
      <c r="AA81" s="13">
        <f t="shared" si="10"/>
        <v>99887875</v>
      </c>
      <c r="AB81" s="3">
        <f t="shared" si="11"/>
        <v>99887874</v>
      </c>
      <c r="AC81" s="3">
        <f t="shared" si="12"/>
        <v>1</v>
      </c>
      <c r="AD81" s="3">
        <f t="shared" si="13"/>
        <v>21</v>
      </c>
      <c r="AE81" s="3">
        <f t="shared" si="14"/>
        <v>2</v>
      </c>
      <c r="AF81" s="3">
        <f t="shared" si="15"/>
        <v>47322193</v>
      </c>
      <c r="AG81" s="3">
        <f t="shared" si="16"/>
        <v>1</v>
      </c>
      <c r="AH81" s="3">
        <f t="shared" si="17"/>
        <v>4507599</v>
      </c>
      <c r="AI81" s="3">
        <f t="shared" si="18"/>
        <v>2</v>
      </c>
      <c r="AJ81" s="3">
        <f t="shared" si="19"/>
        <v>367934</v>
      </c>
    </row>
    <row r="82">
      <c r="C82" s="6" t="s">
        <v>82</v>
      </c>
      <c r="D82" s="3">
        <f t="shared" si="1"/>
        <v>3</v>
      </c>
      <c r="E82" s="3" t="str">
        <f>IFERROR(__xludf.DUMMYFUNCTION("REGEXEXTRACT(C82,""[^ ]* [^ ]*"")"),"striped turquoise")</f>
        <v>striped turquoise</v>
      </c>
      <c r="F82" s="3" t="str">
        <f>IFERROR(__xludf.DUMMYFUNCTION("MID(REGEXEXTRACT(C82,""contain.*$""),9,300)"),"5 muted salmon bags, 5 dark white bags, 1 mirrored purple bag, 3 pale chartreuse bags.")</f>
        <v>5 muted salmon bags, 5 dark white bags, 1 mirrored purple bag, 3 pale chartreuse bags.</v>
      </c>
      <c r="G82" s="3" t="str">
        <f>IFERROR(__xludf.DUMMYFUNCTION("INDEX(SPLIT($F82,"",""),COLUMN()-6)"),"5 muted salmon bags")</f>
        <v>5 muted salmon bags</v>
      </c>
      <c r="H82" s="3" t="str">
        <f>IFERROR(__xludf.DUMMYFUNCTION("MID(INDEX(SPLIT($F82,"",""),COLUMN()-6),2,300)"),"5 dark white bags")</f>
        <v>5 dark white bags</v>
      </c>
      <c r="I82" s="3" t="str">
        <f>IFERROR(__xludf.DUMMYFUNCTION("MID(INDEX(SPLIT($F82,"",""),COLUMN()-6),2,300)"),"1 mirrored purple bag")</f>
        <v>1 mirrored purple bag</v>
      </c>
      <c r="J82" s="3" t="str">
        <f>IFERROR(__xludf.DUMMYFUNCTION("MID(INDEX(SPLIT($F82,"",""),COLUMN()-6),2,300)"),"3 pale chartreuse bags.")</f>
        <v>3 pale chartreuse bags.</v>
      </c>
      <c r="K82" s="3">
        <f>IFERROR(__xludf.DUMMYFUNCTION("INDEX(SPLIT(G82,"" ""),1)"),5.0)</f>
        <v>5</v>
      </c>
      <c r="L82" s="3" t="str">
        <f>IFERROR(__xludf.DUMMYFUNCTION("REGEXEXTRACT(G82,"" [^ ]* [^ ]* "")")," muted salmon ")</f>
        <v> muted salmon </v>
      </c>
      <c r="M82" s="3">
        <f>IFERROR(__xludf.DUMMYFUNCTION("INDEX(SPLIT(H82,"" ""),1)"),5.0)</f>
        <v>5</v>
      </c>
      <c r="N82" s="3" t="str">
        <f>IFERROR(__xludf.DUMMYFUNCTION("MID(REGEXEXTRACT(H82,"" [^ ]* [^ ]*""),2,300)"),"dark white")</f>
        <v>dark white</v>
      </c>
      <c r="O82" s="3">
        <f>IFERROR(__xludf.DUMMYFUNCTION("INDEX(SPLIT(I82,"" ""),1)"),1.0)</f>
        <v>1</v>
      </c>
      <c r="P82" s="3" t="str">
        <f>IFERROR(__xludf.DUMMYFUNCTION("MID(REGEXEXTRACT(I82,"" [^ ]* [^ ]*""),2,300)"),"mirrored purple")</f>
        <v>mirrored purple</v>
      </c>
      <c r="Q82" s="3">
        <f>IFERROR(__xludf.DUMMYFUNCTION("INDEX(SPLIT(J82,"" ""),1)"),3.0)</f>
        <v>3</v>
      </c>
      <c r="R82" s="3" t="str">
        <f>IFERROR(__xludf.DUMMYFUNCTION("MID(REGEXEXTRACT(J82,"" [^ ]* [^ ]*""),2,300)"),"pale chartreuse")</f>
        <v>pale chartreuse</v>
      </c>
      <c r="S82" s="3">
        <f t="shared" si="2"/>
        <v>5</v>
      </c>
      <c r="T82" s="3" t="str">
        <f t="shared" si="3"/>
        <v>muted salmon</v>
      </c>
      <c r="U82" s="3">
        <f t="shared" si="4"/>
        <v>5</v>
      </c>
      <c r="V82" s="3" t="str">
        <f t="shared" si="5"/>
        <v>dark white</v>
      </c>
      <c r="W82" s="3">
        <f t="shared" si="6"/>
        <v>1</v>
      </c>
      <c r="X82" s="3" t="str">
        <f t="shared" si="7"/>
        <v>mirrored purple</v>
      </c>
      <c r="Y82" s="3">
        <f t="shared" si="8"/>
        <v>3</v>
      </c>
      <c r="Z82" s="3" t="str">
        <f t="shared" si="9"/>
        <v>pale chartreuse</v>
      </c>
      <c r="AA82" s="13">
        <f t="shared" si="10"/>
        <v>4519429856</v>
      </c>
      <c r="AB82" s="3">
        <f t="shared" si="11"/>
        <v>4519429855</v>
      </c>
      <c r="AC82" s="3">
        <f t="shared" si="12"/>
        <v>5</v>
      </c>
      <c r="AD82" s="3">
        <f t="shared" si="13"/>
        <v>3012</v>
      </c>
      <c r="AE82" s="3">
        <f t="shared" si="14"/>
        <v>5</v>
      </c>
      <c r="AF82" s="3">
        <f t="shared" si="15"/>
        <v>799970875</v>
      </c>
      <c r="AG82" s="3">
        <f t="shared" si="16"/>
        <v>1</v>
      </c>
      <c r="AH82" s="3">
        <f t="shared" si="17"/>
        <v>47043416</v>
      </c>
      <c r="AI82" s="3">
        <f t="shared" si="18"/>
        <v>3</v>
      </c>
      <c r="AJ82" s="3">
        <f t="shared" si="19"/>
        <v>157505668</v>
      </c>
    </row>
    <row r="83">
      <c r="C83" s="6" t="s">
        <v>83</v>
      </c>
      <c r="D83" s="3">
        <f t="shared" si="1"/>
        <v>2</v>
      </c>
      <c r="E83" s="3" t="str">
        <f>IFERROR(__xludf.DUMMYFUNCTION("REGEXEXTRACT(C83,""[^ ]* [^ ]*"")"),"dotted coral")</f>
        <v>dotted coral</v>
      </c>
      <c r="F83" s="3" t="str">
        <f>IFERROR(__xludf.DUMMYFUNCTION("MID(REGEXEXTRACT(C83,""contain.*$""),9,300)"),"3 bright brown bags, 2 posh yellow bags, 3 drab maroon bags.")</f>
        <v>3 bright brown bags, 2 posh yellow bags, 3 drab maroon bags.</v>
      </c>
      <c r="G83" s="3" t="str">
        <f>IFERROR(__xludf.DUMMYFUNCTION("INDEX(SPLIT($F83,"",""),COLUMN()-6)"),"3 bright brown bags")</f>
        <v>3 bright brown bags</v>
      </c>
      <c r="H83" s="3" t="str">
        <f>IFERROR(__xludf.DUMMYFUNCTION("MID(INDEX(SPLIT($F83,"",""),COLUMN()-6),2,300)"),"2 posh yellow bags")</f>
        <v>2 posh yellow bags</v>
      </c>
      <c r="I83" s="3" t="str">
        <f>IFERROR(__xludf.DUMMYFUNCTION("MID(INDEX(SPLIT($F83,"",""),COLUMN()-6),2,300)"),"3 drab maroon bags.")</f>
        <v>3 drab maroon bags.</v>
      </c>
      <c r="J83" s="3" t="str">
        <f>IFERROR(__xludf.DUMMYFUNCTION("MID(INDEX(SPLIT($F83,"",""),COLUMN()-6),2,300)"),"#REF!")</f>
        <v>#REF!</v>
      </c>
      <c r="K83" s="3">
        <f>IFERROR(__xludf.DUMMYFUNCTION("INDEX(SPLIT(G83,"" ""),1)"),3.0)</f>
        <v>3</v>
      </c>
      <c r="L83" s="3" t="str">
        <f>IFERROR(__xludf.DUMMYFUNCTION("REGEXEXTRACT(G83,"" [^ ]* [^ ]* "")")," bright brown ")</f>
        <v> bright brown </v>
      </c>
      <c r="M83" s="3">
        <f>IFERROR(__xludf.DUMMYFUNCTION("INDEX(SPLIT(H83,"" ""),1)"),2.0)</f>
        <v>2</v>
      </c>
      <c r="N83" s="3" t="str">
        <f>IFERROR(__xludf.DUMMYFUNCTION("MID(REGEXEXTRACT(H83,"" [^ ]* [^ ]*""),2,300)"),"posh yellow")</f>
        <v>posh yellow</v>
      </c>
      <c r="O83" s="3">
        <f>IFERROR(__xludf.DUMMYFUNCTION("INDEX(SPLIT(I83,"" ""),1)"),3.0)</f>
        <v>3</v>
      </c>
      <c r="P83" s="3" t="str">
        <f>IFERROR(__xludf.DUMMYFUNCTION("MID(REGEXEXTRACT(I83,"" [^ ]* [^ ]*""),2,300)"),"drab maroon")</f>
        <v>drab maroon</v>
      </c>
      <c r="Q83" s="3" t="str">
        <f>IFERROR(__xludf.DUMMYFUNCTION("INDEX(SPLIT(J83,"" ""),1)"),"#REF!")</f>
        <v>#REF!</v>
      </c>
      <c r="R83" s="3" t="str">
        <f>IFERROR(__xludf.DUMMYFUNCTION("MID(REGEXEXTRACT(J83,"" [^ ]* [^ ]*""),2,300)"),"#REF!")</f>
        <v>#REF!</v>
      </c>
      <c r="S83" s="3">
        <f t="shared" si="2"/>
        <v>3</v>
      </c>
      <c r="T83" s="3" t="str">
        <f t="shared" si="3"/>
        <v>bright brown</v>
      </c>
      <c r="U83" s="3">
        <f t="shared" si="4"/>
        <v>2</v>
      </c>
      <c r="V83" s="3" t="str">
        <f t="shared" si="5"/>
        <v>posh yellow</v>
      </c>
      <c r="W83" s="3">
        <f t="shared" si="6"/>
        <v>3</v>
      </c>
      <c r="X83" s="3" t="str">
        <f t="shared" si="7"/>
        <v>drab maroon</v>
      </c>
      <c r="Y83" s="3" t="str">
        <f t="shared" si="8"/>
        <v/>
      </c>
      <c r="Z83" s="3" t="str">
        <f t="shared" si="9"/>
        <v/>
      </c>
      <c r="AA83" s="13">
        <f t="shared" si="10"/>
        <v>10803</v>
      </c>
      <c r="AB83" s="3">
        <f t="shared" si="11"/>
        <v>10802</v>
      </c>
      <c r="AC83" s="3">
        <f t="shared" si="12"/>
        <v>3</v>
      </c>
      <c r="AD83" s="3">
        <f t="shared" si="13"/>
        <v>1</v>
      </c>
      <c r="AE83" s="3">
        <f t="shared" si="14"/>
        <v>2</v>
      </c>
      <c r="AF83" s="3">
        <f t="shared" si="15"/>
        <v>4</v>
      </c>
      <c r="AG83" s="3">
        <f t="shared" si="16"/>
        <v>3</v>
      </c>
      <c r="AH83" s="3">
        <f t="shared" si="17"/>
        <v>3597</v>
      </c>
      <c r="AI83" s="3" t="str">
        <f t="shared" si="18"/>
        <v/>
      </c>
      <c r="AJ83" s="3">
        <f t="shared" si="19"/>
        <v>0</v>
      </c>
    </row>
    <row r="84">
      <c r="C84" s="6" t="s">
        <v>84</v>
      </c>
      <c r="D84" s="3">
        <f t="shared" si="1"/>
        <v>0</v>
      </c>
      <c r="E84" s="3" t="str">
        <f>IFERROR(__xludf.DUMMYFUNCTION("REGEXEXTRACT(C84,""[^ ]* [^ ]*"")"),"wavy maroon")</f>
        <v>wavy maroon</v>
      </c>
      <c r="F84" s="3" t="str">
        <f>IFERROR(__xludf.DUMMYFUNCTION("MID(REGEXEXTRACT(C84,""contain.*$""),9,300)"),"2 clear lime bags.")</f>
        <v>2 clear lime bags.</v>
      </c>
      <c r="G84" s="3" t="str">
        <f>IFERROR(__xludf.DUMMYFUNCTION("INDEX(SPLIT($F84,"",""),COLUMN()-6)"),"2 clear lime bags.")</f>
        <v>2 clear lime bags.</v>
      </c>
      <c r="H84" s="3" t="str">
        <f>IFERROR(__xludf.DUMMYFUNCTION("MID(INDEX(SPLIT($F84,"",""),COLUMN()-6),2,300)"),"#REF!")</f>
        <v>#REF!</v>
      </c>
      <c r="I84" s="3" t="str">
        <f>IFERROR(__xludf.DUMMYFUNCTION("MID(INDEX(SPLIT($F84,"",""),COLUMN()-6),2,300)"),"#REF!")</f>
        <v>#REF!</v>
      </c>
      <c r="J84" s="3" t="str">
        <f>IFERROR(__xludf.DUMMYFUNCTION("MID(INDEX(SPLIT($F84,"",""),COLUMN()-6),2,300)"),"#REF!")</f>
        <v>#REF!</v>
      </c>
      <c r="K84" s="3">
        <f>IFERROR(__xludf.DUMMYFUNCTION("INDEX(SPLIT(G84,"" ""),1)"),2.0)</f>
        <v>2</v>
      </c>
      <c r="L84" s="3" t="str">
        <f>IFERROR(__xludf.DUMMYFUNCTION("REGEXEXTRACT(G84,"" [^ ]* [^ ]* "")")," clear lime ")</f>
        <v> clear lime </v>
      </c>
      <c r="M84" s="3" t="str">
        <f>IFERROR(__xludf.DUMMYFUNCTION("INDEX(SPLIT(H84,"" ""),1)"),"#REF!")</f>
        <v>#REF!</v>
      </c>
      <c r="N84" s="3" t="str">
        <f>IFERROR(__xludf.DUMMYFUNCTION("MID(REGEXEXTRACT(H84,"" [^ ]* [^ ]*""),2,300)"),"#REF!")</f>
        <v>#REF!</v>
      </c>
      <c r="O84" s="3" t="str">
        <f>IFERROR(__xludf.DUMMYFUNCTION("INDEX(SPLIT(I84,"" ""),1)"),"#REF!")</f>
        <v>#REF!</v>
      </c>
      <c r="P84" s="3" t="str">
        <f>IFERROR(__xludf.DUMMYFUNCTION("MID(REGEXEXTRACT(I84,"" [^ ]* [^ ]*""),2,300)"),"#REF!")</f>
        <v>#REF!</v>
      </c>
      <c r="Q84" s="3" t="str">
        <f>IFERROR(__xludf.DUMMYFUNCTION("INDEX(SPLIT(J84,"" ""),1)"),"#REF!")</f>
        <v>#REF!</v>
      </c>
      <c r="R84" s="3" t="str">
        <f>IFERROR(__xludf.DUMMYFUNCTION("MID(REGEXEXTRACT(J84,"" [^ ]* [^ ]*""),2,300)"),"#REF!")</f>
        <v>#REF!</v>
      </c>
      <c r="S84" s="3">
        <f t="shared" si="2"/>
        <v>2</v>
      </c>
      <c r="T84" s="3" t="str">
        <f t="shared" si="3"/>
        <v>clear lime</v>
      </c>
      <c r="U84" s="3" t="str">
        <f t="shared" si="4"/>
        <v/>
      </c>
      <c r="V84" s="3" t="str">
        <f t="shared" si="5"/>
        <v/>
      </c>
      <c r="W84" s="3" t="str">
        <f t="shared" si="6"/>
        <v/>
      </c>
      <c r="X84" s="3" t="str">
        <f t="shared" si="7"/>
        <v/>
      </c>
      <c r="Y84" s="3" t="str">
        <f t="shared" si="8"/>
        <v/>
      </c>
      <c r="Z84" s="3" t="str">
        <f t="shared" si="9"/>
        <v/>
      </c>
      <c r="AA84" s="13">
        <f t="shared" si="10"/>
        <v>1545251</v>
      </c>
      <c r="AB84" s="3">
        <f t="shared" si="11"/>
        <v>1545250</v>
      </c>
      <c r="AC84" s="3">
        <f t="shared" si="12"/>
        <v>2</v>
      </c>
      <c r="AD84" s="3">
        <f t="shared" si="13"/>
        <v>772625</v>
      </c>
      <c r="AE84" s="3" t="str">
        <f t="shared" si="14"/>
        <v/>
      </c>
      <c r="AF84" s="3">
        <f t="shared" si="15"/>
        <v>0</v>
      </c>
      <c r="AG84" s="3" t="str">
        <f t="shared" si="16"/>
        <v/>
      </c>
      <c r="AH84" s="3">
        <f t="shared" si="17"/>
        <v>0</v>
      </c>
      <c r="AI84" s="3" t="str">
        <f t="shared" si="18"/>
        <v/>
      </c>
      <c r="AJ84" s="3">
        <f t="shared" si="19"/>
        <v>0</v>
      </c>
    </row>
    <row r="85">
      <c r="C85" s="6" t="s">
        <v>85</v>
      </c>
      <c r="D85" s="3">
        <f t="shared" si="1"/>
        <v>2</v>
      </c>
      <c r="E85" s="3" t="str">
        <f>IFERROR(__xludf.DUMMYFUNCTION("REGEXEXTRACT(C85,""[^ ]* [^ ]*"")"),"mirrored indigo")</f>
        <v>mirrored indigo</v>
      </c>
      <c r="F85" s="3" t="str">
        <f>IFERROR(__xludf.DUMMYFUNCTION("MID(REGEXEXTRACT(C85,""contain.*$""),9,300)"),"1 mirrored cyan bag, 1 posh plum bag, 2 plaid silver bags.")</f>
        <v>1 mirrored cyan bag, 1 posh plum bag, 2 plaid silver bags.</v>
      </c>
      <c r="G85" s="3" t="str">
        <f>IFERROR(__xludf.DUMMYFUNCTION("INDEX(SPLIT($F85,"",""),COLUMN()-6)"),"1 mirrored cyan bag")</f>
        <v>1 mirrored cyan bag</v>
      </c>
      <c r="H85" s="3" t="str">
        <f>IFERROR(__xludf.DUMMYFUNCTION("MID(INDEX(SPLIT($F85,"",""),COLUMN()-6),2,300)"),"1 posh plum bag")</f>
        <v>1 posh plum bag</v>
      </c>
      <c r="I85" s="3" t="str">
        <f>IFERROR(__xludf.DUMMYFUNCTION("MID(INDEX(SPLIT($F85,"",""),COLUMN()-6),2,300)"),"2 plaid silver bags.")</f>
        <v>2 plaid silver bags.</v>
      </c>
      <c r="J85" s="3" t="str">
        <f>IFERROR(__xludf.DUMMYFUNCTION("MID(INDEX(SPLIT($F85,"",""),COLUMN()-6),2,300)"),"#REF!")</f>
        <v>#REF!</v>
      </c>
      <c r="K85" s="3">
        <f>IFERROR(__xludf.DUMMYFUNCTION("INDEX(SPLIT(G85,"" ""),1)"),1.0)</f>
        <v>1</v>
      </c>
      <c r="L85" s="3" t="str">
        <f>IFERROR(__xludf.DUMMYFUNCTION("REGEXEXTRACT(G85,"" [^ ]* [^ ]* "")")," mirrored cyan ")</f>
        <v> mirrored cyan </v>
      </c>
      <c r="M85" s="3">
        <f>IFERROR(__xludf.DUMMYFUNCTION("INDEX(SPLIT(H85,"" ""),1)"),1.0)</f>
        <v>1</v>
      </c>
      <c r="N85" s="3" t="str">
        <f>IFERROR(__xludf.DUMMYFUNCTION("MID(REGEXEXTRACT(H85,"" [^ ]* [^ ]*""),2,300)"),"posh plum")</f>
        <v>posh plum</v>
      </c>
      <c r="O85" s="3">
        <f>IFERROR(__xludf.DUMMYFUNCTION("INDEX(SPLIT(I85,"" ""),1)"),2.0)</f>
        <v>2</v>
      </c>
      <c r="P85" s="3" t="str">
        <f>IFERROR(__xludf.DUMMYFUNCTION("MID(REGEXEXTRACT(I85,"" [^ ]* [^ ]*""),2,300)"),"plaid silver")</f>
        <v>plaid silver</v>
      </c>
      <c r="Q85" s="3" t="str">
        <f>IFERROR(__xludf.DUMMYFUNCTION("INDEX(SPLIT(J85,"" ""),1)"),"#REF!")</f>
        <v>#REF!</v>
      </c>
      <c r="R85" s="3" t="str">
        <f>IFERROR(__xludf.DUMMYFUNCTION("MID(REGEXEXTRACT(J85,"" [^ ]* [^ ]*""),2,300)"),"#REF!")</f>
        <v>#REF!</v>
      </c>
      <c r="S85" s="3">
        <f t="shared" si="2"/>
        <v>1</v>
      </c>
      <c r="T85" s="3" t="str">
        <f t="shared" si="3"/>
        <v>mirrored cyan</v>
      </c>
      <c r="U85" s="3">
        <f t="shared" si="4"/>
        <v>1</v>
      </c>
      <c r="V85" s="3" t="str">
        <f t="shared" si="5"/>
        <v>posh plum</v>
      </c>
      <c r="W85" s="3">
        <f t="shared" si="6"/>
        <v>2</v>
      </c>
      <c r="X85" s="3" t="str">
        <f t="shared" si="7"/>
        <v>plaid silver</v>
      </c>
      <c r="Y85" s="3" t="str">
        <f t="shared" si="8"/>
        <v/>
      </c>
      <c r="Z85" s="3" t="str">
        <f t="shared" si="9"/>
        <v/>
      </c>
      <c r="AA85" s="13">
        <f t="shared" si="10"/>
        <v>181271</v>
      </c>
      <c r="AB85" s="3">
        <f t="shared" si="11"/>
        <v>181270</v>
      </c>
      <c r="AC85" s="3">
        <f t="shared" si="12"/>
        <v>1</v>
      </c>
      <c r="AD85" s="3">
        <f t="shared" si="13"/>
        <v>1854</v>
      </c>
      <c r="AE85" s="3">
        <f t="shared" si="14"/>
        <v>1</v>
      </c>
      <c r="AF85" s="3">
        <f t="shared" si="15"/>
        <v>6182</v>
      </c>
      <c r="AG85" s="3">
        <f t="shared" si="16"/>
        <v>2</v>
      </c>
      <c r="AH85" s="3">
        <f t="shared" si="17"/>
        <v>86617</v>
      </c>
      <c r="AI85" s="3" t="str">
        <f t="shared" si="18"/>
        <v/>
      </c>
      <c r="AJ85" s="3">
        <f t="shared" si="19"/>
        <v>0</v>
      </c>
    </row>
    <row r="86">
      <c r="C86" s="6" t="s">
        <v>86</v>
      </c>
      <c r="D86" s="3">
        <f t="shared" si="1"/>
        <v>3</v>
      </c>
      <c r="E86" s="3" t="str">
        <f>IFERROR(__xludf.DUMMYFUNCTION("REGEXEXTRACT(C86,""[^ ]* [^ ]*"")"),"wavy indigo")</f>
        <v>wavy indigo</v>
      </c>
      <c r="F86" s="3" t="str">
        <f>IFERROR(__xludf.DUMMYFUNCTION("MID(REGEXEXTRACT(C86,""contain.*$""),9,300)"),"5 dark violet bags, 5 drab black bags, 4 dark orange bags, 5 muted green bags.")</f>
        <v>5 dark violet bags, 5 drab black bags, 4 dark orange bags, 5 muted green bags.</v>
      </c>
      <c r="G86" s="3" t="str">
        <f>IFERROR(__xludf.DUMMYFUNCTION("INDEX(SPLIT($F86,"",""),COLUMN()-6)"),"5 dark violet bags")</f>
        <v>5 dark violet bags</v>
      </c>
      <c r="H86" s="3" t="str">
        <f>IFERROR(__xludf.DUMMYFUNCTION("MID(INDEX(SPLIT($F86,"",""),COLUMN()-6),2,300)"),"5 drab black bags")</f>
        <v>5 drab black bags</v>
      </c>
      <c r="I86" s="3" t="str">
        <f>IFERROR(__xludf.DUMMYFUNCTION("MID(INDEX(SPLIT($F86,"",""),COLUMN()-6),2,300)"),"4 dark orange bags")</f>
        <v>4 dark orange bags</v>
      </c>
      <c r="J86" s="3" t="str">
        <f>IFERROR(__xludf.DUMMYFUNCTION("MID(INDEX(SPLIT($F86,"",""),COLUMN()-6),2,300)"),"5 muted green bags.")</f>
        <v>5 muted green bags.</v>
      </c>
      <c r="K86" s="3">
        <f>IFERROR(__xludf.DUMMYFUNCTION("INDEX(SPLIT(G86,"" ""),1)"),5.0)</f>
        <v>5</v>
      </c>
      <c r="L86" s="3" t="str">
        <f>IFERROR(__xludf.DUMMYFUNCTION("REGEXEXTRACT(G86,"" [^ ]* [^ ]* "")")," dark violet ")</f>
        <v> dark violet </v>
      </c>
      <c r="M86" s="3">
        <f>IFERROR(__xludf.DUMMYFUNCTION("INDEX(SPLIT(H86,"" ""),1)"),5.0)</f>
        <v>5</v>
      </c>
      <c r="N86" s="3" t="str">
        <f>IFERROR(__xludf.DUMMYFUNCTION("MID(REGEXEXTRACT(H86,"" [^ ]* [^ ]*""),2,300)"),"drab black")</f>
        <v>drab black</v>
      </c>
      <c r="O86" s="3">
        <f>IFERROR(__xludf.DUMMYFUNCTION("INDEX(SPLIT(I86,"" ""),1)"),4.0)</f>
        <v>4</v>
      </c>
      <c r="P86" s="3" t="str">
        <f>IFERROR(__xludf.DUMMYFUNCTION("MID(REGEXEXTRACT(I86,"" [^ ]* [^ ]*""),2,300)"),"dark orange")</f>
        <v>dark orange</v>
      </c>
      <c r="Q86" s="3">
        <f>IFERROR(__xludf.DUMMYFUNCTION("INDEX(SPLIT(J86,"" ""),1)"),5.0)</f>
        <v>5</v>
      </c>
      <c r="R86" s="3" t="str">
        <f>IFERROR(__xludf.DUMMYFUNCTION("MID(REGEXEXTRACT(J86,"" [^ ]* [^ ]*""),2,300)"),"muted green")</f>
        <v>muted green</v>
      </c>
      <c r="S86" s="3">
        <f t="shared" si="2"/>
        <v>5</v>
      </c>
      <c r="T86" s="3" t="str">
        <f t="shared" si="3"/>
        <v>dark violet</v>
      </c>
      <c r="U86" s="3">
        <f t="shared" si="4"/>
        <v>5</v>
      </c>
      <c r="V86" s="3" t="str">
        <f t="shared" si="5"/>
        <v>drab black</v>
      </c>
      <c r="W86" s="3">
        <f t="shared" si="6"/>
        <v>4</v>
      </c>
      <c r="X86" s="3" t="str">
        <f t="shared" si="7"/>
        <v>dark orange</v>
      </c>
      <c r="Y86" s="3">
        <f t="shared" si="8"/>
        <v>5</v>
      </c>
      <c r="Z86" s="3" t="str">
        <f t="shared" si="9"/>
        <v>muted green</v>
      </c>
      <c r="AA86" s="13">
        <f t="shared" si="10"/>
        <v>1650305497</v>
      </c>
      <c r="AB86" s="3">
        <f t="shared" si="11"/>
        <v>1650305496</v>
      </c>
      <c r="AC86" s="3">
        <f t="shared" si="12"/>
        <v>5</v>
      </c>
      <c r="AD86" s="3">
        <f t="shared" si="13"/>
        <v>508749</v>
      </c>
      <c r="AE86" s="3">
        <f t="shared" si="14"/>
        <v>5</v>
      </c>
      <c r="AF86" s="3">
        <f t="shared" si="15"/>
        <v>314592018</v>
      </c>
      <c r="AG86" s="3">
        <f t="shared" si="16"/>
        <v>4</v>
      </c>
      <c r="AH86" s="3">
        <f t="shared" si="17"/>
        <v>18683429</v>
      </c>
      <c r="AI86" s="3">
        <f t="shared" si="18"/>
        <v>5</v>
      </c>
      <c r="AJ86" s="3">
        <f t="shared" si="19"/>
        <v>13589</v>
      </c>
    </row>
    <row r="87">
      <c r="C87" s="6" t="s">
        <v>87</v>
      </c>
      <c r="D87" s="3">
        <f t="shared" si="1"/>
        <v>1</v>
      </c>
      <c r="E87" s="3" t="str">
        <f>IFERROR(__xludf.DUMMYFUNCTION("REGEXEXTRACT(C87,""[^ ]* [^ ]*"")"),"striped tomato")</f>
        <v>striped tomato</v>
      </c>
      <c r="F87" s="3" t="str">
        <f>IFERROR(__xludf.DUMMYFUNCTION("MID(REGEXEXTRACT(C87,""contain.*$""),9,300)"),"4 dark indigo bags, 5 light lavender bags.")</f>
        <v>4 dark indigo bags, 5 light lavender bags.</v>
      </c>
      <c r="G87" s="3" t="str">
        <f>IFERROR(__xludf.DUMMYFUNCTION("INDEX(SPLIT($F87,"",""),COLUMN()-6)"),"4 dark indigo bags")</f>
        <v>4 dark indigo bags</v>
      </c>
      <c r="H87" s="3" t="str">
        <f>IFERROR(__xludf.DUMMYFUNCTION("MID(INDEX(SPLIT($F87,"",""),COLUMN()-6),2,300)"),"5 light lavender bags.")</f>
        <v>5 light lavender bags.</v>
      </c>
      <c r="I87" s="3" t="str">
        <f>IFERROR(__xludf.DUMMYFUNCTION("MID(INDEX(SPLIT($F87,"",""),COLUMN()-6),2,300)"),"#REF!")</f>
        <v>#REF!</v>
      </c>
      <c r="J87" s="3" t="str">
        <f>IFERROR(__xludf.DUMMYFUNCTION("MID(INDEX(SPLIT($F87,"",""),COLUMN()-6),2,300)"),"#REF!")</f>
        <v>#REF!</v>
      </c>
      <c r="K87" s="3">
        <f>IFERROR(__xludf.DUMMYFUNCTION("INDEX(SPLIT(G87,"" ""),1)"),4.0)</f>
        <v>4</v>
      </c>
      <c r="L87" s="3" t="str">
        <f>IFERROR(__xludf.DUMMYFUNCTION("REGEXEXTRACT(G87,"" [^ ]* [^ ]* "")")," dark indigo ")</f>
        <v> dark indigo </v>
      </c>
      <c r="M87" s="3">
        <f>IFERROR(__xludf.DUMMYFUNCTION("INDEX(SPLIT(H87,"" ""),1)"),5.0)</f>
        <v>5</v>
      </c>
      <c r="N87" s="3" t="str">
        <f>IFERROR(__xludf.DUMMYFUNCTION("MID(REGEXEXTRACT(H87,"" [^ ]* [^ ]*""),2,300)"),"light lavender")</f>
        <v>light lavender</v>
      </c>
      <c r="O87" s="3" t="str">
        <f>IFERROR(__xludf.DUMMYFUNCTION("INDEX(SPLIT(I87,"" ""),1)"),"#REF!")</f>
        <v>#REF!</v>
      </c>
      <c r="P87" s="3" t="str">
        <f>IFERROR(__xludf.DUMMYFUNCTION("MID(REGEXEXTRACT(I87,"" [^ ]* [^ ]*""),2,300)"),"#REF!")</f>
        <v>#REF!</v>
      </c>
      <c r="Q87" s="3" t="str">
        <f>IFERROR(__xludf.DUMMYFUNCTION("INDEX(SPLIT(J87,"" ""),1)"),"#REF!")</f>
        <v>#REF!</v>
      </c>
      <c r="R87" s="3" t="str">
        <f>IFERROR(__xludf.DUMMYFUNCTION("MID(REGEXEXTRACT(J87,"" [^ ]* [^ ]*""),2,300)"),"#REF!")</f>
        <v>#REF!</v>
      </c>
      <c r="S87" s="3">
        <f t="shared" si="2"/>
        <v>4</v>
      </c>
      <c r="T87" s="3" t="str">
        <f t="shared" si="3"/>
        <v>dark indigo</v>
      </c>
      <c r="U87" s="3">
        <f t="shared" si="4"/>
        <v>5</v>
      </c>
      <c r="V87" s="3" t="str">
        <f t="shared" si="5"/>
        <v>light lavender</v>
      </c>
      <c r="W87" s="3" t="str">
        <f t="shared" si="6"/>
        <v/>
      </c>
      <c r="X87" s="3" t="str">
        <f t="shared" si="7"/>
        <v/>
      </c>
      <c r="Y87" s="3" t="str">
        <f t="shared" si="8"/>
        <v/>
      </c>
      <c r="Z87" s="3" t="str">
        <f t="shared" si="9"/>
        <v/>
      </c>
      <c r="AA87" s="13">
        <f t="shared" si="10"/>
        <v>3047218660</v>
      </c>
      <c r="AB87" s="3">
        <f t="shared" si="11"/>
        <v>3047218659</v>
      </c>
      <c r="AC87" s="3">
        <f t="shared" si="12"/>
        <v>4</v>
      </c>
      <c r="AD87" s="3">
        <f t="shared" si="13"/>
        <v>756963601</v>
      </c>
      <c r="AE87" s="3">
        <f t="shared" si="14"/>
        <v>5</v>
      </c>
      <c r="AF87" s="3">
        <f t="shared" si="15"/>
        <v>3872851</v>
      </c>
      <c r="AG87" s="3" t="str">
        <f t="shared" si="16"/>
        <v/>
      </c>
      <c r="AH87" s="3">
        <f t="shared" si="17"/>
        <v>0</v>
      </c>
      <c r="AI87" s="3" t="str">
        <f t="shared" si="18"/>
        <v/>
      </c>
      <c r="AJ87" s="3">
        <f t="shared" si="19"/>
        <v>0</v>
      </c>
    </row>
    <row r="88">
      <c r="C88" s="6" t="s">
        <v>88</v>
      </c>
      <c r="D88" s="3">
        <f t="shared" si="1"/>
        <v>0</v>
      </c>
      <c r="E88" s="3" t="str">
        <f>IFERROR(__xludf.DUMMYFUNCTION("REGEXEXTRACT(C88,""[^ ]* [^ ]*"")"),"pale lime")</f>
        <v>pale lime</v>
      </c>
      <c r="F88" s="3" t="str">
        <f>IFERROR(__xludf.DUMMYFUNCTION("MID(REGEXEXTRACT(C88,""contain.*$""),9,300)"),"2 bright orange bags.")</f>
        <v>2 bright orange bags.</v>
      </c>
      <c r="G88" s="3" t="str">
        <f>IFERROR(__xludf.DUMMYFUNCTION("INDEX(SPLIT($F88,"",""),COLUMN()-6)"),"2 bright orange bags.")</f>
        <v>2 bright orange bags.</v>
      </c>
      <c r="H88" s="3" t="str">
        <f>IFERROR(__xludf.DUMMYFUNCTION("MID(INDEX(SPLIT($F88,"",""),COLUMN()-6),2,300)"),"#REF!")</f>
        <v>#REF!</v>
      </c>
      <c r="I88" s="3" t="str">
        <f>IFERROR(__xludf.DUMMYFUNCTION("MID(INDEX(SPLIT($F88,"",""),COLUMN()-6),2,300)"),"#REF!")</f>
        <v>#REF!</v>
      </c>
      <c r="J88" s="3" t="str">
        <f>IFERROR(__xludf.DUMMYFUNCTION("MID(INDEX(SPLIT($F88,"",""),COLUMN()-6),2,300)"),"#REF!")</f>
        <v>#REF!</v>
      </c>
      <c r="K88" s="3">
        <f>IFERROR(__xludf.DUMMYFUNCTION("INDEX(SPLIT(G88,"" ""),1)"),2.0)</f>
        <v>2</v>
      </c>
      <c r="L88" s="3" t="str">
        <f>IFERROR(__xludf.DUMMYFUNCTION("REGEXEXTRACT(G88,"" [^ ]* [^ ]* "")")," bright orange ")</f>
        <v> bright orange </v>
      </c>
      <c r="M88" s="3" t="str">
        <f>IFERROR(__xludf.DUMMYFUNCTION("INDEX(SPLIT(H88,"" ""),1)"),"#REF!")</f>
        <v>#REF!</v>
      </c>
      <c r="N88" s="3" t="str">
        <f>IFERROR(__xludf.DUMMYFUNCTION("MID(REGEXEXTRACT(H88,"" [^ ]* [^ ]*""),2,300)"),"#REF!")</f>
        <v>#REF!</v>
      </c>
      <c r="O88" s="3" t="str">
        <f>IFERROR(__xludf.DUMMYFUNCTION("INDEX(SPLIT(I88,"" ""),1)"),"#REF!")</f>
        <v>#REF!</v>
      </c>
      <c r="P88" s="3" t="str">
        <f>IFERROR(__xludf.DUMMYFUNCTION("MID(REGEXEXTRACT(I88,"" [^ ]* [^ ]*""),2,300)"),"#REF!")</f>
        <v>#REF!</v>
      </c>
      <c r="Q88" s="3" t="str">
        <f>IFERROR(__xludf.DUMMYFUNCTION("INDEX(SPLIT(J88,"" ""),1)"),"#REF!")</f>
        <v>#REF!</v>
      </c>
      <c r="R88" s="3" t="str">
        <f>IFERROR(__xludf.DUMMYFUNCTION("MID(REGEXEXTRACT(J88,"" [^ ]* [^ ]*""),2,300)"),"#REF!")</f>
        <v>#REF!</v>
      </c>
      <c r="S88" s="3">
        <f t="shared" si="2"/>
        <v>2</v>
      </c>
      <c r="T88" s="3" t="str">
        <f t="shared" si="3"/>
        <v>bright orange</v>
      </c>
      <c r="U88" s="3" t="str">
        <f t="shared" si="4"/>
        <v/>
      </c>
      <c r="V88" s="3" t="str">
        <f t="shared" si="5"/>
        <v/>
      </c>
      <c r="W88" s="3" t="str">
        <f t="shared" si="6"/>
        <v/>
      </c>
      <c r="X88" s="3" t="str">
        <f t="shared" si="7"/>
        <v/>
      </c>
      <c r="Y88" s="3" t="str">
        <f t="shared" si="8"/>
        <v/>
      </c>
      <c r="Z88" s="3" t="str">
        <f t="shared" si="9"/>
        <v/>
      </c>
      <c r="AA88" s="13">
        <f t="shared" si="10"/>
        <v>5333</v>
      </c>
      <c r="AB88" s="3">
        <f t="shared" si="11"/>
        <v>5332</v>
      </c>
      <c r="AC88" s="3">
        <f t="shared" si="12"/>
        <v>2</v>
      </c>
      <c r="AD88" s="3">
        <f t="shared" si="13"/>
        <v>2666</v>
      </c>
      <c r="AE88" s="3" t="str">
        <f t="shared" si="14"/>
        <v/>
      </c>
      <c r="AF88" s="3">
        <f t="shared" si="15"/>
        <v>0</v>
      </c>
      <c r="AG88" s="3" t="str">
        <f t="shared" si="16"/>
        <v/>
      </c>
      <c r="AH88" s="3">
        <f t="shared" si="17"/>
        <v>0</v>
      </c>
      <c r="AI88" s="3" t="str">
        <f t="shared" si="18"/>
        <v/>
      </c>
      <c r="AJ88" s="3">
        <f t="shared" si="19"/>
        <v>0</v>
      </c>
    </row>
    <row r="89">
      <c r="C89" s="6" t="s">
        <v>89</v>
      </c>
      <c r="D89" s="3">
        <f t="shared" si="1"/>
        <v>2</v>
      </c>
      <c r="E89" s="3" t="str">
        <f>IFERROR(__xludf.DUMMYFUNCTION("REGEXEXTRACT(C89,""[^ ]* [^ ]*"")"),"muted maroon")</f>
        <v>muted maroon</v>
      </c>
      <c r="F89" s="3" t="str">
        <f>IFERROR(__xludf.DUMMYFUNCTION("MID(REGEXEXTRACT(C89,""contain.*$""),9,300)"),"2 bright violet bags, 1 shiny coral bag, 1 posh gray bag.")</f>
        <v>2 bright violet bags, 1 shiny coral bag, 1 posh gray bag.</v>
      </c>
      <c r="G89" s="3" t="str">
        <f>IFERROR(__xludf.DUMMYFUNCTION("INDEX(SPLIT($F89,"",""),COLUMN()-6)"),"2 bright violet bags")</f>
        <v>2 bright violet bags</v>
      </c>
      <c r="H89" s="3" t="str">
        <f>IFERROR(__xludf.DUMMYFUNCTION("MID(INDEX(SPLIT($F89,"",""),COLUMN()-6),2,300)"),"1 shiny coral bag")</f>
        <v>1 shiny coral bag</v>
      </c>
      <c r="I89" s="3" t="str">
        <f>IFERROR(__xludf.DUMMYFUNCTION("MID(INDEX(SPLIT($F89,"",""),COLUMN()-6),2,300)"),"1 posh gray bag.")</f>
        <v>1 posh gray bag.</v>
      </c>
      <c r="J89" s="3" t="str">
        <f>IFERROR(__xludf.DUMMYFUNCTION("MID(INDEX(SPLIT($F89,"",""),COLUMN()-6),2,300)"),"#REF!")</f>
        <v>#REF!</v>
      </c>
      <c r="K89" s="3">
        <f>IFERROR(__xludf.DUMMYFUNCTION("INDEX(SPLIT(G89,"" ""),1)"),2.0)</f>
        <v>2</v>
      </c>
      <c r="L89" s="3" t="str">
        <f>IFERROR(__xludf.DUMMYFUNCTION("REGEXEXTRACT(G89,"" [^ ]* [^ ]* "")")," bright violet ")</f>
        <v> bright violet </v>
      </c>
      <c r="M89" s="3">
        <f>IFERROR(__xludf.DUMMYFUNCTION("INDEX(SPLIT(H89,"" ""),1)"),1.0)</f>
        <v>1</v>
      </c>
      <c r="N89" s="3" t="str">
        <f>IFERROR(__xludf.DUMMYFUNCTION("MID(REGEXEXTRACT(H89,"" [^ ]* [^ ]*""),2,300)"),"shiny coral")</f>
        <v>shiny coral</v>
      </c>
      <c r="O89" s="3">
        <f>IFERROR(__xludf.DUMMYFUNCTION("INDEX(SPLIT(I89,"" ""),1)"),1.0)</f>
        <v>1</v>
      </c>
      <c r="P89" s="3" t="str">
        <f>IFERROR(__xludf.DUMMYFUNCTION("MID(REGEXEXTRACT(I89,"" [^ ]* [^ ]*""),2,300)"),"posh gray")</f>
        <v>posh gray</v>
      </c>
      <c r="Q89" s="3" t="str">
        <f>IFERROR(__xludf.DUMMYFUNCTION("INDEX(SPLIT(J89,"" ""),1)"),"#REF!")</f>
        <v>#REF!</v>
      </c>
      <c r="R89" s="3" t="str">
        <f>IFERROR(__xludf.DUMMYFUNCTION("MID(REGEXEXTRACT(J89,"" [^ ]* [^ ]*""),2,300)"),"#REF!")</f>
        <v>#REF!</v>
      </c>
      <c r="S89" s="3">
        <f t="shared" si="2"/>
        <v>2</v>
      </c>
      <c r="T89" s="3" t="str">
        <f t="shared" si="3"/>
        <v>bright violet</v>
      </c>
      <c r="U89" s="3">
        <f t="shared" si="4"/>
        <v>1</v>
      </c>
      <c r="V89" s="3" t="str">
        <f t="shared" si="5"/>
        <v>shiny coral</v>
      </c>
      <c r="W89" s="3">
        <f t="shared" si="6"/>
        <v>1</v>
      </c>
      <c r="X89" s="3" t="str">
        <f t="shared" si="7"/>
        <v>posh gray</v>
      </c>
      <c r="Y89" s="3" t="str">
        <f t="shared" si="8"/>
        <v/>
      </c>
      <c r="Z89" s="3" t="str">
        <f t="shared" si="9"/>
        <v/>
      </c>
      <c r="AA89" s="13">
        <f t="shared" si="10"/>
        <v>25481</v>
      </c>
      <c r="AB89" s="3">
        <f t="shared" si="11"/>
        <v>25480</v>
      </c>
      <c r="AC89" s="3">
        <f t="shared" si="12"/>
        <v>2</v>
      </c>
      <c r="AD89" s="3">
        <f t="shared" si="13"/>
        <v>1</v>
      </c>
      <c r="AE89" s="3">
        <f t="shared" si="14"/>
        <v>1</v>
      </c>
      <c r="AF89" s="3">
        <f t="shared" si="15"/>
        <v>1</v>
      </c>
      <c r="AG89" s="3">
        <f t="shared" si="16"/>
        <v>1</v>
      </c>
      <c r="AH89" s="3">
        <f t="shared" si="17"/>
        <v>25477</v>
      </c>
      <c r="AI89" s="3" t="str">
        <f t="shared" si="18"/>
        <v/>
      </c>
      <c r="AJ89" s="3">
        <f t="shared" si="19"/>
        <v>0</v>
      </c>
    </row>
    <row r="90">
      <c r="C90" s="6" t="s">
        <v>90</v>
      </c>
      <c r="D90" s="3">
        <f t="shared" si="1"/>
        <v>0</v>
      </c>
      <c r="E90" s="3" t="str">
        <f>IFERROR(__xludf.DUMMYFUNCTION("REGEXEXTRACT(C90,""[^ ]* [^ ]*"")"),"drab lavender")</f>
        <v>drab lavender</v>
      </c>
      <c r="F90" s="3" t="str">
        <f>IFERROR(__xludf.DUMMYFUNCTION("MID(REGEXEXTRACT(C90,""contain.*$""),9,300)"),"1 muted magenta bag.")</f>
        <v>1 muted magenta bag.</v>
      </c>
      <c r="G90" s="3" t="str">
        <f>IFERROR(__xludf.DUMMYFUNCTION("INDEX(SPLIT($F90,"",""),COLUMN()-6)"),"1 muted magenta bag.")</f>
        <v>1 muted magenta bag.</v>
      </c>
      <c r="H90" s="3" t="str">
        <f>IFERROR(__xludf.DUMMYFUNCTION("MID(INDEX(SPLIT($F90,"",""),COLUMN()-6),2,300)"),"#REF!")</f>
        <v>#REF!</v>
      </c>
      <c r="I90" s="3" t="str">
        <f>IFERROR(__xludf.DUMMYFUNCTION("MID(INDEX(SPLIT($F90,"",""),COLUMN()-6),2,300)"),"#REF!")</f>
        <v>#REF!</v>
      </c>
      <c r="J90" s="3" t="str">
        <f>IFERROR(__xludf.DUMMYFUNCTION("MID(INDEX(SPLIT($F90,"",""),COLUMN()-6),2,300)"),"#REF!")</f>
        <v>#REF!</v>
      </c>
      <c r="K90" s="3">
        <f>IFERROR(__xludf.DUMMYFUNCTION("INDEX(SPLIT(G90,"" ""),1)"),1.0)</f>
        <v>1</v>
      </c>
      <c r="L90" s="3" t="str">
        <f>IFERROR(__xludf.DUMMYFUNCTION("REGEXEXTRACT(G90,"" [^ ]* [^ ]* "")")," muted magenta ")</f>
        <v> muted magenta </v>
      </c>
      <c r="M90" s="3" t="str">
        <f>IFERROR(__xludf.DUMMYFUNCTION("INDEX(SPLIT(H90,"" ""),1)"),"#REF!")</f>
        <v>#REF!</v>
      </c>
      <c r="N90" s="3" t="str">
        <f>IFERROR(__xludf.DUMMYFUNCTION("MID(REGEXEXTRACT(H90,"" [^ ]* [^ ]*""),2,300)"),"#REF!")</f>
        <v>#REF!</v>
      </c>
      <c r="O90" s="3" t="str">
        <f>IFERROR(__xludf.DUMMYFUNCTION("INDEX(SPLIT(I90,"" ""),1)"),"#REF!")</f>
        <v>#REF!</v>
      </c>
      <c r="P90" s="3" t="str">
        <f>IFERROR(__xludf.DUMMYFUNCTION("MID(REGEXEXTRACT(I90,"" [^ ]* [^ ]*""),2,300)"),"#REF!")</f>
        <v>#REF!</v>
      </c>
      <c r="Q90" s="3" t="str">
        <f>IFERROR(__xludf.DUMMYFUNCTION("INDEX(SPLIT(J90,"" ""),1)"),"#REF!")</f>
        <v>#REF!</v>
      </c>
      <c r="R90" s="3" t="str">
        <f>IFERROR(__xludf.DUMMYFUNCTION("MID(REGEXEXTRACT(J90,"" [^ ]* [^ ]*""),2,300)"),"#REF!")</f>
        <v>#REF!</v>
      </c>
      <c r="S90" s="3">
        <f t="shared" si="2"/>
        <v>1</v>
      </c>
      <c r="T90" s="3" t="str">
        <f t="shared" si="3"/>
        <v>muted magenta</v>
      </c>
      <c r="U90" s="3" t="str">
        <f t="shared" si="4"/>
        <v/>
      </c>
      <c r="V90" s="3" t="str">
        <f t="shared" si="5"/>
        <v/>
      </c>
      <c r="W90" s="3" t="str">
        <f t="shared" si="6"/>
        <v/>
      </c>
      <c r="X90" s="3" t="str">
        <f t="shared" si="7"/>
        <v/>
      </c>
      <c r="Y90" s="3" t="str">
        <f t="shared" si="8"/>
        <v/>
      </c>
      <c r="Z90" s="3" t="str">
        <f t="shared" si="9"/>
        <v/>
      </c>
      <c r="AA90" s="13">
        <f t="shared" si="10"/>
        <v>762012</v>
      </c>
      <c r="AB90" s="3">
        <f t="shared" si="11"/>
        <v>762011</v>
      </c>
      <c r="AC90" s="3">
        <f t="shared" si="12"/>
        <v>1</v>
      </c>
      <c r="AD90" s="3">
        <f t="shared" si="13"/>
        <v>762011</v>
      </c>
      <c r="AE90" s="3" t="str">
        <f t="shared" si="14"/>
        <v/>
      </c>
      <c r="AF90" s="3">
        <f t="shared" si="15"/>
        <v>0</v>
      </c>
      <c r="AG90" s="3" t="str">
        <f t="shared" si="16"/>
        <v/>
      </c>
      <c r="AH90" s="3">
        <f t="shared" si="17"/>
        <v>0</v>
      </c>
      <c r="AI90" s="3" t="str">
        <f t="shared" si="18"/>
        <v/>
      </c>
      <c r="AJ90" s="3">
        <f t="shared" si="19"/>
        <v>0</v>
      </c>
    </row>
    <row r="91">
      <c r="C91" s="6" t="s">
        <v>91</v>
      </c>
      <c r="D91" s="3">
        <f t="shared" si="1"/>
        <v>0</v>
      </c>
      <c r="E91" s="3" t="str">
        <f>IFERROR(__xludf.DUMMYFUNCTION("REGEXEXTRACT(C91,""[^ ]* [^ ]*"")"),"bright fuchsia")</f>
        <v>bright fuchsia</v>
      </c>
      <c r="F91" s="3" t="str">
        <f>IFERROR(__xludf.DUMMYFUNCTION("MID(REGEXEXTRACT(C91,""contain.*$""),9,300)"),"1 striped lime bag.")</f>
        <v>1 striped lime bag.</v>
      </c>
      <c r="G91" s="3" t="str">
        <f>IFERROR(__xludf.DUMMYFUNCTION("INDEX(SPLIT($F91,"",""),COLUMN()-6)"),"1 striped lime bag.")</f>
        <v>1 striped lime bag.</v>
      </c>
      <c r="H91" s="3" t="str">
        <f>IFERROR(__xludf.DUMMYFUNCTION("MID(INDEX(SPLIT($F91,"",""),COLUMN()-6),2,300)"),"#REF!")</f>
        <v>#REF!</v>
      </c>
      <c r="I91" s="3" t="str">
        <f>IFERROR(__xludf.DUMMYFUNCTION("MID(INDEX(SPLIT($F91,"",""),COLUMN()-6),2,300)"),"#REF!")</f>
        <v>#REF!</v>
      </c>
      <c r="J91" s="3" t="str">
        <f>IFERROR(__xludf.DUMMYFUNCTION("MID(INDEX(SPLIT($F91,"",""),COLUMN()-6),2,300)"),"#REF!")</f>
        <v>#REF!</v>
      </c>
      <c r="K91" s="3">
        <f>IFERROR(__xludf.DUMMYFUNCTION("INDEX(SPLIT(G91,"" ""),1)"),1.0)</f>
        <v>1</v>
      </c>
      <c r="L91" s="3" t="str">
        <f>IFERROR(__xludf.DUMMYFUNCTION("REGEXEXTRACT(G91,"" [^ ]* [^ ]* "")")," striped lime ")</f>
        <v> striped lime </v>
      </c>
      <c r="M91" s="3" t="str">
        <f>IFERROR(__xludf.DUMMYFUNCTION("INDEX(SPLIT(H91,"" ""),1)"),"#REF!")</f>
        <v>#REF!</v>
      </c>
      <c r="N91" s="3" t="str">
        <f>IFERROR(__xludf.DUMMYFUNCTION("MID(REGEXEXTRACT(H91,"" [^ ]* [^ ]*""),2,300)"),"#REF!")</f>
        <v>#REF!</v>
      </c>
      <c r="O91" s="3" t="str">
        <f>IFERROR(__xludf.DUMMYFUNCTION("INDEX(SPLIT(I91,"" ""),1)"),"#REF!")</f>
        <v>#REF!</v>
      </c>
      <c r="P91" s="3" t="str">
        <f>IFERROR(__xludf.DUMMYFUNCTION("MID(REGEXEXTRACT(I91,"" [^ ]* [^ ]*""),2,300)"),"#REF!")</f>
        <v>#REF!</v>
      </c>
      <c r="Q91" s="3" t="str">
        <f>IFERROR(__xludf.DUMMYFUNCTION("INDEX(SPLIT(J91,"" ""),1)"),"#REF!")</f>
        <v>#REF!</v>
      </c>
      <c r="R91" s="3" t="str">
        <f>IFERROR(__xludf.DUMMYFUNCTION("MID(REGEXEXTRACT(J91,"" [^ ]* [^ ]*""),2,300)"),"#REF!")</f>
        <v>#REF!</v>
      </c>
      <c r="S91" s="3">
        <f t="shared" si="2"/>
        <v>1</v>
      </c>
      <c r="T91" s="3" t="str">
        <f t="shared" si="3"/>
        <v>striped lime</v>
      </c>
      <c r="U91" s="3" t="str">
        <f t="shared" si="4"/>
        <v/>
      </c>
      <c r="V91" s="3" t="str">
        <f t="shared" si="5"/>
        <v/>
      </c>
      <c r="W91" s="3" t="str">
        <f t="shared" si="6"/>
        <v/>
      </c>
      <c r="X91" s="3" t="str">
        <f t="shared" si="7"/>
        <v/>
      </c>
      <c r="Y91" s="3" t="str">
        <f t="shared" si="8"/>
        <v/>
      </c>
      <c r="Z91" s="3" t="str">
        <f t="shared" si="9"/>
        <v/>
      </c>
      <c r="AA91" s="13">
        <f t="shared" si="10"/>
        <v>12131</v>
      </c>
      <c r="AB91" s="3">
        <f t="shared" si="11"/>
        <v>12130</v>
      </c>
      <c r="AC91" s="3">
        <f t="shared" si="12"/>
        <v>1</v>
      </c>
      <c r="AD91" s="3">
        <f t="shared" si="13"/>
        <v>12130</v>
      </c>
      <c r="AE91" s="3" t="str">
        <f t="shared" si="14"/>
        <v/>
      </c>
      <c r="AF91" s="3">
        <f t="shared" si="15"/>
        <v>0</v>
      </c>
      <c r="AG91" s="3" t="str">
        <f t="shared" si="16"/>
        <v/>
      </c>
      <c r="AH91" s="3">
        <f t="shared" si="17"/>
        <v>0</v>
      </c>
      <c r="AI91" s="3" t="str">
        <f t="shared" si="18"/>
        <v/>
      </c>
      <c r="AJ91" s="3">
        <f t="shared" si="19"/>
        <v>0</v>
      </c>
    </row>
    <row r="92">
      <c r="C92" s="6" t="s">
        <v>92</v>
      </c>
      <c r="D92" s="3">
        <f t="shared" si="1"/>
        <v>3</v>
      </c>
      <c r="E92" s="3" t="str">
        <f>IFERROR(__xludf.DUMMYFUNCTION("REGEXEXTRACT(C92,""[^ ]* [^ ]*"")"),"wavy beige")</f>
        <v>wavy beige</v>
      </c>
      <c r="F92" s="3" t="str">
        <f>IFERROR(__xludf.DUMMYFUNCTION("MID(REGEXEXTRACT(C92,""contain.*$""),9,300)"),"2 bright brown bags, 1 pale black bag, 1 drab tomato bag, 4 vibrant blue bags.")</f>
        <v>2 bright brown bags, 1 pale black bag, 1 drab tomato bag, 4 vibrant blue bags.</v>
      </c>
      <c r="G92" s="3" t="str">
        <f>IFERROR(__xludf.DUMMYFUNCTION("INDEX(SPLIT($F92,"",""),COLUMN()-6)"),"2 bright brown bags")</f>
        <v>2 bright brown bags</v>
      </c>
      <c r="H92" s="3" t="str">
        <f>IFERROR(__xludf.DUMMYFUNCTION("MID(INDEX(SPLIT($F92,"",""),COLUMN()-6),2,300)"),"1 pale black bag")</f>
        <v>1 pale black bag</v>
      </c>
      <c r="I92" s="3" t="str">
        <f>IFERROR(__xludf.DUMMYFUNCTION("MID(INDEX(SPLIT($F92,"",""),COLUMN()-6),2,300)"),"1 drab tomato bag")</f>
        <v>1 drab tomato bag</v>
      </c>
      <c r="J92" s="3" t="str">
        <f>IFERROR(__xludf.DUMMYFUNCTION("MID(INDEX(SPLIT($F92,"",""),COLUMN()-6),2,300)"),"4 vibrant blue bags.")</f>
        <v>4 vibrant blue bags.</v>
      </c>
      <c r="K92" s="3">
        <f>IFERROR(__xludf.DUMMYFUNCTION("INDEX(SPLIT(G92,"" ""),1)"),2.0)</f>
        <v>2</v>
      </c>
      <c r="L92" s="3" t="str">
        <f>IFERROR(__xludf.DUMMYFUNCTION("REGEXEXTRACT(G92,"" [^ ]* [^ ]* "")")," bright brown ")</f>
        <v> bright brown </v>
      </c>
      <c r="M92" s="3">
        <f>IFERROR(__xludf.DUMMYFUNCTION("INDEX(SPLIT(H92,"" ""),1)"),1.0)</f>
        <v>1</v>
      </c>
      <c r="N92" s="3" t="str">
        <f>IFERROR(__xludf.DUMMYFUNCTION("MID(REGEXEXTRACT(H92,"" [^ ]* [^ ]*""),2,300)"),"pale black")</f>
        <v>pale black</v>
      </c>
      <c r="O92" s="3">
        <f>IFERROR(__xludf.DUMMYFUNCTION("INDEX(SPLIT(I92,"" ""),1)"),1.0)</f>
        <v>1</v>
      </c>
      <c r="P92" s="3" t="str">
        <f>IFERROR(__xludf.DUMMYFUNCTION("MID(REGEXEXTRACT(I92,"" [^ ]* [^ ]*""),2,300)"),"drab tomato")</f>
        <v>drab tomato</v>
      </c>
      <c r="Q92" s="3">
        <f>IFERROR(__xludf.DUMMYFUNCTION("INDEX(SPLIT(J92,"" ""),1)"),4.0)</f>
        <v>4</v>
      </c>
      <c r="R92" s="3" t="str">
        <f>IFERROR(__xludf.DUMMYFUNCTION("MID(REGEXEXTRACT(J92,"" [^ ]* [^ ]*""),2,300)"),"vibrant blue")</f>
        <v>vibrant blue</v>
      </c>
      <c r="S92" s="3">
        <f t="shared" si="2"/>
        <v>2</v>
      </c>
      <c r="T92" s="3" t="str">
        <f t="shared" si="3"/>
        <v>bright brown</v>
      </c>
      <c r="U92" s="3">
        <f t="shared" si="4"/>
        <v>1</v>
      </c>
      <c r="V92" s="3" t="str">
        <f t="shared" si="5"/>
        <v>pale black</v>
      </c>
      <c r="W92" s="3">
        <f t="shared" si="6"/>
        <v>1</v>
      </c>
      <c r="X92" s="3" t="str">
        <f t="shared" si="7"/>
        <v>drab tomato</v>
      </c>
      <c r="Y92" s="3">
        <f t="shared" si="8"/>
        <v>4</v>
      </c>
      <c r="Z92" s="3" t="str">
        <f t="shared" si="9"/>
        <v>vibrant blue</v>
      </c>
      <c r="AA92" s="13">
        <f t="shared" si="10"/>
        <v>44878</v>
      </c>
      <c r="AB92" s="3">
        <f t="shared" si="11"/>
        <v>44877</v>
      </c>
      <c r="AC92" s="3">
        <f t="shared" si="12"/>
        <v>2</v>
      </c>
      <c r="AD92" s="3">
        <f t="shared" si="13"/>
        <v>1</v>
      </c>
      <c r="AE92" s="3">
        <f t="shared" si="14"/>
        <v>1</v>
      </c>
      <c r="AF92" s="3">
        <f t="shared" si="15"/>
        <v>8</v>
      </c>
      <c r="AG92" s="3">
        <f t="shared" si="16"/>
        <v>1</v>
      </c>
      <c r="AH92" s="3">
        <f t="shared" si="17"/>
        <v>38687</v>
      </c>
      <c r="AI92" s="3">
        <f t="shared" si="18"/>
        <v>4</v>
      </c>
      <c r="AJ92" s="3">
        <f t="shared" si="19"/>
        <v>1545</v>
      </c>
    </row>
    <row r="93">
      <c r="C93" s="6" t="s">
        <v>93</v>
      </c>
      <c r="D93" s="3">
        <f t="shared" si="1"/>
        <v>3</v>
      </c>
      <c r="E93" s="3" t="str">
        <f>IFERROR(__xludf.DUMMYFUNCTION("REGEXEXTRACT(C93,""[^ ]* [^ ]*"")"),"shiny olive")</f>
        <v>shiny olive</v>
      </c>
      <c r="F93" s="3" t="str">
        <f>IFERROR(__xludf.DUMMYFUNCTION("MID(REGEXEXTRACT(C93,""contain.*$""),9,300)"),"2 dim teal bags, 1 mirrored cyan bag, 4 dim yellow bags, 4 muted aqua bags.")</f>
        <v>2 dim teal bags, 1 mirrored cyan bag, 4 dim yellow bags, 4 muted aqua bags.</v>
      </c>
      <c r="G93" s="3" t="str">
        <f>IFERROR(__xludf.DUMMYFUNCTION("INDEX(SPLIT($F93,"",""),COLUMN()-6)"),"2 dim teal bags")</f>
        <v>2 dim teal bags</v>
      </c>
      <c r="H93" s="3" t="str">
        <f>IFERROR(__xludf.DUMMYFUNCTION("MID(INDEX(SPLIT($F93,"",""),COLUMN()-6),2,300)"),"1 mirrored cyan bag")</f>
        <v>1 mirrored cyan bag</v>
      </c>
      <c r="I93" s="3" t="str">
        <f>IFERROR(__xludf.DUMMYFUNCTION("MID(INDEX(SPLIT($F93,"",""),COLUMN()-6),2,300)"),"4 dim yellow bags")</f>
        <v>4 dim yellow bags</v>
      </c>
      <c r="J93" s="3" t="str">
        <f>IFERROR(__xludf.DUMMYFUNCTION("MID(INDEX(SPLIT($F93,"",""),COLUMN()-6),2,300)"),"4 muted aqua bags.")</f>
        <v>4 muted aqua bags.</v>
      </c>
      <c r="K93" s="3">
        <f>IFERROR(__xludf.DUMMYFUNCTION("INDEX(SPLIT(G93,"" ""),1)"),2.0)</f>
        <v>2</v>
      </c>
      <c r="L93" s="3" t="str">
        <f>IFERROR(__xludf.DUMMYFUNCTION("REGEXEXTRACT(G93,"" [^ ]* [^ ]* "")")," dim teal ")</f>
        <v> dim teal </v>
      </c>
      <c r="M93" s="3">
        <f>IFERROR(__xludf.DUMMYFUNCTION("INDEX(SPLIT(H93,"" ""),1)"),1.0)</f>
        <v>1</v>
      </c>
      <c r="N93" s="3" t="str">
        <f>IFERROR(__xludf.DUMMYFUNCTION("MID(REGEXEXTRACT(H93,"" [^ ]* [^ ]*""),2,300)"),"mirrored cyan")</f>
        <v>mirrored cyan</v>
      </c>
      <c r="O93" s="3">
        <f>IFERROR(__xludf.DUMMYFUNCTION("INDEX(SPLIT(I93,"" ""),1)"),4.0)</f>
        <v>4</v>
      </c>
      <c r="P93" s="3" t="str">
        <f>IFERROR(__xludf.DUMMYFUNCTION("MID(REGEXEXTRACT(I93,"" [^ ]* [^ ]*""),2,300)"),"dim yellow")</f>
        <v>dim yellow</v>
      </c>
      <c r="Q93" s="3">
        <f>IFERROR(__xludf.DUMMYFUNCTION("INDEX(SPLIT(J93,"" ""),1)"),4.0)</f>
        <v>4</v>
      </c>
      <c r="R93" s="3" t="str">
        <f>IFERROR(__xludf.DUMMYFUNCTION("MID(REGEXEXTRACT(J93,"" [^ ]* [^ ]*""),2,300)"),"muted aqua")</f>
        <v>muted aqua</v>
      </c>
      <c r="S93" s="3">
        <f t="shared" si="2"/>
        <v>2</v>
      </c>
      <c r="T93" s="3" t="str">
        <f t="shared" si="3"/>
        <v>dim teal</v>
      </c>
      <c r="U93" s="3">
        <f t="shared" si="4"/>
        <v>1</v>
      </c>
      <c r="V93" s="3" t="str">
        <f t="shared" si="5"/>
        <v>mirrored cyan</v>
      </c>
      <c r="W93" s="3">
        <f t="shared" si="6"/>
        <v>4</v>
      </c>
      <c r="X93" s="3" t="str">
        <f t="shared" si="7"/>
        <v>dim yellow</v>
      </c>
      <c r="Y93" s="3">
        <f t="shared" si="8"/>
        <v>4</v>
      </c>
      <c r="Z93" s="3" t="str">
        <f t="shared" si="9"/>
        <v>muted aqua</v>
      </c>
      <c r="AA93" s="13">
        <f t="shared" si="10"/>
        <v>125840661</v>
      </c>
      <c r="AB93" s="3">
        <f t="shared" si="11"/>
        <v>125840660</v>
      </c>
      <c r="AC93" s="3">
        <f t="shared" si="12"/>
        <v>2</v>
      </c>
      <c r="AD93" s="3">
        <f t="shared" si="13"/>
        <v>62425747</v>
      </c>
      <c r="AE93" s="3">
        <f t="shared" si="14"/>
        <v>1</v>
      </c>
      <c r="AF93" s="3">
        <f t="shared" si="15"/>
        <v>1854</v>
      </c>
      <c r="AG93" s="3">
        <f t="shared" si="16"/>
        <v>4</v>
      </c>
      <c r="AH93" s="3">
        <f t="shared" si="17"/>
        <v>216745</v>
      </c>
      <c r="AI93" s="3">
        <f t="shared" si="18"/>
        <v>4</v>
      </c>
      <c r="AJ93" s="3">
        <f t="shared" si="19"/>
        <v>30083</v>
      </c>
    </row>
    <row r="94">
      <c r="C94" s="6" t="s">
        <v>94</v>
      </c>
      <c r="D94" s="3">
        <f t="shared" si="1"/>
        <v>0</v>
      </c>
      <c r="E94" s="3" t="str">
        <f>IFERROR(__xludf.DUMMYFUNCTION("REGEXEXTRACT(C94,""[^ ]* [^ ]*"")"),"posh coral")</f>
        <v>posh coral</v>
      </c>
      <c r="F94" s="3" t="str">
        <f>IFERROR(__xludf.DUMMYFUNCTION("MID(REGEXEXTRACT(C94,""contain.*$""),9,300)"),"no other bags.")</f>
        <v>no other bags.</v>
      </c>
      <c r="G94" s="3" t="str">
        <f>IFERROR(__xludf.DUMMYFUNCTION("INDEX(SPLIT($F94,"",""),COLUMN()-6)"),"no other bags.")</f>
        <v>no other bags.</v>
      </c>
      <c r="H94" s="3" t="str">
        <f>IFERROR(__xludf.DUMMYFUNCTION("MID(INDEX(SPLIT($F94,"",""),COLUMN()-6),2,300)"),"#REF!")</f>
        <v>#REF!</v>
      </c>
      <c r="I94" s="3" t="str">
        <f>IFERROR(__xludf.DUMMYFUNCTION("MID(INDEX(SPLIT($F94,"",""),COLUMN()-6),2,300)"),"#REF!")</f>
        <v>#REF!</v>
      </c>
      <c r="J94" s="3" t="str">
        <f>IFERROR(__xludf.DUMMYFUNCTION("MID(INDEX(SPLIT($F94,"",""),COLUMN()-6),2,300)"),"#REF!")</f>
        <v>#REF!</v>
      </c>
      <c r="K94" s="3" t="str">
        <f>IFERROR(__xludf.DUMMYFUNCTION("INDEX(SPLIT(G94,"" ""),1)"),"no")</f>
        <v>no</v>
      </c>
      <c r="L94" s="3" t="str">
        <f>IFERROR(__xludf.DUMMYFUNCTION("REGEXEXTRACT(G94,"" [^ ]* [^ ]* "")"),"#N/A")</f>
        <v>#N/A</v>
      </c>
      <c r="M94" s="3" t="str">
        <f>IFERROR(__xludf.DUMMYFUNCTION("INDEX(SPLIT(H94,"" ""),1)"),"#REF!")</f>
        <v>#REF!</v>
      </c>
      <c r="N94" s="3" t="str">
        <f>IFERROR(__xludf.DUMMYFUNCTION("MID(REGEXEXTRACT(H94,"" [^ ]* [^ ]*""),2,300)"),"#REF!")</f>
        <v>#REF!</v>
      </c>
      <c r="O94" s="3" t="str">
        <f>IFERROR(__xludf.DUMMYFUNCTION("INDEX(SPLIT(I94,"" ""),1)"),"#REF!")</f>
        <v>#REF!</v>
      </c>
      <c r="P94" s="3" t="str">
        <f>IFERROR(__xludf.DUMMYFUNCTION("MID(REGEXEXTRACT(I94,"" [^ ]* [^ ]*""),2,300)"),"#REF!")</f>
        <v>#REF!</v>
      </c>
      <c r="Q94" s="3" t="str">
        <f>IFERROR(__xludf.DUMMYFUNCTION("INDEX(SPLIT(J94,"" ""),1)"),"#REF!")</f>
        <v>#REF!</v>
      </c>
      <c r="R94" s="3" t="str">
        <f>IFERROR(__xludf.DUMMYFUNCTION("MID(REGEXEXTRACT(J94,"" [^ ]* [^ ]*""),2,300)"),"#REF!")</f>
        <v>#REF!</v>
      </c>
      <c r="S94" s="3" t="str">
        <f t="shared" si="2"/>
        <v/>
      </c>
      <c r="T94" s="3" t="str">
        <f t="shared" si="3"/>
        <v/>
      </c>
      <c r="U94" s="3" t="str">
        <f t="shared" si="4"/>
        <v/>
      </c>
      <c r="V94" s="3" t="str">
        <f t="shared" si="5"/>
        <v/>
      </c>
      <c r="W94" s="3" t="str">
        <f t="shared" si="6"/>
        <v/>
      </c>
      <c r="X94" s="3" t="str">
        <f t="shared" si="7"/>
        <v/>
      </c>
      <c r="Y94" s="3" t="str">
        <f t="shared" si="8"/>
        <v/>
      </c>
      <c r="Z94" s="3" t="str">
        <f t="shared" si="9"/>
        <v/>
      </c>
      <c r="AA94" s="13">
        <f t="shared" si="10"/>
        <v>1</v>
      </c>
      <c r="AB94" s="3">
        <f t="shared" si="11"/>
        <v>0</v>
      </c>
      <c r="AC94" s="3" t="str">
        <f t="shared" si="12"/>
        <v/>
      </c>
      <c r="AD94" s="3">
        <f t="shared" si="13"/>
        <v>0</v>
      </c>
      <c r="AE94" s="3" t="str">
        <f t="shared" si="14"/>
        <v/>
      </c>
      <c r="AF94" s="3">
        <f t="shared" si="15"/>
        <v>0</v>
      </c>
      <c r="AG94" s="3" t="str">
        <f t="shared" si="16"/>
        <v/>
      </c>
      <c r="AH94" s="3">
        <f t="shared" si="17"/>
        <v>0</v>
      </c>
      <c r="AI94" s="3" t="str">
        <f t="shared" si="18"/>
        <v/>
      </c>
      <c r="AJ94" s="3">
        <f t="shared" si="19"/>
        <v>0</v>
      </c>
    </row>
    <row r="95">
      <c r="C95" s="6" t="s">
        <v>95</v>
      </c>
      <c r="D95" s="3">
        <f t="shared" si="1"/>
        <v>2</v>
      </c>
      <c r="E95" s="3" t="str">
        <f>IFERROR(__xludf.DUMMYFUNCTION("REGEXEXTRACT(C95,""[^ ]* [^ ]*"")"),"dark green")</f>
        <v>dark green</v>
      </c>
      <c r="F95" s="3" t="str">
        <f>IFERROR(__xludf.DUMMYFUNCTION("MID(REGEXEXTRACT(C95,""contain.*$""),9,300)"),"2 posh brown bags, 2 muted white bags, 4 bright fuchsia bags.")</f>
        <v>2 posh brown bags, 2 muted white bags, 4 bright fuchsia bags.</v>
      </c>
      <c r="G95" s="3" t="str">
        <f>IFERROR(__xludf.DUMMYFUNCTION("INDEX(SPLIT($F95,"",""),COLUMN()-6)"),"2 posh brown bags")</f>
        <v>2 posh brown bags</v>
      </c>
      <c r="H95" s="3" t="str">
        <f>IFERROR(__xludf.DUMMYFUNCTION("MID(INDEX(SPLIT($F95,"",""),COLUMN()-6),2,300)"),"2 muted white bags")</f>
        <v>2 muted white bags</v>
      </c>
      <c r="I95" s="3" t="str">
        <f>IFERROR(__xludf.DUMMYFUNCTION("MID(INDEX(SPLIT($F95,"",""),COLUMN()-6),2,300)"),"4 bright fuchsia bags.")</f>
        <v>4 bright fuchsia bags.</v>
      </c>
      <c r="J95" s="3" t="str">
        <f>IFERROR(__xludf.DUMMYFUNCTION("MID(INDEX(SPLIT($F95,"",""),COLUMN()-6),2,300)"),"#REF!")</f>
        <v>#REF!</v>
      </c>
      <c r="K95" s="3">
        <f>IFERROR(__xludf.DUMMYFUNCTION("INDEX(SPLIT(G95,"" ""),1)"),2.0)</f>
        <v>2</v>
      </c>
      <c r="L95" s="3" t="str">
        <f>IFERROR(__xludf.DUMMYFUNCTION("REGEXEXTRACT(G95,"" [^ ]* [^ ]* "")")," posh brown ")</f>
        <v> posh brown </v>
      </c>
      <c r="M95" s="3">
        <f>IFERROR(__xludf.DUMMYFUNCTION("INDEX(SPLIT(H95,"" ""),1)"),2.0)</f>
        <v>2</v>
      </c>
      <c r="N95" s="3" t="str">
        <f>IFERROR(__xludf.DUMMYFUNCTION("MID(REGEXEXTRACT(H95,"" [^ ]* [^ ]*""),2,300)"),"muted white")</f>
        <v>muted white</v>
      </c>
      <c r="O95" s="3">
        <f>IFERROR(__xludf.DUMMYFUNCTION("INDEX(SPLIT(I95,"" ""),1)"),4.0)</f>
        <v>4</v>
      </c>
      <c r="P95" s="3" t="str">
        <f>IFERROR(__xludf.DUMMYFUNCTION("MID(REGEXEXTRACT(I95,"" [^ ]* [^ ]*""),2,300)"),"bright fuchsia")</f>
        <v>bright fuchsia</v>
      </c>
      <c r="Q95" s="3" t="str">
        <f>IFERROR(__xludf.DUMMYFUNCTION("INDEX(SPLIT(J95,"" ""),1)"),"#REF!")</f>
        <v>#REF!</v>
      </c>
      <c r="R95" s="3" t="str">
        <f>IFERROR(__xludf.DUMMYFUNCTION("MID(REGEXEXTRACT(J95,"" [^ ]* [^ ]*""),2,300)"),"#REF!")</f>
        <v>#REF!</v>
      </c>
      <c r="S95" s="3">
        <f t="shared" si="2"/>
        <v>2</v>
      </c>
      <c r="T95" s="3" t="str">
        <f t="shared" si="3"/>
        <v>posh brown</v>
      </c>
      <c r="U95" s="3">
        <f t="shared" si="4"/>
        <v>2</v>
      </c>
      <c r="V95" s="3" t="str">
        <f t="shared" si="5"/>
        <v>muted white</v>
      </c>
      <c r="W95" s="3">
        <f t="shared" si="6"/>
        <v>4</v>
      </c>
      <c r="X95" s="3" t="str">
        <f t="shared" si="7"/>
        <v>bright fuchsia</v>
      </c>
      <c r="Y95" s="3" t="str">
        <f t="shared" si="8"/>
        <v/>
      </c>
      <c r="Z95" s="3" t="str">
        <f t="shared" si="9"/>
        <v/>
      </c>
      <c r="AA95" s="13">
        <f t="shared" si="10"/>
        <v>5907723</v>
      </c>
      <c r="AB95" s="3">
        <f t="shared" si="11"/>
        <v>5907722</v>
      </c>
      <c r="AC95" s="3">
        <f t="shared" si="12"/>
        <v>2</v>
      </c>
      <c r="AD95" s="3">
        <f t="shared" si="13"/>
        <v>36149</v>
      </c>
      <c r="AE95" s="3">
        <f t="shared" si="14"/>
        <v>2</v>
      </c>
      <c r="AF95" s="3">
        <f t="shared" si="15"/>
        <v>2893450</v>
      </c>
      <c r="AG95" s="3">
        <f t="shared" si="16"/>
        <v>4</v>
      </c>
      <c r="AH95" s="3">
        <f t="shared" si="17"/>
        <v>12131</v>
      </c>
      <c r="AI95" s="3" t="str">
        <f t="shared" si="18"/>
        <v/>
      </c>
      <c r="AJ95" s="3">
        <f t="shared" si="19"/>
        <v>0</v>
      </c>
    </row>
    <row r="96">
      <c r="C96" s="6" t="s">
        <v>96</v>
      </c>
      <c r="D96" s="3">
        <f t="shared" si="1"/>
        <v>3</v>
      </c>
      <c r="E96" s="3" t="str">
        <f>IFERROR(__xludf.DUMMYFUNCTION("REGEXEXTRACT(C96,""[^ ]* [^ ]*"")"),"shiny green")</f>
        <v>shiny green</v>
      </c>
      <c r="F96" s="3" t="str">
        <f>IFERROR(__xludf.DUMMYFUNCTION("MID(REGEXEXTRACT(C96,""contain.*$""),9,300)"),"1 faded crimson bag, 3 striped purple bags, 4 shiny salmon bags, 2 dark bronze bags.")</f>
        <v>1 faded crimson bag, 3 striped purple bags, 4 shiny salmon bags, 2 dark bronze bags.</v>
      </c>
      <c r="G96" s="3" t="str">
        <f>IFERROR(__xludf.DUMMYFUNCTION("INDEX(SPLIT($F96,"",""),COLUMN()-6)"),"1 faded crimson bag")</f>
        <v>1 faded crimson bag</v>
      </c>
      <c r="H96" s="3" t="str">
        <f>IFERROR(__xludf.DUMMYFUNCTION("MID(INDEX(SPLIT($F96,"",""),COLUMN()-6),2,300)"),"3 striped purple bags")</f>
        <v>3 striped purple bags</v>
      </c>
      <c r="I96" s="3" t="str">
        <f>IFERROR(__xludf.DUMMYFUNCTION("MID(INDEX(SPLIT($F96,"",""),COLUMN()-6),2,300)"),"4 shiny salmon bags")</f>
        <v>4 shiny salmon bags</v>
      </c>
      <c r="J96" s="3" t="str">
        <f>IFERROR(__xludf.DUMMYFUNCTION("MID(INDEX(SPLIT($F96,"",""),COLUMN()-6),2,300)"),"2 dark bronze bags.")</f>
        <v>2 dark bronze bags.</v>
      </c>
      <c r="K96" s="3">
        <f>IFERROR(__xludf.DUMMYFUNCTION("INDEX(SPLIT(G96,"" ""),1)"),1.0)</f>
        <v>1</v>
      </c>
      <c r="L96" s="3" t="str">
        <f>IFERROR(__xludf.DUMMYFUNCTION("REGEXEXTRACT(G96,"" [^ ]* [^ ]* "")")," faded crimson ")</f>
        <v> faded crimson </v>
      </c>
      <c r="M96" s="3">
        <f>IFERROR(__xludf.DUMMYFUNCTION("INDEX(SPLIT(H96,"" ""),1)"),3.0)</f>
        <v>3</v>
      </c>
      <c r="N96" s="3" t="str">
        <f>IFERROR(__xludf.DUMMYFUNCTION("MID(REGEXEXTRACT(H96,"" [^ ]* [^ ]*""),2,300)"),"striped purple")</f>
        <v>striped purple</v>
      </c>
      <c r="O96" s="3">
        <f>IFERROR(__xludf.DUMMYFUNCTION("INDEX(SPLIT(I96,"" ""),1)"),4.0)</f>
        <v>4</v>
      </c>
      <c r="P96" s="3" t="str">
        <f>IFERROR(__xludf.DUMMYFUNCTION("MID(REGEXEXTRACT(I96,"" [^ ]* [^ ]*""),2,300)"),"shiny salmon")</f>
        <v>shiny salmon</v>
      </c>
      <c r="Q96" s="3">
        <f>IFERROR(__xludf.DUMMYFUNCTION("INDEX(SPLIT(J96,"" ""),1)"),2.0)</f>
        <v>2</v>
      </c>
      <c r="R96" s="3" t="str">
        <f>IFERROR(__xludf.DUMMYFUNCTION("MID(REGEXEXTRACT(J96,"" [^ ]* [^ ]*""),2,300)"),"dark bronze")</f>
        <v>dark bronze</v>
      </c>
      <c r="S96" s="3">
        <f t="shared" si="2"/>
        <v>1</v>
      </c>
      <c r="T96" s="3" t="str">
        <f t="shared" si="3"/>
        <v>faded crimson</v>
      </c>
      <c r="U96" s="3">
        <f t="shared" si="4"/>
        <v>3</v>
      </c>
      <c r="V96" s="3" t="str">
        <f t="shared" si="5"/>
        <v>striped purple</v>
      </c>
      <c r="W96" s="3">
        <f t="shared" si="6"/>
        <v>4</v>
      </c>
      <c r="X96" s="3" t="str">
        <f t="shared" si="7"/>
        <v>shiny salmon</v>
      </c>
      <c r="Y96" s="3">
        <f t="shared" si="8"/>
        <v>2</v>
      </c>
      <c r="Z96" s="3" t="str">
        <f t="shared" si="9"/>
        <v>dark bronze</v>
      </c>
      <c r="AA96" s="13">
        <f t="shared" si="10"/>
        <v>740764401</v>
      </c>
      <c r="AB96" s="3">
        <f t="shared" si="11"/>
        <v>740764400</v>
      </c>
      <c r="AC96" s="3">
        <f t="shared" si="12"/>
        <v>1</v>
      </c>
      <c r="AD96" s="3">
        <f t="shared" si="13"/>
        <v>450697810</v>
      </c>
      <c r="AE96" s="3">
        <f t="shared" si="14"/>
        <v>3</v>
      </c>
      <c r="AF96" s="3">
        <f t="shared" si="15"/>
        <v>96654824</v>
      </c>
      <c r="AG96" s="3">
        <f t="shared" si="16"/>
        <v>4</v>
      </c>
      <c r="AH96" s="3">
        <f t="shared" si="17"/>
        <v>18112</v>
      </c>
      <c r="AI96" s="3">
        <f t="shared" si="18"/>
        <v>2</v>
      </c>
      <c r="AJ96" s="3">
        <f t="shared" si="19"/>
        <v>14835</v>
      </c>
    </row>
    <row r="97">
      <c r="C97" s="6" t="s">
        <v>97</v>
      </c>
      <c r="D97" s="3">
        <f t="shared" si="1"/>
        <v>0</v>
      </c>
      <c r="E97" s="3" t="str">
        <f>IFERROR(__xludf.DUMMYFUNCTION("REGEXEXTRACT(C97,""[^ ]* [^ ]*"")"),"clear coral")</f>
        <v>clear coral</v>
      </c>
      <c r="F97" s="3" t="str">
        <f>IFERROR(__xludf.DUMMYFUNCTION("MID(REGEXEXTRACT(C97,""contain.*$""),9,300)"),"no other bags.")</f>
        <v>no other bags.</v>
      </c>
      <c r="G97" s="3" t="str">
        <f>IFERROR(__xludf.DUMMYFUNCTION("INDEX(SPLIT($F97,"",""),COLUMN()-6)"),"no other bags.")</f>
        <v>no other bags.</v>
      </c>
      <c r="H97" s="3" t="str">
        <f>IFERROR(__xludf.DUMMYFUNCTION("MID(INDEX(SPLIT($F97,"",""),COLUMN()-6),2,300)"),"#REF!")</f>
        <v>#REF!</v>
      </c>
      <c r="I97" s="3" t="str">
        <f>IFERROR(__xludf.DUMMYFUNCTION("MID(INDEX(SPLIT($F97,"",""),COLUMN()-6),2,300)"),"#REF!")</f>
        <v>#REF!</v>
      </c>
      <c r="J97" s="3" t="str">
        <f>IFERROR(__xludf.DUMMYFUNCTION("MID(INDEX(SPLIT($F97,"",""),COLUMN()-6),2,300)"),"#REF!")</f>
        <v>#REF!</v>
      </c>
      <c r="K97" s="3" t="str">
        <f>IFERROR(__xludf.DUMMYFUNCTION("INDEX(SPLIT(G97,"" ""),1)"),"no")</f>
        <v>no</v>
      </c>
      <c r="L97" s="3" t="str">
        <f>IFERROR(__xludf.DUMMYFUNCTION("REGEXEXTRACT(G97,"" [^ ]* [^ ]* "")"),"#N/A")</f>
        <v>#N/A</v>
      </c>
      <c r="M97" s="3" t="str">
        <f>IFERROR(__xludf.DUMMYFUNCTION("INDEX(SPLIT(H97,"" ""),1)"),"#REF!")</f>
        <v>#REF!</v>
      </c>
      <c r="N97" s="3" t="str">
        <f>IFERROR(__xludf.DUMMYFUNCTION("MID(REGEXEXTRACT(H97,"" [^ ]* [^ ]*""),2,300)"),"#REF!")</f>
        <v>#REF!</v>
      </c>
      <c r="O97" s="3" t="str">
        <f>IFERROR(__xludf.DUMMYFUNCTION("INDEX(SPLIT(I97,"" ""),1)"),"#REF!")</f>
        <v>#REF!</v>
      </c>
      <c r="P97" s="3" t="str">
        <f>IFERROR(__xludf.DUMMYFUNCTION("MID(REGEXEXTRACT(I97,"" [^ ]* [^ ]*""),2,300)"),"#REF!")</f>
        <v>#REF!</v>
      </c>
      <c r="Q97" s="3" t="str">
        <f>IFERROR(__xludf.DUMMYFUNCTION("INDEX(SPLIT(J97,"" ""),1)"),"#REF!")</f>
        <v>#REF!</v>
      </c>
      <c r="R97" s="3" t="str">
        <f>IFERROR(__xludf.DUMMYFUNCTION("MID(REGEXEXTRACT(J97,"" [^ ]* [^ ]*""),2,300)"),"#REF!")</f>
        <v>#REF!</v>
      </c>
      <c r="S97" s="3" t="str">
        <f t="shared" si="2"/>
        <v/>
      </c>
      <c r="T97" s="3" t="str">
        <f t="shared" si="3"/>
        <v/>
      </c>
      <c r="U97" s="3" t="str">
        <f t="shared" si="4"/>
        <v/>
      </c>
      <c r="V97" s="3" t="str">
        <f t="shared" si="5"/>
        <v/>
      </c>
      <c r="W97" s="3" t="str">
        <f t="shared" si="6"/>
        <v/>
      </c>
      <c r="X97" s="3" t="str">
        <f t="shared" si="7"/>
        <v/>
      </c>
      <c r="Y97" s="3" t="str">
        <f t="shared" si="8"/>
        <v/>
      </c>
      <c r="Z97" s="3" t="str">
        <f t="shared" si="9"/>
        <v/>
      </c>
      <c r="AA97" s="13">
        <f t="shared" si="10"/>
        <v>1</v>
      </c>
      <c r="AB97" s="3">
        <f t="shared" si="11"/>
        <v>0</v>
      </c>
      <c r="AC97" s="3" t="str">
        <f t="shared" si="12"/>
        <v/>
      </c>
      <c r="AD97" s="3">
        <f t="shared" si="13"/>
        <v>0</v>
      </c>
      <c r="AE97" s="3" t="str">
        <f t="shared" si="14"/>
        <v/>
      </c>
      <c r="AF97" s="3">
        <f t="shared" si="15"/>
        <v>0</v>
      </c>
      <c r="AG97" s="3" t="str">
        <f t="shared" si="16"/>
        <v/>
      </c>
      <c r="AH97" s="3">
        <f t="shared" si="17"/>
        <v>0</v>
      </c>
      <c r="AI97" s="3" t="str">
        <f t="shared" si="18"/>
        <v/>
      </c>
      <c r="AJ97" s="3">
        <f t="shared" si="19"/>
        <v>0</v>
      </c>
    </row>
    <row r="98">
      <c r="C98" s="6" t="s">
        <v>98</v>
      </c>
      <c r="D98" s="3">
        <f t="shared" si="1"/>
        <v>0</v>
      </c>
      <c r="E98" s="3" t="str">
        <f>IFERROR(__xludf.DUMMYFUNCTION("REGEXEXTRACT(C98,""[^ ]* [^ ]*"")"),"dull salmon")</f>
        <v>dull salmon</v>
      </c>
      <c r="F98" s="3" t="str">
        <f>IFERROR(__xludf.DUMMYFUNCTION("MID(REGEXEXTRACT(C98,""contain.*$""),9,300)"),"1 muted white bag.")</f>
        <v>1 muted white bag.</v>
      </c>
      <c r="G98" s="3" t="str">
        <f>IFERROR(__xludf.DUMMYFUNCTION("INDEX(SPLIT($F98,"",""),COLUMN()-6)"),"1 muted white bag.")</f>
        <v>1 muted white bag.</v>
      </c>
      <c r="H98" s="3" t="str">
        <f>IFERROR(__xludf.DUMMYFUNCTION("MID(INDEX(SPLIT($F98,"",""),COLUMN()-6),2,300)"),"#REF!")</f>
        <v>#REF!</v>
      </c>
      <c r="I98" s="3" t="str">
        <f>IFERROR(__xludf.DUMMYFUNCTION("MID(INDEX(SPLIT($F98,"",""),COLUMN()-6),2,300)"),"#REF!")</f>
        <v>#REF!</v>
      </c>
      <c r="J98" s="3" t="str">
        <f>IFERROR(__xludf.DUMMYFUNCTION("MID(INDEX(SPLIT($F98,"",""),COLUMN()-6),2,300)"),"#REF!")</f>
        <v>#REF!</v>
      </c>
      <c r="K98" s="3">
        <f>IFERROR(__xludf.DUMMYFUNCTION("INDEX(SPLIT(G98,"" ""),1)"),1.0)</f>
        <v>1</v>
      </c>
      <c r="L98" s="3" t="str">
        <f>IFERROR(__xludf.DUMMYFUNCTION("REGEXEXTRACT(G98,"" [^ ]* [^ ]* "")")," muted white ")</f>
        <v> muted white </v>
      </c>
      <c r="M98" s="3" t="str">
        <f>IFERROR(__xludf.DUMMYFUNCTION("INDEX(SPLIT(H98,"" ""),1)"),"#REF!")</f>
        <v>#REF!</v>
      </c>
      <c r="N98" s="3" t="str">
        <f>IFERROR(__xludf.DUMMYFUNCTION("MID(REGEXEXTRACT(H98,"" [^ ]* [^ ]*""),2,300)"),"#REF!")</f>
        <v>#REF!</v>
      </c>
      <c r="O98" s="3" t="str">
        <f>IFERROR(__xludf.DUMMYFUNCTION("INDEX(SPLIT(I98,"" ""),1)"),"#REF!")</f>
        <v>#REF!</v>
      </c>
      <c r="P98" s="3" t="str">
        <f>IFERROR(__xludf.DUMMYFUNCTION("MID(REGEXEXTRACT(I98,"" [^ ]* [^ ]*""),2,300)"),"#REF!")</f>
        <v>#REF!</v>
      </c>
      <c r="Q98" s="3" t="str">
        <f>IFERROR(__xludf.DUMMYFUNCTION("INDEX(SPLIT(J98,"" ""),1)"),"#REF!")</f>
        <v>#REF!</v>
      </c>
      <c r="R98" s="3" t="str">
        <f>IFERROR(__xludf.DUMMYFUNCTION("MID(REGEXEXTRACT(J98,"" [^ ]* [^ ]*""),2,300)"),"#REF!")</f>
        <v>#REF!</v>
      </c>
      <c r="S98" s="3">
        <f t="shared" si="2"/>
        <v>1</v>
      </c>
      <c r="T98" s="3" t="str">
        <f t="shared" si="3"/>
        <v>muted white</v>
      </c>
      <c r="U98" s="3" t="str">
        <f t="shared" si="4"/>
        <v/>
      </c>
      <c r="V98" s="3" t="str">
        <f t="shared" si="5"/>
        <v/>
      </c>
      <c r="W98" s="3" t="str">
        <f t="shared" si="6"/>
        <v/>
      </c>
      <c r="X98" s="3" t="str">
        <f t="shared" si="7"/>
        <v/>
      </c>
      <c r="Y98" s="3" t="str">
        <f t="shared" si="8"/>
        <v/>
      </c>
      <c r="Z98" s="3" t="str">
        <f t="shared" si="9"/>
        <v/>
      </c>
      <c r="AA98" s="13">
        <f t="shared" si="10"/>
        <v>2893451</v>
      </c>
      <c r="AB98" s="3">
        <f t="shared" si="11"/>
        <v>2893450</v>
      </c>
      <c r="AC98" s="3">
        <f t="shared" si="12"/>
        <v>1</v>
      </c>
      <c r="AD98" s="3">
        <f t="shared" si="13"/>
        <v>2893450</v>
      </c>
      <c r="AE98" s="3" t="str">
        <f t="shared" si="14"/>
        <v/>
      </c>
      <c r="AF98" s="3">
        <f t="shared" si="15"/>
        <v>0</v>
      </c>
      <c r="AG98" s="3" t="str">
        <f t="shared" si="16"/>
        <v/>
      </c>
      <c r="AH98" s="3">
        <f t="shared" si="17"/>
        <v>0</v>
      </c>
      <c r="AI98" s="3" t="str">
        <f t="shared" si="18"/>
        <v/>
      </c>
      <c r="AJ98" s="3">
        <f t="shared" si="19"/>
        <v>0</v>
      </c>
    </row>
    <row r="99">
      <c r="C99" s="6" t="s">
        <v>99</v>
      </c>
      <c r="D99" s="3">
        <f t="shared" si="1"/>
        <v>1</v>
      </c>
      <c r="E99" s="3" t="str">
        <f>IFERROR(__xludf.DUMMYFUNCTION("REGEXEXTRACT(C99,""[^ ]* [^ ]*"")"),"dark lavender")</f>
        <v>dark lavender</v>
      </c>
      <c r="F99" s="3" t="str">
        <f>IFERROR(__xludf.DUMMYFUNCTION("MID(REGEXEXTRACT(C99,""contain.*$""),9,300)"),"2 plaid gray bags, 4 muted olive bags.")</f>
        <v>2 plaid gray bags, 4 muted olive bags.</v>
      </c>
      <c r="G99" s="3" t="str">
        <f>IFERROR(__xludf.DUMMYFUNCTION("INDEX(SPLIT($F99,"",""),COLUMN()-6)"),"2 plaid gray bags")</f>
        <v>2 plaid gray bags</v>
      </c>
      <c r="H99" s="3" t="str">
        <f>IFERROR(__xludf.DUMMYFUNCTION("MID(INDEX(SPLIT($F99,"",""),COLUMN()-6),2,300)"),"4 muted olive bags.")</f>
        <v>4 muted olive bags.</v>
      </c>
      <c r="I99" s="3" t="str">
        <f>IFERROR(__xludf.DUMMYFUNCTION("MID(INDEX(SPLIT($F99,"",""),COLUMN()-6),2,300)"),"#REF!")</f>
        <v>#REF!</v>
      </c>
      <c r="J99" s="3" t="str">
        <f>IFERROR(__xludf.DUMMYFUNCTION("MID(INDEX(SPLIT($F99,"",""),COLUMN()-6),2,300)"),"#REF!")</f>
        <v>#REF!</v>
      </c>
      <c r="K99" s="3">
        <f>IFERROR(__xludf.DUMMYFUNCTION("INDEX(SPLIT(G99,"" ""),1)"),2.0)</f>
        <v>2</v>
      </c>
      <c r="L99" s="3" t="str">
        <f>IFERROR(__xludf.DUMMYFUNCTION("REGEXEXTRACT(G99,"" [^ ]* [^ ]* "")")," plaid gray ")</f>
        <v> plaid gray </v>
      </c>
      <c r="M99" s="3">
        <f>IFERROR(__xludf.DUMMYFUNCTION("INDEX(SPLIT(H99,"" ""),1)"),4.0)</f>
        <v>4</v>
      </c>
      <c r="N99" s="3" t="str">
        <f>IFERROR(__xludf.DUMMYFUNCTION("MID(REGEXEXTRACT(H99,"" [^ ]* [^ ]*""),2,300)"),"muted olive")</f>
        <v>muted olive</v>
      </c>
      <c r="O99" s="3" t="str">
        <f>IFERROR(__xludf.DUMMYFUNCTION("INDEX(SPLIT(I99,"" ""),1)"),"#REF!")</f>
        <v>#REF!</v>
      </c>
      <c r="P99" s="3" t="str">
        <f>IFERROR(__xludf.DUMMYFUNCTION("MID(REGEXEXTRACT(I99,"" [^ ]* [^ ]*""),2,300)"),"#REF!")</f>
        <v>#REF!</v>
      </c>
      <c r="Q99" s="3" t="str">
        <f>IFERROR(__xludf.DUMMYFUNCTION("INDEX(SPLIT(J99,"" ""),1)"),"#REF!")</f>
        <v>#REF!</v>
      </c>
      <c r="R99" s="3" t="str">
        <f>IFERROR(__xludf.DUMMYFUNCTION("MID(REGEXEXTRACT(J99,"" [^ ]* [^ ]*""),2,300)"),"#REF!")</f>
        <v>#REF!</v>
      </c>
      <c r="S99" s="3">
        <f t="shared" si="2"/>
        <v>2</v>
      </c>
      <c r="T99" s="3" t="str">
        <f t="shared" si="3"/>
        <v>plaid gray</v>
      </c>
      <c r="U99" s="3">
        <f t="shared" si="4"/>
        <v>4</v>
      </c>
      <c r="V99" s="3" t="str">
        <f t="shared" si="5"/>
        <v>muted olive</v>
      </c>
      <c r="W99" s="3" t="str">
        <f t="shared" si="6"/>
        <v/>
      </c>
      <c r="X99" s="3" t="str">
        <f t="shared" si="7"/>
        <v/>
      </c>
      <c r="Y99" s="3" t="str">
        <f t="shared" si="8"/>
        <v/>
      </c>
      <c r="Z99" s="3" t="str">
        <f t="shared" si="9"/>
        <v/>
      </c>
      <c r="AA99" s="13">
        <f t="shared" si="10"/>
        <v>133</v>
      </c>
      <c r="AB99" s="3">
        <f t="shared" si="11"/>
        <v>132</v>
      </c>
      <c r="AC99" s="3">
        <f t="shared" si="12"/>
        <v>2</v>
      </c>
      <c r="AD99" s="3">
        <f t="shared" si="13"/>
        <v>54</v>
      </c>
      <c r="AE99" s="3">
        <f t="shared" si="14"/>
        <v>4</v>
      </c>
      <c r="AF99" s="3">
        <f t="shared" si="15"/>
        <v>6</v>
      </c>
      <c r="AG99" s="3" t="str">
        <f t="shared" si="16"/>
        <v/>
      </c>
      <c r="AH99" s="3">
        <f t="shared" si="17"/>
        <v>0</v>
      </c>
      <c r="AI99" s="3" t="str">
        <f t="shared" si="18"/>
        <v/>
      </c>
      <c r="AJ99" s="3">
        <f t="shared" si="19"/>
        <v>0</v>
      </c>
    </row>
    <row r="100">
      <c r="C100" s="6" t="s">
        <v>100</v>
      </c>
      <c r="D100" s="3">
        <f t="shared" si="1"/>
        <v>0</v>
      </c>
      <c r="E100" s="3" t="str">
        <f>IFERROR(__xludf.DUMMYFUNCTION("REGEXEXTRACT(C100,""[^ ]* [^ ]*"")"),"bright silver")</f>
        <v>bright silver</v>
      </c>
      <c r="F100" s="3" t="str">
        <f>IFERROR(__xludf.DUMMYFUNCTION("MID(REGEXEXTRACT(C100,""contain.*$""),9,300)"),"5 pale black bags.")</f>
        <v>5 pale black bags.</v>
      </c>
      <c r="G100" s="3" t="str">
        <f>IFERROR(__xludf.DUMMYFUNCTION("INDEX(SPLIT($F100,"",""),COLUMN()-6)"),"5 pale black bags.")</f>
        <v>5 pale black bags.</v>
      </c>
      <c r="H100" s="3" t="str">
        <f>IFERROR(__xludf.DUMMYFUNCTION("MID(INDEX(SPLIT($F100,"",""),COLUMN()-6),2,300)"),"#REF!")</f>
        <v>#REF!</v>
      </c>
      <c r="I100" s="3" t="str">
        <f>IFERROR(__xludf.DUMMYFUNCTION("MID(INDEX(SPLIT($F100,"",""),COLUMN()-6),2,300)"),"#REF!")</f>
        <v>#REF!</v>
      </c>
      <c r="J100" s="3" t="str">
        <f>IFERROR(__xludf.DUMMYFUNCTION("MID(INDEX(SPLIT($F100,"",""),COLUMN()-6),2,300)"),"#REF!")</f>
        <v>#REF!</v>
      </c>
      <c r="K100" s="3">
        <f>IFERROR(__xludf.DUMMYFUNCTION("INDEX(SPLIT(G100,"" ""),1)"),5.0)</f>
        <v>5</v>
      </c>
      <c r="L100" s="3" t="str">
        <f>IFERROR(__xludf.DUMMYFUNCTION("REGEXEXTRACT(G100,"" [^ ]* [^ ]* "")")," pale black ")</f>
        <v> pale black </v>
      </c>
      <c r="M100" s="3" t="str">
        <f>IFERROR(__xludf.DUMMYFUNCTION("INDEX(SPLIT(H100,"" ""),1)"),"#REF!")</f>
        <v>#REF!</v>
      </c>
      <c r="N100" s="3" t="str">
        <f>IFERROR(__xludf.DUMMYFUNCTION("MID(REGEXEXTRACT(H100,"" [^ ]* [^ ]*""),2,300)"),"#REF!")</f>
        <v>#REF!</v>
      </c>
      <c r="O100" s="3" t="str">
        <f>IFERROR(__xludf.DUMMYFUNCTION("INDEX(SPLIT(I100,"" ""),1)"),"#REF!")</f>
        <v>#REF!</v>
      </c>
      <c r="P100" s="3" t="str">
        <f>IFERROR(__xludf.DUMMYFUNCTION("MID(REGEXEXTRACT(I100,"" [^ ]* [^ ]*""),2,300)"),"#REF!")</f>
        <v>#REF!</v>
      </c>
      <c r="Q100" s="3" t="str">
        <f>IFERROR(__xludf.DUMMYFUNCTION("INDEX(SPLIT(J100,"" ""),1)"),"#REF!")</f>
        <v>#REF!</v>
      </c>
      <c r="R100" s="3" t="str">
        <f>IFERROR(__xludf.DUMMYFUNCTION("MID(REGEXEXTRACT(J100,"" [^ ]* [^ ]*""),2,300)"),"#REF!")</f>
        <v>#REF!</v>
      </c>
      <c r="S100" s="3">
        <f t="shared" si="2"/>
        <v>5</v>
      </c>
      <c r="T100" s="3" t="str">
        <f t="shared" si="3"/>
        <v>pale black</v>
      </c>
      <c r="U100" s="3" t="str">
        <f t="shared" si="4"/>
        <v/>
      </c>
      <c r="V100" s="3" t="str">
        <f t="shared" si="5"/>
        <v/>
      </c>
      <c r="W100" s="3" t="str">
        <f t="shared" si="6"/>
        <v/>
      </c>
      <c r="X100" s="3" t="str">
        <f t="shared" si="7"/>
        <v/>
      </c>
      <c r="Y100" s="3" t="str">
        <f t="shared" si="8"/>
        <v/>
      </c>
      <c r="Z100" s="3" t="str">
        <f t="shared" si="9"/>
        <v/>
      </c>
      <c r="AA100" s="13">
        <f t="shared" si="10"/>
        <v>41</v>
      </c>
      <c r="AB100" s="3">
        <f t="shared" si="11"/>
        <v>40</v>
      </c>
      <c r="AC100" s="3">
        <f t="shared" si="12"/>
        <v>5</v>
      </c>
      <c r="AD100" s="3">
        <f t="shared" si="13"/>
        <v>8</v>
      </c>
      <c r="AE100" s="3" t="str">
        <f t="shared" si="14"/>
        <v/>
      </c>
      <c r="AF100" s="3">
        <f t="shared" si="15"/>
        <v>0</v>
      </c>
      <c r="AG100" s="3" t="str">
        <f t="shared" si="16"/>
        <v/>
      </c>
      <c r="AH100" s="3">
        <f t="shared" si="17"/>
        <v>0</v>
      </c>
      <c r="AI100" s="3" t="str">
        <f t="shared" si="18"/>
        <v/>
      </c>
      <c r="AJ100" s="3">
        <f t="shared" si="19"/>
        <v>0</v>
      </c>
    </row>
    <row r="101">
      <c r="C101" s="6" t="s">
        <v>101</v>
      </c>
      <c r="D101" s="3">
        <f t="shared" si="1"/>
        <v>2</v>
      </c>
      <c r="E101" s="3" t="str">
        <f>IFERROR(__xludf.DUMMYFUNCTION("REGEXEXTRACT(C101,""[^ ]* [^ ]*"")"),"posh green")</f>
        <v>posh green</v>
      </c>
      <c r="F101" s="3" t="str">
        <f>IFERROR(__xludf.DUMMYFUNCTION("MID(REGEXEXTRACT(C101,""contain.*$""),9,300)"),"5 muted olive bags, 4 dotted crimson bags, 4 dotted brown bags.")</f>
        <v>5 muted olive bags, 4 dotted crimson bags, 4 dotted brown bags.</v>
      </c>
      <c r="G101" s="3" t="str">
        <f>IFERROR(__xludf.DUMMYFUNCTION("INDEX(SPLIT($F101,"",""),COLUMN()-6)"),"5 muted olive bags")</f>
        <v>5 muted olive bags</v>
      </c>
      <c r="H101" s="3" t="str">
        <f>IFERROR(__xludf.DUMMYFUNCTION("MID(INDEX(SPLIT($F101,"",""),COLUMN()-6),2,300)"),"4 dotted crimson bags")</f>
        <v>4 dotted crimson bags</v>
      </c>
      <c r="I101" s="3" t="str">
        <f>IFERROR(__xludf.DUMMYFUNCTION("MID(INDEX(SPLIT($F101,"",""),COLUMN()-6),2,300)"),"4 dotted brown bags.")</f>
        <v>4 dotted brown bags.</v>
      </c>
      <c r="J101" s="3" t="str">
        <f>IFERROR(__xludf.DUMMYFUNCTION("MID(INDEX(SPLIT($F101,"",""),COLUMN()-6),2,300)"),"#REF!")</f>
        <v>#REF!</v>
      </c>
      <c r="K101" s="3">
        <f>IFERROR(__xludf.DUMMYFUNCTION("INDEX(SPLIT(G101,"" ""),1)"),5.0)</f>
        <v>5</v>
      </c>
      <c r="L101" s="3" t="str">
        <f>IFERROR(__xludf.DUMMYFUNCTION("REGEXEXTRACT(G101,"" [^ ]* [^ ]* "")")," muted olive ")</f>
        <v> muted olive </v>
      </c>
      <c r="M101" s="3">
        <f>IFERROR(__xludf.DUMMYFUNCTION("INDEX(SPLIT(H101,"" ""),1)"),4.0)</f>
        <v>4</v>
      </c>
      <c r="N101" s="3" t="str">
        <f>IFERROR(__xludf.DUMMYFUNCTION("MID(REGEXEXTRACT(H101,"" [^ ]* [^ ]*""),2,300)"),"dotted crimson")</f>
        <v>dotted crimson</v>
      </c>
      <c r="O101" s="3">
        <f>IFERROR(__xludf.DUMMYFUNCTION("INDEX(SPLIT(I101,"" ""),1)"),4.0)</f>
        <v>4</v>
      </c>
      <c r="P101" s="3" t="str">
        <f>IFERROR(__xludf.DUMMYFUNCTION("MID(REGEXEXTRACT(I101,"" [^ ]* [^ ]*""),2,300)"),"dotted brown")</f>
        <v>dotted brown</v>
      </c>
      <c r="Q101" s="3" t="str">
        <f>IFERROR(__xludf.DUMMYFUNCTION("INDEX(SPLIT(J101,"" ""),1)"),"#REF!")</f>
        <v>#REF!</v>
      </c>
      <c r="R101" s="3" t="str">
        <f>IFERROR(__xludf.DUMMYFUNCTION("MID(REGEXEXTRACT(J101,"" [^ ]* [^ ]*""),2,300)"),"#REF!")</f>
        <v>#REF!</v>
      </c>
      <c r="S101" s="3">
        <f t="shared" si="2"/>
        <v>5</v>
      </c>
      <c r="T101" s="3" t="str">
        <f t="shared" si="3"/>
        <v>muted olive</v>
      </c>
      <c r="U101" s="3">
        <f t="shared" si="4"/>
        <v>4</v>
      </c>
      <c r="V101" s="3" t="str">
        <f t="shared" si="5"/>
        <v>dotted crimson</v>
      </c>
      <c r="W101" s="3">
        <f t="shared" si="6"/>
        <v>4</v>
      </c>
      <c r="X101" s="3" t="str">
        <f t="shared" si="7"/>
        <v>dotted brown</v>
      </c>
      <c r="Y101" s="3" t="str">
        <f t="shared" si="8"/>
        <v/>
      </c>
      <c r="Z101" s="3" t="str">
        <f t="shared" si="9"/>
        <v/>
      </c>
      <c r="AA101" s="13">
        <f t="shared" si="10"/>
        <v>6367</v>
      </c>
      <c r="AB101" s="3">
        <f t="shared" si="11"/>
        <v>6366</v>
      </c>
      <c r="AC101" s="3">
        <f t="shared" si="12"/>
        <v>5</v>
      </c>
      <c r="AD101" s="3">
        <f t="shared" si="13"/>
        <v>6</v>
      </c>
      <c r="AE101" s="3">
        <f t="shared" si="14"/>
        <v>4</v>
      </c>
      <c r="AF101" s="3">
        <f t="shared" si="15"/>
        <v>1279</v>
      </c>
      <c r="AG101" s="3">
        <f t="shared" si="16"/>
        <v>4</v>
      </c>
      <c r="AH101" s="3">
        <f t="shared" si="17"/>
        <v>305</v>
      </c>
      <c r="AI101" s="3" t="str">
        <f t="shared" si="18"/>
        <v/>
      </c>
      <c r="AJ101" s="3">
        <f t="shared" si="19"/>
        <v>0</v>
      </c>
    </row>
    <row r="102">
      <c r="C102" s="6" t="s">
        <v>102</v>
      </c>
      <c r="D102" s="3">
        <f t="shared" si="1"/>
        <v>2</v>
      </c>
      <c r="E102" s="3" t="str">
        <f>IFERROR(__xludf.DUMMYFUNCTION("REGEXEXTRACT(C102,""[^ ]* [^ ]*"")"),"dotted fuchsia")</f>
        <v>dotted fuchsia</v>
      </c>
      <c r="F102" s="3" t="str">
        <f>IFERROR(__xludf.DUMMYFUNCTION("MID(REGEXEXTRACT(C102,""contain.*$""),9,300)"),"5 shiny chartreuse bags, 1 dotted coral bag, 1 shiny cyan bag.")</f>
        <v>5 shiny chartreuse bags, 1 dotted coral bag, 1 shiny cyan bag.</v>
      </c>
      <c r="G102" s="3" t="str">
        <f>IFERROR(__xludf.DUMMYFUNCTION("INDEX(SPLIT($F102,"",""),COLUMN()-6)"),"5 shiny chartreuse bags")</f>
        <v>5 shiny chartreuse bags</v>
      </c>
      <c r="H102" s="3" t="str">
        <f>IFERROR(__xludf.DUMMYFUNCTION("MID(INDEX(SPLIT($F102,"",""),COLUMN()-6),2,300)"),"1 dotted coral bag")</f>
        <v>1 dotted coral bag</v>
      </c>
      <c r="I102" s="3" t="str">
        <f>IFERROR(__xludf.DUMMYFUNCTION("MID(INDEX(SPLIT($F102,"",""),COLUMN()-6),2,300)"),"1 shiny cyan bag.")</f>
        <v>1 shiny cyan bag.</v>
      </c>
      <c r="J102" s="3" t="str">
        <f>IFERROR(__xludf.DUMMYFUNCTION("MID(INDEX(SPLIT($F102,"",""),COLUMN()-6),2,300)"),"#REF!")</f>
        <v>#REF!</v>
      </c>
      <c r="K102" s="3">
        <f>IFERROR(__xludf.DUMMYFUNCTION("INDEX(SPLIT(G102,"" ""),1)"),5.0)</f>
        <v>5</v>
      </c>
      <c r="L102" s="3" t="str">
        <f>IFERROR(__xludf.DUMMYFUNCTION("REGEXEXTRACT(G102,"" [^ ]* [^ ]* "")")," shiny chartreuse ")</f>
        <v> shiny chartreuse </v>
      </c>
      <c r="M102" s="3">
        <f>IFERROR(__xludf.DUMMYFUNCTION("INDEX(SPLIT(H102,"" ""),1)"),1.0)</f>
        <v>1</v>
      </c>
      <c r="N102" s="3" t="str">
        <f>IFERROR(__xludf.DUMMYFUNCTION("MID(REGEXEXTRACT(H102,"" [^ ]* [^ ]*""),2,300)"),"dotted coral")</f>
        <v>dotted coral</v>
      </c>
      <c r="O102" s="3">
        <f>IFERROR(__xludf.DUMMYFUNCTION("INDEX(SPLIT(I102,"" ""),1)"),1.0)</f>
        <v>1</v>
      </c>
      <c r="P102" s="3" t="str">
        <f>IFERROR(__xludf.DUMMYFUNCTION("MID(REGEXEXTRACT(I102,"" [^ ]* [^ ]*""),2,300)"),"shiny cyan")</f>
        <v>shiny cyan</v>
      </c>
      <c r="Q102" s="3" t="str">
        <f>IFERROR(__xludf.DUMMYFUNCTION("INDEX(SPLIT(J102,"" ""),1)"),"#REF!")</f>
        <v>#REF!</v>
      </c>
      <c r="R102" s="3" t="str">
        <f>IFERROR(__xludf.DUMMYFUNCTION("MID(REGEXEXTRACT(J102,"" [^ ]* [^ ]*""),2,300)"),"#REF!")</f>
        <v>#REF!</v>
      </c>
      <c r="S102" s="3">
        <f t="shared" si="2"/>
        <v>5</v>
      </c>
      <c r="T102" s="3" t="str">
        <f t="shared" si="3"/>
        <v>shiny chartreuse</v>
      </c>
      <c r="U102" s="3">
        <f t="shared" si="4"/>
        <v>1</v>
      </c>
      <c r="V102" s="3" t="str">
        <f t="shared" si="5"/>
        <v>dotted coral</v>
      </c>
      <c r="W102" s="3">
        <f t="shared" si="6"/>
        <v>1</v>
      </c>
      <c r="X102" s="3" t="str">
        <f t="shared" si="7"/>
        <v>shiny cyan</v>
      </c>
      <c r="Y102" s="3" t="str">
        <f t="shared" si="8"/>
        <v/>
      </c>
      <c r="Z102" s="3" t="str">
        <f t="shared" si="9"/>
        <v/>
      </c>
      <c r="AA102" s="13">
        <f t="shared" si="10"/>
        <v>18533</v>
      </c>
      <c r="AB102" s="3">
        <f t="shared" si="11"/>
        <v>18532</v>
      </c>
      <c r="AC102" s="3">
        <f t="shared" si="12"/>
        <v>5</v>
      </c>
      <c r="AD102" s="3">
        <f t="shared" si="13"/>
        <v>1545</v>
      </c>
      <c r="AE102" s="3">
        <f t="shared" si="14"/>
        <v>1</v>
      </c>
      <c r="AF102" s="3">
        <f t="shared" si="15"/>
        <v>10803</v>
      </c>
      <c r="AG102" s="3">
        <f t="shared" si="16"/>
        <v>1</v>
      </c>
      <c r="AH102" s="3">
        <f t="shared" si="17"/>
        <v>4</v>
      </c>
      <c r="AI102" s="3" t="str">
        <f t="shared" si="18"/>
        <v/>
      </c>
      <c r="AJ102" s="3">
        <f t="shared" si="19"/>
        <v>0</v>
      </c>
    </row>
    <row r="103">
      <c r="C103" s="6" t="s">
        <v>103</v>
      </c>
      <c r="D103" s="3">
        <f t="shared" si="1"/>
        <v>1</v>
      </c>
      <c r="E103" s="3" t="str">
        <f>IFERROR(__xludf.DUMMYFUNCTION("REGEXEXTRACT(C103,""[^ ]* [^ ]*"")"),"dim fuchsia")</f>
        <v>dim fuchsia</v>
      </c>
      <c r="F103" s="3" t="str">
        <f>IFERROR(__xludf.DUMMYFUNCTION("MID(REGEXEXTRACT(C103,""contain.*$""),9,300)"),"1 striped orange bag, 1 clear crimson bag.")</f>
        <v>1 striped orange bag, 1 clear crimson bag.</v>
      </c>
      <c r="G103" s="3" t="str">
        <f>IFERROR(__xludf.DUMMYFUNCTION("INDEX(SPLIT($F103,"",""),COLUMN()-6)"),"1 striped orange bag")</f>
        <v>1 striped orange bag</v>
      </c>
      <c r="H103" s="3" t="str">
        <f>IFERROR(__xludf.DUMMYFUNCTION("MID(INDEX(SPLIT($F103,"",""),COLUMN()-6),2,300)"),"1 clear crimson bag.")</f>
        <v>1 clear crimson bag.</v>
      </c>
      <c r="I103" s="3" t="str">
        <f>IFERROR(__xludf.DUMMYFUNCTION("MID(INDEX(SPLIT($F103,"",""),COLUMN()-6),2,300)"),"#REF!")</f>
        <v>#REF!</v>
      </c>
      <c r="J103" s="3" t="str">
        <f>IFERROR(__xludf.DUMMYFUNCTION("MID(INDEX(SPLIT($F103,"",""),COLUMN()-6),2,300)"),"#REF!")</f>
        <v>#REF!</v>
      </c>
      <c r="K103" s="3">
        <f>IFERROR(__xludf.DUMMYFUNCTION("INDEX(SPLIT(G103,"" ""),1)"),1.0)</f>
        <v>1</v>
      </c>
      <c r="L103" s="3" t="str">
        <f>IFERROR(__xludf.DUMMYFUNCTION("REGEXEXTRACT(G103,"" [^ ]* [^ ]* "")")," striped orange ")</f>
        <v> striped orange </v>
      </c>
      <c r="M103" s="3">
        <f>IFERROR(__xludf.DUMMYFUNCTION("INDEX(SPLIT(H103,"" ""),1)"),1.0)</f>
        <v>1</v>
      </c>
      <c r="N103" s="3" t="str">
        <f>IFERROR(__xludf.DUMMYFUNCTION("MID(REGEXEXTRACT(H103,"" [^ ]* [^ ]*""),2,300)"),"clear crimson")</f>
        <v>clear crimson</v>
      </c>
      <c r="O103" s="3" t="str">
        <f>IFERROR(__xludf.DUMMYFUNCTION("INDEX(SPLIT(I103,"" ""),1)"),"#REF!")</f>
        <v>#REF!</v>
      </c>
      <c r="P103" s="3" t="str">
        <f>IFERROR(__xludf.DUMMYFUNCTION("MID(REGEXEXTRACT(I103,"" [^ ]* [^ ]*""),2,300)"),"#REF!")</f>
        <v>#REF!</v>
      </c>
      <c r="Q103" s="3" t="str">
        <f>IFERROR(__xludf.DUMMYFUNCTION("INDEX(SPLIT(J103,"" ""),1)"),"#REF!")</f>
        <v>#REF!</v>
      </c>
      <c r="R103" s="3" t="str">
        <f>IFERROR(__xludf.DUMMYFUNCTION("MID(REGEXEXTRACT(J103,"" [^ ]* [^ ]*""),2,300)"),"#REF!")</f>
        <v>#REF!</v>
      </c>
      <c r="S103" s="3">
        <f t="shared" si="2"/>
        <v>1</v>
      </c>
      <c r="T103" s="3" t="str">
        <f t="shared" si="3"/>
        <v>striped orange</v>
      </c>
      <c r="U103" s="3">
        <f t="shared" si="4"/>
        <v>1</v>
      </c>
      <c r="V103" s="3" t="str">
        <f t="shared" si="5"/>
        <v>clear crimson</v>
      </c>
      <c r="W103" s="3" t="str">
        <f t="shared" si="6"/>
        <v/>
      </c>
      <c r="X103" s="3" t="str">
        <f t="shared" si="7"/>
        <v/>
      </c>
      <c r="Y103" s="3" t="str">
        <f t="shared" si="8"/>
        <v/>
      </c>
      <c r="Z103" s="3" t="str">
        <f t="shared" si="9"/>
        <v/>
      </c>
      <c r="AA103" s="13">
        <f t="shared" si="10"/>
        <v>510711139</v>
      </c>
      <c r="AB103" s="3">
        <f t="shared" si="11"/>
        <v>510711138</v>
      </c>
      <c r="AC103" s="3">
        <f t="shared" si="12"/>
        <v>1</v>
      </c>
      <c r="AD103" s="3">
        <f t="shared" si="13"/>
        <v>485371005</v>
      </c>
      <c r="AE103" s="3">
        <f t="shared" si="14"/>
        <v>1</v>
      </c>
      <c r="AF103" s="3">
        <f t="shared" si="15"/>
        <v>25340133</v>
      </c>
      <c r="AG103" s="3" t="str">
        <f t="shared" si="16"/>
        <v/>
      </c>
      <c r="AH103" s="3">
        <f t="shared" si="17"/>
        <v>0</v>
      </c>
      <c r="AI103" s="3" t="str">
        <f t="shared" si="18"/>
        <v/>
      </c>
      <c r="AJ103" s="3">
        <f t="shared" si="19"/>
        <v>0</v>
      </c>
    </row>
    <row r="104">
      <c r="C104" s="6" t="s">
        <v>104</v>
      </c>
      <c r="D104" s="3">
        <f t="shared" si="1"/>
        <v>1</v>
      </c>
      <c r="E104" s="3" t="str">
        <f>IFERROR(__xludf.DUMMYFUNCTION("REGEXEXTRACT(C104,""[^ ]* [^ ]*"")"),"dotted cyan")</f>
        <v>dotted cyan</v>
      </c>
      <c r="F104" s="3" t="str">
        <f>IFERROR(__xludf.DUMMYFUNCTION("MID(REGEXEXTRACT(C104,""contain.*$""),9,300)"),"5 muted olive bags, 3 shiny white bags.")</f>
        <v>5 muted olive bags, 3 shiny white bags.</v>
      </c>
      <c r="G104" s="3" t="str">
        <f>IFERROR(__xludf.DUMMYFUNCTION("INDEX(SPLIT($F104,"",""),COLUMN()-6)"),"5 muted olive bags")</f>
        <v>5 muted olive bags</v>
      </c>
      <c r="H104" s="3" t="str">
        <f>IFERROR(__xludf.DUMMYFUNCTION("MID(INDEX(SPLIT($F104,"",""),COLUMN()-6),2,300)"),"3 shiny white bags.")</f>
        <v>3 shiny white bags.</v>
      </c>
      <c r="I104" s="3" t="str">
        <f>IFERROR(__xludf.DUMMYFUNCTION("MID(INDEX(SPLIT($F104,"",""),COLUMN()-6),2,300)"),"#REF!")</f>
        <v>#REF!</v>
      </c>
      <c r="J104" s="3" t="str">
        <f>IFERROR(__xludf.DUMMYFUNCTION("MID(INDEX(SPLIT($F104,"",""),COLUMN()-6),2,300)"),"#REF!")</f>
        <v>#REF!</v>
      </c>
      <c r="K104" s="3">
        <f>IFERROR(__xludf.DUMMYFUNCTION("INDEX(SPLIT(G104,"" ""),1)"),5.0)</f>
        <v>5</v>
      </c>
      <c r="L104" s="3" t="str">
        <f>IFERROR(__xludf.DUMMYFUNCTION("REGEXEXTRACT(G104,"" [^ ]* [^ ]* "")")," muted olive ")</f>
        <v> muted olive </v>
      </c>
      <c r="M104" s="3">
        <f>IFERROR(__xludf.DUMMYFUNCTION("INDEX(SPLIT(H104,"" ""),1)"),3.0)</f>
        <v>3</v>
      </c>
      <c r="N104" s="3" t="str">
        <f>IFERROR(__xludf.DUMMYFUNCTION("MID(REGEXEXTRACT(H104,"" [^ ]* [^ ]*""),2,300)"),"shiny white")</f>
        <v>shiny white</v>
      </c>
      <c r="O104" s="3" t="str">
        <f>IFERROR(__xludf.DUMMYFUNCTION("INDEX(SPLIT(I104,"" ""),1)"),"#REF!")</f>
        <v>#REF!</v>
      </c>
      <c r="P104" s="3" t="str">
        <f>IFERROR(__xludf.DUMMYFUNCTION("MID(REGEXEXTRACT(I104,"" [^ ]* [^ ]*""),2,300)"),"#REF!")</f>
        <v>#REF!</v>
      </c>
      <c r="Q104" s="3" t="str">
        <f>IFERROR(__xludf.DUMMYFUNCTION("INDEX(SPLIT(J104,"" ""),1)"),"#REF!")</f>
        <v>#REF!</v>
      </c>
      <c r="R104" s="3" t="str">
        <f>IFERROR(__xludf.DUMMYFUNCTION("MID(REGEXEXTRACT(J104,"" [^ ]* [^ ]*""),2,300)"),"#REF!")</f>
        <v>#REF!</v>
      </c>
      <c r="S104" s="3">
        <f t="shared" si="2"/>
        <v>5</v>
      </c>
      <c r="T104" s="3" t="str">
        <f t="shared" si="3"/>
        <v>muted olive</v>
      </c>
      <c r="U104" s="3">
        <f t="shared" si="4"/>
        <v>3</v>
      </c>
      <c r="V104" s="3" t="str">
        <f t="shared" si="5"/>
        <v>shiny white</v>
      </c>
      <c r="W104" s="3" t="str">
        <f t="shared" si="6"/>
        <v/>
      </c>
      <c r="X104" s="3" t="str">
        <f t="shared" si="7"/>
        <v/>
      </c>
      <c r="Y104" s="3" t="str">
        <f t="shared" si="8"/>
        <v/>
      </c>
      <c r="Z104" s="3" t="str">
        <f t="shared" si="9"/>
        <v/>
      </c>
      <c r="AA104" s="13">
        <f t="shared" si="10"/>
        <v>354607</v>
      </c>
      <c r="AB104" s="3">
        <f t="shared" si="11"/>
        <v>354606</v>
      </c>
      <c r="AC104" s="3">
        <f t="shared" si="12"/>
        <v>5</v>
      </c>
      <c r="AD104" s="3">
        <f t="shared" si="13"/>
        <v>6</v>
      </c>
      <c r="AE104" s="3">
        <f t="shared" si="14"/>
        <v>3</v>
      </c>
      <c r="AF104" s="3">
        <f t="shared" si="15"/>
        <v>118192</v>
      </c>
      <c r="AG104" s="3" t="str">
        <f t="shared" si="16"/>
        <v/>
      </c>
      <c r="AH104" s="3">
        <f t="shared" si="17"/>
        <v>0</v>
      </c>
      <c r="AI104" s="3" t="str">
        <f t="shared" si="18"/>
        <v/>
      </c>
      <c r="AJ104" s="3">
        <f t="shared" si="19"/>
        <v>0</v>
      </c>
    </row>
    <row r="105">
      <c r="C105" s="6" t="s">
        <v>105</v>
      </c>
      <c r="D105" s="3">
        <f t="shared" si="1"/>
        <v>2</v>
      </c>
      <c r="E105" s="3" t="str">
        <f>IFERROR(__xludf.DUMMYFUNCTION("REGEXEXTRACT(C105,""[^ ]* [^ ]*"")"),"dark beige")</f>
        <v>dark beige</v>
      </c>
      <c r="F105" s="3" t="str">
        <f>IFERROR(__xludf.DUMMYFUNCTION("MID(REGEXEXTRACT(C105,""contain.*$""),9,300)"),"4 light teal bags, 4 drab teal bags, 5 wavy beige bags.")</f>
        <v>4 light teal bags, 4 drab teal bags, 5 wavy beige bags.</v>
      </c>
      <c r="G105" s="3" t="str">
        <f>IFERROR(__xludf.DUMMYFUNCTION("INDEX(SPLIT($F105,"",""),COLUMN()-6)"),"4 light teal bags")</f>
        <v>4 light teal bags</v>
      </c>
      <c r="H105" s="3" t="str">
        <f>IFERROR(__xludf.DUMMYFUNCTION("MID(INDEX(SPLIT($F105,"",""),COLUMN()-6),2,300)"),"4 drab teal bags")</f>
        <v>4 drab teal bags</v>
      </c>
      <c r="I105" s="3" t="str">
        <f>IFERROR(__xludf.DUMMYFUNCTION("MID(INDEX(SPLIT($F105,"",""),COLUMN()-6),2,300)"),"5 wavy beige bags.")</f>
        <v>5 wavy beige bags.</v>
      </c>
      <c r="J105" s="3" t="str">
        <f>IFERROR(__xludf.DUMMYFUNCTION("MID(INDEX(SPLIT($F105,"",""),COLUMN()-6),2,300)"),"#REF!")</f>
        <v>#REF!</v>
      </c>
      <c r="K105" s="3">
        <f>IFERROR(__xludf.DUMMYFUNCTION("INDEX(SPLIT(G105,"" ""),1)"),4.0)</f>
        <v>4</v>
      </c>
      <c r="L105" s="3" t="str">
        <f>IFERROR(__xludf.DUMMYFUNCTION("REGEXEXTRACT(G105,"" [^ ]* [^ ]* "")")," light teal ")</f>
        <v> light teal </v>
      </c>
      <c r="M105" s="3">
        <f>IFERROR(__xludf.DUMMYFUNCTION("INDEX(SPLIT(H105,"" ""),1)"),4.0)</f>
        <v>4</v>
      </c>
      <c r="N105" s="3" t="str">
        <f>IFERROR(__xludf.DUMMYFUNCTION("MID(REGEXEXTRACT(H105,"" [^ ]* [^ ]*""),2,300)"),"drab teal")</f>
        <v>drab teal</v>
      </c>
      <c r="O105" s="3">
        <f>IFERROR(__xludf.DUMMYFUNCTION("INDEX(SPLIT(I105,"" ""),1)"),5.0)</f>
        <v>5</v>
      </c>
      <c r="P105" s="3" t="str">
        <f>IFERROR(__xludf.DUMMYFUNCTION("MID(REGEXEXTRACT(I105,"" [^ ]* [^ ]*""),2,300)"),"wavy beige")</f>
        <v>wavy beige</v>
      </c>
      <c r="Q105" s="3" t="str">
        <f>IFERROR(__xludf.DUMMYFUNCTION("INDEX(SPLIT(J105,"" ""),1)"),"#REF!")</f>
        <v>#REF!</v>
      </c>
      <c r="R105" s="3" t="str">
        <f>IFERROR(__xludf.DUMMYFUNCTION("MID(REGEXEXTRACT(J105,"" [^ ]* [^ ]*""),2,300)"),"#REF!")</f>
        <v>#REF!</v>
      </c>
      <c r="S105" s="3">
        <f t="shared" si="2"/>
        <v>4</v>
      </c>
      <c r="T105" s="3" t="str">
        <f t="shared" si="3"/>
        <v>light teal</v>
      </c>
      <c r="U105" s="3">
        <f t="shared" si="4"/>
        <v>4</v>
      </c>
      <c r="V105" s="3" t="str">
        <f t="shared" si="5"/>
        <v>drab teal</v>
      </c>
      <c r="W105" s="3">
        <f t="shared" si="6"/>
        <v>5</v>
      </c>
      <c r="X105" s="3" t="str">
        <f t="shared" si="7"/>
        <v>wavy beige</v>
      </c>
      <c r="Y105" s="3" t="str">
        <f t="shared" si="8"/>
        <v/>
      </c>
      <c r="Z105" s="3" t="str">
        <f t="shared" si="9"/>
        <v/>
      </c>
      <c r="AA105" s="13">
        <f t="shared" si="10"/>
        <v>581115</v>
      </c>
      <c r="AB105" s="3">
        <f t="shared" si="11"/>
        <v>581114</v>
      </c>
      <c r="AC105" s="3">
        <f t="shared" si="12"/>
        <v>4</v>
      </c>
      <c r="AD105" s="3">
        <f t="shared" si="13"/>
        <v>48488</v>
      </c>
      <c r="AE105" s="3">
        <f t="shared" si="14"/>
        <v>4</v>
      </c>
      <c r="AF105" s="3">
        <f t="shared" si="15"/>
        <v>40693</v>
      </c>
      <c r="AG105" s="3">
        <f t="shared" si="16"/>
        <v>5</v>
      </c>
      <c r="AH105" s="3">
        <f t="shared" si="17"/>
        <v>44878</v>
      </c>
      <c r="AI105" s="3" t="str">
        <f t="shared" si="18"/>
        <v/>
      </c>
      <c r="AJ105" s="3">
        <f t="shared" si="19"/>
        <v>0</v>
      </c>
    </row>
    <row r="106">
      <c r="C106" s="6" t="s">
        <v>106</v>
      </c>
      <c r="D106" s="3">
        <f t="shared" si="1"/>
        <v>2</v>
      </c>
      <c r="E106" s="3" t="str">
        <f>IFERROR(__xludf.DUMMYFUNCTION("REGEXEXTRACT(C106,""[^ ]* [^ ]*"")"),"striped magenta")</f>
        <v>striped magenta</v>
      </c>
      <c r="F106" s="3" t="str">
        <f>IFERROR(__xludf.DUMMYFUNCTION("MID(REGEXEXTRACT(C106,""contain.*$""),9,300)"),"5 plaid purple bags, 3 dotted crimson bags, 2 dull tomato bags.")</f>
        <v>5 plaid purple bags, 3 dotted crimson bags, 2 dull tomato bags.</v>
      </c>
      <c r="G106" s="3" t="str">
        <f>IFERROR(__xludf.DUMMYFUNCTION("INDEX(SPLIT($F106,"",""),COLUMN()-6)"),"5 plaid purple bags")</f>
        <v>5 plaid purple bags</v>
      </c>
      <c r="H106" s="3" t="str">
        <f>IFERROR(__xludf.DUMMYFUNCTION("MID(INDEX(SPLIT($F106,"",""),COLUMN()-6),2,300)"),"3 dotted crimson bags")</f>
        <v>3 dotted crimson bags</v>
      </c>
      <c r="I106" s="3" t="str">
        <f>IFERROR(__xludf.DUMMYFUNCTION("MID(INDEX(SPLIT($F106,"",""),COLUMN()-6),2,300)"),"2 dull tomato bags.")</f>
        <v>2 dull tomato bags.</v>
      </c>
      <c r="J106" s="3" t="str">
        <f>IFERROR(__xludf.DUMMYFUNCTION("MID(INDEX(SPLIT($F106,"",""),COLUMN()-6),2,300)"),"#REF!")</f>
        <v>#REF!</v>
      </c>
      <c r="K106" s="3">
        <f>IFERROR(__xludf.DUMMYFUNCTION("INDEX(SPLIT(G106,"" ""),1)"),5.0)</f>
        <v>5</v>
      </c>
      <c r="L106" s="3" t="str">
        <f>IFERROR(__xludf.DUMMYFUNCTION("REGEXEXTRACT(G106,"" [^ ]* [^ ]* "")")," plaid purple ")</f>
        <v> plaid purple </v>
      </c>
      <c r="M106" s="3">
        <f>IFERROR(__xludf.DUMMYFUNCTION("INDEX(SPLIT(H106,"" ""),1)"),3.0)</f>
        <v>3</v>
      </c>
      <c r="N106" s="3" t="str">
        <f>IFERROR(__xludf.DUMMYFUNCTION("MID(REGEXEXTRACT(H106,"" [^ ]* [^ ]*""),2,300)"),"dotted crimson")</f>
        <v>dotted crimson</v>
      </c>
      <c r="O106" s="3">
        <f>IFERROR(__xludf.DUMMYFUNCTION("INDEX(SPLIT(I106,"" ""),1)"),2.0)</f>
        <v>2</v>
      </c>
      <c r="P106" s="3" t="str">
        <f>IFERROR(__xludf.DUMMYFUNCTION("MID(REGEXEXTRACT(I106,"" [^ ]* [^ ]*""),2,300)"),"dull tomato")</f>
        <v>dull tomato</v>
      </c>
      <c r="Q106" s="3" t="str">
        <f>IFERROR(__xludf.DUMMYFUNCTION("INDEX(SPLIT(J106,"" ""),1)"),"#REF!")</f>
        <v>#REF!</v>
      </c>
      <c r="R106" s="3" t="str">
        <f>IFERROR(__xludf.DUMMYFUNCTION("MID(REGEXEXTRACT(J106,"" [^ ]* [^ ]*""),2,300)"),"#REF!")</f>
        <v>#REF!</v>
      </c>
      <c r="S106" s="3">
        <f t="shared" si="2"/>
        <v>5</v>
      </c>
      <c r="T106" s="3" t="str">
        <f t="shared" si="3"/>
        <v>plaid purple</v>
      </c>
      <c r="U106" s="3">
        <f t="shared" si="4"/>
        <v>3</v>
      </c>
      <c r="V106" s="3" t="str">
        <f t="shared" si="5"/>
        <v>dotted crimson</v>
      </c>
      <c r="W106" s="3">
        <f t="shared" si="6"/>
        <v>2</v>
      </c>
      <c r="X106" s="3" t="str">
        <f t="shared" si="7"/>
        <v>dull tomato</v>
      </c>
      <c r="Y106" s="3" t="str">
        <f t="shared" si="8"/>
        <v/>
      </c>
      <c r="Z106" s="3" t="str">
        <f t="shared" si="9"/>
        <v/>
      </c>
      <c r="AA106" s="13">
        <f t="shared" si="10"/>
        <v>140015</v>
      </c>
      <c r="AB106" s="3">
        <f t="shared" si="11"/>
        <v>140014</v>
      </c>
      <c r="AC106" s="3">
        <f t="shared" si="12"/>
        <v>5</v>
      </c>
      <c r="AD106" s="3">
        <f t="shared" si="13"/>
        <v>27231</v>
      </c>
      <c r="AE106" s="3">
        <f t="shared" si="14"/>
        <v>3</v>
      </c>
      <c r="AF106" s="3">
        <f t="shared" si="15"/>
        <v>1279</v>
      </c>
      <c r="AG106" s="3">
        <f t="shared" si="16"/>
        <v>2</v>
      </c>
      <c r="AH106" s="3">
        <f t="shared" si="17"/>
        <v>11</v>
      </c>
      <c r="AI106" s="3" t="str">
        <f t="shared" si="18"/>
        <v/>
      </c>
      <c r="AJ106" s="3">
        <f t="shared" si="19"/>
        <v>0</v>
      </c>
    </row>
    <row r="107">
      <c r="C107" s="6" t="s">
        <v>107</v>
      </c>
      <c r="D107" s="3">
        <f t="shared" si="1"/>
        <v>0</v>
      </c>
      <c r="E107" s="3" t="str">
        <f>IFERROR(__xludf.DUMMYFUNCTION("REGEXEXTRACT(C107,""[^ ]* [^ ]*"")"),"striped blue")</f>
        <v>striped blue</v>
      </c>
      <c r="F107" s="3" t="str">
        <f>IFERROR(__xludf.DUMMYFUNCTION("MID(REGEXEXTRACT(C107,""contain.*$""),9,300)"),"3 dim aqua bags.")</f>
        <v>3 dim aqua bags.</v>
      </c>
      <c r="G107" s="3" t="str">
        <f>IFERROR(__xludf.DUMMYFUNCTION("INDEX(SPLIT($F107,"",""),COLUMN()-6)"),"3 dim aqua bags.")</f>
        <v>3 dim aqua bags.</v>
      </c>
      <c r="H107" s="3" t="str">
        <f>IFERROR(__xludf.DUMMYFUNCTION("MID(INDEX(SPLIT($F107,"",""),COLUMN()-6),2,300)"),"#REF!")</f>
        <v>#REF!</v>
      </c>
      <c r="I107" s="3" t="str">
        <f>IFERROR(__xludf.DUMMYFUNCTION("MID(INDEX(SPLIT($F107,"",""),COLUMN()-6),2,300)"),"#REF!")</f>
        <v>#REF!</v>
      </c>
      <c r="J107" s="3" t="str">
        <f>IFERROR(__xludf.DUMMYFUNCTION("MID(INDEX(SPLIT($F107,"",""),COLUMN()-6),2,300)"),"#REF!")</f>
        <v>#REF!</v>
      </c>
      <c r="K107" s="3">
        <f>IFERROR(__xludf.DUMMYFUNCTION("INDEX(SPLIT(G107,"" ""),1)"),3.0)</f>
        <v>3</v>
      </c>
      <c r="L107" s="3" t="str">
        <f>IFERROR(__xludf.DUMMYFUNCTION("REGEXEXTRACT(G107,"" [^ ]* [^ ]* "")")," dim aqua ")</f>
        <v> dim aqua </v>
      </c>
      <c r="M107" s="3" t="str">
        <f>IFERROR(__xludf.DUMMYFUNCTION("INDEX(SPLIT(H107,"" ""),1)"),"#REF!")</f>
        <v>#REF!</v>
      </c>
      <c r="N107" s="3" t="str">
        <f>IFERROR(__xludf.DUMMYFUNCTION("MID(REGEXEXTRACT(H107,"" [^ ]* [^ ]*""),2,300)"),"#REF!")</f>
        <v>#REF!</v>
      </c>
      <c r="O107" s="3" t="str">
        <f>IFERROR(__xludf.DUMMYFUNCTION("INDEX(SPLIT(I107,"" ""),1)"),"#REF!")</f>
        <v>#REF!</v>
      </c>
      <c r="P107" s="3" t="str">
        <f>IFERROR(__xludf.DUMMYFUNCTION("MID(REGEXEXTRACT(I107,"" [^ ]* [^ ]*""),2,300)"),"#REF!")</f>
        <v>#REF!</v>
      </c>
      <c r="Q107" s="3" t="str">
        <f>IFERROR(__xludf.DUMMYFUNCTION("INDEX(SPLIT(J107,"" ""),1)"),"#REF!")</f>
        <v>#REF!</v>
      </c>
      <c r="R107" s="3" t="str">
        <f>IFERROR(__xludf.DUMMYFUNCTION("MID(REGEXEXTRACT(J107,"" [^ ]* [^ ]*""),2,300)"),"#REF!")</f>
        <v>#REF!</v>
      </c>
      <c r="S107" s="3">
        <f t="shared" si="2"/>
        <v>3</v>
      </c>
      <c r="T107" s="3" t="str">
        <f t="shared" si="3"/>
        <v>dim aqua</v>
      </c>
      <c r="U107" s="3" t="str">
        <f t="shared" si="4"/>
        <v/>
      </c>
      <c r="V107" s="3" t="str">
        <f t="shared" si="5"/>
        <v/>
      </c>
      <c r="W107" s="3" t="str">
        <f t="shared" si="6"/>
        <v/>
      </c>
      <c r="X107" s="3" t="str">
        <f t="shared" si="7"/>
        <v/>
      </c>
      <c r="Y107" s="3" t="str">
        <f t="shared" si="8"/>
        <v/>
      </c>
      <c r="Z107" s="3" t="str">
        <f t="shared" si="9"/>
        <v/>
      </c>
      <c r="AA107" s="13">
        <f t="shared" si="10"/>
        <v>180499</v>
      </c>
      <c r="AB107" s="3">
        <f t="shared" si="11"/>
        <v>180498</v>
      </c>
      <c r="AC107" s="3">
        <f t="shared" si="12"/>
        <v>3</v>
      </c>
      <c r="AD107" s="3">
        <f t="shared" si="13"/>
        <v>60166</v>
      </c>
      <c r="AE107" s="3" t="str">
        <f t="shared" si="14"/>
        <v/>
      </c>
      <c r="AF107" s="3">
        <f t="shared" si="15"/>
        <v>0</v>
      </c>
      <c r="AG107" s="3" t="str">
        <f t="shared" si="16"/>
        <v/>
      </c>
      <c r="AH107" s="3">
        <f t="shared" si="17"/>
        <v>0</v>
      </c>
      <c r="AI107" s="3" t="str">
        <f t="shared" si="18"/>
        <v/>
      </c>
      <c r="AJ107" s="3">
        <f t="shared" si="19"/>
        <v>0</v>
      </c>
    </row>
    <row r="108">
      <c r="C108" s="6" t="s">
        <v>108</v>
      </c>
      <c r="D108" s="3">
        <f t="shared" si="1"/>
        <v>3</v>
      </c>
      <c r="E108" s="3" t="str">
        <f>IFERROR(__xludf.DUMMYFUNCTION("REGEXEXTRACT(C108,""[^ ]* [^ ]*"")"),"light silver")</f>
        <v>light silver</v>
      </c>
      <c r="F108" s="3" t="str">
        <f>IFERROR(__xludf.DUMMYFUNCTION("MID(REGEXEXTRACT(C108,""contain.*$""),9,300)"),"3 shiny green bags, 2 vibrant black bags, 1 wavy turquoise bag, 3 faded bronze bags.")</f>
        <v>3 shiny green bags, 2 vibrant black bags, 1 wavy turquoise bag, 3 faded bronze bags.</v>
      </c>
      <c r="G108" s="3" t="str">
        <f>IFERROR(__xludf.DUMMYFUNCTION("INDEX(SPLIT($F108,"",""),COLUMN()-6)"),"3 shiny green bags")</f>
        <v>3 shiny green bags</v>
      </c>
      <c r="H108" s="3" t="str">
        <f>IFERROR(__xludf.DUMMYFUNCTION("MID(INDEX(SPLIT($F108,"",""),COLUMN()-6),2,300)"),"2 vibrant black bags")</f>
        <v>2 vibrant black bags</v>
      </c>
      <c r="I108" s="3" t="str">
        <f>IFERROR(__xludf.DUMMYFUNCTION("MID(INDEX(SPLIT($F108,"",""),COLUMN()-6),2,300)"),"1 wavy turquoise bag")</f>
        <v>1 wavy turquoise bag</v>
      </c>
      <c r="J108" s="3" t="str">
        <f>IFERROR(__xludf.DUMMYFUNCTION("MID(INDEX(SPLIT($F108,"",""),COLUMN()-6),2,300)"),"3 faded bronze bags.")</f>
        <v>3 faded bronze bags.</v>
      </c>
      <c r="K108" s="3">
        <f>IFERROR(__xludf.DUMMYFUNCTION("INDEX(SPLIT(G108,"" ""),1)"),3.0)</f>
        <v>3</v>
      </c>
      <c r="L108" s="3" t="str">
        <f>IFERROR(__xludf.DUMMYFUNCTION("REGEXEXTRACT(G108,"" [^ ]* [^ ]* "")")," shiny green ")</f>
        <v> shiny green </v>
      </c>
      <c r="M108" s="3">
        <f>IFERROR(__xludf.DUMMYFUNCTION("INDEX(SPLIT(H108,"" ""),1)"),2.0)</f>
        <v>2</v>
      </c>
      <c r="N108" s="3" t="str">
        <f>IFERROR(__xludf.DUMMYFUNCTION("MID(REGEXEXTRACT(H108,"" [^ ]* [^ ]*""),2,300)"),"vibrant black")</f>
        <v>vibrant black</v>
      </c>
      <c r="O108" s="3">
        <f>IFERROR(__xludf.DUMMYFUNCTION("INDEX(SPLIT(I108,"" ""),1)"),1.0)</f>
        <v>1</v>
      </c>
      <c r="P108" s="3" t="str">
        <f>IFERROR(__xludf.DUMMYFUNCTION("MID(REGEXEXTRACT(I108,"" [^ ]* [^ ]*""),2,300)"),"wavy turquoise")</f>
        <v>wavy turquoise</v>
      </c>
      <c r="Q108" s="3">
        <f>IFERROR(__xludf.DUMMYFUNCTION("INDEX(SPLIT(J108,"" ""),1)"),3.0)</f>
        <v>3</v>
      </c>
      <c r="R108" s="3" t="str">
        <f>IFERROR(__xludf.DUMMYFUNCTION("MID(REGEXEXTRACT(J108,"" [^ ]* [^ ]*""),2,300)"),"faded bronze")</f>
        <v>faded bronze</v>
      </c>
      <c r="S108" s="3">
        <f t="shared" si="2"/>
        <v>3</v>
      </c>
      <c r="T108" s="3" t="str">
        <f t="shared" si="3"/>
        <v>shiny green</v>
      </c>
      <c r="U108" s="3">
        <f t="shared" si="4"/>
        <v>2</v>
      </c>
      <c r="V108" s="3" t="str">
        <f t="shared" si="5"/>
        <v>vibrant black</v>
      </c>
      <c r="W108" s="3">
        <f t="shared" si="6"/>
        <v>1</v>
      </c>
      <c r="X108" s="3" t="str">
        <f t="shared" si="7"/>
        <v>wavy turquoise</v>
      </c>
      <c r="Y108" s="3">
        <f t="shared" si="8"/>
        <v>3</v>
      </c>
      <c r="Z108" s="3" t="str">
        <f t="shared" si="9"/>
        <v>faded bronze</v>
      </c>
      <c r="AA108" s="13">
        <f t="shared" si="10"/>
        <v>2526579336</v>
      </c>
      <c r="AB108" s="3">
        <f t="shared" si="11"/>
        <v>2526579335</v>
      </c>
      <c r="AC108" s="3">
        <f t="shared" si="12"/>
        <v>3</v>
      </c>
      <c r="AD108" s="3">
        <f t="shared" si="13"/>
        <v>740764401</v>
      </c>
      <c r="AE108" s="3">
        <f t="shared" si="14"/>
        <v>2</v>
      </c>
      <c r="AF108" s="3">
        <f t="shared" si="15"/>
        <v>152100230</v>
      </c>
      <c r="AG108" s="3">
        <f t="shared" si="16"/>
        <v>1</v>
      </c>
      <c r="AH108" s="3">
        <f t="shared" si="17"/>
        <v>11485</v>
      </c>
      <c r="AI108" s="3">
        <f t="shared" si="18"/>
        <v>3</v>
      </c>
      <c r="AJ108" s="3">
        <f t="shared" si="19"/>
        <v>24729</v>
      </c>
    </row>
    <row r="109">
      <c r="C109" s="6" t="s">
        <v>109</v>
      </c>
      <c r="D109" s="3">
        <f t="shared" si="1"/>
        <v>3</v>
      </c>
      <c r="E109" s="3" t="str">
        <f>IFERROR(__xludf.DUMMYFUNCTION("REGEXEXTRACT(C109,""[^ ]* [^ ]*"")"),"pale indigo")</f>
        <v>pale indigo</v>
      </c>
      <c r="F109" s="3" t="str">
        <f>IFERROR(__xludf.DUMMYFUNCTION("MID(REGEXEXTRACT(C109,""contain.*$""),9,300)"),"4 pale silver bags, 3 dotted tomato bags, 1 dark violet bag, 3 clear lime bags.")</f>
        <v>4 pale silver bags, 3 dotted tomato bags, 1 dark violet bag, 3 clear lime bags.</v>
      </c>
      <c r="G109" s="3" t="str">
        <f>IFERROR(__xludf.DUMMYFUNCTION("INDEX(SPLIT($F109,"",""),COLUMN()-6)"),"4 pale silver bags")</f>
        <v>4 pale silver bags</v>
      </c>
      <c r="H109" s="3" t="str">
        <f>IFERROR(__xludf.DUMMYFUNCTION("MID(INDEX(SPLIT($F109,"",""),COLUMN()-6),2,300)"),"3 dotted tomato bags")</f>
        <v>3 dotted tomato bags</v>
      </c>
      <c r="I109" s="3" t="str">
        <f>IFERROR(__xludf.DUMMYFUNCTION("MID(INDEX(SPLIT($F109,"",""),COLUMN()-6),2,300)"),"1 dark violet bag")</f>
        <v>1 dark violet bag</v>
      </c>
      <c r="J109" s="3" t="str">
        <f>IFERROR(__xludf.DUMMYFUNCTION("MID(INDEX(SPLIT($F109,"",""),COLUMN()-6),2,300)"),"3 clear lime bags.")</f>
        <v>3 clear lime bags.</v>
      </c>
      <c r="K109" s="3">
        <f>IFERROR(__xludf.DUMMYFUNCTION("INDEX(SPLIT(G109,"" ""),1)"),4.0)</f>
        <v>4</v>
      </c>
      <c r="L109" s="3" t="str">
        <f>IFERROR(__xludf.DUMMYFUNCTION("REGEXEXTRACT(G109,"" [^ ]* [^ ]* "")")," pale silver ")</f>
        <v> pale silver </v>
      </c>
      <c r="M109" s="3">
        <f>IFERROR(__xludf.DUMMYFUNCTION("INDEX(SPLIT(H109,"" ""),1)"),3.0)</f>
        <v>3</v>
      </c>
      <c r="N109" s="3" t="str">
        <f>IFERROR(__xludf.DUMMYFUNCTION("MID(REGEXEXTRACT(H109,"" [^ ]* [^ ]*""),2,300)"),"dotted tomato")</f>
        <v>dotted tomato</v>
      </c>
      <c r="O109" s="3">
        <f>IFERROR(__xludf.DUMMYFUNCTION("INDEX(SPLIT(I109,"" ""),1)"),1.0)</f>
        <v>1</v>
      </c>
      <c r="P109" s="3" t="str">
        <f>IFERROR(__xludf.DUMMYFUNCTION("MID(REGEXEXTRACT(I109,"" [^ ]* [^ ]*""),2,300)"),"dark violet")</f>
        <v>dark violet</v>
      </c>
      <c r="Q109" s="3">
        <f>IFERROR(__xludf.DUMMYFUNCTION("INDEX(SPLIT(J109,"" ""),1)"),3.0)</f>
        <v>3</v>
      </c>
      <c r="R109" s="3" t="str">
        <f>IFERROR(__xludf.DUMMYFUNCTION("MID(REGEXEXTRACT(J109,"" [^ ]* [^ ]*""),2,300)"),"clear lime")</f>
        <v>clear lime</v>
      </c>
      <c r="S109" s="3">
        <f t="shared" si="2"/>
        <v>4</v>
      </c>
      <c r="T109" s="3" t="str">
        <f t="shared" si="3"/>
        <v>pale silver</v>
      </c>
      <c r="U109" s="3">
        <f t="shared" si="4"/>
        <v>3</v>
      </c>
      <c r="V109" s="3" t="str">
        <f t="shared" si="5"/>
        <v>dotted tomato</v>
      </c>
      <c r="W109" s="3">
        <f t="shared" si="6"/>
        <v>1</v>
      </c>
      <c r="X109" s="3" t="str">
        <f t="shared" si="7"/>
        <v>dark violet</v>
      </c>
      <c r="Y109" s="3">
        <f t="shared" si="8"/>
        <v>3</v>
      </c>
      <c r="Z109" s="3" t="str">
        <f t="shared" si="9"/>
        <v>clear lime</v>
      </c>
      <c r="AA109" s="13">
        <f t="shared" si="10"/>
        <v>93823002</v>
      </c>
      <c r="AB109" s="3">
        <f t="shared" si="11"/>
        <v>93823001</v>
      </c>
      <c r="AC109" s="3">
        <f t="shared" si="12"/>
        <v>4</v>
      </c>
      <c r="AD109" s="3">
        <f t="shared" si="13"/>
        <v>14456969</v>
      </c>
      <c r="AE109" s="3">
        <f t="shared" si="14"/>
        <v>3</v>
      </c>
      <c r="AF109" s="3">
        <f t="shared" si="15"/>
        <v>11056167</v>
      </c>
      <c r="AG109" s="3">
        <f t="shared" si="16"/>
        <v>1</v>
      </c>
      <c r="AH109" s="3">
        <f t="shared" si="17"/>
        <v>508749</v>
      </c>
      <c r="AI109" s="3">
        <f t="shared" si="18"/>
        <v>3</v>
      </c>
      <c r="AJ109" s="3">
        <f t="shared" si="19"/>
        <v>772625</v>
      </c>
    </row>
    <row r="110">
      <c r="C110" s="6" t="s">
        <v>110</v>
      </c>
      <c r="D110" s="3">
        <f t="shared" si="1"/>
        <v>3</v>
      </c>
      <c r="E110" s="3" t="str">
        <f>IFERROR(__xludf.DUMMYFUNCTION("REGEXEXTRACT(C110,""[^ ]* [^ ]*"")"),"mirrored turquoise")</f>
        <v>mirrored turquoise</v>
      </c>
      <c r="F110" s="3" t="str">
        <f>IFERROR(__xludf.DUMMYFUNCTION("MID(REGEXEXTRACT(C110,""contain.*$""),9,300)"),"1 pale salmon bag, 2 dotted crimson bags, 1 drab tomato bag, 2 muted green bags.")</f>
        <v>1 pale salmon bag, 2 dotted crimson bags, 1 drab tomato bag, 2 muted green bags.</v>
      </c>
      <c r="G110" s="3" t="str">
        <f>IFERROR(__xludf.DUMMYFUNCTION("INDEX(SPLIT($F110,"",""),COLUMN()-6)"),"1 pale salmon bag")</f>
        <v>1 pale salmon bag</v>
      </c>
      <c r="H110" s="3" t="str">
        <f>IFERROR(__xludf.DUMMYFUNCTION("MID(INDEX(SPLIT($F110,"",""),COLUMN()-6),2,300)"),"2 dotted crimson bags")</f>
        <v>2 dotted crimson bags</v>
      </c>
      <c r="I110" s="3" t="str">
        <f>IFERROR(__xludf.DUMMYFUNCTION("MID(INDEX(SPLIT($F110,"",""),COLUMN()-6),2,300)"),"1 drab tomato bag")</f>
        <v>1 drab tomato bag</v>
      </c>
      <c r="J110" s="3" t="str">
        <f>IFERROR(__xludf.DUMMYFUNCTION("MID(INDEX(SPLIT($F110,"",""),COLUMN()-6),2,300)"),"2 muted green bags.")</f>
        <v>2 muted green bags.</v>
      </c>
      <c r="K110" s="3">
        <f>IFERROR(__xludf.DUMMYFUNCTION("INDEX(SPLIT(G110,"" ""),1)"),1.0)</f>
        <v>1</v>
      </c>
      <c r="L110" s="3" t="str">
        <f>IFERROR(__xludf.DUMMYFUNCTION("REGEXEXTRACT(G110,"" [^ ]* [^ ]* "")")," pale salmon ")</f>
        <v> pale salmon </v>
      </c>
      <c r="M110" s="3">
        <f>IFERROR(__xludf.DUMMYFUNCTION("INDEX(SPLIT(H110,"" ""),1)"),2.0)</f>
        <v>2</v>
      </c>
      <c r="N110" s="3" t="str">
        <f>IFERROR(__xludf.DUMMYFUNCTION("MID(REGEXEXTRACT(H110,"" [^ ]* [^ ]*""),2,300)"),"dotted crimson")</f>
        <v>dotted crimson</v>
      </c>
      <c r="O110" s="3">
        <f>IFERROR(__xludf.DUMMYFUNCTION("INDEX(SPLIT(I110,"" ""),1)"),1.0)</f>
        <v>1</v>
      </c>
      <c r="P110" s="3" t="str">
        <f>IFERROR(__xludf.DUMMYFUNCTION("MID(REGEXEXTRACT(I110,"" [^ ]* [^ ]*""),2,300)"),"drab tomato")</f>
        <v>drab tomato</v>
      </c>
      <c r="Q110" s="3">
        <f>IFERROR(__xludf.DUMMYFUNCTION("INDEX(SPLIT(J110,"" ""),1)"),2.0)</f>
        <v>2</v>
      </c>
      <c r="R110" s="3" t="str">
        <f>IFERROR(__xludf.DUMMYFUNCTION("MID(REGEXEXTRACT(J110,"" [^ ]* [^ ]*""),2,300)"),"muted green")</f>
        <v>muted green</v>
      </c>
      <c r="S110" s="3">
        <f t="shared" si="2"/>
        <v>1</v>
      </c>
      <c r="T110" s="3" t="str">
        <f t="shared" si="3"/>
        <v>pale salmon</v>
      </c>
      <c r="U110" s="3">
        <f t="shared" si="4"/>
        <v>2</v>
      </c>
      <c r="V110" s="3" t="str">
        <f t="shared" si="5"/>
        <v>dotted crimson</v>
      </c>
      <c r="W110" s="3">
        <f t="shared" si="6"/>
        <v>1</v>
      </c>
      <c r="X110" s="3" t="str">
        <f t="shared" si="7"/>
        <v>drab tomato</v>
      </c>
      <c r="Y110" s="3">
        <f t="shared" si="8"/>
        <v>2</v>
      </c>
      <c r="Z110" s="3" t="str">
        <f t="shared" si="9"/>
        <v>muted green</v>
      </c>
      <c r="AA110" s="13">
        <f t="shared" si="10"/>
        <v>78313</v>
      </c>
      <c r="AB110" s="3">
        <f t="shared" si="11"/>
        <v>78312</v>
      </c>
      <c r="AC110" s="3">
        <f t="shared" si="12"/>
        <v>1</v>
      </c>
      <c r="AD110" s="3">
        <f t="shared" si="13"/>
        <v>9889</v>
      </c>
      <c r="AE110" s="3">
        <f t="shared" si="14"/>
        <v>2</v>
      </c>
      <c r="AF110" s="3">
        <f t="shared" si="15"/>
        <v>1279</v>
      </c>
      <c r="AG110" s="3">
        <f t="shared" si="16"/>
        <v>1</v>
      </c>
      <c r="AH110" s="3">
        <f t="shared" si="17"/>
        <v>38687</v>
      </c>
      <c r="AI110" s="3">
        <f t="shared" si="18"/>
        <v>2</v>
      </c>
      <c r="AJ110" s="3">
        <f t="shared" si="19"/>
        <v>13589</v>
      </c>
    </row>
    <row r="111">
      <c r="C111" s="6" t="s">
        <v>111</v>
      </c>
      <c r="D111" s="3">
        <f t="shared" si="1"/>
        <v>3</v>
      </c>
      <c r="E111" s="3" t="str">
        <f>IFERROR(__xludf.DUMMYFUNCTION("REGEXEXTRACT(C111,""[^ ]* [^ ]*"")"),"striped beige")</f>
        <v>striped beige</v>
      </c>
      <c r="F111" s="3" t="str">
        <f>IFERROR(__xludf.DUMMYFUNCTION("MID(REGEXEXTRACT(C111,""contain.*$""),9,300)"),"3 dotted tomato bags, 4 vibrant purple bags, 2 plaid tomato bags, 4 dark salmon bags.")</f>
        <v>3 dotted tomato bags, 4 vibrant purple bags, 2 plaid tomato bags, 4 dark salmon bags.</v>
      </c>
      <c r="G111" s="3" t="str">
        <f>IFERROR(__xludf.DUMMYFUNCTION("INDEX(SPLIT($F111,"",""),COLUMN()-6)"),"3 dotted tomato bags")</f>
        <v>3 dotted tomato bags</v>
      </c>
      <c r="H111" s="3" t="str">
        <f>IFERROR(__xludf.DUMMYFUNCTION("MID(INDEX(SPLIT($F111,"",""),COLUMN()-6),2,300)"),"4 vibrant purple bags")</f>
        <v>4 vibrant purple bags</v>
      </c>
      <c r="I111" s="3" t="str">
        <f>IFERROR(__xludf.DUMMYFUNCTION("MID(INDEX(SPLIT($F111,"",""),COLUMN()-6),2,300)"),"2 plaid tomato bags")</f>
        <v>2 plaid tomato bags</v>
      </c>
      <c r="J111" s="3" t="str">
        <f>IFERROR(__xludf.DUMMYFUNCTION("MID(INDEX(SPLIT($F111,"",""),COLUMN()-6),2,300)"),"4 dark salmon bags.")</f>
        <v>4 dark salmon bags.</v>
      </c>
      <c r="K111" s="3">
        <f>IFERROR(__xludf.DUMMYFUNCTION("INDEX(SPLIT(G111,"" ""),1)"),3.0)</f>
        <v>3</v>
      </c>
      <c r="L111" s="3" t="str">
        <f>IFERROR(__xludf.DUMMYFUNCTION("REGEXEXTRACT(G111,"" [^ ]* [^ ]* "")")," dotted tomato ")</f>
        <v> dotted tomato </v>
      </c>
      <c r="M111" s="3">
        <f>IFERROR(__xludf.DUMMYFUNCTION("INDEX(SPLIT(H111,"" ""),1)"),4.0)</f>
        <v>4</v>
      </c>
      <c r="N111" s="3" t="str">
        <f>IFERROR(__xludf.DUMMYFUNCTION("MID(REGEXEXTRACT(H111,"" [^ ]* [^ ]*""),2,300)"),"vibrant purple")</f>
        <v>vibrant purple</v>
      </c>
      <c r="O111" s="3">
        <f>IFERROR(__xludf.DUMMYFUNCTION("INDEX(SPLIT(I111,"" ""),1)"),2.0)</f>
        <v>2</v>
      </c>
      <c r="P111" s="3" t="str">
        <f>IFERROR(__xludf.DUMMYFUNCTION("MID(REGEXEXTRACT(I111,"" [^ ]* [^ ]*""),2,300)"),"plaid tomato")</f>
        <v>plaid tomato</v>
      </c>
      <c r="Q111" s="3">
        <f>IFERROR(__xludf.DUMMYFUNCTION("INDEX(SPLIT(J111,"" ""),1)"),4.0)</f>
        <v>4</v>
      </c>
      <c r="R111" s="3" t="str">
        <f>IFERROR(__xludf.DUMMYFUNCTION("MID(REGEXEXTRACT(J111,"" [^ ]* [^ ]*""),2,300)"),"dark salmon")</f>
        <v>dark salmon</v>
      </c>
      <c r="S111" s="3">
        <f t="shared" si="2"/>
        <v>3</v>
      </c>
      <c r="T111" s="3" t="str">
        <f t="shared" si="3"/>
        <v>dotted tomato</v>
      </c>
      <c r="U111" s="3">
        <f t="shared" si="4"/>
        <v>4</v>
      </c>
      <c r="V111" s="3" t="str">
        <f t="shared" si="5"/>
        <v>vibrant purple</v>
      </c>
      <c r="W111" s="3">
        <f t="shared" si="6"/>
        <v>2</v>
      </c>
      <c r="X111" s="3" t="str">
        <f t="shared" si="7"/>
        <v>plaid tomato</v>
      </c>
      <c r="Y111" s="3">
        <f t="shared" si="8"/>
        <v>4</v>
      </c>
      <c r="Z111" s="3" t="str">
        <f t="shared" si="9"/>
        <v>dark salmon</v>
      </c>
      <c r="AA111" s="13">
        <f t="shared" si="10"/>
        <v>1728590198</v>
      </c>
      <c r="AB111" s="3">
        <f t="shared" si="11"/>
        <v>1728590197</v>
      </c>
      <c r="AC111" s="3">
        <f t="shared" si="12"/>
        <v>3</v>
      </c>
      <c r="AD111" s="3">
        <f t="shared" si="13"/>
        <v>11056167</v>
      </c>
      <c r="AE111" s="3">
        <f t="shared" si="14"/>
        <v>4</v>
      </c>
      <c r="AF111" s="3">
        <f t="shared" si="15"/>
        <v>207721</v>
      </c>
      <c r="AG111" s="3">
        <f t="shared" si="16"/>
        <v>2</v>
      </c>
      <c r="AH111" s="3">
        <f t="shared" si="17"/>
        <v>94877726</v>
      </c>
      <c r="AI111" s="3">
        <f t="shared" si="18"/>
        <v>4</v>
      </c>
      <c r="AJ111" s="3">
        <f t="shared" si="19"/>
        <v>376208840</v>
      </c>
    </row>
    <row r="112">
      <c r="C112" s="6" t="s">
        <v>112</v>
      </c>
      <c r="D112" s="3">
        <f t="shared" si="1"/>
        <v>2</v>
      </c>
      <c r="E112" s="3" t="str">
        <f>IFERROR(__xludf.DUMMYFUNCTION("REGEXEXTRACT(C112,""[^ ]* [^ ]*"")"),"pale silver")</f>
        <v>pale silver</v>
      </c>
      <c r="F112" s="3" t="str">
        <f>IFERROR(__xludf.DUMMYFUNCTION("MID(REGEXEXTRACT(C112,""contain.*$""),9,300)"),"5 dark lavender bags, 4 drab tan bags, 5 clear yellow bags.")</f>
        <v>5 dark lavender bags, 4 drab tan bags, 5 clear yellow bags.</v>
      </c>
      <c r="G112" s="3" t="str">
        <f>IFERROR(__xludf.DUMMYFUNCTION("INDEX(SPLIT($F112,"",""),COLUMN()-6)"),"5 dark lavender bags")</f>
        <v>5 dark lavender bags</v>
      </c>
      <c r="H112" s="3" t="str">
        <f>IFERROR(__xludf.DUMMYFUNCTION("MID(INDEX(SPLIT($F112,"",""),COLUMN()-6),2,300)"),"4 drab tan bags")</f>
        <v>4 drab tan bags</v>
      </c>
      <c r="I112" s="3" t="str">
        <f>IFERROR(__xludf.DUMMYFUNCTION("MID(INDEX(SPLIT($F112,"",""),COLUMN()-6),2,300)"),"5 clear yellow bags.")</f>
        <v>5 clear yellow bags.</v>
      </c>
      <c r="J112" s="3" t="str">
        <f>IFERROR(__xludf.DUMMYFUNCTION("MID(INDEX(SPLIT($F112,"",""),COLUMN()-6),2,300)"),"#REF!")</f>
        <v>#REF!</v>
      </c>
      <c r="K112" s="3">
        <f>IFERROR(__xludf.DUMMYFUNCTION("INDEX(SPLIT(G112,"" ""),1)"),5.0)</f>
        <v>5</v>
      </c>
      <c r="L112" s="3" t="str">
        <f>IFERROR(__xludf.DUMMYFUNCTION("REGEXEXTRACT(G112,"" [^ ]* [^ ]* "")")," dark lavender ")</f>
        <v> dark lavender </v>
      </c>
      <c r="M112" s="3">
        <f>IFERROR(__xludf.DUMMYFUNCTION("INDEX(SPLIT(H112,"" ""),1)"),4.0)</f>
        <v>4</v>
      </c>
      <c r="N112" s="3" t="str">
        <f>IFERROR(__xludf.DUMMYFUNCTION("MID(REGEXEXTRACT(H112,"" [^ ]* [^ ]*""),2,300)"),"drab tan")</f>
        <v>drab tan</v>
      </c>
      <c r="O112" s="3">
        <f>IFERROR(__xludf.DUMMYFUNCTION("INDEX(SPLIT(I112,"" ""),1)"),5.0)</f>
        <v>5</v>
      </c>
      <c r="P112" s="3" t="str">
        <f>IFERROR(__xludf.DUMMYFUNCTION("MID(REGEXEXTRACT(I112,"" [^ ]* [^ ]*""),2,300)"),"clear yellow")</f>
        <v>clear yellow</v>
      </c>
      <c r="Q112" s="3" t="str">
        <f>IFERROR(__xludf.DUMMYFUNCTION("INDEX(SPLIT(J112,"" ""),1)"),"#REF!")</f>
        <v>#REF!</v>
      </c>
      <c r="R112" s="3" t="str">
        <f>IFERROR(__xludf.DUMMYFUNCTION("MID(REGEXEXTRACT(J112,"" [^ ]* [^ ]*""),2,300)"),"#REF!")</f>
        <v>#REF!</v>
      </c>
      <c r="S112" s="3">
        <f t="shared" si="2"/>
        <v>5</v>
      </c>
      <c r="T112" s="3" t="str">
        <f t="shared" si="3"/>
        <v>dark lavender</v>
      </c>
      <c r="U112" s="3">
        <f t="shared" si="4"/>
        <v>4</v>
      </c>
      <c r="V112" s="3" t="str">
        <f t="shared" si="5"/>
        <v>drab tan</v>
      </c>
      <c r="W112" s="3">
        <f t="shared" si="6"/>
        <v>5</v>
      </c>
      <c r="X112" s="3" t="str">
        <f t="shared" si="7"/>
        <v>clear yellow</v>
      </c>
      <c r="Y112" s="3" t="str">
        <f t="shared" si="8"/>
        <v/>
      </c>
      <c r="Z112" s="3" t="str">
        <f t="shared" si="9"/>
        <v/>
      </c>
      <c r="AA112" s="13">
        <f t="shared" si="10"/>
        <v>14456969</v>
      </c>
      <c r="AB112" s="3">
        <f t="shared" si="11"/>
        <v>14456968</v>
      </c>
      <c r="AC112" s="3">
        <f t="shared" si="12"/>
        <v>5</v>
      </c>
      <c r="AD112" s="3">
        <f t="shared" si="13"/>
        <v>133</v>
      </c>
      <c r="AE112" s="3">
        <f t="shared" si="14"/>
        <v>4</v>
      </c>
      <c r="AF112" s="3">
        <f t="shared" si="15"/>
        <v>3591437</v>
      </c>
      <c r="AG112" s="3">
        <f t="shared" si="16"/>
        <v>5</v>
      </c>
      <c r="AH112" s="3">
        <f t="shared" si="17"/>
        <v>18111</v>
      </c>
      <c r="AI112" s="3" t="str">
        <f t="shared" si="18"/>
        <v/>
      </c>
      <c r="AJ112" s="3">
        <f t="shared" si="19"/>
        <v>0</v>
      </c>
    </row>
    <row r="113">
      <c r="C113" s="6" t="s">
        <v>113</v>
      </c>
      <c r="D113" s="3">
        <f t="shared" si="1"/>
        <v>1</v>
      </c>
      <c r="E113" s="3" t="str">
        <f>IFERROR(__xludf.DUMMYFUNCTION("REGEXEXTRACT(C113,""[^ ]* [^ ]*"")"),"dark lime")</f>
        <v>dark lime</v>
      </c>
      <c r="F113" s="3" t="str">
        <f>IFERROR(__xludf.DUMMYFUNCTION("MID(REGEXEXTRACT(C113,""contain.*$""),9,300)"),"3 pale aqua bags, 5 posh green bags.")</f>
        <v>3 pale aqua bags, 5 posh green bags.</v>
      </c>
      <c r="G113" s="3" t="str">
        <f>IFERROR(__xludf.DUMMYFUNCTION("INDEX(SPLIT($F113,"",""),COLUMN()-6)"),"3 pale aqua bags")</f>
        <v>3 pale aqua bags</v>
      </c>
      <c r="H113" s="3" t="str">
        <f>IFERROR(__xludf.DUMMYFUNCTION("MID(INDEX(SPLIT($F113,"",""),COLUMN()-6),2,300)"),"5 posh green bags.")</f>
        <v>5 posh green bags.</v>
      </c>
      <c r="I113" s="3" t="str">
        <f>IFERROR(__xludf.DUMMYFUNCTION("MID(INDEX(SPLIT($F113,"",""),COLUMN()-6),2,300)"),"#REF!")</f>
        <v>#REF!</v>
      </c>
      <c r="J113" s="3" t="str">
        <f>IFERROR(__xludf.DUMMYFUNCTION("MID(INDEX(SPLIT($F113,"",""),COLUMN()-6),2,300)"),"#REF!")</f>
        <v>#REF!</v>
      </c>
      <c r="K113" s="3">
        <f>IFERROR(__xludf.DUMMYFUNCTION("INDEX(SPLIT(G113,"" ""),1)"),3.0)</f>
        <v>3</v>
      </c>
      <c r="L113" s="3" t="str">
        <f>IFERROR(__xludf.DUMMYFUNCTION("REGEXEXTRACT(G113,"" [^ ]* [^ ]* "")")," pale aqua ")</f>
        <v> pale aqua </v>
      </c>
      <c r="M113" s="3">
        <f>IFERROR(__xludf.DUMMYFUNCTION("INDEX(SPLIT(H113,"" ""),1)"),5.0)</f>
        <v>5</v>
      </c>
      <c r="N113" s="3" t="str">
        <f>IFERROR(__xludf.DUMMYFUNCTION("MID(REGEXEXTRACT(H113,"" [^ ]* [^ ]*""),2,300)"),"posh green")</f>
        <v>posh green</v>
      </c>
      <c r="O113" s="3" t="str">
        <f>IFERROR(__xludf.DUMMYFUNCTION("INDEX(SPLIT(I113,"" ""),1)"),"#REF!")</f>
        <v>#REF!</v>
      </c>
      <c r="P113" s="3" t="str">
        <f>IFERROR(__xludf.DUMMYFUNCTION("MID(REGEXEXTRACT(I113,"" [^ ]* [^ ]*""),2,300)"),"#REF!")</f>
        <v>#REF!</v>
      </c>
      <c r="Q113" s="3" t="str">
        <f>IFERROR(__xludf.DUMMYFUNCTION("INDEX(SPLIT(J113,"" ""),1)"),"#REF!")</f>
        <v>#REF!</v>
      </c>
      <c r="R113" s="3" t="str">
        <f>IFERROR(__xludf.DUMMYFUNCTION("MID(REGEXEXTRACT(J113,"" [^ ]* [^ ]*""),2,300)"),"#REF!")</f>
        <v>#REF!</v>
      </c>
      <c r="S113" s="3">
        <f t="shared" si="2"/>
        <v>3</v>
      </c>
      <c r="T113" s="3" t="str">
        <f t="shared" si="3"/>
        <v>pale aqua</v>
      </c>
      <c r="U113" s="3">
        <f t="shared" si="4"/>
        <v>5</v>
      </c>
      <c r="V113" s="3" t="str">
        <f t="shared" si="5"/>
        <v>posh green</v>
      </c>
      <c r="W113" s="3" t="str">
        <f t="shared" si="6"/>
        <v/>
      </c>
      <c r="X113" s="3" t="str">
        <f t="shared" si="7"/>
        <v/>
      </c>
      <c r="Y113" s="3" t="str">
        <f t="shared" si="8"/>
        <v/>
      </c>
      <c r="Z113" s="3" t="str">
        <f t="shared" si="9"/>
        <v/>
      </c>
      <c r="AA113" s="13">
        <f t="shared" si="10"/>
        <v>4766484</v>
      </c>
      <c r="AB113" s="3">
        <f t="shared" si="11"/>
        <v>4766483</v>
      </c>
      <c r="AC113" s="3">
        <f t="shared" si="12"/>
        <v>3</v>
      </c>
      <c r="AD113" s="3">
        <f t="shared" si="13"/>
        <v>1578216</v>
      </c>
      <c r="AE113" s="3">
        <f t="shared" si="14"/>
        <v>5</v>
      </c>
      <c r="AF113" s="3">
        <f t="shared" si="15"/>
        <v>6367</v>
      </c>
      <c r="AG113" s="3" t="str">
        <f t="shared" si="16"/>
        <v/>
      </c>
      <c r="AH113" s="3">
        <f t="shared" si="17"/>
        <v>0</v>
      </c>
      <c r="AI113" s="3" t="str">
        <f t="shared" si="18"/>
        <v/>
      </c>
      <c r="AJ113" s="3">
        <f t="shared" si="19"/>
        <v>0</v>
      </c>
    </row>
    <row r="114">
      <c r="C114" s="6" t="s">
        <v>114</v>
      </c>
      <c r="D114" s="3">
        <f t="shared" si="1"/>
        <v>3</v>
      </c>
      <c r="E114" s="3" t="str">
        <f>IFERROR(__xludf.DUMMYFUNCTION("REGEXEXTRACT(C114,""[^ ]* [^ ]*"")"),"faded coral")</f>
        <v>faded coral</v>
      </c>
      <c r="F114" s="3" t="str">
        <f>IFERROR(__xludf.DUMMYFUNCTION("MID(REGEXEXTRACT(C114,""contain.*$""),9,300)"),"3 dull tomato bags, 4 dark bronze bags, 3 drab tomato bags, 2 bright white bags.")</f>
        <v>3 dull tomato bags, 4 dark bronze bags, 3 drab tomato bags, 2 bright white bags.</v>
      </c>
      <c r="G114" s="3" t="str">
        <f>IFERROR(__xludf.DUMMYFUNCTION("INDEX(SPLIT($F114,"",""),COLUMN()-6)"),"3 dull tomato bags")</f>
        <v>3 dull tomato bags</v>
      </c>
      <c r="H114" s="3" t="str">
        <f>IFERROR(__xludf.DUMMYFUNCTION("MID(INDEX(SPLIT($F114,"",""),COLUMN()-6),2,300)"),"4 dark bronze bags")</f>
        <v>4 dark bronze bags</v>
      </c>
      <c r="I114" s="3" t="str">
        <f>IFERROR(__xludf.DUMMYFUNCTION("MID(INDEX(SPLIT($F114,"",""),COLUMN()-6),2,300)"),"3 drab tomato bags")</f>
        <v>3 drab tomato bags</v>
      </c>
      <c r="J114" s="3" t="str">
        <f>IFERROR(__xludf.DUMMYFUNCTION("MID(INDEX(SPLIT($F114,"",""),COLUMN()-6),2,300)"),"2 bright white bags.")</f>
        <v>2 bright white bags.</v>
      </c>
      <c r="K114" s="3">
        <f>IFERROR(__xludf.DUMMYFUNCTION("INDEX(SPLIT(G114,"" ""),1)"),3.0)</f>
        <v>3</v>
      </c>
      <c r="L114" s="3" t="str">
        <f>IFERROR(__xludf.DUMMYFUNCTION("REGEXEXTRACT(G114,"" [^ ]* [^ ]* "")")," dull tomato ")</f>
        <v> dull tomato </v>
      </c>
      <c r="M114" s="3">
        <f>IFERROR(__xludf.DUMMYFUNCTION("INDEX(SPLIT(H114,"" ""),1)"),4.0)</f>
        <v>4</v>
      </c>
      <c r="N114" s="3" t="str">
        <f>IFERROR(__xludf.DUMMYFUNCTION("MID(REGEXEXTRACT(H114,"" [^ ]* [^ ]*""),2,300)"),"dark bronze")</f>
        <v>dark bronze</v>
      </c>
      <c r="O114" s="3">
        <f>IFERROR(__xludf.DUMMYFUNCTION("INDEX(SPLIT(I114,"" ""),1)"),3.0)</f>
        <v>3</v>
      </c>
      <c r="P114" s="3" t="str">
        <f>IFERROR(__xludf.DUMMYFUNCTION("MID(REGEXEXTRACT(I114,"" [^ ]* [^ ]*""),2,300)"),"drab tomato")</f>
        <v>drab tomato</v>
      </c>
      <c r="Q114" s="3">
        <f>IFERROR(__xludf.DUMMYFUNCTION("INDEX(SPLIT(J114,"" ""),1)"),2.0)</f>
        <v>2</v>
      </c>
      <c r="R114" s="3" t="str">
        <f>IFERROR(__xludf.DUMMYFUNCTION("MID(REGEXEXTRACT(J114,"" [^ ]* [^ ]*""),2,300)"),"bright white")</f>
        <v>bright white</v>
      </c>
      <c r="S114" s="3">
        <f t="shared" si="2"/>
        <v>3</v>
      </c>
      <c r="T114" s="3" t="str">
        <f t="shared" si="3"/>
        <v>dull tomato</v>
      </c>
      <c r="U114" s="3">
        <f t="shared" si="4"/>
        <v>4</v>
      </c>
      <c r="V114" s="3" t="str">
        <f t="shared" si="5"/>
        <v>dark bronze</v>
      </c>
      <c r="W114" s="3">
        <f t="shared" si="6"/>
        <v>3</v>
      </c>
      <c r="X114" s="3" t="str">
        <f t="shared" si="7"/>
        <v>drab tomato</v>
      </c>
      <c r="Y114" s="3">
        <f t="shared" si="8"/>
        <v>2</v>
      </c>
      <c r="Z114" s="3" t="str">
        <f t="shared" si="9"/>
        <v>bright white</v>
      </c>
      <c r="AA114" s="13">
        <f t="shared" si="10"/>
        <v>50143651</v>
      </c>
      <c r="AB114" s="3">
        <f t="shared" si="11"/>
        <v>50143650</v>
      </c>
      <c r="AC114" s="3">
        <f t="shared" si="12"/>
        <v>3</v>
      </c>
      <c r="AD114" s="3">
        <f t="shared" si="13"/>
        <v>11</v>
      </c>
      <c r="AE114" s="3">
        <f t="shared" si="14"/>
        <v>4</v>
      </c>
      <c r="AF114" s="3">
        <f t="shared" si="15"/>
        <v>14835</v>
      </c>
      <c r="AG114" s="3">
        <f t="shared" si="16"/>
        <v>3</v>
      </c>
      <c r="AH114" s="3">
        <f t="shared" si="17"/>
        <v>38687</v>
      </c>
      <c r="AI114" s="3">
        <f t="shared" si="18"/>
        <v>2</v>
      </c>
      <c r="AJ114" s="3">
        <f t="shared" si="19"/>
        <v>24984108</v>
      </c>
    </row>
    <row r="115">
      <c r="C115" s="6" t="s">
        <v>115</v>
      </c>
      <c r="D115" s="3">
        <f t="shared" si="1"/>
        <v>0</v>
      </c>
      <c r="E115" s="3" t="str">
        <f>IFERROR(__xludf.DUMMYFUNCTION("REGEXEXTRACT(C115,""[^ ]* [^ ]*"")"),"mirrored lavender")</f>
        <v>mirrored lavender</v>
      </c>
      <c r="F115" s="3" t="str">
        <f>IFERROR(__xludf.DUMMYFUNCTION("MID(REGEXEXTRACT(C115,""contain.*$""),9,300)"),"3 mirrored cyan bags.")</f>
        <v>3 mirrored cyan bags.</v>
      </c>
      <c r="G115" s="3" t="str">
        <f>IFERROR(__xludf.DUMMYFUNCTION("INDEX(SPLIT($F115,"",""),COLUMN()-6)"),"3 mirrored cyan bags.")</f>
        <v>3 mirrored cyan bags.</v>
      </c>
      <c r="H115" s="3" t="str">
        <f>IFERROR(__xludf.DUMMYFUNCTION("MID(INDEX(SPLIT($F115,"",""),COLUMN()-6),2,300)"),"#REF!")</f>
        <v>#REF!</v>
      </c>
      <c r="I115" s="3" t="str">
        <f>IFERROR(__xludf.DUMMYFUNCTION("MID(INDEX(SPLIT($F115,"",""),COLUMN()-6),2,300)"),"#REF!")</f>
        <v>#REF!</v>
      </c>
      <c r="J115" s="3" t="str">
        <f>IFERROR(__xludf.DUMMYFUNCTION("MID(INDEX(SPLIT($F115,"",""),COLUMN()-6),2,300)"),"#REF!")</f>
        <v>#REF!</v>
      </c>
      <c r="K115" s="3">
        <f>IFERROR(__xludf.DUMMYFUNCTION("INDEX(SPLIT(G115,"" ""),1)"),3.0)</f>
        <v>3</v>
      </c>
      <c r="L115" s="3" t="str">
        <f>IFERROR(__xludf.DUMMYFUNCTION("REGEXEXTRACT(G115,"" [^ ]* [^ ]* "")")," mirrored cyan ")</f>
        <v> mirrored cyan </v>
      </c>
      <c r="M115" s="3" t="str">
        <f>IFERROR(__xludf.DUMMYFUNCTION("INDEX(SPLIT(H115,"" ""),1)"),"#REF!")</f>
        <v>#REF!</v>
      </c>
      <c r="N115" s="3" t="str">
        <f>IFERROR(__xludf.DUMMYFUNCTION("MID(REGEXEXTRACT(H115,"" [^ ]* [^ ]*""),2,300)"),"#REF!")</f>
        <v>#REF!</v>
      </c>
      <c r="O115" s="3" t="str">
        <f>IFERROR(__xludf.DUMMYFUNCTION("INDEX(SPLIT(I115,"" ""),1)"),"#REF!")</f>
        <v>#REF!</v>
      </c>
      <c r="P115" s="3" t="str">
        <f>IFERROR(__xludf.DUMMYFUNCTION("MID(REGEXEXTRACT(I115,"" [^ ]* [^ ]*""),2,300)"),"#REF!")</f>
        <v>#REF!</v>
      </c>
      <c r="Q115" s="3" t="str">
        <f>IFERROR(__xludf.DUMMYFUNCTION("INDEX(SPLIT(J115,"" ""),1)"),"#REF!")</f>
        <v>#REF!</v>
      </c>
      <c r="R115" s="3" t="str">
        <f>IFERROR(__xludf.DUMMYFUNCTION("MID(REGEXEXTRACT(J115,"" [^ ]* [^ ]*""),2,300)"),"#REF!")</f>
        <v>#REF!</v>
      </c>
      <c r="S115" s="3">
        <f t="shared" si="2"/>
        <v>3</v>
      </c>
      <c r="T115" s="3" t="str">
        <f t="shared" si="3"/>
        <v>mirrored cyan</v>
      </c>
      <c r="U115" s="3" t="str">
        <f t="shared" si="4"/>
        <v/>
      </c>
      <c r="V115" s="3" t="str">
        <f t="shared" si="5"/>
        <v/>
      </c>
      <c r="W115" s="3" t="str">
        <f t="shared" si="6"/>
        <v/>
      </c>
      <c r="X115" s="3" t="str">
        <f t="shared" si="7"/>
        <v/>
      </c>
      <c r="Y115" s="3" t="str">
        <f t="shared" si="8"/>
        <v/>
      </c>
      <c r="Z115" s="3" t="str">
        <f t="shared" si="9"/>
        <v/>
      </c>
      <c r="AA115" s="13">
        <f t="shared" si="10"/>
        <v>5563</v>
      </c>
      <c r="AB115" s="3">
        <f t="shared" si="11"/>
        <v>5562</v>
      </c>
      <c r="AC115" s="3">
        <f t="shared" si="12"/>
        <v>3</v>
      </c>
      <c r="AD115" s="3">
        <f t="shared" si="13"/>
        <v>1854</v>
      </c>
      <c r="AE115" s="3" t="str">
        <f t="shared" si="14"/>
        <v/>
      </c>
      <c r="AF115" s="3">
        <f t="shared" si="15"/>
        <v>0</v>
      </c>
      <c r="AG115" s="3" t="str">
        <f t="shared" si="16"/>
        <v/>
      </c>
      <c r="AH115" s="3">
        <f t="shared" si="17"/>
        <v>0</v>
      </c>
      <c r="AI115" s="3" t="str">
        <f t="shared" si="18"/>
        <v/>
      </c>
      <c r="AJ115" s="3">
        <f t="shared" si="19"/>
        <v>0</v>
      </c>
    </row>
    <row r="116">
      <c r="C116" s="6" t="s">
        <v>116</v>
      </c>
      <c r="D116" s="3">
        <f t="shared" si="1"/>
        <v>0</v>
      </c>
      <c r="E116" s="3" t="str">
        <f>IFERROR(__xludf.DUMMYFUNCTION("REGEXEXTRACT(C116,""[^ ]* [^ ]*"")"),"bright crimson")</f>
        <v>bright crimson</v>
      </c>
      <c r="F116" s="3" t="str">
        <f>IFERROR(__xludf.DUMMYFUNCTION("MID(REGEXEXTRACT(C116,""contain.*$""),9,300)"),"2 mirrored silver bags.")</f>
        <v>2 mirrored silver bags.</v>
      </c>
      <c r="G116" s="3" t="str">
        <f>IFERROR(__xludf.DUMMYFUNCTION("INDEX(SPLIT($F116,"",""),COLUMN()-6)"),"2 mirrored silver bags.")</f>
        <v>2 mirrored silver bags.</v>
      </c>
      <c r="H116" s="3" t="str">
        <f>IFERROR(__xludf.DUMMYFUNCTION("MID(INDEX(SPLIT($F116,"",""),COLUMN()-6),2,300)"),"#REF!")</f>
        <v>#REF!</v>
      </c>
      <c r="I116" s="3" t="str">
        <f>IFERROR(__xludf.DUMMYFUNCTION("MID(INDEX(SPLIT($F116,"",""),COLUMN()-6),2,300)"),"#REF!")</f>
        <v>#REF!</v>
      </c>
      <c r="J116" s="3" t="str">
        <f>IFERROR(__xludf.DUMMYFUNCTION("MID(INDEX(SPLIT($F116,"",""),COLUMN()-6),2,300)"),"#REF!")</f>
        <v>#REF!</v>
      </c>
      <c r="K116" s="3">
        <f>IFERROR(__xludf.DUMMYFUNCTION("INDEX(SPLIT(G116,"" ""),1)"),2.0)</f>
        <v>2</v>
      </c>
      <c r="L116" s="3" t="str">
        <f>IFERROR(__xludf.DUMMYFUNCTION("REGEXEXTRACT(G116,"" [^ ]* [^ ]* "")")," mirrored silver ")</f>
        <v> mirrored silver </v>
      </c>
      <c r="M116" s="3" t="str">
        <f>IFERROR(__xludf.DUMMYFUNCTION("INDEX(SPLIT(H116,"" ""),1)"),"#REF!")</f>
        <v>#REF!</v>
      </c>
      <c r="N116" s="3" t="str">
        <f>IFERROR(__xludf.DUMMYFUNCTION("MID(REGEXEXTRACT(H116,"" [^ ]* [^ ]*""),2,300)"),"#REF!")</f>
        <v>#REF!</v>
      </c>
      <c r="O116" s="3" t="str">
        <f>IFERROR(__xludf.DUMMYFUNCTION("INDEX(SPLIT(I116,"" ""),1)"),"#REF!")</f>
        <v>#REF!</v>
      </c>
      <c r="P116" s="3" t="str">
        <f>IFERROR(__xludf.DUMMYFUNCTION("MID(REGEXEXTRACT(I116,"" [^ ]* [^ ]*""),2,300)"),"#REF!")</f>
        <v>#REF!</v>
      </c>
      <c r="Q116" s="3" t="str">
        <f>IFERROR(__xludf.DUMMYFUNCTION("INDEX(SPLIT(J116,"" ""),1)"),"#REF!")</f>
        <v>#REF!</v>
      </c>
      <c r="R116" s="3" t="str">
        <f>IFERROR(__xludf.DUMMYFUNCTION("MID(REGEXEXTRACT(J116,"" [^ ]* [^ ]*""),2,300)"),"#REF!")</f>
        <v>#REF!</v>
      </c>
      <c r="S116" s="3">
        <f t="shared" si="2"/>
        <v>2</v>
      </c>
      <c r="T116" s="3" t="str">
        <f t="shared" si="3"/>
        <v>mirrored silver</v>
      </c>
      <c r="U116" s="3" t="str">
        <f t="shared" si="4"/>
        <v/>
      </c>
      <c r="V116" s="3" t="str">
        <f t="shared" si="5"/>
        <v/>
      </c>
      <c r="W116" s="3" t="str">
        <f t="shared" si="6"/>
        <v/>
      </c>
      <c r="X116" s="3" t="str">
        <f t="shared" si="7"/>
        <v/>
      </c>
      <c r="Y116" s="3" t="str">
        <f t="shared" si="8"/>
        <v/>
      </c>
      <c r="Z116" s="3" t="str">
        <f t="shared" si="9"/>
        <v/>
      </c>
      <c r="AA116" s="13">
        <f t="shared" si="10"/>
        <v>773</v>
      </c>
      <c r="AB116" s="3">
        <f t="shared" si="11"/>
        <v>772</v>
      </c>
      <c r="AC116" s="3">
        <f t="shared" si="12"/>
        <v>2</v>
      </c>
      <c r="AD116" s="3">
        <f t="shared" si="13"/>
        <v>386</v>
      </c>
      <c r="AE116" s="3" t="str">
        <f t="shared" si="14"/>
        <v/>
      </c>
      <c r="AF116" s="3">
        <f t="shared" si="15"/>
        <v>0</v>
      </c>
      <c r="AG116" s="3" t="str">
        <f t="shared" si="16"/>
        <v/>
      </c>
      <c r="AH116" s="3">
        <f t="shared" si="17"/>
        <v>0</v>
      </c>
      <c r="AI116" s="3" t="str">
        <f t="shared" si="18"/>
        <v/>
      </c>
      <c r="AJ116" s="3">
        <f t="shared" si="19"/>
        <v>0</v>
      </c>
    </row>
    <row r="117">
      <c r="C117" s="6" t="s">
        <v>117</v>
      </c>
      <c r="D117" s="3">
        <f t="shared" si="1"/>
        <v>3</v>
      </c>
      <c r="E117" s="3" t="str">
        <f>IFERROR(__xludf.DUMMYFUNCTION("REGEXEXTRACT(C117,""[^ ]* [^ ]*"")"),"striped gray")</f>
        <v>striped gray</v>
      </c>
      <c r="F117" s="3" t="str">
        <f>IFERROR(__xludf.DUMMYFUNCTION("MID(REGEXEXTRACT(C117,""contain.*$""),9,300)"),"3 dotted coral bags, 4 muted maroon bags, 4 dark teal bags, 5 pale bronze bags.")</f>
        <v>3 dotted coral bags, 4 muted maroon bags, 4 dark teal bags, 5 pale bronze bags.</v>
      </c>
      <c r="G117" s="3" t="str">
        <f>IFERROR(__xludf.DUMMYFUNCTION("INDEX(SPLIT($F117,"",""),COLUMN()-6)"),"3 dotted coral bags")</f>
        <v>3 dotted coral bags</v>
      </c>
      <c r="H117" s="3" t="str">
        <f>IFERROR(__xludf.DUMMYFUNCTION("MID(INDEX(SPLIT($F117,"",""),COLUMN()-6),2,300)"),"4 muted maroon bags")</f>
        <v>4 muted maroon bags</v>
      </c>
      <c r="I117" s="3" t="str">
        <f>IFERROR(__xludf.DUMMYFUNCTION("MID(INDEX(SPLIT($F117,"",""),COLUMN()-6),2,300)"),"4 dark teal bags")</f>
        <v>4 dark teal bags</v>
      </c>
      <c r="J117" s="3" t="str">
        <f>IFERROR(__xludf.DUMMYFUNCTION("MID(INDEX(SPLIT($F117,"",""),COLUMN()-6),2,300)"),"5 pale bronze bags.")</f>
        <v>5 pale bronze bags.</v>
      </c>
      <c r="K117" s="3">
        <f>IFERROR(__xludf.DUMMYFUNCTION("INDEX(SPLIT(G117,"" ""),1)"),3.0)</f>
        <v>3</v>
      </c>
      <c r="L117" s="3" t="str">
        <f>IFERROR(__xludf.DUMMYFUNCTION("REGEXEXTRACT(G117,"" [^ ]* [^ ]* "")")," dotted coral ")</f>
        <v> dotted coral </v>
      </c>
      <c r="M117" s="3">
        <f>IFERROR(__xludf.DUMMYFUNCTION("INDEX(SPLIT(H117,"" ""),1)"),4.0)</f>
        <v>4</v>
      </c>
      <c r="N117" s="3" t="str">
        <f>IFERROR(__xludf.DUMMYFUNCTION("MID(REGEXEXTRACT(H117,"" [^ ]* [^ ]*""),2,300)"),"muted maroon")</f>
        <v>muted maroon</v>
      </c>
      <c r="O117" s="3">
        <f>IFERROR(__xludf.DUMMYFUNCTION("INDEX(SPLIT(I117,"" ""),1)"),4.0)</f>
        <v>4</v>
      </c>
      <c r="P117" s="3" t="str">
        <f>IFERROR(__xludf.DUMMYFUNCTION("MID(REGEXEXTRACT(I117,"" [^ ]* [^ ]*""),2,300)"),"dark teal")</f>
        <v>dark teal</v>
      </c>
      <c r="Q117" s="3">
        <f>IFERROR(__xludf.DUMMYFUNCTION("INDEX(SPLIT(J117,"" ""),1)"),5.0)</f>
        <v>5</v>
      </c>
      <c r="R117" s="3" t="str">
        <f>IFERROR(__xludf.DUMMYFUNCTION("MID(REGEXEXTRACT(J117,"" [^ ]* [^ ]*""),2,300)"),"pale bronze")</f>
        <v>pale bronze</v>
      </c>
      <c r="S117" s="3">
        <f t="shared" si="2"/>
        <v>3</v>
      </c>
      <c r="T117" s="3" t="str">
        <f t="shared" si="3"/>
        <v>dotted coral</v>
      </c>
      <c r="U117" s="3">
        <f t="shared" si="4"/>
        <v>4</v>
      </c>
      <c r="V117" s="3" t="str">
        <f t="shared" si="5"/>
        <v>muted maroon</v>
      </c>
      <c r="W117" s="3">
        <f t="shared" si="6"/>
        <v>4</v>
      </c>
      <c r="X117" s="3" t="str">
        <f t="shared" si="7"/>
        <v>dark teal</v>
      </c>
      <c r="Y117" s="3">
        <f t="shared" si="8"/>
        <v>5</v>
      </c>
      <c r="Z117" s="3" t="str">
        <f t="shared" si="9"/>
        <v>pale bronze</v>
      </c>
      <c r="AA117" s="13">
        <f t="shared" si="10"/>
        <v>203468</v>
      </c>
      <c r="AB117" s="3">
        <f t="shared" si="11"/>
        <v>203467</v>
      </c>
      <c r="AC117" s="3">
        <f t="shared" si="12"/>
        <v>3</v>
      </c>
      <c r="AD117" s="3">
        <f t="shared" si="13"/>
        <v>10803</v>
      </c>
      <c r="AE117" s="3">
        <f t="shared" si="14"/>
        <v>4</v>
      </c>
      <c r="AF117" s="3">
        <f t="shared" si="15"/>
        <v>25481</v>
      </c>
      <c r="AG117" s="3">
        <f t="shared" si="16"/>
        <v>4</v>
      </c>
      <c r="AH117" s="3">
        <f t="shared" si="17"/>
        <v>15041</v>
      </c>
      <c r="AI117" s="3">
        <f t="shared" si="18"/>
        <v>5</v>
      </c>
      <c r="AJ117" s="3">
        <f t="shared" si="19"/>
        <v>1794</v>
      </c>
    </row>
    <row r="118">
      <c r="C118" s="6" t="s">
        <v>118</v>
      </c>
      <c r="D118" s="3">
        <f t="shared" si="1"/>
        <v>2</v>
      </c>
      <c r="E118" s="3" t="str">
        <f>IFERROR(__xludf.DUMMYFUNCTION("REGEXEXTRACT(C118,""[^ ]* [^ ]*"")"),"dotted magenta")</f>
        <v>dotted magenta</v>
      </c>
      <c r="F118" s="3" t="str">
        <f>IFERROR(__xludf.DUMMYFUNCTION("MID(REGEXEXTRACT(C118,""contain.*$""),9,300)"),"2 dim teal bags, 2 wavy turquoise bags, 5 dull turquoise bags.")</f>
        <v>2 dim teal bags, 2 wavy turquoise bags, 5 dull turquoise bags.</v>
      </c>
      <c r="G118" s="3" t="str">
        <f>IFERROR(__xludf.DUMMYFUNCTION("INDEX(SPLIT($F118,"",""),COLUMN()-6)"),"2 dim teal bags")</f>
        <v>2 dim teal bags</v>
      </c>
      <c r="H118" s="3" t="str">
        <f>IFERROR(__xludf.DUMMYFUNCTION("MID(INDEX(SPLIT($F118,"",""),COLUMN()-6),2,300)"),"2 wavy turquoise bags")</f>
        <v>2 wavy turquoise bags</v>
      </c>
      <c r="I118" s="3" t="str">
        <f>IFERROR(__xludf.DUMMYFUNCTION("MID(INDEX(SPLIT($F118,"",""),COLUMN()-6),2,300)"),"5 dull turquoise bags.")</f>
        <v>5 dull turquoise bags.</v>
      </c>
      <c r="J118" s="3" t="str">
        <f>IFERROR(__xludf.DUMMYFUNCTION("MID(INDEX(SPLIT($F118,"",""),COLUMN()-6),2,300)"),"#REF!")</f>
        <v>#REF!</v>
      </c>
      <c r="K118" s="3">
        <f>IFERROR(__xludf.DUMMYFUNCTION("INDEX(SPLIT(G118,"" ""),1)"),2.0)</f>
        <v>2</v>
      </c>
      <c r="L118" s="3" t="str">
        <f>IFERROR(__xludf.DUMMYFUNCTION("REGEXEXTRACT(G118,"" [^ ]* [^ ]* "")")," dim teal ")</f>
        <v> dim teal </v>
      </c>
      <c r="M118" s="3">
        <f>IFERROR(__xludf.DUMMYFUNCTION("INDEX(SPLIT(H118,"" ""),1)"),2.0)</f>
        <v>2</v>
      </c>
      <c r="N118" s="3" t="str">
        <f>IFERROR(__xludf.DUMMYFUNCTION("MID(REGEXEXTRACT(H118,"" [^ ]* [^ ]*""),2,300)"),"wavy turquoise")</f>
        <v>wavy turquoise</v>
      </c>
      <c r="O118" s="3">
        <f>IFERROR(__xludf.DUMMYFUNCTION("INDEX(SPLIT(I118,"" ""),1)"),5.0)</f>
        <v>5</v>
      </c>
      <c r="P118" s="3" t="str">
        <f>IFERROR(__xludf.DUMMYFUNCTION("MID(REGEXEXTRACT(I118,"" [^ ]* [^ ]*""),2,300)"),"dull turquoise")</f>
        <v>dull turquoise</v>
      </c>
      <c r="Q118" s="3" t="str">
        <f>IFERROR(__xludf.DUMMYFUNCTION("INDEX(SPLIT(J118,"" ""),1)"),"#REF!")</f>
        <v>#REF!</v>
      </c>
      <c r="R118" s="3" t="str">
        <f>IFERROR(__xludf.DUMMYFUNCTION("MID(REGEXEXTRACT(J118,"" [^ ]* [^ ]*""),2,300)"),"#REF!")</f>
        <v>#REF!</v>
      </c>
      <c r="S118" s="3">
        <f t="shared" si="2"/>
        <v>2</v>
      </c>
      <c r="T118" s="3" t="str">
        <f t="shared" si="3"/>
        <v>dim teal</v>
      </c>
      <c r="U118" s="3">
        <f t="shared" si="4"/>
        <v>2</v>
      </c>
      <c r="V118" s="3" t="str">
        <f t="shared" si="5"/>
        <v>wavy turquoise</v>
      </c>
      <c r="W118" s="3">
        <f t="shared" si="6"/>
        <v>5</v>
      </c>
      <c r="X118" s="3" t="str">
        <f t="shared" si="7"/>
        <v>dull turquoise</v>
      </c>
      <c r="Y118" s="3" t="str">
        <f t="shared" si="8"/>
        <v/>
      </c>
      <c r="Z118" s="3" t="str">
        <f t="shared" si="9"/>
        <v/>
      </c>
      <c r="AA118" s="13">
        <f t="shared" si="10"/>
        <v>126606810</v>
      </c>
      <c r="AB118" s="3">
        <f t="shared" si="11"/>
        <v>126606809</v>
      </c>
      <c r="AC118" s="3">
        <f t="shared" si="12"/>
        <v>2</v>
      </c>
      <c r="AD118" s="3">
        <f t="shared" si="13"/>
        <v>62425747</v>
      </c>
      <c r="AE118" s="3">
        <f t="shared" si="14"/>
        <v>2</v>
      </c>
      <c r="AF118" s="3">
        <f t="shared" si="15"/>
        <v>11485</v>
      </c>
      <c r="AG118" s="3">
        <f t="shared" si="16"/>
        <v>5</v>
      </c>
      <c r="AH118" s="3">
        <f t="shared" si="17"/>
        <v>346469</v>
      </c>
      <c r="AI118" s="3" t="str">
        <f t="shared" si="18"/>
        <v/>
      </c>
      <c r="AJ118" s="3">
        <f t="shared" si="19"/>
        <v>0</v>
      </c>
    </row>
    <row r="119">
      <c r="C119" s="6" t="s">
        <v>119</v>
      </c>
      <c r="D119" s="3">
        <f t="shared" si="1"/>
        <v>1</v>
      </c>
      <c r="E119" s="3" t="str">
        <f>IFERROR(__xludf.DUMMYFUNCTION("REGEXEXTRACT(C119,""[^ ]* [^ ]*"")"),"posh white")</f>
        <v>posh white</v>
      </c>
      <c r="F119" s="3" t="str">
        <f>IFERROR(__xludf.DUMMYFUNCTION("MID(REGEXEXTRACT(C119,""contain.*$""),9,300)"),"4 drab tomato bags, 2 muted aqua bags.")</f>
        <v>4 drab tomato bags, 2 muted aqua bags.</v>
      </c>
      <c r="G119" s="3" t="str">
        <f>IFERROR(__xludf.DUMMYFUNCTION("INDEX(SPLIT($F119,"",""),COLUMN()-6)"),"4 drab tomato bags")</f>
        <v>4 drab tomato bags</v>
      </c>
      <c r="H119" s="3" t="str">
        <f>IFERROR(__xludf.DUMMYFUNCTION("MID(INDEX(SPLIT($F119,"",""),COLUMN()-6),2,300)"),"2 muted aqua bags.")</f>
        <v>2 muted aqua bags.</v>
      </c>
      <c r="I119" s="3" t="str">
        <f>IFERROR(__xludf.DUMMYFUNCTION("MID(INDEX(SPLIT($F119,"",""),COLUMN()-6),2,300)"),"#REF!")</f>
        <v>#REF!</v>
      </c>
      <c r="J119" s="3" t="str">
        <f>IFERROR(__xludf.DUMMYFUNCTION("MID(INDEX(SPLIT($F119,"",""),COLUMN()-6),2,300)"),"#REF!")</f>
        <v>#REF!</v>
      </c>
      <c r="K119" s="3">
        <f>IFERROR(__xludf.DUMMYFUNCTION("INDEX(SPLIT(G119,"" ""),1)"),4.0)</f>
        <v>4</v>
      </c>
      <c r="L119" s="3" t="str">
        <f>IFERROR(__xludf.DUMMYFUNCTION("REGEXEXTRACT(G119,"" [^ ]* [^ ]* "")")," drab tomato ")</f>
        <v> drab tomato </v>
      </c>
      <c r="M119" s="3">
        <f>IFERROR(__xludf.DUMMYFUNCTION("INDEX(SPLIT(H119,"" ""),1)"),2.0)</f>
        <v>2</v>
      </c>
      <c r="N119" s="3" t="str">
        <f>IFERROR(__xludf.DUMMYFUNCTION("MID(REGEXEXTRACT(H119,"" [^ ]* [^ ]*""),2,300)"),"muted aqua")</f>
        <v>muted aqua</v>
      </c>
      <c r="O119" s="3" t="str">
        <f>IFERROR(__xludf.DUMMYFUNCTION("INDEX(SPLIT(I119,"" ""),1)"),"#REF!")</f>
        <v>#REF!</v>
      </c>
      <c r="P119" s="3" t="str">
        <f>IFERROR(__xludf.DUMMYFUNCTION("MID(REGEXEXTRACT(I119,"" [^ ]* [^ ]*""),2,300)"),"#REF!")</f>
        <v>#REF!</v>
      </c>
      <c r="Q119" s="3" t="str">
        <f>IFERROR(__xludf.DUMMYFUNCTION("INDEX(SPLIT(J119,"" ""),1)"),"#REF!")</f>
        <v>#REF!</v>
      </c>
      <c r="R119" s="3" t="str">
        <f>IFERROR(__xludf.DUMMYFUNCTION("MID(REGEXEXTRACT(J119,"" [^ ]* [^ ]*""),2,300)"),"#REF!")</f>
        <v>#REF!</v>
      </c>
      <c r="S119" s="3">
        <f t="shared" si="2"/>
        <v>4</v>
      </c>
      <c r="T119" s="3" t="str">
        <f t="shared" si="3"/>
        <v>drab tomato</v>
      </c>
      <c r="U119" s="3">
        <f t="shared" si="4"/>
        <v>2</v>
      </c>
      <c r="V119" s="3" t="str">
        <f t="shared" si="5"/>
        <v>muted aqua</v>
      </c>
      <c r="W119" s="3" t="str">
        <f t="shared" si="6"/>
        <v/>
      </c>
      <c r="X119" s="3" t="str">
        <f t="shared" si="7"/>
        <v/>
      </c>
      <c r="Y119" s="3" t="str">
        <f t="shared" si="8"/>
        <v/>
      </c>
      <c r="Z119" s="3" t="str">
        <f t="shared" si="9"/>
        <v/>
      </c>
      <c r="AA119" s="13">
        <f t="shared" si="10"/>
        <v>214915</v>
      </c>
      <c r="AB119" s="3">
        <f t="shared" si="11"/>
        <v>214914</v>
      </c>
      <c r="AC119" s="3">
        <f t="shared" si="12"/>
        <v>4</v>
      </c>
      <c r="AD119" s="3">
        <f t="shared" si="13"/>
        <v>38687</v>
      </c>
      <c r="AE119" s="3">
        <f t="shared" si="14"/>
        <v>2</v>
      </c>
      <c r="AF119" s="3">
        <f t="shared" si="15"/>
        <v>30083</v>
      </c>
      <c r="AG119" s="3" t="str">
        <f t="shared" si="16"/>
        <v/>
      </c>
      <c r="AH119" s="3">
        <f t="shared" si="17"/>
        <v>0</v>
      </c>
      <c r="AI119" s="3" t="str">
        <f t="shared" si="18"/>
        <v/>
      </c>
      <c r="AJ119" s="3">
        <f t="shared" si="19"/>
        <v>0</v>
      </c>
    </row>
    <row r="120">
      <c r="C120" s="6" t="s">
        <v>120</v>
      </c>
      <c r="D120" s="3">
        <f t="shared" si="1"/>
        <v>2</v>
      </c>
      <c r="E120" s="3" t="str">
        <f>IFERROR(__xludf.DUMMYFUNCTION("REGEXEXTRACT(C120,""[^ ]* [^ ]*"")"),"striped red")</f>
        <v>striped red</v>
      </c>
      <c r="F120" s="3" t="str">
        <f>IFERROR(__xludf.DUMMYFUNCTION("MID(REGEXEXTRACT(C120,""contain.*$""),9,300)"),"2 plaid blue bags, 1 light plum bag, 3 bright white bags.")</f>
        <v>2 plaid blue bags, 1 light plum bag, 3 bright white bags.</v>
      </c>
      <c r="G120" s="3" t="str">
        <f>IFERROR(__xludf.DUMMYFUNCTION("INDEX(SPLIT($F120,"",""),COLUMN()-6)"),"2 plaid blue bags")</f>
        <v>2 plaid blue bags</v>
      </c>
      <c r="H120" s="3" t="str">
        <f>IFERROR(__xludf.DUMMYFUNCTION("MID(INDEX(SPLIT($F120,"",""),COLUMN()-6),2,300)"),"1 light plum bag")</f>
        <v>1 light plum bag</v>
      </c>
      <c r="I120" s="3" t="str">
        <f>IFERROR(__xludf.DUMMYFUNCTION("MID(INDEX(SPLIT($F120,"",""),COLUMN()-6),2,300)"),"3 bright white bags.")</f>
        <v>3 bright white bags.</v>
      </c>
      <c r="J120" s="3" t="str">
        <f>IFERROR(__xludf.DUMMYFUNCTION("MID(INDEX(SPLIT($F120,"",""),COLUMN()-6),2,300)"),"#REF!")</f>
        <v>#REF!</v>
      </c>
      <c r="K120" s="3">
        <f>IFERROR(__xludf.DUMMYFUNCTION("INDEX(SPLIT(G120,"" ""),1)"),2.0)</f>
        <v>2</v>
      </c>
      <c r="L120" s="3" t="str">
        <f>IFERROR(__xludf.DUMMYFUNCTION("REGEXEXTRACT(G120,"" [^ ]* [^ ]* "")")," plaid blue ")</f>
        <v> plaid blue </v>
      </c>
      <c r="M120" s="3">
        <f>IFERROR(__xludf.DUMMYFUNCTION("INDEX(SPLIT(H120,"" ""),1)"),1.0)</f>
        <v>1</v>
      </c>
      <c r="N120" s="3" t="str">
        <f>IFERROR(__xludf.DUMMYFUNCTION("MID(REGEXEXTRACT(H120,"" [^ ]* [^ ]*""),2,300)"),"light plum")</f>
        <v>light plum</v>
      </c>
      <c r="O120" s="3">
        <f>IFERROR(__xludf.DUMMYFUNCTION("INDEX(SPLIT(I120,"" ""),1)"),3.0)</f>
        <v>3</v>
      </c>
      <c r="P120" s="3" t="str">
        <f>IFERROR(__xludf.DUMMYFUNCTION("MID(REGEXEXTRACT(I120,"" [^ ]* [^ ]*""),2,300)"),"bright white")</f>
        <v>bright white</v>
      </c>
      <c r="Q120" s="3" t="str">
        <f>IFERROR(__xludf.DUMMYFUNCTION("INDEX(SPLIT(J120,"" ""),1)"),"#REF!")</f>
        <v>#REF!</v>
      </c>
      <c r="R120" s="3" t="str">
        <f>IFERROR(__xludf.DUMMYFUNCTION("MID(REGEXEXTRACT(J120,"" [^ ]* [^ ]*""),2,300)"),"#REF!")</f>
        <v>#REF!</v>
      </c>
      <c r="S120" s="3">
        <f t="shared" si="2"/>
        <v>2</v>
      </c>
      <c r="T120" s="3" t="str">
        <f t="shared" si="3"/>
        <v>plaid blue</v>
      </c>
      <c r="U120" s="3">
        <f t="shared" si="4"/>
        <v>1</v>
      </c>
      <c r="V120" s="3" t="str">
        <f t="shared" si="5"/>
        <v>light plum</v>
      </c>
      <c r="W120" s="3">
        <f t="shared" si="6"/>
        <v>3</v>
      </c>
      <c r="X120" s="3" t="str">
        <f t="shared" si="7"/>
        <v>bright white</v>
      </c>
      <c r="Y120" s="3" t="str">
        <f t="shared" si="8"/>
        <v/>
      </c>
      <c r="Z120" s="3" t="str">
        <f t="shared" si="9"/>
        <v/>
      </c>
      <c r="AA120" s="13">
        <f t="shared" si="10"/>
        <v>75115716</v>
      </c>
      <c r="AB120" s="3">
        <f t="shared" si="11"/>
        <v>75115715</v>
      </c>
      <c r="AC120" s="3">
        <f t="shared" si="12"/>
        <v>2</v>
      </c>
      <c r="AD120" s="3">
        <f t="shared" si="13"/>
        <v>81694</v>
      </c>
      <c r="AE120" s="3">
        <f t="shared" si="14"/>
        <v>1</v>
      </c>
      <c r="AF120" s="3">
        <f t="shared" si="15"/>
        <v>3</v>
      </c>
      <c r="AG120" s="3">
        <f t="shared" si="16"/>
        <v>3</v>
      </c>
      <c r="AH120" s="3">
        <f t="shared" si="17"/>
        <v>24984108</v>
      </c>
      <c r="AI120" s="3" t="str">
        <f t="shared" si="18"/>
        <v/>
      </c>
      <c r="AJ120" s="3">
        <f t="shared" si="19"/>
        <v>0</v>
      </c>
    </row>
    <row r="121">
      <c r="C121" s="6" t="s">
        <v>121</v>
      </c>
      <c r="D121" s="3">
        <f t="shared" si="1"/>
        <v>0</v>
      </c>
      <c r="E121" s="3" t="str">
        <f>IFERROR(__xludf.DUMMYFUNCTION("REGEXEXTRACT(C121,""[^ ]* [^ ]*"")"),"pale white")</f>
        <v>pale white</v>
      </c>
      <c r="F121" s="3" t="str">
        <f>IFERROR(__xludf.DUMMYFUNCTION("MID(REGEXEXTRACT(C121,""contain.*$""),9,300)"),"1 light purple bag.")</f>
        <v>1 light purple bag.</v>
      </c>
      <c r="G121" s="3" t="str">
        <f>IFERROR(__xludf.DUMMYFUNCTION("INDEX(SPLIT($F121,"",""),COLUMN()-6)"),"1 light purple bag.")</f>
        <v>1 light purple bag.</v>
      </c>
      <c r="H121" s="3" t="str">
        <f>IFERROR(__xludf.DUMMYFUNCTION("MID(INDEX(SPLIT($F121,"",""),COLUMN()-6),2,300)"),"#REF!")</f>
        <v>#REF!</v>
      </c>
      <c r="I121" s="3" t="str">
        <f>IFERROR(__xludf.DUMMYFUNCTION("MID(INDEX(SPLIT($F121,"",""),COLUMN()-6),2,300)"),"#REF!")</f>
        <v>#REF!</v>
      </c>
      <c r="J121" s="3" t="str">
        <f>IFERROR(__xludf.DUMMYFUNCTION("MID(INDEX(SPLIT($F121,"",""),COLUMN()-6),2,300)"),"#REF!")</f>
        <v>#REF!</v>
      </c>
      <c r="K121" s="3">
        <f>IFERROR(__xludf.DUMMYFUNCTION("INDEX(SPLIT(G121,"" ""),1)"),1.0)</f>
        <v>1</v>
      </c>
      <c r="L121" s="3" t="str">
        <f>IFERROR(__xludf.DUMMYFUNCTION("REGEXEXTRACT(G121,"" [^ ]* [^ ]* "")")," light purple ")</f>
        <v> light purple </v>
      </c>
      <c r="M121" s="3" t="str">
        <f>IFERROR(__xludf.DUMMYFUNCTION("INDEX(SPLIT(H121,"" ""),1)"),"#REF!")</f>
        <v>#REF!</v>
      </c>
      <c r="N121" s="3" t="str">
        <f>IFERROR(__xludf.DUMMYFUNCTION("MID(REGEXEXTRACT(H121,"" [^ ]* [^ ]*""),2,300)"),"#REF!")</f>
        <v>#REF!</v>
      </c>
      <c r="O121" s="3" t="str">
        <f>IFERROR(__xludf.DUMMYFUNCTION("INDEX(SPLIT(I121,"" ""),1)"),"#REF!")</f>
        <v>#REF!</v>
      </c>
      <c r="P121" s="3" t="str">
        <f>IFERROR(__xludf.DUMMYFUNCTION("MID(REGEXEXTRACT(I121,"" [^ ]* [^ ]*""),2,300)"),"#REF!")</f>
        <v>#REF!</v>
      </c>
      <c r="Q121" s="3" t="str">
        <f>IFERROR(__xludf.DUMMYFUNCTION("INDEX(SPLIT(J121,"" ""),1)"),"#REF!")</f>
        <v>#REF!</v>
      </c>
      <c r="R121" s="3" t="str">
        <f>IFERROR(__xludf.DUMMYFUNCTION("MID(REGEXEXTRACT(J121,"" [^ ]* [^ ]*""),2,300)"),"#REF!")</f>
        <v>#REF!</v>
      </c>
      <c r="S121" s="3">
        <f t="shared" si="2"/>
        <v>1</v>
      </c>
      <c r="T121" s="3" t="str">
        <f t="shared" si="3"/>
        <v>light purple</v>
      </c>
      <c r="U121" s="3" t="str">
        <f t="shared" si="4"/>
        <v/>
      </c>
      <c r="V121" s="3" t="str">
        <f t="shared" si="5"/>
        <v/>
      </c>
      <c r="W121" s="3" t="str">
        <f t="shared" si="6"/>
        <v/>
      </c>
      <c r="X121" s="3" t="str">
        <f t="shared" si="7"/>
        <v/>
      </c>
      <c r="Y121" s="3" t="str">
        <f t="shared" si="8"/>
        <v/>
      </c>
      <c r="Z121" s="3" t="str">
        <f t="shared" si="9"/>
        <v/>
      </c>
      <c r="AA121" s="13">
        <f t="shared" si="10"/>
        <v>76433</v>
      </c>
      <c r="AB121" s="3">
        <f t="shared" si="11"/>
        <v>76432</v>
      </c>
      <c r="AC121" s="3">
        <f t="shared" si="12"/>
        <v>1</v>
      </c>
      <c r="AD121" s="3">
        <f t="shared" si="13"/>
        <v>76432</v>
      </c>
      <c r="AE121" s="3" t="str">
        <f t="shared" si="14"/>
        <v/>
      </c>
      <c r="AF121" s="3">
        <f t="shared" si="15"/>
        <v>0</v>
      </c>
      <c r="AG121" s="3" t="str">
        <f t="shared" si="16"/>
        <v/>
      </c>
      <c r="AH121" s="3">
        <f t="shared" si="17"/>
        <v>0</v>
      </c>
      <c r="AI121" s="3" t="str">
        <f t="shared" si="18"/>
        <v/>
      </c>
      <c r="AJ121" s="3">
        <f t="shared" si="19"/>
        <v>0</v>
      </c>
    </row>
    <row r="122">
      <c r="C122" s="6" t="s">
        <v>122</v>
      </c>
      <c r="D122" s="3">
        <f t="shared" si="1"/>
        <v>0</v>
      </c>
      <c r="E122" s="3" t="str">
        <f>IFERROR(__xludf.DUMMYFUNCTION("REGEXEXTRACT(C122,""[^ ]* [^ ]*"")"),"shiny coral")</f>
        <v>shiny coral</v>
      </c>
      <c r="F122" s="3" t="str">
        <f>IFERROR(__xludf.DUMMYFUNCTION("MID(REGEXEXTRACT(C122,""contain.*$""),9,300)"),"no other bags.")</f>
        <v>no other bags.</v>
      </c>
      <c r="G122" s="3" t="str">
        <f>IFERROR(__xludf.DUMMYFUNCTION("INDEX(SPLIT($F122,"",""),COLUMN()-6)"),"no other bags.")</f>
        <v>no other bags.</v>
      </c>
      <c r="H122" s="3" t="str">
        <f>IFERROR(__xludf.DUMMYFUNCTION("MID(INDEX(SPLIT($F122,"",""),COLUMN()-6),2,300)"),"#REF!")</f>
        <v>#REF!</v>
      </c>
      <c r="I122" s="3" t="str">
        <f>IFERROR(__xludf.DUMMYFUNCTION("MID(INDEX(SPLIT($F122,"",""),COLUMN()-6),2,300)"),"#REF!")</f>
        <v>#REF!</v>
      </c>
      <c r="J122" s="3" t="str">
        <f>IFERROR(__xludf.DUMMYFUNCTION("MID(INDEX(SPLIT($F122,"",""),COLUMN()-6),2,300)"),"#REF!")</f>
        <v>#REF!</v>
      </c>
      <c r="K122" s="3" t="str">
        <f>IFERROR(__xludf.DUMMYFUNCTION("INDEX(SPLIT(G122,"" ""),1)"),"no")</f>
        <v>no</v>
      </c>
      <c r="L122" s="3" t="str">
        <f>IFERROR(__xludf.DUMMYFUNCTION("REGEXEXTRACT(G122,"" [^ ]* [^ ]* "")"),"#N/A")</f>
        <v>#N/A</v>
      </c>
      <c r="M122" s="3" t="str">
        <f>IFERROR(__xludf.DUMMYFUNCTION("INDEX(SPLIT(H122,"" ""),1)"),"#REF!")</f>
        <v>#REF!</v>
      </c>
      <c r="N122" s="3" t="str">
        <f>IFERROR(__xludf.DUMMYFUNCTION("MID(REGEXEXTRACT(H122,"" [^ ]* [^ ]*""),2,300)"),"#REF!")</f>
        <v>#REF!</v>
      </c>
      <c r="O122" s="3" t="str">
        <f>IFERROR(__xludf.DUMMYFUNCTION("INDEX(SPLIT(I122,"" ""),1)"),"#REF!")</f>
        <v>#REF!</v>
      </c>
      <c r="P122" s="3" t="str">
        <f>IFERROR(__xludf.DUMMYFUNCTION("MID(REGEXEXTRACT(I122,"" [^ ]* [^ ]*""),2,300)"),"#REF!")</f>
        <v>#REF!</v>
      </c>
      <c r="Q122" s="3" t="str">
        <f>IFERROR(__xludf.DUMMYFUNCTION("INDEX(SPLIT(J122,"" ""),1)"),"#REF!")</f>
        <v>#REF!</v>
      </c>
      <c r="R122" s="3" t="str">
        <f>IFERROR(__xludf.DUMMYFUNCTION("MID(REGEXEXTRACT(J122,"" [^ ]* [^ ]*""),2,300)"),"#REF!")</f>
        <v>#REF!</v>
      </c>
      <c r="S122" s="3" t="str">
        <f t="shared" si="2"/>
        <v/>
      </c>
      <c r="T122" s="3" t="str">
        <f t="shared" si="3"/>
        <v/>
      </c>
      <c r="U122" s="3" t="str">
        <f t="shared" si="4"/>
        <v/>
      </c>
      <c r="V122" s="3" t="str">
        <f t="shared" si="5"/>
        <v/>
      </c>
      <c r="W122" s="3" t="str">
        <f t="shared" si="6"/>
        <v/>
      </c>
      <c r="X122" s="3" t="str">
        <f t="shared" si="7"/>
        <v/>
      </c>
      <c r="Y122" s="3" t="str">
        <f t="shared" si="8"/>
        <v/>
      </c>
      <c r="Z122" s="3" t="str">
        <f t="shared" si="9"/>
        <v/>
      </c>
      <c r="AA122" s="13">
        <f t="shared" si="10"/>
        <v>1</v>
      </c>
      <c r="AB122" s="3">
        <f t="shared" si="11"/>
        <v>0</v>
      </c>
      <c r="AC122" s="3" t="str">
        <f t="shared" si="12"/>
        <v/>
      </c>
      <c r="AD122" s="3">
        <f t="shared" si="13"/>
        <v>0</v>
      </c>
      <c r="AE122" s="3" t="str">
        <f t="shared" si="14"/>
        <v/>
      </c>
      <c r="AF122" s="3">
        <f t="shared" si="15"/>
        <v>0</v>
      </c>
      <c r="AG122" s="3" t="str">
        <f t="shared" si="16"/>
        <v/>
      </c>
      <c r="AH122" s="3">
        <f t="shared" si="17"/>
        <v>0</v>
      </c>
      <c r="AI122" s="3" t="str">
        <f t="shared" si="18"/>
        <v/>
      </c>
      <c r="AJ122" s="3">
        <f t="shared" si="19"/>
        <v>0</v>
      </c>
    </row>
    <row r="123">
      <c r="C123" s="6" t="s">
        <v>123</v>
      </c>
      <c r="D123" s="3">
        <f t="shared" si="1"/>
        <v>3</v>
      </c>
      <c r="E123" s="3" t="str">
        <f>IFERROR(__xludf.DUMMYFUNCTION("REGEXEXTRACT(C123,""[^ ]* [^ ]*"")"),"dark magenta")</f>
        <v>dark magenta</v>
      </c>
      <c r="F123" s="3" t="str">
        <f>IFERROR(__xludf.DUMMYFUNCTION("MID(REGEXEXTRACT(C123,""contain.*$""),9,300)"),"4 pale tan bags, 1 posh chartreuse bag, 2 pale yellow bags, 2 pale indigo bags.")</f>
        <v>4 pale tan bags, 1 posh chartreuse bag, 2 pale yellow bags, 2 pale indigo bags.</v>
      </c>
      <c r="G123" s="3" t="str">
        <f>IFERROR(__xludf.DUMMYFUNCTION("INDEX(SPLIT($F123,"",""),COLUMN()-6)"),"4 pale tan bags")</f>
        <v>4 pale tan bags</v>
      </c>
      <c r="H123" s="3" t="str">
        <f>IFERROR(__xludf.DUMMYFUNCTION("MID(INDEX(SPLIT($F123,"",""),COLUMN()-6),2,300)"),"1 posh chartreuse bag")</f>
        <v>1 posh chartreuse bag</v>
      </c>
      <c r="I123" s="3" t="str">
        <f>IFERROR(__xludf.DUMMYFUNCTION("MID(INDEX(SPLIT($F123,"",""),COLUMN()-6),2,300)"),"2 pale yellow bags")</f>
        <v>2 pale yellow bags</v>
      </c>
      <c r="J123" s="3" t="str">
        <f>IFERROR(__xludf.DUMMYFUNCTION("MID(INDEX(SPLIT($F123,"",""),COLUMN()-6),2,300)"),"2 pale indigo bags.")</f>
        <v>2 pale indigo bags.</v>
      </c>
      <c r="K123" s="3">
        <f>IFERROR(__xludf.DUMMYFUNCTION("INDEX(SPLIT(G123,"" ""),1)"),4.0)</f>
        <v>4</v>
      </c>
      <c r="L123" s="3" t="str">
        <f>IFERROR(__xludf.DUMMYFUNCTION("REGEXEXTRACT(G123,"" [^ ]* [^ ]* "")")," pale tan ")</f>
        <v> pale tan </v>
      </c>
      <c r="M123" s="3">
        <f>IFERROR(__xludf.DUMMYFUNCTION("INDEX(SPLIT(H123,"" ""),1)"),1.0)</f>
        <v>1</v>
      </c>
      <c r="N123" s="3" t="str">
        <f>IFERROR(__xludf.DUMMYFUNCTION("MID(REGEXEXTRACT(H123,"" [^ ]* [^ ]*""),2,300)"),"posh chartreuse")</f>
        <v>posh chartreuse</v>
      </c>
      <c r="O123" s="3">
        <f>IFERROR(__xludf.DUMMYFUNCTION("INDEX(SPLIT(I123,"" ""),1)"),2.0)</f>
        <v>2</v>
      </c>
      <c r="P123" s="3" t="str">
        <f>IFERROR(__xludf.DUMMYFUNCTION("MID(REGEXEXTRACT(I123,"" [^ ]* [^ ]*""),2,300)"),"pale yellow")</f>
        <v>pale yellow</v>
      </c>
      <c r="Q123" s="3">
        <f>IFERROR(__xludf.DUMMYFUNCTION("INDEX(SPLIT(J123,"" ""),1)"),2.0)</f>
        <v>2</v>
      </c>
      <c r="R123" s="3" t="str">
        <f>IFERROR(__xludf.DUMMYFUNCTION("MID(REGEXEXTRACT(J123,"" [^ ]* [^ ]*""),2,300)"),"pale indigo")</f>
        <v>pale indigo</v>
      </c>
      <c r="S123" s="3">
        <f t="shared" si="2"/>
        <v>4</v>
      </c>
      <c r="T123" s="3" t="str">
        <f t="shared" si="3"/>
        <v>pale tan</v>
      </c>
      <c r="U123" s="3">
        <f t="shared" si="4"/>
        <v>1</v>
      </c>
      <c r="V123" s="3" t="str">
        <f t="shared" si="5"/>
        <v>posh chartreuse</v>
      </c>
      <c r="W123" s="3">
        <f t="shared" si="6"/>
        <v>2</v>
      </c>
      <c r="X123" s="3" t="str">
        <f t="shared" si="7"/>
        <v>pale yellow</v>
      </c>
      <c r="Y123" s="3">
        <f t="shared" si="8"/>
        <v>2</v>
      </c>
      <c r="Z123" s="3" t="str">
        <f t="shared" si="9"/>
        <v>pale indigo</v>
      </c>
      <c r="AA123" s="13">
        <f t="shared" si="10"/>
        <v>229206490</v>
      </c>
      <c r="AB123" s="3">
        <f t="shared" si="11"/>
        <v>229206489</v>
      </c>
      <c r="AC123" s="3">
        <f t="shared" si="12"/>
        <v>4</v>
      </c>
      <c r="AD123" s="3">
        <f t="shared" si="13"/>
        <v>10022021</v>
      </c>
      <c r="AE123" s="3">
        <f t="shared" si="14"/>
        <v>1</v>
      </c>
      <c r="AF123" s="3">
        <f t="shared" si="15"/>
        <v>1471743</v>
      </c>
      <c r="AG123" s="3">
        <f t="shared" si="16"/>
        <v>2</v>
      </c>
      <c r="AH123" s="3">
        <f t="shared" si="17"/>
        <v>329</v>
      </c>
      <c r="AI123" s="3">
        <f t="shared" si="18"/>
        <v>2</v>
      </c>
      <c r="AJ123" s="3">
        <f t="shared" si="19"/>
        <v>93823002</v>
      </c>
    </row>
    <row r="124">
      <c r="C124" s="6" t="s">
        <v>124</v>
      </c>
      <c r="D124" s="3">
        <f t="shared" si="1"/>
        <v>2</v>
      </c>
      <c r="E124" s="3" t="str">
        <f>IFERROR(__xludf.DUMMYFUNCTION("REGEXEXTRACT(C124,""[^ ]* [^ ]*"")"),"light gray")</f>
        <v>light gray</v>
      </c>
      <c r="F124" s="3" t="str">
        <f>IFERROR(__xludf.DUMMYFUNCTION("MID(REGEXEXTRACT(C124,""contain.*$""),9,300)"),"4 pale green bags, 5 dotted green bags, 4 shiny gray bags.")</f>
        <v>4 pale green bags, 5 dotted green bags, 4 shiny gray bags.</v>
      </c>
      <c r="G124" s="3" t="str">
        <f>IFERROR(__xludf.DUMMYFUNCTION("INDEX(SPLIT($F124,"",""),COLUMN()-6)"),"4 pale green bags")</f>
        <v>4 pale green bags</v>
      </c>
      <c r="H124" s="3" t="str">
        <f>IFERROR(__xludf.DUMMYFUNCTION("MID(INDEX(SPLIT($F124,"",""),COLUMN()-6),2,300)"),"5 dotted green bags")</f>
        <v>5 dotted green bags</v>
      </c>
      <c r="I124" s="3" t="str">
        <f>IFERROR(__xludf.DUMMYFUNCTION("MID(INDEX(SPLIT($F124,"",""),COLUMN()-6),2,300)"),"4 shiny gray bags.")</f>
        <v>4 shiny gray bags.</v>
      </c>
      <c r="J124" s="3" t="str">
        <f>IFERROR(__xludf.DUMMYFUNCTION("MID(INDEX(SPLIT($F124,"",""),COLUMN()-6),2,300)"),"#REF!")</f>
        <v>#REF!</v>
      </c>
      <c r="K124" s="3">
        <f>IFERROR(__xludf.DUMMYFUNCTION("INDEX(SPLIT(G124,"" ""),1)"),4.0)</f>
        <v>4</v>
      </c>
      <c r="L124" s="3" t="str">
        <f>IFERROR(__xludf.DUMMYFUNCTION("REGEXEXTRACT(G124,"" [^ ]* [^ ]* "")")," pale green ")</f>
        <v> pale green </v>
      </c>
      <c r="M124" s="3">
        <f>IFERROR(__xludf.DUMMYFUNCTION("INDEX(SPLIT(H124,"" ""),1)"),5.0)</f>
        <v>5</v>
      </c>
      <c r="N124" s="3" t="str">
        <f>IFERROR(__xludf.DUMMYFUNCTION("MID(REGEXEXTRACT(H124,"" [^ ]* [^ ]*""),2,300)"),"dotted green")</f>
        <v>dotted green</v>
      </c>
      <c r="O124" s="3">
        <f>IFERROR(__xludf.DUMMYFUNCTION("INDEX(SPLIT(I124,"" ""),1)"),4.0)</f>
        <v>4</v>
      </c>
      <c r="P124" s="3" t="str">
        <f>IFERROR(__xludf.DUMMYFUNCTION("MID(REGEXEXTRACT(I124,"" [^ ]* [^ ]*""),2,300)"),"shiny gray")</f>
        <v>shiny gray</v>
      </c>
      <c r="Q124" s="3" t="str">
        <f>IFERROR(__xludf.DUMMYFUNCTION("INDEX(SPLIT(J124,"" ""),1)"),"#REF!")</f>
        <v>#REF!</v>
      </c>
      <c r="R124" s="3" t="str">
        <f>IFERROR(__xludf.DUMMYFUNCTION("MID(REGEXEXTRACT(J124,"" [^ ]* [^ ]*""),2,300)"),"#REF!")</f>
        <v>#REF!</v>
      </c>
      <c r="S124" s="3">
        <f t="shared" si="2"/>
        <v>4</v>
      </c>
      <c r="T124" s="3" t="str">
        <f t="shared" si="3"/>
        <v>pale green</v>
      </c>
      <c r="U124" s="3">
        <f t="shared" si="4"/>
        <v>5</v>
      </c>
      <c r="V124" s="3" t="str">
        <f t="shared" si="5"/>
        <v>dotted green</v>
      </c>
      <c r="W124" s="3">
        <f t="shared" si="6"/>
        <v>4</v>
      </c>
      <c r="X124" s="3" t="str">
        <f t="shared" si="7"/>
        <v>shiny gray</v>
      </c>
      <c r="Y124" s="3" t="str">
        <f t="shared" si="8"/>
        <v/>
      </c>
      <c r="Z124" s="3" t="str">
        <f t="shared" si="9"/>
        <v/>
      </c>
      <c r="AA124" s="13">
        <f t="shared" si="10"/>
        <v>204122628</v>
      </c>
      <c r="AB124" s="3">
        <f t="shared" si="11"/>
        <v>204122627</v>
      </c>
      <c r="AC124" s="3">
        <f t="shared" si="12"/>
        <v>4</v>
      </c>
      <c r="AD124" s="3">
        <f t="shared" si="13"/>
        <v>8485185</v>
      </c>
      <c r="AE124" s="3">
        <f t="shared" si="14"/>
        <v>5</v>
      </c>
      <c r="AF124" s="3">
        <f t="shared" si="15"/>
        <v>34009111</v>
      </c>
      <c r="AG124" s="3">
        <f t="shared" si="16"/>
        <v>4</v>
      </c>
      <c r="AH124" s="3">
        <f t="shared" si="17"/>
        <v>34083</v>
      </c>
      <c r="AI124" s="3" t="str">
        <f t="shared" si="18"/>
        <v/>
      </c>
      <c r="AJ124" s="3">
        <f t="shared" si="19"/>
        <v>0</v>
      </c>
    </row>
    <row r="125">
      <c r="C125" s="6" t="s">
        <v>125</v>
      </c>
      <c r="D125" s="3">
        <f t="shared" si="1"/>
        <v>3</v>
      </c>
      <c r="E125" s="3" t="str">
        <f>IFERROR(__xludf.DUMMYFUNCTION("REGEXEXTRACT(C125,""[^ ]* [^ ]*"")"),"dim gold")</f>
        <v>dim gold</v>
      </c>
      <c r="F125" s="3" t="str">
        <f>IFERROR(__xludf.DUMMYFUNCTION("MID(REGEXEXTRACT(C125,""contain.*$""),9,300)"),"3 clear violet bags, 5 plaid aqua bags, 2 bright tomato bags, 2 wavy teal bags.")</f>
        <v>3 clear violet bags, 5 plaid aqua bags, 2 bright tomato bags, 2 wavy teal bags.</v>
      </c>
      <c r="G125" s="3" t="str">
        <f>IFERROR(__xludf.DUMMYFUNCTION("INDEX(SPLIT($F125,"",""),COLUMN()-6)"),"3 clear violet bags")</f>
        <v>3 clear violet bags</v>
      </c>
      <c r="H125" s="3" t="str">
        <f>IFERROR(__xludf.DUMMYFUNCTION("MID(INDEX(SPLIT($F125,"",""),COLUMN()-6),2,300)"),"5 plaid aqua bags")</f>
        <v>5 plaid aqua bags</v>
      </c>
      <c r="I125" s="3" t="str">
        <f>IFERROR(__xludf.DUMMYFUNCTION("MID(INDEX(SPLIT($F125,"",""),COLUMN()-6),2,300)"),"2 bright tomato bags")</f>
        <v>2 bright tomato bags</v>
      </c>
      <c r="J125" s="3" t="str">
        <f>IFERROR(__xludf.DUMMYFUNCTION("MID(INDEX(SPLIT($F125,"",""),COLUMN()-6),2,300)"),"2 wavy teal bags.")</f>
        <v>2 wavy teal bags.</v>
      </c>
      <c r="K125" s="3">
        <f>IFERROR(__xludf.DUMMYFUNCTION("INDEX(SPLIT(G125,"" ""),1)"),3.0)</f>
        <v>3</v>
      </c>
      <c r="L125" s="3" t="str">
        <f>IFERROR(__xludf.DUMMYFUNCTION("REGEXEXTRACT(G125,"" [^ ]* [^ ]* "")")," clear violet ")</f>
        <v> clear violet </v>
      </c>
      <c r="M125" s="3">
        <f>IFERROR(__xludf.DUMMYFUNCTION("INDEX(SPLIT(H125,"" ""),1)"),5.0)</f>
        <v>5</v>
      </c>
      <c r="N125" s="3" t="str">
        <f>IFERROR(__xludf.DUMMYFUNCTION("MID(REGEXEXTRACT(H125,"" [^ ]* [^ ]*""),2,300)"),"plaid aqua")</f>
        <v>plaid aqua</v>
      </c>
      <c r="O125" s="3">
        <f>IFERROR(__xludf.DUMMYFUNCTION("INDEX(SPLIT(I125,"" ""),1)"),2.0)</f>
        <v>2</v>
      </c>
      <c r="P125" s="3" t="str">
        <f>IFERROR(__xludf.DUMMYFUNCTION("MID(REGEXEXTRACT(I125,"" [^ ]* [^ ]*""),2,300)"),"bright tomato")</f>
        <v>bright tomato</v>
      </c>
      <c r="Q125" s="3">
        <f>IFERROR(__xludf.DUMMYFUNCTION("INDEX(SPLIT(J125,"" ""),1)"),2.0)</f>
        <v>2</v>
      </c>
      <c r="R125" s="3" t="str">
        <f>IFERROR(__xludf.DUMMYFUNCTION("MID(REGEXEXTRACT(J125,"" [^ ]* [^ ]*""),2,300)"),"wavy teal")</f>
        <v>wavy teal</v>
      </c>
      <c r="S125" s="3">
        <f t="shared" si="2"/>
        <v>3</v>
      </c>
      <c r="T125" s="3" t="str">
        <f t="shared" si="3"/>
        <v>clear violet</v>
      </c>
      <c r="U125" s="3">
        <f t="shared" si="4"/>
        <v>5</v>
      </c>
      <c r="V125" s="3" t="str">
        <f t="shared" si="5"/>
        <v>plaid aqua</v>
      </c>
      <c r="W125" s="3">
        <f t="shared" si="6"/>
        <v>2</v>
      </c>
      <c r="X125" s="3" t="str">
        <f t="shared" si="7"/>
        <v>bright tomato</v>
      </c>
      <c r="Y125" s="3">
        <f t="shared" si="8"/>
        <v>2</v>
      </c>
      <c r="Z125" s="3" t="str">
        <f t="shared" si="9"/>
        <v>wavy teal</v>
      </c>
      <c r="AA125" s="13">
        <f t="shared" si="10"/>
        <v>149536384</v>
      </c>
      <c r="AB125" s="3">
        <f t="shared" si="11"/>
        <v>149536383</v>
      </c>
      <c r="AC125" s="3">
        <f t="shared" si="12"/>
        <v>3</v>
      </c>
      <c r="AD125" s="3">
        <f t="shared" si="13"/>
        <v>29140290</v>
      </c>
      <c r="AE125" s="3">
        <f t="shared" si="14"/>
        <v>5</v>
      </c>
      <c r="AF125" s="3">
        <f t="shared" si="15"/>
        <v>1</v>
      </c>
      <c r="AG125" s="3">
        <f t="shared" si="16"/>
        <v>2</v>
      </c>
      <c r="AH125" s="3">
        <f t="shared" si="17"/>
        <v>30973004</v>
      </c>
      <c r="AI125" s="3">
        <f t="shared" si="18"/>
        <v>2</v>
      </c>
      <c r="AJ125" s="3">
        <f t="shared" si="19"/>
        <v>84750</v>
      </c>
    </row>
    <row r="126">
      <c r="C126" s="6" t="s">
        <v>126</v>
      </c>
      <c r="D126" s="3">
        <f t="shared" si="1"/>
        <v>1</v>
      </c>
      <c r="E126" s="3" t="str">
        <f>IFERROR(__xludf.DUMMYFUNCTION("REGEXEXTRACT(C126,""[^ ]* [^ ]*"")"),"dim crimson")</f>
        <v>dim crimson</v>
      </c>
      <c r="F126" s="3" t="str">
        <f>IFERROR(__xludf.DUMMYFUNCTION("MID(REGEXEXTRACT(C126,""contain.*$""),9,300)"),"4 muted blue bags, 2 light tan bags.")</f>
        <v>4 muted blue bags, 2 light tan bags.</v>
      </c>
      <c r="G126" s="3" t="str">
        <f>IFERROR(__xludf.DUMMYFUNCTION("INDEX(SPLIT($F126,"",""),COLUMN()-6)"),"4 muted blue bags")</f>
        <v>4 muted blue bags</v>
      </c>
      <c r="H126" s="3" t="str">
        <f>IFERROR(__xludf.DUMMYFUNCTION("MID(INDEX(SPLIT($F126,"",""),COLUMN()-6),2,300)"),"2 light tan bags.")</f>
        <v>2 light tan bags.</v>
      </c>
      <c r="I126" s="3" t="str">
        <f>IFERROR(__xludf.DUMMYFUNCTION("MID(INDEX(SPLIT($F126,"",""),COLUMN()-6),2,300)"),"#REF!")</f>
        <v>#REF!</v>
      </c>
      <c r="J126" s="3" t="str">
        <f>IFERROR(__xludf.DUMMYFUNCTION("MID(INDEX(SPLIT($F126,"",""),COLUMN()-6),2,300)"),"#REF!")</f>
        <v>#REF!</v>
      </c>
      <c r="K126" s="3">
        <f>IFERROR(__xludf.DUMMYFUNCTION("INDEX(SPLIT(G126,"" ""),1)"),4.0)</f>
        <v>4</v>
      </c>
      <c r="L126" s="3" t="str">
        <f>IFERROR(__xludf.DUMMYFUNCTION("REGEXEXTRACT(G126,"" [^ ]* [^ ]* "")")," muted blue ")</f>
        <v> muted blue </v>
      </c>
      <c r="M126" s="3">
        <f>IFERROR(__xludf.DUMMYFUNCTION("INDEX(SPLIT(H126,"" ""),1)"),2.0)</f>
        <v>2</v>
      </c>
      <c r="N126" s="3" t="str">
        <f>IFERROR(__xludf.DUMMYFUNCTION("MID(REGEXEXTRACT(H126,"" [^ ]* [^ ]*""),2,300)"),"light tan")</f>
        <v>light tan</v>
      </c>
      <c r="O126" s="3" t="str">
        <f>IFERROR(__xludf.DUMMYFUNCTION("INDEX(SPLIT(I126,"" ""),1)"),"#REF!")</f>
        <v>#REF!</v>
      </c>
      <c r="P126" s="3" t="str">
        <f>IFERROR(__xludf.DUMMYFUNCTION("MID(REGEXEXTRACT(I126,"" [^ ]* [^ ]*""),2,300)"),"#REF!")</f>
        <v>#REF!</v>
      </c>
      <c r="Q126" s="3" t="str">
        <f>IFERROR(__xludf.DUMMYFUNCTION("INDEX(SPLIT(J126,"" ""),1)"),"#REF!")</f>
        <v>#REF!</v>
      </c>
      <c r="R126" s="3" t="str">
        <f>IFERROR(__xludf.DUMMYFUNCTION("MID(REGEXEXTRACT(J126,"" [^ ]* [^ ]*""),2,300)"),"#REF!")</f>
        <v>#REF!</v>
      </c>
      <c r="S126" s="3">
        <f t="shared" si="2"/>
        <v>4</v>
      </c>
      <c r="T126" s="3" t="str">
        <f t="shared" si="3"/>
        <v>muted blue</v>
      </c>
      <c r="U126" s="3">
        <f t="shared" si="4"/>
        <v>2</v>
      </c>
      <c r="V126" s="3" t="str">
        <f t="shared" si="5"/>
        <v>light tan</v>
      </c>
      <c r="W126" s="3" t="str">
        <f t="shared" si="6"/>
        <v/>
      </c>
      <c r="X126" s="3" t="str">
        <f t="shared" si="7"/>
        <v/>
      </c>
      <c r="Y126" s="3" t="str">
        <f t="shared" si="8"/>
        <v/>
      </c>
      <c r="Z126" s="3" t="str">
        <f t="shared" si="9"/>
        <v/>
      </c>
      <c r="AA126" s="13">
        <f t="shared" si="10"/>
        <v>13662321</v>
      </c>
      <c r="AB126" s="3">
        <f t="shared" si="11"/>
        <v>13662320</v>
      </c>
      <c r="AC126" s="3">
        <f t="shared" si="12"/>
        <v>4</v>
      </c>
      <c r="AD126" s="3">
        <f t="shared" si="13"/>
        <v>3381607</v>
      </c>
      <c r="AE126" s="3">
        <f t="shared" si="14"/>
        <v>2</v>
      </c>
      <c r="AF126" s="3">
        <f t="shared" si="15"/>
        <v>67946</v>
      </c>
      <c r="AG126" s="3" t="str">
        <f t="shared" si="16"/>
        <v/>
      </c>
      <c r="AH126" s="3">
        <f t="shared" si="17"/>
        <v>0</v>
      </c>
      <c r="AI126" s="3" t="str">
        <f t="shared" si="18"/>
        <v/>
      </c>
      <c r="AJ126" s="3">
        <f t="shared" si="19"/>
        <v>0</v>
      </c>
    </row>
    <row r="127">
      <c r="C127" s="6" t="s">
        <v>127</v>
      </c>
      <c r="D127" s="3">
        <f t="shared" si="1"/>
        <v>2</v>
      </c>
      <c r="E127" s="3" t="str">
        <f>IFERROR(__xludf.DUMMYFUNCTION("REGEXEXTRACT(C127,""[^ ]* [^ ]*"")"),"wavy tan")</f>
        <v>wavy tan</v>
      </c>
      <c r="F127" s="3" t="str">
        <f>IFERROR(__xludf.DUMMYFUNCTION("MID(REGEXEXTRACT(C127,""contain.*$""),9,300)"),"1 posh plum bag, 3 mirrored gray bags, 1 muted purple bag.")</f>
        <v>1 posh plum bag, 3 mirrored gray bags, 1 muted purple bag.</v>
      </c>
      <c r="G127" s="3" t="str">
        <f>IFERROR(__xludf.DUMMYFUNCTION("INDEX(SPLIT($F127,"",""),COLUMN()-6)"),"1 posh plum bag")</f>
        <v>1 posh plum bag</v>
      </c>
      <c r="H127" s="3" t="str">
        <f>IFERROR(__xludf.DUMMYFUNCTION("MID(INDEX(SPLIT($F127,"",""),COLUMN()-6),2,300)"),"3 mirrored gray bags")</f>
        <v>3 mirrored gray bags</v>
      </c>
      <c r="I127" s="3" t="str">
        <f>IFERROR(__xludf.DUMMYFUNCTION("MID(INDEX(SPLIT($F127,"",""),COLUMN()-6),2,300)"),"1 muted purple bag.")</f>
        <v>1 muted purple bag.</v>
      </c>
      <c r="J127" s="3" t="str">
        <f>IFERROR(__xludf.DUMMYFUNCTION("MID(INDEX(SPLIT($F127,"",""),COLUMN()-6),2,300)"),"#REF!")</f>
        <v>#REF!</v>
      </c>
      <c r="K127" s="3">
        <f>IFERROR(__xludf.DUMMYFUNCTION("INDEX(SPLIT(G127,"" ""),1)"),1.0)</f>
        <v>1</v>
      </c>
      <c r="L127" s="3" t="str">
        <f>IFERROR(__xludf.DUMMYFUNCTION("REGEXEXTRACT(G127,"" [^ ]* [^ ]* "")")," posh plum ")</f>
        <v> posh plum </v>
      </c>
      <c r="M127" s="3">
        <f>IFERROR(__xludf.DUMMYFUNCTION("INDEX(SPLIT(H127,"" ""),1)"),3.0)</f>
        <v>3</v>
      </c>
      <c r="N127" s="3" t="str">
        <f>IFERROR(__xludf.DUMMYFUNCTION("MID(REGEXEXTRACT(H127,"" [^ ]* [^ ]*""),2,300)"),"mirrored gray")</f>
        <v>mirrored gray</v>
      </c>
      <c r="O127" s="3">
        <f>IFERROR(__xludf.DUMMYFUNCTION("INDEX(SPLIT(I127,"" ""),1)"),1.0)</f>
        <v>1</v>
      </c>
      <c r="P127" s="3" t="str">
        <f>IFERROR(__xludf.DUMMYFUNCTION("MID(REGEXEXTRACT(I127,"" [^ ]* [^ ]*""),2,300)"),"muted purple")</f>
        <v>muted purple</v>
      </c>
      <c r="Q127" s="3" t="str">
        <f>IFERROR(__xludf.DUMMYFUNCTION("INDEX(SPLIT(J127,"" ""),1)"),"#REF!")</f>
        <v>#REF!</v>
      </c>
      <c r="R127" s="3" t="str">
        <f>IFERROR(__xludf.DUMMYFUNCTION("MID(REGEXEXTRACT(J127,"" [^ ]* [^ ]*""),2,300)"),"#REF!")</f>
        <v>#REF!</v>
      </c>
      <c r="S127" s="3">
        <f t="shared" si="2"/>
        <v>1</v>
      </c>
      <c r="T127" s="3" t="str">
        <f t="shared" si="3"/>
        <v>posh plum</v>
      </c>
      <c r="U127" s="3">
        <f t="shared" si="4"/>
        <v>3</v>
      </c>
      <c r="V127" s="3" t="str">
        <f t="shared" si="5"/>
        <v>mirrored gray</v>
      </c>
      <c r="W127" s="3">
        <f t="shared" si="6"/>
        <v>1</v>
      </c>
      <c r="X127" s="3" t="str">
        <f t="shared" si="7"/>
        <v>muted purple</v>
      </c>
      <c r="Y127" s="3" t="str">
        <f t="shared" si="8"/>
        <v/>
      </c>
      <c r="Z127" s="3" t="str">
        <f t="shared" si="9"/>
        <v/>
      </c>
      <c r="AA127" s="13">
        <f t="shared" si="10"/>
        <v>19928</v>
      </c>
      <c r="AB127" s="3">
        <f t="shared" si="11"/>
        <v>19927</v>
      </c>
      <c r="AC127" s="3">
        <f t="shared" si="12"/>
        <v>1</v>
      </c>
      <c r="AD127" s="3">
        <f t="shared" si="13"/>
        <v>6182</v>
      </c>
      <c r="AE127" s="3">
        <f t="shared" si="14"/>
        <v>3</v>
      </c>
      <c r="AF127" s="3">
        <f t="shared" si="15"/>
        <v>8</v>
      </c>
      <c r="AG127" s="3">
        <f t="shared" si="16"/>
        <v>1</v>
      </c>
      <c r="AH127" s="3">
        <f t="shared" si="17"/>
        <v>13721</v>
      </c>
      <c r="AI127" s="3" t="str">
        <f t="shared" si="18"/>
        <v/>
      </c>
      <c r="AJ127" s="3">
        <f t="shared" si="19"/>
        <v>0</v>
      </c>
    </row>
    <row r="128">
      <c r="C128" s="6" t="s">
        <v>128</v>
      </c>
      <c r="D128" s="3">
        <f t="shared" si="1"/>
        <v>0</v>
      </c>
      <c r="E128" s="3" t="str">
        <f>IFERROR(__xludf.DUMMYFUNCTION("REGEXEXTRACT(C128,""[^ ]* [^ ]*"")"),"posh brown")</f>
        <v>posh brown</v>
      </c>
      <c r="F128" s="3" t="str">
        <f>IFERROR(__xludf.DUMMYFUNCTION("MID(REGEXEXTRACT(C128,""contain.*$""),9,300)"),"4 mirrored black bags.")</f>
        <v>4 mirrored black bags.</v>
      </c>
      <c r="G128" s="3" t="str">
        <f>IFERROR(__xludf.DUMMYFUNCTION("INDEX(SPLIT($F128,"",""),COLUMN()-6)"),"4 mirrored black bags.")</f>
        <v>4 mirrored black bags.</v>
      </c>
      <c r="H128" s="3" t="str">
        <f>IFERROR(__xludf.DUMMYFUNCTION("MID(INDEX(SPLIT($F128,"",""),COLUMN()-6),2,300)"),"#REF!")</f>
        <v>#REF!</v>
      </c>
      <c r="I128" s="3" t="str">
        <f>IFERROR(__xludf.DUMMYFUNCTION("MID(INDEX(SPLIT($F128,"",""),COLUMN()-6),2,300)"),"#REF!")</f>
        <v>#REF!</v>
      </c>
      <c r="J128" s="3" t="str">
        <f>IFERROR(__xludf.DUMMYFUNCTION("MID(INDEX(SPLIT($F128,"",""),COLUMN()-6),2,300)"),"#REF!")</f>
        <v>#REF!</v>
      </c>
      <c r="K128" s="3">
        <f>IFERROR(__xludf.DUMMYFUNCTION("INDEX(SPLIT(G128,"" ""),1)"),4.0)</f>
        <v>4</v>
      </c>
      <c r="L128" s="3" t="str">
        <f>IFERROR(__xludf.DUMMYFUNCTION("REGEXEXTRACT(G128,"" [^ ]* [^ ]* "")")," mirrored black ")</f>
        <v> mirrored black </v>
      </c>
      <c r="M128" s="3" t="str">
        <f>IFERROR(__xludf.DUMMYFUNCTION("INDEX(SPLIT(H128,"" ""),1)"),"#REF!")</f>
        <v>#REF!</v>
      </c>
      <c r="N128" s="3" t="str">
        <f>IFERROR(__xludf.DUMMYFUNCTION("MID(REGEXEXTRACT(H128,"" [^ ]* [^ ]*""),2,300)"),"#REF!")</f>
        <v>#REF!</v>
      </c>
      <c r="O128" s="3" t="str">
        <f>IFERROR(__xludf.DUMMYFUNCTION("INDEX(SPLIT(I128,"" ""),1)"),"#REF!")</f>
        <v>#REF!</v>
      </c>
      <c r="P128" s="3" t="str">
        <f>IFERROR(__xludf.DUMMYFUNCTION("MID(REGEXEXTRACT(I128,"" [^ ]* [^ ]*""),2,300)"),"#REF!")</f>
        <v>#REF!</v>
      </c>
      <c r="Q128" s="3" t="str">
        <f>IFERROR(__xludf.DUMMYFUNCTION("INDEX(SPLIT(J128,"" ""),1)"),"#REF!")</f>
        <v>#REF!</v>
      </c>
      <c r="R128" s="3" t="str">
        <f>IFERROR(__xludf.DUMMYFUNCTION("MID(REGEXEXTRACT(J128,"" [^ ]* [^ ]*""),2,300)"),"#REF!")</f>
        <v>#REF!</v>
      </c>
      <c r="S128" s="3">
        <f t="shared" si="2"/>
        <v>4</v>
      </c>
      <c r="T128" s="3" t="str">
        <f t="shared" si="3"/>
        <v>mirrored black</v>
      </c>
      <c r="U128" s="3" t="str">
        <f t="shared" si="4"/>
        <v/>
      </c>
      <c r="V128" s="3" t="str">
        <f t="shared" si="5"/>
        <v/>
      </c>
      <c r="W128" s="3" t="str">
        <f t="shared" si="6"/>
        <v/>
      </c>
      <c r="X128" s="3" t="str">
        <f t="shared" si="7"/>
        <v/>
      </c>
      <c r="Y128" s="3" t="str">
        <f t="shared" si="8"/>
        <v/>
      </c>
      <c r="Z128" s="3" t="str">
        <f t="shared" si="9"/>
        <v/>
      </c>
      <c r="AA128" s="13">
        <f t="shared" si="10"/>
        <v>36149</v>
      </c>
      <c r="AB128" s="3">
        <f t="shared" si="11"/>
        <v>36148</v>
      </c>
      <c r="AC128" s="3">
        <f t="shared" si="12"/>
        <v>4</v>
      </c>
      <c r="AD128" s="3">
        <f t="shared" si="13"/>
        <v>9037</v>
      </c>
      <c r="AE128" s="3" t="str">
        <f t="shared" si="14"/>
        <v/>
      </c>
      <c r="AF128" s="3">
        <f t="shared" si="15"/>
        <v>0</v>
      </c>
      <c r="AG128" s="3" t="str">
        <f t="shared" si="16"/>
        <v/>
      </c>
      <c r="AH128" s="3">
        <f t="shared" si="17"/>
        <v>0</v>
      </c>
      <c r="AI128" s="3" t="str">
        <f t="shared" si="18"/>
        <v/>
      </c>
      <c r="AJ128" s="3">
        <f t="shared" si="19"/>
        <v>0</v>
      </c>
    </row>
    <row r="129">
      <c r="C129" s="6" t="s">
        <v>129</v>
      </c>
      <c r="D129" s="3">
        <f t="shared" si="1"/>
        <v>1</v>
      </c>
      <c r="E129" s="3" t="str">
        <f>IFERROR(__xludf.DUMMYFUNCTION("REGEXEXTRACT(C129,""[^ ]* [^ ]*"")"),"bright plum")</f>
        <v>bright plum</v>
      </c>
      <c r="F129" s="3" t="str">
        <f>IFERROR(__xludf.DUMMYFUNCTION("MID(REGEXEXTRACT(C129,""contain.*$""),9,300)"),"3 vibrant plum bags, 3 mirrored crimson bags.")</f>
        <v>3 vibrant plum bags, 3 mirrored crimson bags.</v>
      </c>
      <c r="G129" s="3" t="str">
        <f>IFERROR(__xludf.DUMMYFUNCTION("INDEX(SPLIT($F129,"",""),COLUMN()-6)"),"3 vibrant plum bags")</f>
        <v>3 vibrant plum bags</v>
      </c>
      <c r="H129" s="3" t="str">
        <f>IFERROR(__xludf.DUMMYFUNCTION("MID(INDEX(SPLIT($F129,"",""),COLUMN()-6),2,300)"),"3 mirrored crimson bags.")</f>
        <v>3 mirrored crimson bags.</v>
      </c>
      <c r="I129" s="3" t="str">
        <f>IFERROR(__xludf.DUMMYFUNCTION("MID(INDEX(SPLIT($F129,"",""),COLUMN()-6),2,300)"),"#REF!")</f>
        <v>#REF!</v>
      </c>
      <c r="J129" s="3" t="str">
        <f>IFERROR(__xludf.DUMMYFUNCTION("MID(INDEX(SPLIT($F129,"",""),COLUMN()-6),2,300)"),"#REF!")</f>
        <v>#REF!</v>
      </c>
      <c r="K129" s="3">
        <f>IFERROR(__xludf.DUMMYFUNCTION("INDEX(SPLIT(G129,"" ""),1)"),3.0)</f>
        <v>3</v>
      </c>
      <c r="L129" s="3" t="str">
        <f>IFERROR(__xludf.DUMMYFUNCTION("REGEXEXTRACT(G129,"" [^ ]* [^ ]* "")")," vibrant plum ")</f>
        <v> vibrant plum </v>
      </c>
      <c r="M129" s="3">
        <f>IFERROR(__xludf.DUMMYFUNCTION("INDEX(SPLIT(H129,"" ""),1)"),3.0)</f>
        <v>3</v>
      </c>
      <c r="N129" s="3" t="str">
        <f>IFERROR(__xludf.DUMMYFUNCTION("MID(REGEXEXTRACT(H129,"" [^ ]* [^ ]*""),2,300)"),"mirrored crimson")</f>
        <v>mirrored crimson</v>
      </c>
      <c r="O129" s="3" t="str">
        <f>IFERROR(__xludf.DUMMYFUNCTION("INDEX(SPLIT(I129,"" ""),1)"),"#REF!")</f>
        <v>#REF!</v>
      </c>
      <c r="P129" s="3" t="str">
        <f>IFERROR(__xludf.DUMMYFUNCTION("MID(REGEXEXTRACT(I129,"" [^ ]* [^ ]*""),2,300)"),"#REF!")</f>
        <v>#REF!</v>
      </c>
      <c r="Q129" s="3" t="str">
        <f>IFERROR(__xludf.DUMMYFUNCTION("INDEX(SPLIT(J129,"" ""),1)"),"#REF!")</f>
        <v>#REF!</v>
      </c>
      <c r="R129" s="3" t="str">
        <f>IFERROR(__xludf.DUMMYFUNCTION("MID(REGEXEXTRACT(J129,"" [^ ]* [^ ]*""),2,300)"),"#REF!")</f>
        <v>#REF!</v>
      </c>
      <c r="S129" s="3">
        <f t="shared" si="2"/>
        <v>3</v>
      </c>
      <c r="T129" s="3" t="str">
        <f t="shared" si="3"/>
        <v>vibrant plum</v>
      </c>
      <c r="U129" s="3">
        <f t="shared" si="4"/>
        <v>3</v>
      </c>
      <c r="V129" s="3" t="str">
        <f t="shared" si="5"/>
        <v>mirrored crimson</v>
      </c>
      <c r="W129" s="3" t="str">
        <f t="shared" si="6"/>
        <v/>
      </c>
      <c r="X129" s="3" t="str">
        <f t="shared" si="7"/>
        <v/>
      </c>
      <c r="Y129" s="3" t="str">
        <f t="shared" si="8"/>
        <v/>
      </c>
      <c r="Z129" s="3" t="str">
        <f t="shared" si="9"/>
        <v/>
      </c>
      <c r="AA129" s="13">
        <f t="shared" si="10"/>
        <v>150907</v>
      </c>
      <c r="AB129" s="3">
        <f t="shared" si="11"/>
        <v>150906</v>
      </c>
      <c r="AC129" s="3">
        <f t="shared" si="12"/>
        <v>3</v>
      </c>
      <c r="AD129" s="3">
        <f t="shared" si="13"/>
        <v>26642</v>
      </c>
      <c r="AE129" s="3">
        <f t="shared" si="14"/>
        <v>3</v>
      </c>
      <c r="AF129" s="3">
        <f t="shared" si="15"/>
        <v>23660</v>
      </c>
      <c r="AG129" s="3" t="str">
        <f t="shared" si="16"/>
        <v/>
      </c>
      <c r="AH129" s="3">
        <f t="shared" si="17"/>
        <v>0</v>
      </c>
      <c r="AI129" s="3" t="str">
        <f t="shared" si="18"/>
        <v/>
      </c>
      <c r="AJ129" s="3">
        <f t="shared" si="19"/>
        <v>0</v>
      </c>
    </row>
    <row r="130">
      <c r="C130" s="6" t="s">
        <v>130</v>
      </c>
      <c r="D130" s="3">
        <f t="shared" si="1"/>
        <v>1</v>
      </c>
      <c r="E130" s="3" t="str">
        <f>IFERROR(__xludf.DUMMYFUNCTION("REGEXEXTRACT(C130,""[^ ]* [^ ]*"")"),"faded black")</f>
        <v>faded black</v>
      </c>
      <c r="F130" s="3" t="str">
        <f>IFERROR(__xludf.DUMMYFUNCTION("MID(REGEXEXTRACT(C130,""contain.*$""),9,300)"),"1 pale lime bag, 2 pale tomato bags.")</f>
        <v>1 pale lime bag, 2 pale tomato bags.</v>
      </c>
      <c r="G130" s="3" t="str">
        <f>IFERROR(__xludf.DUMMYFUNCTION("INDEX(SPLIT($F130,"",""),COLUMN()-6)"),"1 pale lime bag")</f>
        <v>1 pale lime bag</v>
      </c>
      <c r="H130" s="3" t="str">
        <f>IFERROR(__xludf.DUMMYFUNCTION("MID(INDEX(SPLIT($F130,"",""),COLUMN()-6),2,300)"),"2 pale tomato bags.")</f>
        <v>2 pale tomato bags.</v>
      </c>
      <c r="I130" s="3" t="str">
        <f>IFERROR(__xludf.DUMMYFUNCTION("MID(INDEX(SPLIT($F130,"",""),COLUMN()-6),2,300)"),"#REF!")</f>
        <v>#REF!</v>
      </c>
      <c r="J130" s="3" t="str">
        <f>IFERROR(__xludf.DUMMYFUNCTION("MID(INDEX(SPLIT($F130,"",""),COLUMN()-6),2,300)"),"#REF!")</f>
        <v>#REF!</v>
      </c>
      <c r="K130" s="3">
        <f>IFERROR(__xludf.DUMMYFUNCTION("INDEX(SPLIT(G130,"" ""),1)"),1.0)</f>
        <v>1</v>
      </c>
      <c r="L130" s="3" t="str">
        <f>IFERROR(__xludf.DUMMYFUNCTION("REGEXEXTRACT(G130,"" [^ ]* [^ ]* "")")," pale lime ")</f>
        <v> pale lime </v>
      </c>
      <c r="M130" s="3">
        <f>IFERROR(__xludf.DUMMYFUNCTION("INDEX(SPLIT(H130,"" ""),1)"),2.0)</f>
        <v>2</v>
      </c>
      <c r="N130" s="3" t="str">
        <f>IFERROR(__xludf.DUMMYFUNCTION("MID(REGEXEXTRACT(H130,"" [^ ]* [^ ]*""),2,300)"),"pale tomato")</f>
        <v>pale tomato</v>
      </c>
      <c r="O130" s="3" t="str">
        <f>IFERROR(__xludf.DUMMYFUNCTION("INDEX(SPLIT(I130,"" ""),1)"),"#REF!")</f>
        <v>#REF!</v>
      </c>
      <c r="P130" s="3" t="str">
        <f>IFERROR(__xludf.DUMMYFUNCTION("MID(REGEXEXTRACT(I130,"" [^ ]* [^ ]*""),2,300)"),"#REF!")</f>
        <v>#REF!</v>
      </c>
      <c r="Q130" s="3" t="str">
        <f>IFERROR(__xludf.DUMMYFUNCTION("INDEX(SPLIT(J130,"" ""),1)"),"#REF!")</f>
        <v>#REF!</v>
      </c>
      <c r="R130" s="3" t="str">
        <f>IFERROR(__xludf.DUMMYFUNCTION("MID(REGEXEXTRACT(J130,"" [^ ]* [^ ]*""),2,300)"),"#REF!")</f>
        <v>#REF!</v>
      </c>
      <c r="S130" s="3">
        <f t="shared" si="2"/>
        <v>1</v>
      </c>
      <c r="T130" s="3" t="str">
        <f t="shared" si="3"/>
        <v>pale lime</v>
      </c>
      <c r="U130" s="3">
        <f t="shared" si="4"/>
        <v>2</v>
      </c>
      <c r="V130" s="3" t="str">
        <f t="shared" si="5"/>
        <v>pale tomato</v>
      </c>
      <c r="W130" s="3" t="str">
        <f t="shared" si="6"/>
        <v/>
      </c>
      <c r="X130" s="3" t="str">
        <f t="shared" si="7"/>
        <v/>
      </c>
      <c r="Y130" s="3" t="str">
        <f t="shared" si="8"/>
        <v/>
      </c>
      <c r="Z130" s="3" t="str">
        <f t="shared" si="9"/>
        <v/>
      </c>
      <c r="AA130" s="13">
        <f t="shared" si="10"/>
        <v>565872</v>
      </c>
      <c r="AB130" s="3">
        <f t="shared" si="11"/>
        <v>565871</v>
      </c>
      <c r="AC130" s="3">
        <f t="shared" si="12"/>
        <v>1</v>
      </c>
      <c r="AD130" s="3">
        <f t="shared" si="13"/>
        <v>5333</v>
      </c>
      <c r="AE130" s="3">
        <f t="shared" si="14"/>
        <v>2</v>
      </c>
      <c r="AF130" s="3">
        <f t="shared" si="15"/>
        <v>280269</v>
      </c>
      <c r="AG130" s="3" t="str">
        <f t="shared" si="16"/>
        <v/>
      </c>
      <c r="AH130" s="3">
        <f t="shared" si="17"/>
        <v>0</v>
      </c>
      <c r="AI130" s="3" t="str">
        <f t="shared" si="18"/>
        <v/>
      </c>
      <c r="AJ130" s="3">
        <f t="shared" si="19"/>
        <v>0</v>
      </c>
    </row>
    <row r="131">
      <c r="C131" s="6" t="s">
        <v>131</v>
      </c>
      <c r="D131" s="3">
        <f t="shared" si="1"/>
        <v>3</v>
      </c>
      <c r="E131" s="3" t="str">
        <f>IFERROR(__xludf.DUMMYFUNCTION("REGEXEXTRACT(C131,""[^ ]* [^ ]*"")"),"mirrored yellow")</f>
        <v>mirrored yellow</v>
      </c>
      <c r="F131" s="3" t="str">
        <f>IFERROR(__xludf.DUMMYFUNCTION("MID(REGEXEXTRACT(C131,""contain.*$""),9,300)"),"1 pale aqua bag, 4 dull aqua bags, 4 shiny white bags, 3 clear lime bags.")</f>
        <v>1 pale aqua bag, 4 dull aqua bags, 4 shiny white bags, 3 clear lime bags.</v>
      </c>
      <c r="G131" s="3" t="str">
        <f>IFERROR(__xludf.DUMMYFUNCTION("INDEX(SPLIT($F131,"",""),COLUMN()-6)"),"1 pale aqua bag")</f>
        <v>1 pale aqua bag</v>
      </c>
      <c r="H131" s="3" t="str">
        <f>IFERROR(__xludf.DUMMYFUNCTION("MID(INDEX(SPLIT($F131,"",""),COLUMN()-6),2,300)"),"4 dull aqua bags")</f>
        <v>4 dull aqua bags</v>
      </c>
      <c r="I131" s="3" t="str">
        <f>IFERROR(__xludf.DUMMYFUNCTION("MID(INDEX(SPLIT($F131,"",""),COLUMN()-6),2,300)"),"4 shiny white bags")</f>
        <v>4 shiny white bags</v>
      </c>
      <c r="J131" s="3" t="str">
        <f>IFERROR(__xludf.DUMMYFUNCTION("MID(INDEX(SPLIT($F131,"",""),COLUMN()-6),2,300)"),"3 clear lime bags.")</f>
        <v>3 clear lime bags.</v>
      </c>
      <c r="K131" s="3">
        <f>IFERROR(__xludf.DUMMYFUNCTION("INDEX(SPLIT(G131,"" ""),1)"),1.0)</f>
        <v>1</v>
      </c>
      <c r="L131" s="3" t="str">
        <f>IFERROR(__xludf.DUMMYFUNCTION("REGEXEXTRACT(G131,"" [^ ]* [^ ]* "")")," pale aqua ")</f>
        <v> pale aqua </v>
      </c>
      <c r="M131" s="3">
        <f>IFERROR(__xludf.DUMMYFUNCTION("INDEX(SPLIT(H131,"" ""),1)"),4.0)</f>
        <v>4</v>
      </c>
      <c r="N131" s="3" t="str">
        <f>IFERROR(__xludf.DUMMYFUNCTION("MID(REGEXEXTRACT(H131,"" [^ ]* [^ ]*""),2,300)"),"dull aqua")</f>
        <v>dull aqua</v>
      </c>
      <c r="O131" s="3">
        <f>IFERROR(__xludf.DUMMYFUNCTION("INDEX(SPLIT(I131,"" ""),1)"),4.0)</f>
        <v>4</v>
      </c>
      <c r="P131" s="3" t="str">
        <f>IFERROR(__xludf.DUMMYFUNCTION("MID(REGEXEXTRACT(I131,"" [^ ]* [^ ]*""),2,300)"),"shiny white")</f>
        <v>shiny white</v>
      </c>
      <c r="Q131" s="3">
        <f>IFERROR(__xludf.DUMMYFUNCTION("INDEX(SPLIT(J131,"" ""),1)"),3.0)</f>
        <v>3</v>
      </c>
      <c r="R131" s="3" t="str">
        <f>IFERROR(__xludf.DUMMYFUNCTION("MID(REGEXEXTRACT(J131,"" [^ ]* [^ ]*""),2,300)"),"clear lime")</f>
        <v>clear lime</v>
      </c>
      <c r="S131" s="3">
        <f t="shared" si="2"/>
        <v>1</v>
      </c>
      <c r="T131" s="3" t="str">
        <f t="shared" si="3"/>
        <v>pale aqua</v>
      </c>
      <c r="U131" s="3">
        <f t="shared" si="4"/>
        <v>4</v>
      </c>
      <c r="V131" s="3" t="str">
        <f t="shared" si="5"/>
        <v>dull aqua</v>
      </c>
      <c r="W131" s="3">
        <f t="shared" si="6"/>
        <v>4</v>
      </c>
      <c r="X131" s="3" t="str">
        <f t="shared" si="7"/>
        <v>shiny white</v>
      </c>
      <c r="Y131" s="3">
        <f t="shared" si="8"/>
        <v>3</v>
      </c>
      <c r="Z131" s="3" t="str">
        <f t="shared" si="9"/>
        <v>clear lime</v>
      </c>
      <c r="AA131" s="13">
        <f t="shared" si="10"/>
        <v>52501888</v>
      </c>
      <c r="AB131" s="3">
        <f t="shared" si="11"/>
        <v>52501887</v>
      </c>
      <c r="AC131" s="3">
        <f t="shared" si="12"/>
        <v>1</v>
      </c>
      <c r="AD131" s="3">
        <f t="shared" si="13"/>
        <v>1578216</v>
      </c>
      <c r="AE131" s="3">
        <f t="shared" si="14"/>
        <v>4</v>
      </c>
      <c r="AF131" s="3">
        <f t="shared" si="15"/>
        <v>12033257</v>
      </c>
      <c r="AG131" s="3">
        <f t="shared" si="16"/>
        <v>4</v>
      </c>
      <c r="AH131" s="3">
        <f t="shared" si="17"/>
        <v>118192</v>
      </c>
      <c r="AI131" s="3">
        <f t="shared" si="18"/>
        <v>3</v>
      </c>
      <c r="AJ131" s="3">
        <f t="shared" si="19"/>
        <v>772625</v>
      </c>
    </row>
    <row r="132">
      <c r="C132" s="6" t="s">
        <v>132</v>
      </c>
      <c r="D132" s="3">
        <f t="shared" si="1"/>
        <v>0</v>
      </c>
      <c r="E132" s="3" t="str">
        <f>IFERROR(__xludf.DUMMYFUNCTION("REGEXEXTRACT(C132,""[^ ]* [^ ]*"")"),"muted tan")</f>
        <v>muted tan</v>
      </c>
      <c r="F132" s="3" t="str">
        <f>IFERROR(__xludf.DUMMYFUNCTION("MID(REGEXEXTRACT(C132,""contain.*$""),9,300)"),"2 clear brown bags.")</f>
        <v>2 clear brown bags.</v>
      </c>
      <c r="G132" s="3" t="str">
        <f>IFERROR(__xludf.DUMMYFUNCTION("INDEX(SPLIT($F132,"",""),COLUMN()-6)"),"2 clear brown bags.")</f>
        <v>2 clear brown bags.</v>
      </c>
      <c r="H132" s="3" t="str">
        <f>IFERROR(__xludf.DUMMYFUNCTION("MID(INDEX(SPLIT($F132,"",""),COLUMN()-6),2,300)"),"#REF!")</f>
        <v>#REF!</v>
      </c>
      <c r="I132" s="3" t="str">
        <f>IFERROR(__xludf.DUMMYFUNCTION("MID(INDEX(SPLIT($F132,"",""),COLUMN()-6),2,300)"),"#REF!")</f>
        <v>#REF!</v>
      </c>
      <c r="J132" s="3" t="str">
        <f>IFERROR(__xludf.DUMMYFUNCTION("MID(INDEX(SPLIT($F132,"",""),COLUMN()-6),2,300)"),"#REF!")</f>
        <v>#REF!</v>
      </c>
      <c r="K132" s="3">
        <f>IFERROR(__xludf.DUMMYFUNCTION("INDEX(SPLIT(G132,"" ""),1)"),2.0)</f>
        <v>2</v>
      </c>
      <c r="L132" s="3" t="str">
        <f>IFERROR(__xludf.DUMMYFUNCTION("REGEXEXTRACT(G132,"" [^ ]* [^ ]* "")")," clear brown ")</f>
        <v> clear brown </v>
      </c>
      <c r="M132" s="3" t="str">
        <f>IFERROR(__xludf.DUMMYFUNCTION("INDEX(SPLIT(H132,"" ""),1)"),"#REF!")</f>
        <v>#REF!</v>
      </c>
      <c r="N132" s="3" t="str">
        <f>IFERROR(__xludf.DUMMYFUNCTION("MID(REGEXEXTRACT(H132,"" [^ ]* [^ ]*""),2,300)"),"#REF!")</f>
        <v>#REF!</v>
      </c>
      <c r="O132" s="3" t="str">
        <f>IFERROR(__xludf.DUMMYFUNCTION("INDEX(SPLIT(I132,"" ""),1)"),"#REF!")</f>
        <v>#REF!</v>
      </c>
      <c r="P132" s="3" t="str">
        <f>IFERROR(__xludf.DUMMYFUNCTION("MID(REGEXEXTRACT(I132,"" [^ ]* [^ ]*""),2,300)"),"#REF!")</f>
        <v>#REF!</v>
      </c>
      <c r="Q132" s="3" t="str">
        <f>IFERROR(__xludf.DUMMYFUNCTION("INDEX(SPLIT(J132,"" ""),1)"),"#REF!")</f>
        <v>#REF!</v>
      </c>
      <c r="R132" s="3" t="str">
        <f>IFERROR(__xludf.DUMMYFUNCTION("MID(REGEXEXTRACT(J132,"" [^ ]* [^ ]*""),2,300)"),"#REF!")</f>
        <v>#REF!</v>
      </c>
      <c r="S132" s="3">
        <f t="shared" si="2"/>
        <v>2</v>
      </c>
      <c r="T132" s="3" t="str">
        <f t="shared" si="3"/>
        <v>clear brown</v>
      </c>
      <c r="U132" s="3" t="str">
        <f t="shared" si="4"/>
        <v/>
      </c>
      <c r="V132" s="3" t="str">
        <f t="shared" si="5"/>
        <v/>
      </c>
      <c r="W132" s="3" t="str">
        <f t="shared" si="6"/>
        <v/>
      </c>
      <c r="X132" s="3" t="str">
        <f t="shared" si="7"/>
        <v/>
      </c>
      <c r="Y132" s="3" t="str">
        <f t="shared" si="8"/>
        <v/>
      </c>
      <c r="Z132" s="3" t="str">
        <f t="shared" si="9"/>
        <v/>
      </c>
      <c r="AA132" s="13">
        <f t="shared" si="10"/>
        <v>105003779</v>
      </c>
      <c r="AB132" s="3">
        <f t="shared" si="11"/>
        <v>105003778</v>
      </c>
      <c r="AC132" s="3">
        <f t="shared" si="12"/>
        <v>2</v>
      </c>
      <c r="AD132" s="3">
        <f t="shared" si="13"/>
        <v>52501889</v>
      </c>
      <c r="AE132" s="3" t="str">
        <f t="shared" si="14"/>
        <v/>
      </c>
      <c r="AF132" s="3">
        <f t="shared" si="15"/>
        <v>0</v>
      </c>
      <c r="AG132" s="3" t="str">
        <f t="shared" si="16"/>
        <v/>
      </c>
      <c r="AH132" s="3">
        <f t="shared" si="17"/>
        <v>0</v>
      </c>
      <c r="AI132" s="3" t="str">
        <f t="shared" si="18"/>
        <v/>
      </c>
      <c r="AJ132" s="3">
        <f t="shared" si="19"/>
        <v>0</v>
      </c>
    </row>
    <row r="133">
      <c r="C133" s="6" t="s">
        <v>133</v>
      </c>
      <c r="D133" s="3">
        <f t="shared" si="1"/>
        <v>3</v>
      </c>
      <c r="E133" s="3" t="str">
        <f>IFERROR(__xludf.DUMMYFUNCTION("REGEXEXTRACT(C133,""[^ ]* [^ ]*"")"),"drab white")</f>
        <v>drab white</v>
      </c>
      <c r="F133" s="3" t="str">
        <f>IFERROR(__xludf.DUMMYFUNCTION("MID(REGEXEXTRACT(C133,""contain.*$""),9,300)"),"5 dull coral bags, 2 drab green bags, 4 wavy tomato bags, 5 mirrored cyan bags.")</f>
        <v>5 dull coral bags, 2 drab green bags, 4 wavy tomato bags, 5 mirrored cyan bags.</v>
      </c>
      <c r="G133" s="3" t="str">
        <f>IFERROR(__xludf.DUMMYFUNCTION("INDEX(SPLIT($F133,"",""),COLUMN()-6)"),"5 dull coral bags")</f>
        <v>5 dull coral bags</v>
      </c>
      <c r="H133" s="3" t="str">
        <f>IFERROR(__xludf.DUMMYFUNCTION("MID(INDEX(SPLIT($F133,"",""),COLUMN()-6),2,300)"),"2 drab green bags")</f>
        <v>2 drab green bags</v>
      </c>
      <c r="I133" s="3" t="str">
        <f>IFERROR(__xludf.DUMMYFUNCTION("MID(INDEX(SPLIT($F133,"",""),COLUMN()-6),2,300)"),"4 wavy tomato bags")</f>
        <v>4 wavy tomato bags</v>
      </c>
      <c r="J133" s="3" t="str">
        <f>IFERROR(__xludf.DUMMYFUNCTION("MID(INDEX(SPLIT($F133,"",""),COLUMN()-6),2,300)"),"5 mirrored cyan bags.")</f>
        <v>5 mirrored cyan bags.</v>
      </c>
      <c r="K133" s="3">
        <f>IFERROR(__xludf.DUMMYFUNCTION("INDEX(SPLIT(G133,"" ""),1)"),5.0)</f>
        <v>5</v>
      </c>
      <c r="L133" s="3" t="str">
        <f>IFERROR(__xludf.DUMMYFUNCTION("REGEXEXTRACT(G133,"" [^ ]* [^ ]* "")")," dull coral ")</f>
        <v> dull coral </v>
      </c>
      <c r="M133" s="3">
        <f>IFERROR(__xludf.DUMMYFUNCTION("INDEX(SPLIT(H133,"" ""),1)"),2.0)</f>
        <v>2</v>
      </c>
      <c r="N133" s="3" t="str">
        <f>IFERROR(__xludf.DUMMYFUNCTION("MID(REGEXEXTRACT(H133,"" [^ ]* [^ ]*""),2,300)"),"drab green")</f>
        <v>drab green</v>
      </c>
      <c r="O133" s="3">
        <f>IFERROR(__xludf.DUMMYFUNCTION("INDEX(SPLIT(I133,"" ""),1)"),4.0)</f>
        <v>4</v>
      </c>
      <c r="P133" s="3" t="str">
        <f>IFERROR(__xludf.DUMMYFUNCTION("MID(REGEXEXTRACT(I133,"" [^ ]* [^ ]*""),2,300)"),"wavy tomato")</f>
        <v>wavy tomato</v>
      </c>
      <c r="Q133" s="3">
        <f>IFERROR(__xludf.DUMMYFUNCTION("INDEX(SPLIT(J133,"" ""),1)"),5.0)</f>
        <v>5</v>
      </c>
      <c r="R133" s="3" t="str">
        <f>IFERROR(__xludf.DUMMYFUNCTION("MID(REGEXEXTRACT(J133,"" [^ ]* [^ ]*""),2,300)"),"mirrored cyan")</f>
        <v>mirrored cyan</v>
      </c>
      <c r="S133" s="3">
        <f t="shared" si="2"/>
        <v>5</v>
      </c>
      <c r="T133" s="3" t="str">
        <f t="shared" si="3"/>
        <v>dull coral</v>
      </c>
      <c r="U133" s="3">
        <f t="shared" si="4"/>
        <v>2</v>
      </c>
      <c r="V133" s="3" t="str">
        <f t="shared" si="5"/>
        <v>drab green</v>
      </c>
      <c r="W133" s="3">
        <f t="shared" si="6"/>
        <v>4</v>
      </c>
      <c r="X133" s="3" t="str">
        <f t="shared" si="7"/>
        <v>wavy tomato</v>
      </c>
      <c r="Y133" s="3">
        <f t="shared" si="8"/>
        <v>5</v>
      </c>
      <c r="Z133" s="3" t="str">
        <f t="shared" si="9"/>
        <v>mirrored cyan</v>
      </c>
      <c r="AA133" s="13">
        <f t="shared" si="10"/>
        <v>14961</v>
      </c>
      <c r="AB133" s="3">
        <f t="shared" si="11"/>
        <v>14960</v>
      </c>
      <c r="AC133" s="3">
        <f t="shared" si="12"/>
        <v>5</v>
      </c>
      <c r="AD133" s="3">
        <f t="shared" si="13"/>
        <v>924</v>
      </c>
      <c r="AE133" s="3">
        <f t="shared" si="14"/>
        <v>2</v>
      </c>
      <c r="AF133" s="3">
        <f t="shared" si="15"/>
        <v>5</v>
      </c>
      <c r="AG133" s="3">
        <f t="shared" si="16"/>
        <v>4</v>
      </c>
      <c r="AH133" s="3">
        <f t="shared" si="17"/>
        <v>265</v>
      </c>
      <c r="AI133" s="3">
        <f t="shared" si="18"/>
        <v>5</v>
      </c>
      <c r="AJ133" s="3">
        <f t="shared" si="19"/>
        <v>1854</v>
      </c>
    </row>
    <row r="134">
      <c r="C134" s="6" t="s">
        <v>134</v>
      </c>
      <c r="D134" s="3">
        <f t="shared" si="1"/>
        <v>2</v>
      </c>
      <c r="E134" s="3" t="str">
        <f>IFERROR(__xludf.DUMMYFUNCTION("REGEXEXTRACT(C134,""[^ ]* [^ ]*"")"),"dull black")</f>
        <v>dull black</v>
      </c>
      <c r="F134" s="3" t="str">
        <f>IFERROR(__xludf.DUMMYFUNCTION("MID(REGEXEXTRACT(C134,""contain.*$""),9,300)"),"4 vibrant tan bags, 1 shiny chartreuse bag, 5 pale gold bags.")</f>
        <v>4 vibrant tan bags, 1 shiny chartreuse bag, 5 pale gold bags.</v>
      </c>
      <c r="G134" s="3" t="str">
        <f>IFERROR(__xludf.DUMMYFUNCTION("INDEX(SPLIT($F134,"",""),COLUMN()-6)"),"4 vibrant tan bags")</f>
        <v>4 vibrant tan bags</v>
      </c>
      <c r="H134" s="3" t="str">
        <f>IFERROR(__xludf.DUMMYFUNCTION("MID(INDEX(SPLIT($F134,"",""),COLUMN()-6),2,300)"),"1 shiny chartreuse bag")</f>
        <v>1 shiny chartreuse bag</v>
      </c>
      <c r="I134" s="3" t="str">
        <f>IFERROR(__xludf.DUMMYFUNCTION("MID(INDEX(SPLIT($F134,"",""),COLUMN()-6),2,300)"),"5 pale gold bags.")</f>
        <v>5 pale gold bags.</v>
      </c>
      <c r="J134" s="3" t="str">
        <f>IFERROR(__xludf.DUMMYFUNCTION("MID(INDEX(SPLIT($F134,"",""),COLUMN()-6),2,300)"),"#REF!")</f>
        <v>#REF!</v>
      </c>
      <c r="K134" s="3">
        <f>IFERROR(__xludf.DUMMYFUNCTION("INDEX(SPLIT(G134,"" ""),1)"),4.0)</f>
        <v>4</v>
      </c>
      <c r="L134" s="3" t="str">
        <f>IFERROR(__xludf.DUMMYFUNCTION("REGEXEXTRACT(G134,"" [^ ]* [^ ]* "")")," vibrant tan ")</f>
        <v> vibrant tan </v>
      </c>
      <c r="M134" s="3">
        <f>IFERROR(__xludf.DUMMYFUNCTION("INDEX(SPLIT(H134,"" ""),1)"),1.0)</f>
        <v>1</v>
      </c>
      <c r="N134" s="3" t="str">
        <f>IFERROR(__xludf.DUMMYFUNCTION("MID(REGEXEXTRACT(H134,"" [^ ]* [^ ]*""),2,300)"),"shiny chartreuse")</f>
        <v>shiny chartreuse</v>
      </c>
      <c r="O134" s="3">
        <f>IFERROR(__xludf.DUMMYFUNCTION("INDEX(SPLIT(I134,"" ""),1)"),5.0)</f>
        <v>5</v>
      </c>
      <c r="P134" s="3" t="str">
        <f>IFERROR(__xludf.DUMMYFUNCTION("MID(REGEXEXTRACT(I134,"" [^ ]* [^ ]*""),2,300)"),"pale gold")</f>
        <v>pale gold</v>
      </c>
      <c r="Q134" s="3" t="str">
        <f>IFERROR(__xludf.DUMMYFUNCTION("INDEX(SPLIT(J134,"" ""),1)"),"#REF!")</f>
        <v>#REF!</v>
      </c>
      <c r="R134" s="3" t="str">
        <f>IFERROR(__xludf.DUMMYFUNCTION("MID(REGEXEXTRACT(J134,"" [^ ]* [^ ]*""),2,300)"),"#REF!")</f>
        <v>#REF!</v>
      </c>
      <c r="S134" s="3">
        <f t="shared" si="2"/>
        <v>4</v>
      </c>
      <c r="T134" s="3" t="str">
        <f t="shared" si="3"/>
        <v>vibrant tan</v>
      </c>
      <c r="U134" s="3">
        <f t="shared" si="4"/>
        <v>1</v>
      </c>
      <c r="V134" s="3" t="str">
        <f t="shared" si="5"/>
        <v>shiny chartreuse</v>
      </c>
      <c r="W134" s="3">
        <f t="shared" si="6"/>
        <v>5</v>
      </c>
      <c r="X134" s="3" t="str">
        <f t="shared" si="7"/>
        <v>pale gold</v>
      </c>
      <c r="Y134" s="3" t="str">
        <f t="shared" si="8"/>
        <v/>
      </c>
      <c r="Z134" s="3" t="str">
        <f t="shared" si="9"/>
        <v/>
      </c>
      <c r="AA134" s="13">
        <f t="shared" si="10"/>
        <v>544188235</v>
      </c>
      <c r="AB134" s="3">
        <f t="shared" si="11"/>
        <v>544188234</v>
      </c>
      <c r="AC134" s="3">
        <f t="shared" si="12"/>
        <v>4</v>
      </c>
      <c r="AD134" s="3">
        <f t="shared" si="13"/>
        <v>229951</v>
      </c>
      <c r="AE134" s="3">
        <f t="shared" si="14"/>
        <v>1</v>
      </c>
      <c r="AF134" s="3">
        <f t="shared" si="15"/>
        <v>1545</v>
      </c>
      <c r="AG134" s="3">
        <f t="shared" si="16"/>
        <v>5</v>
      </c>
      <c r="AH134" s="3">
        <f t="shared" si="17"/>
        <v>108653377</v>
      </c>
      <c r="AI134" s="3" t="str">
        <f t="shared" si="18"/>
        <v/>
      </c>
      <c r="AJ134" s="3">
        <f t="shared" si="19"/>
        <v>0</v>
      </c>
    </row>
    <row r="135">
      <c r="C135" s="6" t="s">
        <v>135</v>
      </c>
      <c r="D135" s="3">
        <f t="shared" si="1"/>
        <v>3</v>
      </c>
      <c r="E135" s="3" t="str">
        <f>IFERROR(__xludf.DUMMYFUNCTION("REGEXEXTRACT(C135,""[^ ]* [^ ]*"")"),"posh maroon")</f>
        <v>posh maroon</v>
      </c>
      <c r="F135" s="3" t="str">
        <f>IFERROR(__xludf.DUMMYFUNCTION("MID(REGEXEXTRACT(C135,""contain.*$""),9,300)"),"5 dark coral bags, 5 faded yellow bags, 2 light lavender bags, 2 wavy teal bags.")</f>
        <v>5 dark coral bags, 5 faded yellow bags, 2 light lavender bags, 2 wavy teal bags.</v>
      </c>
      <c r="G135" s="3" t="str">
        <f>IFERROR(__xludf.DUMMYFUNCTION("INDEX(SPLIT($F135,"",""),COLUMN()-6)"),"5 dark coral bags")</f>
        <v>5 dark coral bags</v>
      </c>
      <c r="H135" s="3" t="str">
        <f>IFERROR(__xludf.DUMMYFUNCTION("MID(INDEX(SPLIT($F135,"",""),COLUMN()-6),2,300)"),"5 faded yellow bags")</f>
        <v>5 faded yellow bags</v>
      </c>
      <c r="I135" s="3" t="str">
        <f>IFERROR(__xludf.DUMMYFUNCTION("MID(INDEX(SPLIT($F135,"",""),COLUMN()-6),2,300)"),"2 light lavender bags")</f>
        <v>2 light lavender bags</v>
      </c>
      <c r="J135" s="3" t="str">
        <f>IFERROR(__xludf.DUMMYFUNCTION("MID(INDEX(SPLIT($F135,"",""),COLUMN()-6),2,300)"),"2 wavy teal bags.")</f>
        <v>2 wavy teal bags.</v>
      </c>
      <c r="K135" s="3">
        <f>IFERROR(__xludf.DUMMYFUNCTION("INDEX(SPLIT(G135,"" ""),1)"),5.0)</f>
        <v>5</v>
      </c>
      <c r="L135" s="3" t="str">
        <f>IFERROR(__xludf.DUMMYFUNCTION("REGEXEXTRACT(G135,"" [^ ]* [^ ]* "")")," dark coral ")</f>
        <v> dark coral </v>
      </c>
      <c r="M135" s="3">
        <f>IFERROR(__xludf.DUMMYFUNCTION("INDEX(SPLIT(H135,"" ""),1)"),5.0)</f>
        <v>5</v>
      </c>
      <c r="N135" s="3" t="str">
        <f>IFERROR(__xludf.DUMMYFUNCTION("MID(REGEXEXTRACT(H135,"" [^ ]* [^ ]*""),2,300)"),"faded yellow")</f>
        <v>faded yellow</v>
      </c>
      <c r="O135" s="3">
        <f>IFERROR(__xludf.DUMMYFUNCTION("INDEX(SPLIT(I135,"" ""),1)"),2.0)</f>
        <v>2</v>
      </c>
      <c r="P135" s="3" t="str">
        <f>IFERROR(__xludf.DUMMYFUNCTION("MID(REGEXEXTRACT(I135,"" [^ ]* [^ ]*""),2,300)"),"light lavender")</f>
        <v>light lavender</v>
      </c>
      <c r="Q135" s="3">
        <f>IFERROR(__xludf.DUMMYFUNCTION("INDEX(SPLIT(J135,"" ""),1)"),2.0)</f>
        <v>2</v>
      </c>
      <c r="R135" s="3" t="str">
        <f>IFERROR(__xludf.DUMMYFUNCTION("MID(REGEXEXTRACT(J135,"" [^ ]* [^ ]*""),2,300)"),"wavy teal")</f>
        <v>wavy teal</v>
      </c>
      <c r="S135" s="3">
        <f t="shared" si="2"/>
        <v>5</v>
      </c>
      <c r="T135" s="3" t="str">
        <f t="shared" si="3"/>
        <v>dark coral</v>
      </c>
      <c r="U135" s="3">
        <f t="shared" si="4"/>
        <v>5</v>
      </c>
      <c r="V135" s="3" t="str">
        <f t="shared" si="5"/>
        <v>faded yellow</v>
      </c>
      <c r="W135" s="3">
        <f t="shared" si="6"/>
        <v>2</v>
      </c>
      <c r="X135" s="3" t="str">
        <f t="shared" si="7"/>
        <v>light lavender</v>
      </c>
      <c r="Y135" s="3">
        <f t="shared" si="8"/>
        <v>2</v>
      </c>
      <c r="Z135" s="3" t="str">
        <f t="shared" si="9"/>
        <v>wavy teal</v>
      </c>
      <c r="AA135" s="13">
        <f t="shared" si="10"/>
        <v>26937623</v>
      </c>
      <c r="AB135" s="3">
        <f t="shared" si="11"/>
        <v>26937622</v>
      </c>
      <c r="AC135" s="3">
        <f t="shared" si="12"/>
        <v>5</v>
      </c>
      <c r="AD135" s="3">
        <f t="shared" si="13"/>
        <v>3753521</v>
      </c>
      <c r="AE135" s="3">
        <f t="shared" si="14"/>
        <v>5</v>
      </c>
      <c r="AF135" s="3">
        <f t="shared" si="15"/>
        <v>50963</v>
      </c>
      <c r="AG135" s="3">
        <f t="shared" si="16"/>
        <v>2</v>
      </c>
      <c r="AH135" s="3">
        <f t="shared" si="17"/>
        <v>3872851</v>
      </c>
      <c r="AI135" s="3">
        <f t="shared" si="18"/>
        <v>2</v>
      </c>
      <c r="AJ135" s="3">
        <f t="shared" si="19"/>
        <v>84750</v>
      </c>
    </row>
    <row r="136">
      <c r="C136" s="6" t="s">
        <v>136</v>
      </c>
      <c r="D136" s="3">
        <f t="shared" si="1"/>
        <v>1</v>
      </c>
      <c r="E136" s="3" t="str">
        <f>IFERROR(__xludf.DUMMYFUNCTION("REGEXEXTRACT(C136,""[^ ]* [^ ]*"")"),"drab coral")</f>
        <v>drab coral</v>
      </c>
      <c r="F136" s="3" t="str">
        <f>IFERROR(__xludf.DUMMYFUNCTION("MID(REGEXEXTRACT(C136,""contain.*$""),9,300)"),"4 posh chartreuse bags, 2 dim red bags.")</f>
        <v>4 posh chartreuse bags, 2 dim red bags.</v>
      </c>
      <c r="G136" s="3" t="str">
        <f>IFERROR(__xludf.DUMMYFUNCTION("INDEX(SPLIT($F136,"",""),COLUMN()-6)"),"4 posh chartreuse bags")</f>
        <v>4 posh chartreuse bags</v>
      </c>
      <c r="H136" s="3" t="str">
        <f>IFERROR(__xludf.DUMMYFUNCTION("MID(INDEX(SPLIT($F136,"",""),COLUMN()-6),2,300)"),"2 dim red bags.")</f>
        <v>2 dim red bags.</v>
      </c>
      <c r="I136" s="3" t="str">
        <f>IFERROR(__xludf.DUMMYFUNCTION("MID(INDEX(SPLIT($F136,"",""),COLUMN()-6),2,300)"),"#REF!")</f>
        <v>#REF!</v>
      </c>
      <c r="J136" s="3" t="str">
        <f>IFERROR(__xludf.DUMMYFUNCTION("MID(INDEX(SPLIT($F136,"",""),COLUMN()-6),2,300)"),"#REF!")</f>
        <v>#REF!</v>
      </c>
      <c r="K136" s="3">
        <f>IFERROR(__xludf.DUMMYFUNCTION("INDEX(SPLIT(G136,"" ""),1)"),4.0)</f>
        <v>4</v>
      </c>
      <c r="L136" s="3" t="str">
        <f>IFERROR(__xludf.DUMMYFUNCTION("REGEXEXTRACT(G136,"" [^ ]* [^ ]* "")")," posh chartreuse ")</f>
        <v> posh chartreuse </v>
      </c>
      <c r="M136" s="3">
        <f>IFERROR(__xludf.DUMMYFUNCTION("INDEX(SPLIT(H136,"" ""),1)"),2.0)</f>
        <v>2</v>
      </c>
      <c r="N136" s="3" t="str">
        <f>IFERROR(__xludf.DUMMYFUNCTION("MID(REGEXEXTRACT(H136,"" [^ ]* [^ ]*""),2,300)"),"dim red")</f>
        <v>dim red</v>
      </c>
      <c r="O136" s="3" t="str">
        <f>IFERROR(__xludf.DUMMYFUNCTION("INDEX(SPLIT(I136,"" ""),1)"),"#REF!")</f>
        <v>#REF!</v>
      </c>
      <c r="P136" s="3" t="str">
        <f>IFERROR(__xludf.DUMMYFUNCTION("MID(REGEXEXTRACT(I136,"" [^ ]* [^ ]*""),2,300)"),"#REF!")</f>
        <v>#REF!</v>
      </c>
      <c r="Q136" s="3" t="str">
        <f>IFERROR(__xludf.DUMMYFUNCTION("INDEX(SPLIT(J136,"" ""),1)"),"#REF!")</f>
        <v>#REF!</v>
      </c>
      <c r="R136" s="3" t="str">
        <f>IFERROR(__xludf.DUMMYFUNCTION("MID(REGEXEXTRACT(J136,"" [^ ]* [^ ]*""),2,300)"),"#REF!")</f>
        <v>#REF!</v>
      </c>
      <c r="S136" s="3">
        <f t="shared" si="2"/>
        <v>4</v>
      </c>
      <c r="T136" s="3" t="str">
        <f t="shared" si="3"/>
        <v>posh chartreuse</v>
      </c>
      <c r="U136" s="3">
        <f t="shared" si="4"/>
        <v>2</v>
      </c>
      <c r="V136" s="3" t="str">
        <f t="shared" si="5"/>
        <v>dim red</v>
      </c>
      <c r="W136" s="3" t="str">
        <f t="shared" si="6"/>
        <v/>
      </c>
      <c r="X136" s="3" t="str">
        <f t="shared" si="7"/>
        <v/>
      </c>
      <c r="Y136" s="3" t="str">
        <f t="shared" si="8"/>
        <v/>
      </c>
      <c r="Z136" s="3" t="str">
        <f t="shared" si="9"/>
        <v/>
      </c>
      <c r="AA136" s="13">
        <f t="shared" si="10"/>
        <v>41911827</v>
      </c>
      <c r="AB136" s="3">
        <f t="shared" si="11"/>
        <v>41911826</v>
      </c>
      <c r="AC136" s="3">
        <f t="shared" si="12"/>
        <v>4</v>
      </c>
      <c r="AD136" s="3">
        <f t="shared" si="13"/>
        <v>1471743</v>
      </c>
      <c r="AE136" s="3">
        <f t="shared" si="14"/>
        <v>2</v>
      </c>
      <c r="AF136" s="3">
        <f t="shared" si="15"/>
        <v>18012427</v>
      </c>
      <c r="AG136" s="3" t="str">
        <f t="shared" si="16"/>
        <v/>
      </c>
      <c r="AH136" s="3">
        <f t="shared" si="17"/>
        <v>0</v>
      </c>
      <c r="AI136" s="3" t="str">
        <f t="shared" si="18"/>
        <v/>
      </c>
      <c r="AJ136" s="3">
        <f t="shared" si="19"/>
        <v>0</v>
      </c>
    </row>
    <row r="137">
      <c r="C137" s="6" t="s">
        <v>137</v>
      </c>
      <c r="D137" s="3">
        <f t="shared" si="1"/>
        <v>1</v>
      </c>
      <c r="E137" s="3" t="str">
        <f>IFERROR(__xludf.DUMMYFUNCTION("REGEXEXTRACT(C137,""[^ ]* [^ ]*"")"),"posh indigo")</f>
        <v>posh indigo</v>
      </c>
      <c r="F137" s="3" t="str">
        <f>IFERROR(__xludf.DUMMYFUNCTION("MID(REGEXEXTRACT(C137,""contain.*$""),9,300)"),"2 plaid brown bags, 4 muted green bags.")</f>
        <v>2 plaid brown bags, 4 muted green bags.</v>
      </c>
      <c r="G137" s="3" t="str">
        <f>IFERROR(__xludf.DUMMYFUNCTION("INDEX(SPLIT($F137,"",""),COLUMN()-6)"),"2 plaid brown bags")</f>
        <v>2 plaid brown bags</v>
      </c>
      <c r="H137" s="3" t="str">
        <f>IFERROR(__xludf.DUMMYFUNCTION("MID(INDEX(SPLIT($F137,"",""),COLUMN()-6),2,300)"),"4 muted green bags.")</f>
        <v>4 muted green bags.</v>
      </c>
      <c r="I137" s="3" t="str">
        <f>IFERROR(__xludf.DUMMYFUNCTION("MID(INDEX(SPLIT($F137,"",""),COLUMN()-6),2,300)"),"#REF!")</f>
        <v>#REF!</v>
      </c>
      <c r="J137" s="3" t="str">
        <f>IFERROR(__xludf.DUMMYFUNCTION("MID(INDEX(SPLIT($F137,"",""),COLUMN()-6),2,300)"),"#REF!")</f>
        <v>#REF!</v>
      </c>
      <c r="K137" s="3">
        <f>IFERROR(__xludf.DUMMYFUNCTION("INDEX(SPLIT(G137,"" ""),1)"),2.0)</f>
        <v>2</v>
      </c>
      <c r="L137" s="3" t="str">
        <f>IFERROR(__xludf.DUMMYFUNCTION("REGEXEXTRACT(G137,"" [^ ]* [^ ]* "")")," plaid brown ")</f>
        <v> plaid brown </v>
      </c>
      <c r="M137" s="3">
        <f>IFERROR(__xludf.DUMMYFUNCTION("INDEX(SPLIT(H137,"" ""),1)"),4.0)</f>
        <v>4</v>
      </c>
      <c r="N137" s="3" t="str">
        <f>IFERROR(__xludf.DUMMYFUNCTION("MID(REGEXEXTRACT(H137,"" [^ ]* [^ ]*""),2,300)"),"muted green")</f>
        <v>muted green</v>
      </c>
      <c r="O137" s="3" t="str">
        <f>IFERROR(__xludf.DUMMYFUNCTION("INDEX(SPLIT(I137,"" ""),1)"),"#REF!")</f>
        <v>#REF!</v>
      </c>
      <c r="P137" s="3" t="str">
        <f>IFERROR(__xludf.DUMMYFUNCTION("MID(REGEXEXTRACT(I137,"" [^ ]* [^ ]*""),2,300)"),"#REF!")</f>
        <v>#REF!</v>
      </c>
      <c r="Q137" s="3" t="str">
        <f>IFERROR(__xludf.DUMMYFUNCTION("INDEX(SPLIT(J137,"" ""),1)"),"#REF!")</f>
        <v>#REF!</v>
      </c>
      <c r="R137" s="3" t="str">
        <f>IFERROR(__xludf.DUMMYFUNCTION("MID(REGEXEXTRACT(J137,"" [^ ]* [^ ]*""),2,300)"),"#REF!")</f>
        <v>#REF!</v>
      </c>
      <c r="S137" s="3">
        <f t="shared" si="2"/>
        <v>2</v>
      </c>
      <c r="T137" s="3" t="str">
        <f t="shared" si="3"/>
        <v>plaid brown</v>
      </c>
      <c r="U137" s="3">
        <f t="shared" si="4"/>
        <v>4</v>
      </c>
      <c r="V137" s="3" t="str">
        <f t="shared" si="5"/>
        <v>muted green</v>
      </c>
      <c r="W137" s="3" t="str">
        <f t="shared" si="6"/>
        <v/>
      </c>
      <c r="X137" s="3" t="str">
        <f t="shared" si="7"/>
        <v/>
      </c>
      <c r="Y137" s="3" t="str">
        <f t="shared" si="8"/>
        <v/>
      </c>
      <c r="Z137" s="3" t="str">
        <f t="shared" si="9"/>
        <v/>
      </c>
      <c r="AA137" s="13">
        <f t="shared" si="10"/>
        <v>319567</v>
      </c>
      <c r="AB137" s="3">
        <f t="shared" si="11"/>
        <v>319566</v>
      </c>
      <c r="AC137" s="3">
        <f t="shared" si="12"/>
        <v>2</v>
      </c>
      <c r="AD137" s="3">
        <f t="shared" si="13"/>
        <v>132605</v>
      </c>
      <c r="AE137" s="3">
        <f t="shared" si="14"/>
        <v>4</v>
      </c>
      <c r="AF137" s="3">
        <f t="shared" si="15"/>
        <v>13589</v>
      </c>
      <c r="AG137" s="3" t="str">
        <f t="shared" si="16"/>
        <v/>
      </c>
      <c r="AH137" s="3">
        <f t="shared" si="17"/>
        <v>0</v>
      </c>
      <c r="AI137" s="3" t="str">
        <f t="shared" si="18"/>
        <v/>
      </c>
      <c r="AJ137" s="3">
        <f t="shared" si="19"/>
        <v>0</v>
      </c>
    </row>
    <row r="138">
      <c r="C138" s="6" t="s">
        <v>138</v>
      </c>
      <c r="D138" s="3">
        <f t="shared" si="1"/>
        <v>1</v>
      </c>
      <c r="E138" s="3" t="str">
        <f>IFERROR(__xludf.DUMMYFUNCTION("REGEXEXTRACT(C138,""[^ ]* [^ ]*"")"),"drab aqua")</f>
        <v>drab aqua</v>
      </c>
      <c r="F138" s="3" t="str">
        <f>IFERROR(__xludf.DUMMYFUNCTION("MID(REGEXEXTRACT(C138,""contain.*$""),9,300)"),"2 pale magenta bags, 2 posh orange bags.")</f>
        <v>2 pale magenta bags, 2 posh orange bags.</v>
      </c>
      <c r="G138" s="3" t="str">
        <f>IFERROR(__xludf.DUMMYFUNCTION("INDEX(SPLIT($F138,"",""),COLUMN()-6)"),"2 pale magenta bags")</f>
        <v>2 pale magenta bags</v>
      </c>
      <c r="H138" s="3" t="str">
        <f>IFERROR(__xludf.DUMMYFUNCTION("MID(INDEX(SPLIT($F138,"",""),COLUMN()-6),2,300)"),"2 posh orange bags.")</f>
        <v>2 posh orange bags.</v>
      </c>
      <c r="I138" s="3" t="str">
        <f>IFERROR(__xludf.DUMMYFUNCTION("MID(INDEX(SPLIT($F138,"",""),COLUMN()-6),2,300)"),"#REF!")</f>
        <v>#REF!</v>
      </c>
      <c r="J138" s="3" t="str">
        <f>IFERROR(__xludf.DUMMYFUNCTION("MID(INDEX(SPLIT($F138,"",""),COLUMN()-6),2,300)"),"#REF!")</f>
        <v>#REF!</v>
      </c>
      <c r="K138" s="3">
        <f>IFERROR(__xludf.DUMMYFUNCTION("INDEX(SPLIT(G138,"" ""),1)"),2.0)</f>
        <v>2</v>
      </c>
      <c r="L138" s="3" t="str">
        <f>IFERROR(__xludf.DUMMYFUNCTION("REGEXEXTRACT(G138,"" [^ ]* [^ ]* "")")," pale magenta ")</f>
        <v> pale magenta </v>
      </c>
      <c r="M138" s="3">
        <f>IFERROR(__xludf.DUMMYFUNCTION("INDEX(SPLIT(H138,"" ""),1)"),2.0)</f>
        <v>2</v>
      </c>
      <c r="N138" s="3" t="str">
        <f>IFERROR(__xludf.DUMMYFUNCTION("MID(REGEXEXTRACT(H138,"" [^ ]* [^ ]*""),2,300)"),"posh orange")</f>
        <v>posh orange</v>
      </c>
      <c r="O138" s="3" t="str">
        <f>IFERROR(__xludf.DUMMYFUNCTION("INDEX(SPLIT(I138,"" ""),1)"),"#REF!")</f>
        <v>#REF!</v>
      </c>
      <c r="P138" s="3" t="str">
        <f>IFERROR(__xludf.DUMMYFUNCTION("MID(REGEXEXTRACT(I138,"" [^ ]* [^ ]*""),2,300)"),"#REF!")</f>
        <v>#REF!</v>
      </c>
      <c r="Q138" s="3" t="str">
        <f>IFERROR(__xludf.DUMMYFUNCTION("INDEX(SPLIT(J138,"" ""),1)"),"#REF!")</f>
        <v>#REF!</v>
      </c>
      <c r="R138" s="3" t="str">
        <f>IFERROR(__xludf.DUMMYFUNCTION("MID(REGEXEXTRACT(J138,"" [^ ]* [^ ]*""),2,300)"),"#REF!")</f>
        <v>#REF!</v>
      </c>
      <c r="S138" s="3">
        <f t="shared" si="2"/>
        <v>2</v>
      </c>
      <c r="T138" s="3" t="str">
        <f t="shared" si="3"/>
        <v>pale magenta</v>
      </c>
      <c r="U138" s="3">
        <f t="shared" si="4"/>
        <v>2</v>
      </c>
      <c r="V138" s="3" t="str">
        <f t="shared" si="5"/>
        <v>posh orange</v>
      </c>
      <c r="W138" s="3" t="str">
        <f t="shared" si="6"/>
        <v/>
      </c>
      <c r="X138" s="3" t="str">
        <f t="shared" si="7"/>
        <v/>
      </c>
      <c r="Y138" s="3" t="str">
        <f t="shared" si="8"/>
        <v/>
      </c>
      <c r="Z138" s="3" t="str">
        <f t="shared" si="9"/>
        <v/>
      </c>
      <c r="AA138" s="13">
        <f t="shared" si="10"/>
        <v>1818578087</v>
      </c>
      <c r="AB138" s="3">
        <f t="shared" si="11"/>
        <v>1818578086</v>
      </c>
      <c r="AC138" s="3">
        <f t="shared" si="12"/>
        <v>2</v>
      </c>
      <c r="AD138" s="3">
        <f t="shared" si="13"/>
        <v>909289041</v>
      </c>
      <c r="AE138" s="3">
        <f t="shared" si="14"/>
        <v>2</v>
      </c>
      <c r="AF138" s="3">
        <f t="shared" si="15"/>
        <v>2</v>
      </c>
      <c r="AG138" s="3" t="str">
        <f t="shared" si="16"/>
        <v/>
      </c>
      <c r="AH138" s="3">
        <f t="shared" si="17"/>
        <v>0</v>
      </c>
      <c r="AI138" s="3" t="str">
        <f t="shared" si="18"/>
        <v/>
      </c>
      <c r="AJ138" s="3">
        <f t="shared" si="19"/>
        <v>0</v>
      </c>
    </row>
    <row r="139">
      <c r="C139" s="6" t="s">
        <v>139</v>
      </c>
      <c r="D139" s="3">
        <f t="shared" si="1"/>
        <v>2</v>
      </c>
      <c r="E139" s="3" t="str">
        <f>IFERROR(__xludf.DUMMYFUNCTION("REGEXEXTRACT(C139,""[^ ]* [^ ]*"")"),"drab crimson")</f>
        <v>drab crimson</v>
      </c>
      <c r="F139" s="3" t="str">
        <f>IFERROR(__xludf.DUMMYFUNCTION("MID(REGEXEXTRACT(C139,""contain.*$""),9,300)"),"2 pale bronze bags, 4 dotted blue bags, 2 dim silver bags.")</f>
        <v>2 pale bronze bags, 4 dotted blue bags, 2 dim silver bags.</v>
      </c>
      <c r="G139" s="3" t="str">
        <f>IFERROR(__xludf.DUMMYFUNCTION("INDEX(SPLIT($F139,"",""),COLUMN()-6)"),"2 pale bronze bags")</f>
        <v>2 pale bronze bags</v>
      </c>
      <c r="H139" s="3" t="str">
        <f>IFERROR(__xludf.DUMMYFUNCTION("MID(INDEX(SPLIT($F139,"",""),COLUMN()-6),2,300)"),"4 dotted blue bags")</f>
        <v>4 dotted blue bags</v>
      </c>
      <c r="I139" s="3" t="str">
        <f>IFERROR(__xludf.DUMMYFUNCTION("MID(INDEX(SPLIT($F139,"",""),COLUMN()-6),2,300)"),"2 dim silver bags.")</f>
        <v>2 dim silver bags.</v>
      </c>
      <c r="J139" s="3" t="str">
        <f>IFERROR(__xludf.DUMMYFUNCTION("MID(INDEX(SPLIT($F139,"",""),COLUMN()-6),2,300)"),"#REF!")</f>
        <v>#REF!</v>
      </c>
      <c r="K139" s="3">
        <f>IFERROR(__xludf.DUMMYFUNCTION("INDEX(SPLIT(G139,"" ""),1)"),2.0)</f>
        <v>2</v>
      </c>
      <c r="L139" s="3" t="str">
        <f>IFERROR(__xludf.DUMMYFUNCTION("REGEXEXTRACT(G139,"" [^ ]* [^ ]* "")")," pale bronze ")</f>
        <v> pale bronze </v>
      </c>
      <c r="M139" s="3">
        <f>IFERROR(__xludf.DUMMYFUNCTION("INDEX(SPLIT(H139,"" ""),1)"),4.0)</f>
        <v>4</v>
      </c>
      <c r="N139" s="3" t="str">
        <f>IFERROR(__xludf.DUMMYFUNCTION("MID(REGEXEXTRACT(H139,"" [^ ]* [^ ]*""),2,300)"),"dotted blue")</f>
        <v>dotted blue</v>
      </c>
      <c r="O139" s="3">
        <f>IFERROR(__xludf.DUMMYFUNCTION("INDEX(SPLIT(I139,"" ""),1)"),2.0)</f>
        <v>2</v>
      </c>
      <c r="P139" s="3" t="str">
        <f>IFERROR(__xludf.DUMMYFUNCTION("MID(REGEXEXTRACT(I139,"" [^ ]* [^ ]*""),2,300)"),"dim silver")</f>
        <v>dim silver</v>
      </c>
      <c r="Q139" s="3" t="str">
        <f>IFERROR(__xludf.DUMMYFUNCTION("INDEX(SPLIT(J139,"" ""),1)"),"#REF!")</f>
        <v>#REF!</v>
      </c>
      <c r="R139" s="3" t="str">
        <f>IFERROR(__xludf.DUMMYFUNCTION("MID(REGEXEXTRACT(J139,"" [^ ]* [^ ]*""),2,300)"),"#REF!")</f>
        <v>#REF!</v>
      </c>
      <c r="S139" s="3">
        <f t="shared" si="2"/>
        <v>2</v>
      </c>
      <c r="T139" s="3" t="str">
        <f t="shared" si="3"/>
        <v>pale bronze</v>
      </c>
      <c r="U139" s="3">
        <f t="shared" si="4"/>
        <v>4</v>
      </c>
      <c r="V139" s="3" t="str">
        <f t="shared" si="5"/>
        <v>dotted blue</v>
      </c>
      <c r="W139" s="3">
        <f t="shared" si="6"/>
        <v>2</v>
      </c>
      <c r="X139" s="3" t="str">
        <f t="shared" si="7"/>
        <v>dim silver</v>
      </c>
      <c r="Y139" s="3" t="str">
        <f t="shared" si="8"/>
        <v/>
      </c>
      <c r="Z139" s="3" t="str">
        <f t="shared" si="9"/>
        <v/>
      </c>
      <c r="AA139" s="13">
        <f t="shared" si="10"/>
        <v>294808767</v>
      </c>
      <c r="AB139" s="3">
        <f t="shared" si="11"/>
        <v>294808766</v>
      </c>
      <c r="AC139" s="3">
        <f t="shared" si="12"/>
        <v>2</v>
      </c>
      <c r="AD139" s="3">
        <f t="shared" si="13"/>
        <v>1794</v>
      </c>
      <c r="AE139" s="3">
        <f t="shared" si="14"/>
        <v>4</v>
      </c>
      <c r="AF139" s="3">
        <f t="shared" si="15"/>
        <v>5837626</v>
      </c>
      <c r="AG139" s="3">
        <f t="shared" si="16"/>
        <v>2</v>
      </c>
      <c r="AH139" s="3">
        <f t="shared" si="17"/>
        <v>135727337</v>
      </c>
      <c r="AI139" s="3" t="str">
        <f t="shared" si="18"/>
        <v/>
      </c>
      <c r="AJ139" s="3">
        <f t="shared" si="19"/>
        <v>0</v>
      </c>
    </row>
    <row r="140">
      <c r="C140" s="6" t="s">
        <v>140</v>
      </c>
      <c r="D140" s="3">
        <f t="shared" si="1"/>
        <v>1</v>
      </c>
      <c r="E140" s="3" t="str">
        <f>IFERROR(__xludf.DUMMYFUNCTION("REGEXEXTRACT(C140,""[^ ]* [^ ]*"")"),"drab silver")</f>
        <v>drab silver</v>
      </c>
      <c r="F140" s="3" t="str">
        <f>IFERROR(__xludf.DUMMYFUNCTION("MID(REGEXEXTRACT(C140,""contain.*$""),9,300)"),"5 clear blue bags, 4 pale bronze bags.")</f>
        <v>5 clear blue bags, 4 pale bronze bags.</v>
      </c>
      <c r="G140" s="3" t="str">
        <f>IFERROR(__xludf.DUMMYFUNCTION("INDEX(SPLIT($F140,"",""),COLUMN()-6)"),"5 clear blue bags")</f>
        <v>5 clear blue bags</v>
      </c>
      <c r="H140" s="3" t="str">
        <f>IFERROR(__xludf.DUMMYFUNCTION("MID(INDEX(SPLIT($F140,"",""),COLUMN()-6),2,300)"),"4 pale bronze bags.")</f>
        <v>4 pale bronze bags.</v>
      </c>
      <c r="I140" s="3" t="str">
        <f>IFERROR(__xludf.DUMMYFUNCTION("MID(INDEX(SPLIT($F140,"",""),COLUMN()-6),2,300)"),"#REF!")</f>
        <v>#REF!</v>
      </c>
      <c r="J140" s="3" t="str">
        <f>IFERROR(__xludf.DUMMYFUNCTION("MID(INDEX(SPLIT($F140,"",""),COLUMN()-6),2,300)"),"#REF!")</f>
        <v>#REF!</v>
      </c>
      <c r="K140" s="3">
        <f>IFERROR(__xludf.DUMMYFUNCTION("INDEX(SPLIT(G140,"" ""),1)"),5.0)</f>
        <v>5</v>
      </c>
      <c r="L140" s="3" t="str">
        <f>IFERROR(__xludf.DUMMYFUNCTION("REGEXEXTRACT(G140,"" [^ ]* [^ ]* "")")," clear blue ")</f>
        <v> clear blue </v>
      </c>
      <c r="M140" s="3">
        <f>IFERROR(__xludf.DUMMYFUNCTION("INDEX(SPLIT(H140,"" ""),1)"),4.0)</f>
        <v>4</v>
      </c>
      <c r="N140" s="3" t="str">
        <f>IFERROR(__xludf.DUMMYFUNCTION("MID(REGEXEXTRACT(H140,"" [^ ]* [^ ]*""),2,300)"),"pale bronze")</f>
        <v>pale bronze</v>
      </c>
      <c r="O140" s="3" t="str">
        <f>IFERROR(__xludf.DUMMYFUNCTION("INDEX(SPLIT(I140,"" ""),1)"),"#REF!")</f>
        <v>#REF!</v>
      </c>
      <c r="P140" s="3" t="str">
        <f>IFERROR(__xludf.DUMMYFUNCTION("MID(REGEXEXTRACT(I140,"" [^ ]* [^ ]*""),2,300)"),"#REF!")</f>
        <v>#REF!</v>
      </c>
      <c r="Q140" s="3" t="str">
        <f>IFERROR(__xludf.DUMMYFUNCTION("INDEX(SPLIT(J140,"" ""),1)"),"#REF!")</f>
        <v>#REF!</v>
      </c>
      <c r="R140" s="3" t="str">
        <f>IFERROR(__xludf.DUMMYFUNCTION("MID(REGEXEXTRACT(J140,"" [^ ]* [^ ]*""),2,300)"),"#REF!")</f>
        <v>#REF!</v>
      </c>
      <c r="S140" s="3">
        <f t="shared" si="2"/>
        <v>5</v>
      </c>
      <c r="T140" s="3" t="str">
        <f t="shared" si="3"/>
        <v>clear blue</v>
      </c>
      <c r="U140" s="3">
        <f t="shared" si="4"/>
        <v>4</v>
      </c>
      <c r="V140" s="3" t="str">
        <f t="shared" si="5"/>
        <v>pale bronze</v>
      </c>
      <c r="W140" s="3" t="str">
        <f t="shared" si="6"/>
        <v/>
      </c>
      <c r="X140" s="3" t="str">
        <f t="shared" si="7"/>
        <v/>
      </c>
      <c r="Y140" s="3" t="str">
        <f t="shared" si="8"/>
        <v/>
      </c>
      <c r="Z140" s="3" t="str">
        <f t="shared" si="9"/>
        <v/>
      </c>
      <c r="AA140" s="13">
        <f t="shared" si="10"/>
        <v>7557</v>
      </c>
      <c r="AB140" s="3">
        <f t="shared" si="11"/>
        <v>7556</v>
      </c>
      <c r="AC140" s="3">
        <f t="shared" si="12"/>
        <v>5</v>
      </c>
      <c r="AD140" s="3">
        <f t="shared" si="13"/>
        <v>76</v>
      </c>
      <c r="AE140" s="3">
        <f t="shared" si="14"/>
        <v>4</v>
      </c>
      <c r="AF140" s="3">
        <f t="shared" si="15"/>
        <v>1794</v>
      </c>
      <c r="AG140" s="3" t="str">
        <f t="shared" si="16"/>
        <v/>
      </c>
      <c r="AH140" s="3">
        <f t="shared" si="17"/>
        <v>0</v>
      </c>
      <c r="AI140" s="3" t="str">
        <f t="shared" si="18"/>
        <v/>
      </c>
      <c r="AJ140" s="3">
        <f t="shared" si="19"/>
        <v>0</v>
      </c>
    </row>
    <row r="141">
      <c r="C141" s="6" t="s">
        <v>141</v>
      </c>
      <c r="D141" s="3">
        <f t="shared" si="1"/>
        <v>2</v>
      </c>
      <c r="E141" s="3" t="str">
        <f>IFERROR(__xludf.DUMMYFUNCTION("REGEXEXTRACT(C141,""[^ ]* [^ ]*"")"),"clear salmon")</f>
        <v>clear salmon</v>
      </c>
      <c r="F141" s="3" t="str">
        <f>IFERROR(__xludf.DUMMYFUNCTION("MID(REGEXEXTRACT(C141,""contain.*$""),9,300)"),"2 pale aqua bags, 1 plaid gray bag, 1 clear coral bag.")</f>
        <v>2 pale aqua bags, 1 plaid gray bag, 1 clear coral bag.</v>
      </c>
      <c r="G141" s="3" t="str">
        <f>IFERROR(__xludf.DUMMYFUNCTION("INDEX(SPLIT($F141,"",""),COLUMN()-6)"),"2 pale aqua bags")</f>
        <v>2 pale aqua bags</v>
      </c>
      <c r="H141" s="3" t="str">
        <f>IFERROR(__xludf.DUMMYFUNCTION("MID(INDEX(SPLIT($F141,"",""),COLUMN()-6),2,300)"),"1 plaid gray bag")</f>
        <v>1 plaid gray bag</v>
      </c>
      <c r="I141" s="3" t="str">
        <f>IFERROR(__xludf.DUMMYFUNCTION("MID(INDEX(SPLIT($F141,"",""),COLUMN()-6),2,300)"),"1 clear coral bag.")</f>
        <v>1 clear coral bag.</v>
      </c>
      <c r="J141" s="3" t="str">
        <f>IFERROR(__xludf.DUMMYFUNCTION("MID(INDEX(SPLIT($F141,"",""),COLUMN()-6),2,300)"),"#REF!")</f>
        <v>#REF!</v>
      </c>
      <c r="K141" s="3">
        <f>IFERROR(__xludf.DUMMYFUNCTION("INDEX(SPLIT(G141,"" ""),1)"),2.0)</f>
        <v>2</v>
      </c>
      <c r="L141" s="3" t="str">
        <f>IFERROR(__xludf.DUMMYFUNCTION("REGEXEXTRACT(G141,"" [^ ]* [^ ]* "")")," pale aqua ")</f>
        <v> pale aqua </v>
      </c>
      <c r="M141" s="3">
        <f>IFERROR(__xludf.DUMMYFUNCTION("INDEX(SPLIT(H141,"" ""),1)"),1.0)</f>
        <v>1</v>
      </c>
      <c r="N141" s="3" t="str">
        <f>IFERROR(__xludf.DUMMYFUNCTION("MID(REGEXEXTRACT(H141,"" [^ ]* [^ ]*""),2,300)"),"plaid gray")</f>
        <v>plaid gray</v>
      </c>
      <c r="O141" s="3">
        <f>IFERROR(__xludf.DUMMYFUNCTION("INDEX(SPLIT(I141,"" ""),1)"),1.0)</f>
        <v>1</v>
      </c>
      <c r="P141" s="3" t="str">
        <f>IFERROR(__xludf.DUMMYFUNCTION("MID(REGEXEXTRACT(I141,"" [^ ]* [^ ]*""),2,300)"),"clear coral")</f>
        <v>clear coral</v>
      </c>
      <c r="Q141" s="3" t="str">
        <f>IFERROR(__xludf.DUMMYFUNCTION("INDEX(SPLIT(J141,"" ""),1)"),"#REF!")</f>
        <v>#REF!</v>
      </c>
      <c r="R141" s="3" t="str">
        <f>IFERROR(__xludf.DUMMYFUNCTION("MID(REGEXEXTRACT(J141,"" [^ ]* [^ ]*""),2,300)"),"#REF!")</f>
        <v>#REF!</v>
      </c>
      <c r="S141" s="3">
        <f t="shared" si="2"/>
        <v>2</v>
      </c>
      <c r="T141" s="3" t="str">
        <f t="shared" si="3"/>
        <v>pale aqua</v>
      </c>
      <c r="U141" s="3">
        <f t="shared" si="4"/>
        <v>1</v>
      </c>
      <c r="V141" s="3" t="str">
        <f t="shared" si="5"/>
        <v>plaid gray</v>
      </c>
      <c r="W141" s="3">
        <f t="shared" si="6"/>
        <v>1</v>
      </c>
      <c r="X141" s="3" t="str">
        <f t="shared" si="7"/>
        <v>clear coral</v>
      </c>
      <c r="Y141" s="3" t="str">
        <f t="shared" si="8"/>
        <v/>
      </c>
      <c r="Z141" s="3" t="str">
        <f t="shared" si="9"/>
        <v/>
      </c>
      <c r="AA141" s="13">
        <f t="shared" si="10"/>
        <v>3156488</v>
      </c>
      <c r="AB141" s="3">
        <f t="shared" si="11"/>
        <v>3156487</v>
      </c>
      <c r="AC141" s="3">
        <f t="shared" si="12"/>
        <v>2</v>
      </c>
      <c r="AD141" s="3">
        <f t="shared" si="13"/>
        <v>1578216</v>
      </c>
      <c r="AE141" s="3">
        <f t="shared" si="14"/>
        <v>1</v>
      </c>
      <c r="AF141" s="3">
        <f t="shared" si="15"/>
        <v>54</v>
      </c>
      <c r="AG141" s="3">
        <f t="shared" si="16"/>
        <v>1</v>
      </c>
      <c r="AH141" s="3">
        <f t="shared" si="17"/>
        <v>1</v>
      </c>
      <c r="AI141" s="3" t="str">
        <f t="shared" si="18"/>
        <v/>
      </c>
      <c r="AJ141" s="3">
        <f t="shared" si="19"/>
        <v>0</v>
      </c>
    </row>
    <row r="142">
      <c r="C142" s="6" t="s">
        <v>142</v>
      </c>
      <c r="D142" s="3">
        <f t="shared" si="1"/>
        <v>0</v>
      </c>
      <c r="E142" s="3" t="str">
        <f>IFERROR(__xludf.DUMMYFUNCTION("REGEXEXTRACT(C142,""[^ ]* [^ ]*"")"),"wavy chartreuse")</f>
        <v>wavy chartreuse</v>
      </c>
      <c r="F142" s="3" t="str">
        <f>IFERROR(__xludf.DUMMYFUNCTION("MID(REGEXEXTRACT(C142,""contain.*$""),9,300)"),"no other bags.")</f>
        <v>no other bags.</v>
      </c>
      <c r="G142" s="3" t="str">
        <f>IFERROR(__xludf.DUMMYFUNCTION("INDEX(SPLIT($F142,"",""),COLUMN()-6)"),"no other bags.")</f>
        <v>no other bags.</v>
      </c>
      <c r="H142" s="3" t="str">
        <f>IFERROR(__xludf.DUMMYFUNCTION("MID(INDEX(SPLIT($F142,"",""),COLUMN()-6),2,300)"),"#REF!")</f>
        <v>#REF!</v>
      </c>
      <c r="I142" s="3" t="str">
        <f>IFERROR(__xludf.DUMMYFUNCTION("MID(INDEX(SPLIT($F142,"",""),COLUMN()-6),2,300)"),"#REF!")</f>
        <v>#REF!</v>
      </c>
      <c r="J142" s="3" t="str">
        <f>IFERROR(__xludf.DUMMYFUNCTION("MID(INDEX(SPLIT($F142,"",""),COLUMN()-6),2,300)"),"#REF!")</f>
        <v>#REF!</v>
      </c>
      <c r="K142" s="3" t="str">
        <f>IFERROR(__xludf.DUMMYFUNCTION("INDEX(SPLIT(G142,"" ""),1)"),"no")</f>
        <v>no</v>
      </c>
      <c r="L142" s="3" t="str">
        <f>IFERROR(__xludf.DUMMYFUNCTION("REGEXEXTRACT(G142,"" [^ ]* [^ ]* "")"),"#N/A")</f>
        <v>#N/A</v>
      </c>
      <c r="M142" s="3" t="str">
        <f>IFERROR(__xludf.DUMMYFUNCTION("INDEX(SPLIT(H142,"" ""),1)"),"#REF!")</f>
        <v>#REF!</v>
      </c>
      <c r="N142" s="3" t="str">
        <f>IFERROR(__xludf.DUMMYFUNCTION("MID(REGEXEXTRACT(H142,"" [^ ]* [^ ]*""),2,300)"),"#REF!")</f>
        <v>#REF!</v>
      </c>
      <c r="O142" s="3" t="str">
        <f>IFERROR(__xludf.DUMMYFUNCTION("INDEX(SPLIT(I142,"" ""),1)"),"#REF!")</f>
        <v>#REF!</v>
      </c>
      <c r="P142" s="3" t="str">
        <f>IFERROR(__xludf.DUMMYFUNCTION("MID(REGEXEXTRACT(I142,"" [^ ]* [^ ]*""),2,300)"),"#REF!")</f>
        <v>#REF!</v>
      </c>
      <c r="Q142" s="3" t="str">
        <f>IFERROR(__xludf.DUMMYFUNCTION("INDEX(SPLIT(J142,"" ""),1)"),"#REF!")</f>
        <v>#REF!</v>
      </c>
      <c r="R142" s="3" t="str">
        <f>IFERROR(__xludf.DUMMYFUNCTION("MID(REGEXEXTRACT(J142,"" [^ ]* [^ ]*""),2,300)"),"#REF!")</f>
        <v>#REF!</v>
      </c>
      <c r="S142" s="3" t="str">
        <f t="shared" si="2"/>
        <v/>
      </c>
      <c r="T142" s="3" t="str">
        <f t="shared" si="3"/>
        <v/>
      </c>
      <c r="U142" s="3" t="str">
        <f t="shared" si="4"/>
        <v/>
      </c>
      <c r="V142" s="3" t="str">
        <f t="shared" si="5"/>
        <v/>
      </c>
      <c r="W142" s="3" t="str">
        <f t="shared" si="6"/>
        <v/>
      </c>
      <c r="X142" s="3" t="str">
        <f t="shared" si="7"/>
        <v/>
      </c>
      <c r="Y142" s="3" t="str">
        <f t="shared" si="8"/>
        <v/>
      </c>
      <c r="Z142" s="3" t="str">
        <f t="shared" si="9"/>
        <v/>
      </c>
      <c r="AA142" s="13">
        <f t="shared" si="10"/>
        <v>1</v>
      </c>
      <c r="AB142" s="3">
        <f t="shared" si="11"/>
        <v>0</v>
      </c>
      <c r="AC142" s="3" t="str">
        <f t="shared" si="12"/>
        <v/>
      </c>
      <c r="AD142" s="3">
        <f t="shared" si="13"/>
        <v>0</v>
      </c>
      <c r="AE142" s="3" t="str">
        <f t="shared" si="14"/>
        <v/>
      </c>
      <c r="AF142" s="3">
        <f t="shared" si="15"/>
        <v>0</v>
      </c>
      <c r="AG142" s="3" t="str">
        <f t="shared" si="16"/>
        <v/>
      </c>
      <c r="AH142" s="3">
        <f t="shared" si="17"/>
        <v>0</v>
      </c>
      <c r="AI142" s="3" t="str">
        <f t="shared" si="18"/>
        <v/>
      </c>
      <c r="AJ142" s="3">
        <f t="shared" si="19"/>
        <v>0</v>
      </c>
    </row>
    <row r="143">
      <c r="C143" s="6" t="s">
        <v>143</v>
      </c>
      <c r="D143" s="3">
        <f t="shared" si="1"/>
        <v>3</v>
      </c>
      <c r="E143" s="3" t="str">
        <f>IFERROR(__xludf.DUMMYFUNCTION("REGEXEXTRACT(C143,""[^ ]* [^ ]*"")"),"dull plum")</f>
        <v>dull plum</v>
      </c>
      <c r="F143" s="3" t="str">
        <f>IFERROR(__xludf.DUMMYFUNCTION("MID(REGEXEXTRACT(C143,""contain.*$""),9,300)"),"3 plaid gray bags, 3 plaid aqua bags, 2 mirrored beige bags, 2 wavy magenta bags.")</f>
        <v>3 plaid gray bags, 3 plaid aqua bags, 2 mirrored beige bags, 2 wavy magenta bags.</v>
      </c>
      <c r="G143" s="3" t="str">
        <f>IFERROR(__xludf.DUMMYFUNCTION("INDEX(SPLIT($F143,"",""),COLUMN()-6)"),"3 plaid gray bags")</f>
        <v>3 plaid gray bags</v>
      </c>
      <c r="H143" s="3" t="str">
        <f>IFERROR(__xludf.DUMMYFUNCTION("MID(INDEX(SPLIT($F143,"",""),COLUMN()-6),2,300)"),"3 plaid aqua bags")</f>
        <v>3 plaid aqua bags</v>
      </c>
      <c r="I143" s="3" t="str">
        <f>IFERROR(__xludf.DUMMYFUNCTION("MID(INDEX(SPLIT($F143,"",""),COLUMN()-6),2,300)"),"2 mirrored beige bags")</f>
        <v>2 mirrored beige bags</v>
      </c>
      <c r="J143" s="3" t="str">
        <f>IFERROR(__xludf.DUMMYFUNCTION("MID(INDEX(SPLIT($F143,"",""),COLUMN()-6),2,300)"),"2 wavy magenta bags.")</f>
        <v>2 wavy magenta bags.</v>
      </c>
      <c r="K143" s="3">
        <f>IFERROR(__xludf.DUMMYFUNCTION("INDEX(SPLIT(G143,"" ""),1)"),3.0)</f>
        <v>3</v>
      </c>
      <c r="L143" s="3" t="str">
        <f>IFERROR(__xludf.DUMMYFUNCTION("REGEXEXTRACT(G143,"" [^ ]* [^ ]* "")")," plaid gray ")</f>
        <v> plaid gray </v>
      </c>
      <c r="M143" s="3">
        <f>IFERROR(__xludf.DUMMYFUNCTION("INDEX(SPLIT(H143,"" ""),1)"),3.0)</f>
        <v>3</v>
      </c>
      <c r="N143" s="3" t="str">
        <f>IFERROR(__xludf.DUMMYFUNCTION("MID(REGEXEXTRACT(H143,"" [^ ]* [^ ]*""),2,300)"),"plaid aqua")</f>
        <v>plaid aqua</v>
      </c>
      <c r="O143" s="3">
        <f>IFERROR(__xludf.DUMMYFUNCTION("INDEX(SPLIT(I143,"" ""),1)"),2.0)</f>
        <v>2</v>
      </c>
      <c r="P143" s="3" t="str">
        <f>IFERROR(__xludf.DUMMYFUNCTION("MID(REGEXEXTRACT(I143,"" [^ ]* [^ ]*""),2,300)"),"mirrored beige")</f>
        <v>mirrored beige</v>
      </c>
      <c r="Q143" s="3">
        <f>IFERROR(__xludf.DUMMYFUNCTION("INDEX(SPLIT(J143,"" ""),1)"),2.0)</f>
        <v>2</v>
      </c>
      <c r="R143" s="3" t="str">
        <f>IFERROR(__xludf.DUMMYFUNCTION("MID(REGEXEXTRACT(J143,"" [^ ]* [^ ]*""),2,300)"),"wavy magenta")</f>
        <v>wavy magenta</v>
      </c>
      <c r="S143" s="3">
        <f t="shared" si="2"/>
        <v>3</v>
      </c>
      <c r="T143" s="3" t="str">
        <f t="shared" si="3"/>
        <v>plaid gray</v>
      </c>
      <c r="U143" s="3">
        <f t="shared" si="4"/>
        <v>3</v>
      </c>
      <c r="V143" s="3" t="str">
        <f t="shared" si="5"/>
        <v>plaid aqua</v>
      </c>
      <c r="W143" s="3">
        <f t="shared" si="6"/>
        <v>2</v>
      </c>
      <c r="X143" s="3" t="str">
        <f t="shared" si="7"/>
        <v>mirrored beige</v>
      </c>
      <c r="Y143" s="3">
        <f t="shared" si="8"/>
        <v>2</v>
      </c>
      <c r="Z143" s="3" t="str">
        <f t="shared" si="9"/>
        <v>wavy magenta</v>
      </c>
      <c r="AA143" s="13">
        <f t="shared" si="10"/>
        <v>13545768</v>
      </c>
      <c r="AB143" s="3">
        <f t="shared" si="11"/>
        <v>13545767</v>
      </c>
      <c r="AC143" s="3">
        <f t="shared" si="12"/>
        <v>3</v>
      </c>
      <c r="AD143" s="3">
        <f t="shared" si="13"/>
        <v>54</v>
      </c>
      <c r="AE143" s="3">
        <f t="shared" si="14"/>
        <v>3</v>
      </c>
      <c r="AF143" s="3">
        <f t="shared" si="15"/>
        <v>1</v>
      </c>
      <c r="AG143" s="3">
        <f t="shared" si="16"/>
        <v>2</v>
      </c>
      <c r="AH143" s="3">
        <f t="shared" si="17"/>
        <v>598224</v>
      </c>
      <c r="AI143" s="3">
        <f t="shared" si="18"/>
        <v>2</v>
      </c>
      <c r="AJ143" s="3">
        <f t="shared" si="19"/>
        <v>6174577</v>
      </c>
    </row>
    <row r="144">
      <c r="C144" s="6" t="s">
        <v>144</v>
      </c>
      <c r="D144" s="3">
        <f t="shared" si="1"/>
        <v>3</v>
      </c>
      <c r="E144" s="3" t="str">
        <f>IFERROR(__xludf.DUMMYFUNCTION("REGEXEXTRACT(C144,""[^ ]* [^ ]*"")"),"faded gray")</f>
        <v>faded gray</v>
      </c>
      <c r="F144" s="3" t="str">
        <f>IFERROR(__xludf.DUMMYFUNCTION("MID(REGEXEXTRACT(C144,""contain.*$""),9,300)"),"2 dull cyan bags, 3 light lime bags, 3 bright lavender bags, 5 wavy plum bags.")</f>
        <v>2 dull cyan bags, 3 light lime bags, 3 bright lavender bags, 5 wavy plum bags.</v>
      </c>
      <c r="G144" s="3" t="str">
        <f>IFERROR(__xludf.DUMMYFUNCTION("INDEX(SPLIT($F144,"",""),COLUMN()-6)"),"2 dull cyan bags")</f>
        <v>2 dull cyan bags</v>
      </c>
      <c r="H144" s="3" t="str">
        <f>IFERROR(__xludf.DUMMYFUNCTION("MID(INDEX(SPLIT($F144,"",""),COLUMN()-6),2,300)"),"3 light lime bags")</f>
        <v>3 light lime bags</v>
      </c>
      <c r="I144" s="3" t="str">
        <f>IFERROR(__xludf.DUMMYFUNCTION("MID(INDEX(SPLIT($F144,"",""),COLUMN()-6),2,300)"),"3 bright lavender bags")</f>
        <v>3 bright lavender bags</v>
      </c>
      <c r="J144" s="3" t="str">
        <f>IFERROR(__xludf.DUMMYFUNCTION("MID(INDEX(SPLIT($F144,"",""),COLUMN()-6),2,300)"),"5 wavy plum bags.")</f>
        <v>5 wavy plum bags.</v>
      </c>
      <c r="K144" s="3">
        <f>IFERROR(__xludf.DUMMYFUNCTION("INDEX(SPLIT(G144,"" ""),1)"),2.0)</f>
        <v>2</v>
      </c>
      <c r="L144" s="3" t="str">
        <f>IFERROR(__xludf.DUMMYFUNCTION("REGEXEXTRACT(G144,"" [^ ]* [^ ]* "")")," dull cyan ")</f>
        <v> dull cyan </v>
      </c>
      <c r="M144" s="3">
        <f>IFERROR(__xludf.DUMMYFUNCTION("INDEX(SPLIT(H144,"" ""),1)"),3.0)</f>
        <v>3</v>
      </c>
      <c r="N144" s="3" t="str">
        <f>IFERROR(__xludf.DUMMYFUNCTION("MID(REGEXEXTRACT(H144,"" [^ ]* [^ ]*""),2,300)"),"light lime")</f>
        <v>light lime</v>
      </c>
      <c r="O144" s="3">
        <f>IFERROR(__xludf.DUMMYFUNCTION("INDEX(SPLIT(I144,"" ""),1)"),3.0)</f>
        <v>3</v>
      </c>
      <c r="P144" s="3" t="str">
        <f>IFERROR(__xludf.DUMMYFUNCTION("MID(REGEXEXTRACT(I144,"" [^ ]* [^ ]*""),2,300)"),"bright lavender")</f>
        <v>bright lavender</v>
      </c>
      <c r="Q144" s="3">
        <f>IFERROR(__xludf.DUMMYFUNCTION("INDEX(SPLIT(J144,"" ""),1)"),5.0)</f>
        <v>5</v>
      </c>
      <c r="R144" s="3" t="str">
        <f>IFERROR(__xludf.DUMMYFUNCTION("MID(REGEXEXTRACT(J144,"" [^ ]* [^ ]*""),2,300)"),"wavy plum")</f>
        <v>wavy plum</v>
      </c>
      <c r="S144" s="3">
        <f t="shared" si="2"/>
        <v>2</v>
      </c>
      <c r="T144" s="3" t="str">
        <f t="shared" si="3"/>
        <v>dull cyan</v>
      </c>
      <c r="U144" s="3">
        <f t="shared" si="4"/>
        <v>3</v>
      </c>
      <c r="V144" s="3" t="str">
        <f t="shared" si="5"/>
        <v>light lime</v>
      </c>
      <c r="W144" s="3">
        <f t="shared" si="6"/>
        <v>3</v>
      </c>
      <c r="X144" s="3" t="str">
        <f t="shared" si="7"/>
        <v>bright lavender</v>
      </c>
      <c r="Y144" s="3">
        <f t="shared" si="8"/>
        <v>5</v>
      </c>
      <c r="Z144" s="3" t="str">
        <f t="shared" si="9"/>
        <v>wavy plum</v>
      </c>
      <c r="AA144" s="13">
        <f t="shared" si="10"/>
        <v>442764016</v>
      </c>
      <c r="AB144" s="3">
        <f t="shared" si="11"/>
        <v>442764015</v>
      </c>
      <c r="AC144" s="3">
        <f t="shared" si="12"/>
        <v>2</v>
      </c>
      <c r="AD144" s="3">
        <f t="shared" si="13"/>
        <v>3008</v>
      </c>
      <c r="AE144" s="3">
        <f t="shared" si="14"/>
        <v>3</v>
      </c>
      <c r="AF144" s="3">
        <f t="shared" si="15"/>
        <v>147338859</v>
      </c>
      <c r="AG144" s="3">
        <f t="shared" si="16"/>
        <v>3</v>
      </c>
      <c r="AH144" s="3">
        <f t="shared" si="17"/>
        <v>164</v>
      </c>
      <c r="AI144" s="3">
        <f t="shared" si="18"/>
        <v>5</v>
      </c>
      <c r="AJ144" s="3">
        <f t="shared" si="19"/>
        <v>148186</v>
      </c>
    </row>
    <row r="145">
      <c r="C145" s="6" t="s">
        <v>145</v>
      </c>
      <c r="D145" s="3">
        <f t="shared" si="1"/>
        <v>0</v>
      </c>
      <c r="E145" s="3" t="str">
        <f>IFERROR(__xludf.DUMMYFUNCTION("REGEXEXTRACT(C145,""[^ ]* [^ ]*"")"),"striped teal")</f>
        <v>striped teal</v>
      </c>
      <c r="F145" s="3" t="str">
        <f>IFERROR(__xludf.DUMMYFUNCTION("MID(REGEXEXTRACT(C145,""contain.*$""),9,300)"),"4 drab maroon bags.")</f>
        <v>4 drab maroon bags.</v>
      </c>
      <c r="G145" s="3" t="str">
        <f>IFERROR(__xludf.DUMMYFUNCTION("INDEX(SPLIT($F145,"",""),COLUMN()-6)"),"4 drab maroon bags.")</f>
        <v>4 drab maroon bags.</v>
      </c>
      <c r="H145" s="3" t="str">
        <f>IFERROR(__xludf.DUMMYFUNCTION("MID(INDEX(SPLIT($F145,"",""),COLUMN()-6),2,300)"),"#REF!")</f>
        <v>#REF!</v>
      </c>
      <c r="I145" s="3" t="str">
        <f>IFERROR(__xludf.DUMMYFUNCTION("MID(INDEX(SPLIT($F145,"",""),COLUMN()-6),2,300)"),"#REF!")</f>
        <v>#REF!</v>
      </c>
      <c r="J145" s="3" t="str">
        <f>IFERROR(__xludf.DUMMYFUNCTION("MID(INDEX(SPLIT($F145,"",""),COLUMN()-6),2,300)"),"#REF!")</f>
        <v>#REF!</v>
      </c>
      <c r="K145" s="3">
        <f>IFERROR(__xludf.DUMMYFUNCTION("INDEX(SPLIT(G145,"" ""),1)"),4.0)</f>
        <v>4</v>
      </c>
      <c r="L145" s="3" t="str">
        <f>IFERROR(__xludf.DUMMYFUNCTION("REGEXEXTRACT(G145,"" [^ ]* [^ ]* "")")," drab maroon ")</f>
        <v> drab maroon </v>
      </c>
      <c r="M145" s="3" t="str">
        <f>IFERROR(__xludf.DUMMYFUNCTION("INDEX(SPLIT(H145,"" ""),1)"),"#REF!")</f>
        <v>#REF!</v>
      </c>
      <c r="N145" s="3" t="str">
        <f>IFERROR(__xludf.DUMMYFUNCTION("MID(REGEXEXTRACT(H145,"" [^ ]* [^ ]*""),2,300)"),"#REF!")</f>
        <v>#REF!</v>
      </c>
      <c r="O145" s="3" t="str">
        <f>IFERROR(__xludf.DUMMYFUNCTION("INDEX(SPLIT(I145,"" ""),1)"),"#REF!")</f>
        <v>#REF!</v>
      </c>
      <c r="P145" s="3" t="str">
        <f>IFERROR(__xludf.DUMMYFUNCTION("MID(REGEXEXTRACT(I145,"" [^ ]* [^ ]*""),2,300)"),"#REF!")</f>
        <v>#REF!</v>
      </c>
      <c r="Q145" s="3" t="str">
        <f>IFERROR(__xludf.DUMMYFUNCTION("INDEX(SPLIT(J145,"" ""),1)"),"#REF!")</f>
        <v>#REF!</v>
      </c>
      <c r="R145" s="3" t="str">
        <f>IFERROR(__xludf.DUMMYFUNCTION("MID(REGEXEXTRACT(J145,"" [^ ]* [^ ]*""),2,300)"),"#REF!")</f>
        <v>#REF!</v>
      </c>
      <c r="S145" s="3">
        <f t="shared" si="2"/>
        <v>4</v>
      </c>
      <c r="T145" s="3" t="str">
        <f t="shared" si="3"/>
        <v>drab maroon</v>
      </c>
      <c r="U145" s="3" t="str">
        <f t="shared" si="4"/>
        <v/>
      </c>
      <c r="V145" s="3" t="str">
        <f t="shared" si="5"/>
        <v/>
      </c>
      <c r="W145" s="3" t="str">
        <f t="shared" si="6"/>
        <v/>
      </c>
      <c r="X145" s="3" t="str">
        <f t="shared" si="7"/>
        <v/>
      </c>
      <c r="Y145" s="3" t="str">
        <f t="shared" si="8"/>
        <v/>
      </c>
      <c r="Z145" s="3" t="str">
        <f t="shared" si="9"/>
        <v/>
      </c>
      <c r="AA145" s="13">
        <f t="shared" si="10"/>
        <v>14389</v>
      </c>
      <c r="AB145" s="3">
        <f t="shared" si="11"/>
        <v>14388</v>
      </c>
      <c r="AC145" s="3">
        <f t="shared" si="12"/>
        <v>4</v>
      </c>
      <c r="AD145" s="3">
        <f t="shared" si="13"/>
        <v>3597</v>
      </c>
      <c r="AE145" s="3" t="str">
        <f t="shared" si="14"/>
        <v/>
      </c>
      <c r="AF145" s="3">
        <f t="shared" si="15"/>
        <v>0</v>
      </c>
      <c r="AG145" s="3" t="str">
        <f t="shared" si="16"/>
        <v/>
      </c>
      <c r="AH145" s="3">
        <f t="shared" si="17"/>
        <v>0</v>
      </c>
      <c r="AI145" s="3" t="str">
        <f t="shared" si="18"/>
        <v/>
      </c>
      <c r="AJ145" s="3">
        <f t="shared" si="19"/>
        <v>0</v>
      </c>
    </row>
    <row r="146">
      <c r="C146" s="6" t="s">
        <v>146</v>
      </c>
      <c r="D146" s="3">
        <f t="shared" si="1"/>
        <v>3</v>
      </c>
      <c r="E146" s="3" t="str">
        <f>IFERROR(__xludf.DUMMYFUNCTION("REGEXEXTRACT(C146,""[^ ]* [^ ]*"")"),"clear lavender")</f>
        <v>clear lavender</v>
      </c>
      <c r="F146" s="3" t="str">
        <f>IFERROR(__xludf.DUMMYFUNCTION("MID(REGEXEXTRACT(C146,""contain.*$""),9,300)"),"3 clear coral bags, 5 bright crimson bags, 5 drab brown bags, 2 dim indigo bags.")</f>
        <v>3 clear coral bags, 5 bright crimson bags, 5 drab brown bags, 2 dim indigo bags.</v>
      </c>
      <c r="G146" s="3" t="str">
        <f>IFERROR(__xludf.DUMMYFUNCTION("INDEX(SPLIT($F146,"",""),COLUMN()-6)"),"3 clear coral bags")</f>
        <v>3 clear coral bags</v>
      </c>
      <c r="H146" s="3" t="str">
        <f>IFERROR(__xludf.DUMMYFUNCTION("MID(INDEX(SPLIT($F146,"",""),COLUMN()-6),2,300)"),"5 bright crimson bags")</f>
        <v>5 bright crimson bags</v>
      </c>
      <c r="I146" s="3" t="str">
        <f>IFERROR(__xludf.DUMMYFUNCTION("MID(INDEX(SPLIT($F146,"",""),COLUMN()-6),2,300)"),"5 drab brown bags")</f>
        <v>5 drab brown bags</v>
      </c>
      <c r="J146" s="3" t="str">
        <f>IFERROR(__xludf.DUMMYFUNCTION("MID(INDEX(SPLIT($F146,"",""),COLUMN()-6),2,300)"),"2 dim indigo bags.")</f>
        <v>2 dim indigo bags.</v>
      </c>
      <c r="K146" s="3">
        <f>IFERROR(__xludf.DUMMYFUNCTION("INDEX(SPLIT(G146,"" ""),1)"),3.0)</f>
        <v>3</v>
      </c>
      <c r="L146" s="3" t="str">
        <f>IFERROR(__xludf.DUMMYFUNCTION("REGEXEXTRACT(G146,"" [^ ]* [^ ]* "")")," clear coral ")</f>
        <v> clear coral </v>
      </c>
      <c r="M146" s="3">
        <f>IFERROR(__xludf.DUMMYFUNCTION("INDEX(SPLIT(H146,"" ""),1)"),5.0)</f>
        <v>5</v>
      </c>
      <c r="N146" s="3" t="str">
        <f>IFERROR(__xludf.DUMMYFUNCTION("MID(REGEXEXTRACT(H146,"" [^ ]* [^ ]*""),2,300)"),"bright crimson")</f>
        <v>bright crimson</v>
      </c>
      <c r="O146" s="3">
        <f>IFERROR(__xludf.DUMMYFUNCTION("INDEX(SPLIT(I146,"" ""),1)"),5.0)</f>
        <v>5</v>
      </c>
      <c r="P146" s="3" t="str">
        <f>IFERROR(__xludf.DUMMYFUNCTION("MID(REGEXEXTRACT(I146,"" [^ ]* [^ ]*""),2,300)"),"drab brown")</f>
        <v>drab brown</v>
      </c>
      <c r="Q146" s="3">
        <f>IFERROR(__xludf.DUMMYFUNCTION("INDEX(SPLIT(J146,"" ""),1)"),2.0)</f>
        <v>2</v>
      </c>
      <c r="R146" s="3" t="str">
        <f>IFERROR(__xludf.DUMMYFUNCTION("MID(REGEXEXTRACT(J146,"" [^ ]* [^ ]*""),2,300)"),"dim indigo")</f>
        <v>dim indigo</v>
      </c>
      <c r="S146" s="3">
        <f t="shared" si="2"/>
        <v>3</v>
      </c>
      <c r="T146" s="3" t="str">
        <f t="shared" si="3"/>
        <v>clear coral</v>
      </c>
      <c r="U146" s="3">
        <f t="shared" si="4"/>
        <v>5</v>
      </c>
      <c r="V146" s="3" t="str">
        <f t="shared" si="5"/>
        <v>bright crimson</v>
      </c>
      <c r="W146" s="3">
        <f t="shared" si="6"/>
        <v>5</v>
      </c>
      <c r="X146" s="3" t="str">
        <f t="shared" si="7"/>
        <v>drab brown</v>
      </c>
      <c r="Y146" s="3">
        <f t="shared" si="8"/>
        <v>2</v>
      </c>
      <c r="Z146" s="3" t="str">
        <f t="shared" si="9"/>
        <v>dim indigo</v>
      </c>
      <c r="AA146" s="13">
        <f t="shared" si="10"/>
        <v>547348</v>
      </c>
      <c r="AB146" s="3">
        <f t="shared" si="11"/>
        <v>547347</v>
      </c>
      <c r="AC146" s="3">
        <f t="shared" si="12"/>
        <v>3</v>
      </c>
      <c r="AD146" s="3">
        <f t="shared" si="13"/>
        <v>1</v>
      </c>
      <c r="AE146" s="3">
        <f t="shared" si="14"/>
        <v>5</v>
      </c>
      <c r="AF146" s="3">
        <f t="shared" si="15"/>
        <v>773</v>
      </c>
      <c r="AG146" s="3">
        <f t="shared" si="16"/>
        <v>5</v>
      </c>
      <c r="AH146" s="3">
        <f t="shared" si="17"/>
        <v>96841</v>
      </c>
      <c r="AI146" s="3">
        <f t="shared" si="18"/>
        <v>2</v>
      </c>
      <c r="AJ146" s="3">
        <f t="shared" si="19"/>
        <v>29637</v>
      </c>
    </row>
    <row r="147">
      <c r="C147" s="6" t="s">
        <v>147</v>
      </c>
      <c r="D147" s="3">
        <f t="shared" si="1"/>
        <v>2</v>
      </c>
      <c r="E147" s="3" t="str">
        <f>IFERROR(__xludf.DUMMYFUNCTION("REGEXEXTRACT(C147,""[^ ]* [^ ]*"")"),"mirrored maroon")</f>
        <v>mirrored maroon</v>
      </c>
      <c r="F147" s="3" t="str">
        <f>IFERROR(__xludf.DUMMYFUNCTION("MID(REGEXEXTRACT(C147,""contain.*$""),9,300)"),"1 clear gray bag, 3 shiny salmon bags, 3 mirrored violet bags.")</f>
        <v>1 clear gray bag, 3 shiny salmon bags, 3 mirrored violet bags.</v>
      </c>
      <c r="G147" s="3" t="str">
        <f>IFERROR(__xludf.DUMMYFUNCTION("INDEX(SPLIT($F147,"",""),COLUMN()-6)"),"1 clear gray bag")</f>
        <v>1 clear gray bag</v>
      </c>
      <c r="H147" s="3" t="str">
        <f>IFERROR(__xludf.DUMMYFUNCTION("MID(INDEX(SPLIT($F147,"",""),COLUMN()-6),2,300)"),"3 shiny salmon bags")</f>
        <v>3 shiny salmon bags</v>
      </c>
      <c r="I147" s="3" t="str">
        <f>IFERROR(__xludf.DUMMYFUNCTION("MID(INDEX(SPLIT($F147,"",""),COLUMN()-6),2,300)"),"3 mirrored violet bags.")</f>
        <v>3 mirrored violet bags.</v>
      </c>
      <c r="J147" s="3" t="str">
        <f>IFERROR(__xludf.DUMMYFUNCTION("MID(INDEX(SPLIT($F147,"",""),COLUMN()-6),2,300)"),"#REF!")</f>
        <v>#REF!</v>
      </c>
      <c r="K147" s="3">
        <f>IFERROR(__xludf.DUMMYFUNCTION("INDEX(SPLIT(G147,"" ""),1)"),1.0)</f>
        <v>1</v>
      </c>
      <c r="L147" s="3" t="str">
        <f>IFERROR(__xludf.DUMMYFUNCTION("REGEXEXTRACT(G147,"" [^ ]* [^ ]* "")")," clear gray ")</f>
        <v> clear gray </v>
      </c>
      <c r="M147" s="3">
        <f>IFERROR(__xludf.DUMMYFUNCTION("INDEX(SPLIT(H147,"" ""),1)"),3.0)</f>
        <v>3</v>
      </c>
      <c r="N147" s="3" t="str">
        <f>IFERROR(__xludf.DUMMYFUNCTION("MID(REGEXEXTRACT(H147,"" [^ ]* [^ ]*""),2,300)"),"shiny salmon")</f>
        <v>shiny salmon</v>
      </c>
      <c r="O147" s="3">
        <f>IFERROR(__xludf.DUMMYFUNCTION("INDEX(SPLIT(I147,"" ""),1)"),3.0)</f>
        <v>3</v>
      </c>
      <c r="P147" s="3" t="str">
        <f>IFERROR(__xludf.DUMMYFUNCTION("MID(REGEXEXTRACT(I147,"" [^ ]* [^ ]*""),2,300)"),"mirrored violet")</f>
        <v>mirrored violet</v>
      </c>
      <c r="Q147" s="3" t="str">
        <f>IFERROR(__xludf.DUMMYFUNCTION("INDEX(SPLIT(J147,"" ""),1)"),"#REF!")</f>
        <v>#REF!</v>
      </c>
      <c r="R147" s="3" t="str">
        <f>IFERROR(__xludf.DUMMYFUNCTION("MID(REGEXEXTRACT(J147,"" [^ ]* [^ ]*""),2,300)"),"#REF!")</f>
        <v>#REF!</v>
      </c>
      <c r="S147" s="3">
        <f t="shared" si="2"/>
        <v>1</v>
      </c>
      <c r="T147" s="3" t="str">
        <f t="shared" si="3"/>
        <v>clear gray</v>
      </c>
      <c r="U147" s="3">
        <f t="shared" si="4"/>
        <v>3</v>
      </c>
      <c r="V147" s="3" t="str">
        <f t="shared" si="5"/>
        <v>shiny salmon</v>
      </c>
      <c r="W147" s="3">
        <f t="shared" si="6"/>
        <v>3</v>
      </c>
      <c r="X147" s="3" t="str">
        <f t="shared" si="7"/>
        <v>mirrored violet</v>
      </c>
      <c r="Y147" s="3" t="str">
        <f t="shared" si="8"/>
        <v/>
      </c>
      <c r="Z147" s="3" t="str">
        <f t="shared" si="9"/>
        <v/>
      </c>
      <c r="AA147" s="13">
        <f t="shared" si="10"/>
        <v>2263272</v>
      </c>
      <c r="AB147" s="3">
        <f t="shared" si="11"/>
        <v>2263271</v>
      </c>
      <c r="AC147" s="3">
        <f t="shared" si="12"/>
        <v>1</v>
      </c>
      <c r="AD147" s="3">
        <f t="shared" si="13"/>
        <v>594104</v>
      </c>
      <c r="AE147" s="3">
        <f t="shared" si="14"/>
        <v>3</v>
      </c>
      <c r="AF147" s="3">
        <f t="shared" si="15"/>
        <v>18112</v>
      </c>
      <c r="AG147" s="3">
        <f t="shared" si="16"/>
        <v>3</v>
      </c>
      <c r="AH147" s="3">
        <f t="shared" si="17"/>
        <v>538277</v>
      </c>
      <c r="AI147" s="3" t="str">
        <f t="shared" si="18"/>
        <v/>
      </c>
      <c r="AJ147" s="3">
        <f t="shared" si="19"/>
        <v>0</v>
      </c>
    </row>
    <row r="148">
      <c r="C148" s="6" t="s">
        <v>148</v>
      </c>
      <c r="D148" s="3">
        <f t="shared" si="1"/>
        <v>3</v>
      </c>
      <c r="E148" s="3" t="str">
        <f>IFERROR(__xludf.DUMMYFUNCTION("REGEXEXTRACT(C148,""[^ ]* [^ ]*"")"),"muted turquoise")</f>
        <v>muted turquoise</v>
      </c>
      <c r="F148" s="3" t="str">
        <f>IFERROR(__xludf.DUMMYFUNCTION("MID(REGEXEXTRACT(C148,""contain.*$""),9,300)"),"2 drab teal bags, 2 plaid plum bags, 4 plaid coral bags, 2 wavy chartreuse bags.")</f>
        <v>2 drab teal bags, 2 plaid plum bags, 4 plaid coral bags, 2 wavy chartreuse bags.</v>
      </c>
      <c r="G148" s="3" t="str">
        <f>IFERROR(__xludf.DUMMYFUNCTION("INDEX(SPLIT($F148,"",""),COLUMN()-6)"),"2 drab teal bags")</f>
        <v>2 drab teal bags</v>
      </c>
      <c r="H148" s="3" t="str">
        <f>IFERROR(__xludf.DUMMYFUNCTION("MID(INDEX(SPLIT($F148,"",""),COLUMN()-6),2,300)"),"2 plaid plum bags")</f>
        <v>2 plaid plum bags</v>
      </c>
      <c r="I148" s="3" t="str">
        <f>IFERROR(__xludf.DUMMYFUNCTION("MID(INDEX(SPLIT($F148,"",""),COLUMN()-6),2,300)"),"4 plaid coral bags")</f>
        <v>4 plaid coral bags</v>
      </c>
      <c r="J148" s="3" t="str">
        <f>IFERROR(__xludf.DUMMYFUNCTION("MID(INDEX(SPLIT($F148,"",""),COLUMN()-6),2,300)"),"2 wavy chartreuse bags.")</f>
        <v>2 wavy chartreuse bags.</v>
      </c>
      <c r="K148" s="3">
        <f>IFERROR(__xludf.DUMMYFUNCTION("INDEX(SPLIT(G148,"" ""),1)"),2.0)</f>
        <v>2</v>
      </c>
      <c r="L148" s="3" t="str">
        <f>IFERROR(__xludf.DUMMYFUNCTION("REGEXEXTRACT(G148,"" [^ ]* [^ ]* "")")," drab teal ")</f>
        <v> drab teal </v>
      </c>
      <c r="M148" s="3">
        <f>IFERROR(__xludf.DUMMYFUNCTION("INDEX(SPLIT(H148,"" ""),1)"),2.0)</f>
        <v>2</v>
      </c>
      <c r="N148" s="3" t="str">
        <f>IFERROR(__xludf.DUMMYFUNCTION("MID(REGEXEXTRACT(H148,"" [^ ]* [^ ]*""),2,300)"),"plaid plum")</f>
        <v>plaid plum</v>
      </c>
      <c r="O148" s="3">
        <f>IFERROR(__xludf.DUMMYFUNCTION("INDEX(SPLIT(I148,"" ""),1)"),4.0)</f>
        <v>4</v>
      </c>
      <c r="P148" s="3" t="str">
        <f>IFERROR(__xludf.DUMMYFUNCTION("MID(REGEXEXTRACT(I148,"" [^ ]* [^ ]*""),2,300)"),"plaid coral")</f>
        <v>plaid coral</v>
      </c>
      <c r="Q148" s="3">
        <f>IFERROR(__xludf.DUMMYFUNCTION("INDEX(SPLIT(J148,"" ""),1)"),2.0)</f>
        <v>2</v>
      </c>
      <c r="R148" s="3" t="str">
        <f>IFERROR(__xludf.DUMMYFUNCTION("MID(REGEXEXTRACT(J148,"" [^ ]* [^ ]*""),2,300)"),"wavy chartreuse")</f>
        <v>wavy chartreuse</v>
      </c>
      <c r="S148" s="3">
        <f t="shared" si="2"/>
        <v>2</v>
      </c>
      <c r="T148" s="3" t="str">
        <f t="shared" si="3"/>
        <v>drab teal</v>
      </c>
      <c r="U148" s="3">
        <f t="shared" si="4"/>
        <v>2</v>
      </c>
      <c r="V148" s="3" t="str">
        <f t="shared" si="5"/>
        <v>plaid plum</v>
      </c>
      <c r="W148" s="3">
        <f t="shared" si="6"/>
        <v>4</v>
      </c>
      <c r="X148" s="3" t="str">
        <f t="shared" si="7"/>
        <v>plaid coral</v>
      </c>
      <c r="Y148" s="3">
        <f t="shared" si="8"/>
        <v>2</v>
      </c>
      <c r="Z148" s="3" t="str">
        <f t="shared" si="9"/>
        <v>wavy chartreuse</v>
      </c>
      <c r="AA148" s="13">
        <f t="shared" si="10"/>
        <v>115360275</v>
      </c>
      <c r="AB148" s="3">
        <f t="shared" si="11"/>
        <v>115360274</v>
      </c>
      <c r="AC148" s="3">
        <f t="shared" si="12"/>
        <v>2</v>
      </c>
      <c r="AD148" s="3">
        <f t="shared" si="13"/>
        <v>40693</v>
      </c>
      <c r="AE148" s="3">
        <f t="shared" si="14"/>
        <v>2</v>
      </c>
      <c r="AF148" s="3">
        <f t="shared" si="15"/>
        <v>3599</v>
      </c>
      <c r="AG148" s="3">
        <f t="shared" si="16"/>
        <v>4</v>
      </c>
      <c r="AH148" s="3">
        <f t="shared" si="17"/>
        <v>28817922</v>
      </c>
      <c r="AI148" s="3">
        <f t="shared" si="18"/>
        <v>2</v>
      </c>
      <c r="AJ148" s="3">
        <f t="shared" si="19"/>
        <v>1</v>
      </c>
    </row>
    <row r="149">
      <c r="C149" s="6" t="s">
        <v>149</v>
      </c>
      <c r="D149" s="3">
        <f t="shared" si="1"/>
        <v>3</v>
      </c>
      <c r="E149" s="3" t="str">
        <f>IFERROR(__xludf.DUMMYFUNCTION("REGEXEXTRACT(C149,""[^ ]* [^ ]*"")"),"dark white")</f>
        <v>dark white</v>
      </c>
      <c r="F149" s="3" t="str">
        <f>IFERROR(__xludf.DUMMYFUNCTION("MID(REGEXEXTRACT(C149,""contain.*$""),9,300)"),"4 bright fuchsia bags, 1 dull white bag, 3 shiny indigo bags, 3 dim white bags.")</f>
        <v>4 bright fuchsia bags, 1 dull white bag, 3 shiny indigo bags, 3 dim white bags.</v>
      </c>
      <c r="G149" s="3" t="str">
        <f>IFERROR(__xludf.DUMMYFUNCTION("INDEX(SPLIT($F149,"",""),COLUMN()-6)"),"4 bright fuchsia bags")</f>
        <v>4 bright fuchsia bags</v>
      </c>
      <c r="H149" s="3" t="str">
        <f>IFERROR(__xludf.DUMMYFUNCTION("MID(INDEX(SPLIT($F149,"",""),COLUMN()-6),2,300)"),"1 dull white bag")</f>
        <v>1 dull white bag</v>
      </c>
      <c r="I149" s="3" t="str">
        <f>IFERROR(__xludf.DUMMYFUNCTION("MID(INDEX(SPLIT($F149,"",""),COLUMN()-6),2,300)"),"3 shiny indigo bags")</f>
        <v>3 shiny indigo bags</v>
      </c>
      <c r="J149" s="3" t="str">
        <f>IFERROR(__xludf.DUMMYFUNCTION("MID(INDEX(SPLIT($F149,"",""),COLUMN()-6),2,300)"),"3 dim white bags.")</f>
        <v>3 dim white bags.</v>
      </c>
      <c r="K149" s="3">
        <f>IFERROR(__xludf.DUMMYFUNCTION("INDEX(SPLIT(G149,"" ""),1)"),4.0)</f>
        <v>4</v>
      </c>
      <c r="L149" s="3" t="str">
        <f>IFERROR(__xludf.DUMMYFUNCTION("REGEXEXTRACT(G149,"" [^ ]* [^ ]* "")")," bright fuchsia ")</f>
        <v> bright fuchsia </v>
      </c>
      <c r="M149" s="3">
        <f>IFERROR(__xludf.DUMMYFUNCTION("INDEX(SPLIT(H149,"" ""),1)"),1.0)</f>
        <v>1</v>
      </c>
      <c r="N149" s="3" t="str">
        <f>IFERROR(__xludf.DUMMYFUNCTION("MID(REGEXEXTRACT(H149,"" [^ ]* [^ ]*""),2,300)"),"dull white")</f>
        <v>dull white</v>
      </c>
      <c r="O149" s="3">
        <f>IFERROR(__xludf.DUMMYFUNCTION("INDEX(SPLIT(I149,"" ""),1)"),3.0)</f>
        <v>3</v>
      </c>
      <c r="P149" s="3" t="str">
        <f>IFERROR(__xludf.DUMMYFUNCTION("MID(REGEXEXTRACT(I149,"" [^ ]* [^ ]*""),2,300)"),"shiny indigo")</f>
        <v>shiny indigo</v>
      </c>
      <c r="Q149" s="3">
        <f>IFERROR(__xludf.DUMMYFUNCTION("INDEX(SPLIT(J149,"" ""),1)"),3.0)</f>
        <v>3</v>
      </c>
      <c r="R149" s="3" t="str">
        <f>IFERROR(__xludf.DUMMYFUNCTION("MID(REGEXEXTRACT(J149,"" [^ ]* [^ ]*""),2,300)"),"dim white")</f>
        <v>dim white</v>
      </c>
      <c r="S149" s="3">
        <f t="shared" si="2"/>
        <v>4</v>
      </c>
      <c r="T149" s="3" t="str">
        <f t="shared" si="3"/>
        <v>bright fuchsia</v>
      </c>
      <c r="U149" s="3">
        <f t="shared" si="4"/>
        <v>1</v>
      </c>
      <c r="V149" s="3" t="str">
        <f t="shared" si="5"/>
        <v>dull white</v>
      </c>
      <c r="W149" s="3">
        <f t="shared" si="6"/>
        <v>3</v>
      </c>
      <c r="X149" s="3" t="str">
        <f t="shared" si="7"/>
        <v>shiny indigo</v>
      </c>
      <c r="Y149" s="3">
        <f t="shared" si="8"/>
        <v>3</v>
      </c>
      <c r="Z149" s="3" t="str">
        <f t="shared" si="9"/>
        <v>dim white</v>
      </c>
      <c r="AA149" s="13">
        <f t="shared" si="10"/>
        <v>799970875</v>
      </c>
      <c r="AB149" s="3">
        <f t="shared" si="11"/>
        <v>799970874</v>
      </c>
      <c r="AC149" s="3">
        <f t="shared" si="12"/>
        <v>4</v>
      </c>
      <c r="AD149" s="3">
        <f t="shared" si="13"/>
        <v>12131</v>
      </c>
      <c r="AE149" s="3">
        <f t="shared" si="14"/>
        <v>1</v>
      </c>
      <c r="AF149" s="3">
        <f t="shared" si="15"/>
        <v>797608672</v>
      </c>
      <c r="AG149" s="3">
        <f t="shared" si="16"/>
        <v>3</v>
      </c>
      <c r="AH149" s="3">
        <f t="shared" si="17"/>
        <v>754536</v>
      </c>
      <c r="AI149" s="3">
        <f t="shared" si="18"/>
        <v>3</v>
      </c>
      <c r="AJ149" s="3">
        <f t="shared" si="19"/>
        <v>16690</v>
      </c>
    </row>
    <row r="150">
      <c r="C150" s="6" t="s">
        <v>150</v>
      </c>
      <c r="D150" s="3">
        <f t="shared" si="1"/>
        <v>1</v>
      </c>
      <c r="E150" s="3" t="str">
        <f>IFERROR(__xludf.DUMMYFUNCTION("REGEXEXTRACT(C150,""[^ ]* [^ ]*"")"),"drab red")</f>
        <v>drab red</v>
      </c>
      <c r="F150" s="3" t="str">
        <f>IFERROR(__xludf.DUMMYFUNCTION("MID(REGEXEXTRACT(C150,""contain.*$""),9,300)"),"3 dotted teal bags, 2 striped purple bags.")</f>
        <v>3 dotted teal bags, 2 striped purple bags.</v>
      </c>
      <c r="G150" s="3" t="str">
        <f>IFERROR(__xludf.DUMMYFUNCTION("INDEX(SPLIT($F150,"",""),COLUMN()-6)"),"3 dotted teal bags")</f>
        <v>3 dotted teal bags</v>
      </c>
      <c r="H150" s="3" t="str">
        <f>IFERROR(__xludf.DUMMYFUNCTION("MID(INDEX(SPLIT($F150,"",""),COLUMN()-6),2,300)"),"2 striped purple bags.")</f>
        <v>2 striped purple bags.</v>
      </c>
      <c r="I150" s="3" t="str">
        <f>IFERROR(__xludf.DUMMYFUNCTION("MID(INDEX(SPLIT($F150,"",""),COLUMN()-6),2,300)"),"#REF!")</f>
        <v>#REF!</v>
      </c>
      <c r="J150" s="3" t="str">
        <f>IFERROR(__xludf.DUMMYFUNCTION("MID(INDEX(SPLIT($F150,"",""),COLUMN()-6),2,300)"),"#REF!")</f>
        <v>#REF!</v>
      </c>
      <c r="K150" s="3">
        <f>IFERROR(__xludf.DUMMYFUNCTION("INDEX(SPLIT(G150,"" ""),1)"),3.0)</f>
        <v>3</v>
      </c>
      <c r="L150" s="3" t="str">
        <f>IFERROR(__xludf.DUMMYFUNCTION("REGEXEXTRACT(G150,"" [^ ]* [^ ]* "")")," dotted teal ")</f>
        <v> dotted teal </v>
      </c>
      <c r="M150" s="3">
        <f>IFERROR(__xludf.DUMMYFUNCTION("INDEX(SPLIT(H150,"" ""),1)"),2.0)</f>
        <v>2</v>
      </c>
      <c r="N150" s="3" t="str">
        <f>IFERROR(__xludf.DUMMYFUNCTION("MID(REGEXEXTRACT(H150,"" [^ ]* [^ ]*""),2,300)"),"striped purple")</f>
        <v>striped purple</v>
      </c>
      <c r="O150" s="3" t="str">
        <f>IFERROR(__xludf.DUMMYFUNCTION("INDEX(SPLIT(I150,"" ""),1)"),"#REF!")</f>
        <v>#REF!</v>
      </c>
      <c r="P150" s="3" t="str">
        <f>IFERROR(__xludf.DUMMYFUNCTION("MID(REGEXEXTRACT(I150,"" [^ ]* [^ ]*""),2,300)"),"#REF!")</f>
        <v>#REF!</v>
      </c>
      <c r="Q150" s="3" t="str">
        <f>IFERROR(__xludf.DUMMYFUNCTION("INDEX(SPLIT(J150,"" ""),1)"),"#REF!")</f>
        <v>#REF!</v>
      </c>
      <c r="R150" s="3" t="str">
        <f>IFERROR(__xludf.DUMMYFUNCTION("MID(REGEXEXTRACT(J150,"" [^ ]* [^ ]*""),2,300)"),"#REF!")</f>
        <v>#REF!</v>
      </c>
      <c r="S150" s="3">
        <f t="shared" si="2"/>
        <v>3</v>
      </c>
      <c r="T150" s="3" t="str">
        <f t="shared" si="3"/>
        <v>dotted teal</v>
      </c>
      <c r="U150" s="3">
        <f t="shared" si="4"/>
        <v>2</v>
      </c>
      <c r="V150" s="3" t="str">
        <f t="shared" si="5"/>
        <v>striped purple</v>
      </c>
      <c r="W150" s="3" t="str">
        <f t="shared" si="6"/>
        <v/>
      </c>
      <c r="X150" s="3" t="str">
        <f t="shared" si="7"/>
        <v/>
      </c>
      <c r="Y150" s="3" t="str">
        <f t="shared" si="8"/>
        <v/>
      </c>
      <c r="Z150" s="3" t="str">
        <f t="shared" si="9"/>
        <v/>
      </c>
      <c r="AA150" s="13">
        <f t="shared" si="10"/>
        <v>2585902199</v>
      </c>
      <c r="AB150" s="3">
        <f t="shared" si="11"/>
        <v>2585902198</v>
      </c>
      <c r="AC150" s="3">
        <f t="shared" si="12"/>
        <v>3</v>
      </c>
      <c r="AD150" s="3">
        <f t="shared" si="13"/>
        <v>797530850</v>
      </c>
      <c r="AE150" s="3">
        <f t="shared" si="14"/>
        <v>2</v>
      </c>
      <c r="AF150" s="3">
        <f t="shared" si="15"/>
        <v>96654824</v>
      </c>
      <c r="AG150" s="3" t="str">
        <f t="shared" si="16"/>
        <v/>
      </c>
      <c r="AH150" s="3">
        <f t="shared" si="17"/>
        <v>0</v>
      </c>
      <c r="AI150" s="3" t="str">
        <f t="shared" si="18"/>
        <v/>
      </c>
      <c r="AJ150" s="3">
        <f t="shared" si="19"/>
        <v>0</v>
      </c>
    </row>
    <row r="151">
      <c r="C151" s="6" t="s">
        <v>151</v>
      </c>
      <c r="D151" s="3">
        <f t="shared" si="1"/>
        <v>2</v>
      </c>
      <c r="E151" s="3" t="str">
        <f>IFERROR(__xludf.DUMMYFUNCTION("REGEXEXTRACT(C151,""[^ ]* [^ ]*"")"),"muted teal")</f>
        <v>muted teal</v>
      </c>
      <c r="F151" s="3" t="str">
        <f>IFERROR(__xludf.DUMMYFUNCTION("MID(REGEXEXTRACT(C151,""contain.*$""),9,300)"),"3 dark violet bags, 4 plaid chartreuse bags, 2 pale crimson bags.")</f>
        <v>3 dark violet bags, 4 plaid chartreuse bags, 2 pale crimson bags.</v>
      </c>
      <c r="G151" s="3" t="str">
        <f>IFERROR(__xludf.DUMMYFUNCTION("INDEX(SPLIT($F151,"",""),COLUMN()-6)"),"3 dark violet bags")</f>
        <v>3 dark violet bags</v>
      </c>
      <c r="H151" s="3" t="str">
        <f>IFERROR(__xludf.DUMMYFUNCTION("MID(INDEX(SPLIT($F151,"",""),COLUMN()-6),2,300)"),"4 plaid chartreuse bags")</f>
        <v>4 plaid chartreuse bags</v>
      </c>
      <c r="I151" s="3" t="str">
        <f>IFERROR(__xludf.DUMMYFUNCTION("MID(INDEX(SPLIT($F151,"",""),COLUMN()-6),2,300)"),"2 pale crimson bags.")</f>
        <v>2 pale crimson bags.</v>
      </c>
      <c r="J151" s="3" t="str">
        <f>IFERROR(__xludf.DUMMYFUNCTION("MID(INDEX(SPLIT($F151,"",""),COLUMN()-6),2,300)"),"#REF!")</f>
        <v>#REF!</v>
      </c>
      <c r="K151" s="3">
        <f>IFERROR(__xludf.DUMMYFUNCTION("INDEX(SPLIT(G151,"" ""),1)"),3.0)</f>
        <v>3</v>
      </c>
      <c r="L151" s="3" t="str">
        <f>IFERROR(__xludf.DUMMYFUNCTION("REGEXEXTRACT(G151,"" [^ ]* [^ ]* "")")," dark violet ")</f>
        <v> dark violet </v>
      </c>
      <c r="M151" s="3">
        <f>IFERROR(__xludf.DUMMYFUNCTION("INDEX(SPLIT(H151,"" ""),1)"),4.0)</f>
        <v>4</v>
      </c>
      <c r="N151" s="3" t="str">
        <f>IFERROR(__xludf.DUMMYFUNCTION("MID(REGEXEXTRACT(H151,"" [^ ]* [^ ]*""),2,300)"),"plaid chartreuse")</f>
        <v>plaid chartreuse</v>
      </c>
      <c r="O151" s="3">
        <f>IFERROR(__xludf.DUMMYFUNCTION("INDEX(SPLIT(I151,"" ""),1)"),2.0)</f>
        <v>2</v>
      </c>
      <c r="P151" s="3" t="str">
        <f>IFERROR(__xludf.DUMMYFUNCTION("MID(REGEXEXTRACT(I151,"" [^ ]* [^ ]*""),2,300)"),"pale crimson")</f>
        <v>pale crimson</v>
      </c>
      <c r="Q151" s="3" t="str">
        <f>IFERROR(__xludf.DUMMYFUNCTION("INDEX(SPLIT(J151,"" ""),1)"),"#REF!")</f>
        <v>#REF!</v>
      </c>
      <c r="R151" s="3" t="str">
        <f>IFERROR(__xludf.DUMMYFUNCTION("MID(REGEXEXTRACT(J151,"" [^ ]* [^ ]*""),2,300)"),"#REF!")</f>
        <v>#REF!</v>
      </c>
      <c r="S151" s="3">
        <f t="shared" si="2"/>
        <v>3</v>
      </c>
      <c r="T151" s="3" t="str">
        <f t="shared" si="3"/>
        <v>dark violet</v>
      </c>
      <c r="U151" s="3">
        <f t="shared" si="4"/>
        <v>4</v>
      </c>
      <c r="V151" s="3" t="str">
        <f t="shared" si="5"/>
        <v>plaid chartreuse</v>
      </c>
      <c r="W151" s="3">
        <f t="shared" si="6"/>
        <v>2</v>
      </c>
      <c r="X151" s="3" t="str">
        <f t="shared" si="7"/>
        <v>pale crimson</v>
      </c>
      <c r="Y151" s="3" t="str">
        <f t="shared" si="8"/>
        <v/>
      </c>
      <c r="Z151" s="3" t="str">
        <f t="shared" si="9"/>
        <v/>
      </c>
      <c r="AA151" s="13">
        <f t="shared" si="10"/>
        <v>1745357666</v>
      </c>
      <c r="AB151" s="3">
        <f t="shared" si="11"/>
        <v>1745357665</v>
      </c>
      <c r="AC151" s="3">
        <f t="shared" si="12"/>
        <v>3</v>
      </c>
      <c r="AD151" s="3">
        <f t="shared" si="13"/>
        <v>508749</v>
      </c>
      <c r="AE151" s="3">
        <f t="shared" si="14"/>
        <v>4</v>
      </c>
      <c r="AF151" s="3">
        <f t="shared" si="15"/>
        <v>199699352</v>
      </c>
      <c r="AG151" s="3">
        <f t="shared" si="16"/>
        <v>2</v>
      </c>
      <c r="AH151" s="3">
        <f t="shared" si="17"/>
        <v>472517005</v>
      </c>
      <c r="AI151" s="3" t="str">
        <f t="shared" si="18"/>
        <v/>
      </c>
      <c r="AJ151" s="3">
        <f t="shared" si="19"/>
        <v>0</v>
      </c>
    </row>
    <row r="152">
      <c r="C152" s="6" t="s">
        <v>152</v>
      </c>
      <c r="D152" s="3">
        <f t="shared" si="1"/>
        <v>0</v>
      </c>
      <c r="E152" s="3" t="str">
        <f>IFERROR(__xludf.DUMMYFUNCTION("REGEXEXTRACT(C152,""[^ ]* [^ ]*"")"),"wavy red")</f>
        <v>wavy red</v>
      </c>
      <c r="F152" s="3" t="str">
        <f>IFERROR(__xludf.DUMMYFUNCTION("MID(REGEXEXTRACT(C152,""contain.*$""),9,300)"),"2 clear crimson bags.")</f>
        <v>2 clear crimson bags.</v>
      </c>
      <c r="G152" s="3" t="str">
        <f>IFERROR(__xludf.DUMMYFUNCTION("INDEX(SPLIT($F152,"",""),COLUMN()-6)"),"2 clear crimson bags.")</f>
        <v>2 clear crimson bags.</v>
      </c>
      <c r="H152" s="3" t="str">
        <f>IFERROR(__xludf.DUMMYFUNCTION("MID(INDEX(SPLIT($F152,"",""),COLUMN()-6),2,300)"),"#REF!")</f>
        <v>#REF!</v>
      </c>
      <c r="I152" s="3" t="str">
        <f>IFERROR(__xludf.DUMMYFUNCTION("MID(INDEX(SPLIT($F152,"",""),COLUMN()-6),2,300)"),"#REF!")</f>
        <v>#REF!</v>
      </c>
      <c r="J152" s="3" t="str">
        <f>IFERROR(__xludf.DUMMYFUNCTION("MID(INDEX(SPLIT($F152,"",""),COLUMN()-6),2,300)"),"#REF!")</f>
        <v>#REF!</v>
      </c>
      <c r="K152" s="3">
        <f>IFERROR(__xludf.DUMMYFUNCTION("INDEX(SPLIT(G152,"" ""),1)"),2.0)</f>
        <v>2</v>
      </c>
      <c r="L152" s="3" t="str">
        <f>IFERROR(__xludf.DUMMYFUNCTION("REGEXEXTRACT(G152,"" [^ ]* [^ ]* "")")," clear crimson ")</f>
        <v> clear crimson </v>
      </c>
      <c r="M152" s="3" t="str">
        <f>IFERROR(__xludf.DUMMYFUNCTION("INDEX(SPLIT(H152,"" ""),1)"),"#REF!")</f>
        <v>#REF!</v>
      </c>
      <c r="N152" s="3" t="str">
        <f>IFERROR(__xludf.DUMMYFUNCTION("MID(REGEXEXTRACT(H152,"" [^ ]* [^ ]*""),2,300)"),"#REF!")</f>
        <v>#REF!</v>
      </c>
      <c r="O152" s="3" t="str">
        <f>IFERROR(__xludf.DUMMYFUNCTION("INDEX(SPLIT(I152,"" ""),1)"),"#REF!")</f>
        <v>#REF!</v>
      </c>
      <c r="P152" s="3" t="str">
        <f>IFERROR(__xludf.DUMMYFUNCTION("MID(REGEXEXTRACT(I152,"" [^ ]* [^ ]*""),2,300)"),"#REF!")</f>
        <v>#REF!</v>
      </c>
      <c r="Q152" s="3" t="str">
        <f>IFERROR(__xludf.DUMMYFUNCTION("INDEX(SPLIT(J152,"" ""),1)"),"#REF!")</f>
        <v>#REF!</v>
      </c>
      <c r="R152" s="3" t="str">
        <f>IFERROR(__xludf.DUMMYFUNCTION("MID(REGEXEXTRACT(J152,"" [^ ]* [^ ]*""),2,300)"),"#REF!")</f>
        <v>#REF!</v>
      </c>
      <c r="S152" s="3">
        <f t="shared" si="2"/>
        <v>2</v>
      </c>
      <c r="T152" s="3" t="str">
        <f t="shared" si="3"/>
        <v>clear crimson</v>
      </c>
      <c r="U152" s="3" t="str">
        <f t="shared" si="4"/>
        <v/>
      </c>
      <c r="V152" s="3" t="str">
        <f t="shared" si="5"/>
        <v/>
      </c>
      <c r="W152" s="3" t="str">
        <f t="shared" si="6"/>
        <v/>
      </c>
      <c r="X152" s="3" t="str">
        <f t="shared" si="7"/>
        <v/>
      </c>
      <c r="Y152" s="3" t="str">
        <f t="shared" si="8"/>
        <v/>
      </c>
      <c r="Z152" s="3" t="str">
        <f t="shared" si="9"/>
        <v/>
      </c>
      <c r="AA152" s="13">
        <f t="shared" si="10"/>
        <v>50680267</v>
      </c>
      <c r="AB152" s="3">
        <f t="shared" si="11"/>
        <v>50680266</v>
      </c>
      <c r="AC152" s="3">
        <f t="shared" si="12"/>
        <v>2</v>
      </c>
      <c r="AD152" s="3">
        <f t="shared" si="13"/>
        <v>25340133</v>
      </c>
      <c r="AE152" s="3" t="str">
        <f t="shared" si="14"/>
        <v/>
      </c>
      <c r="AF152" s="3">
        <f t="shared" si="15"/>
        <v>0</v>
      </c>
      <c r="AG152" s="3" t="str">
        <f t="shared" si="16"/>
        <v/>
      </c>
      <c r="AH152" s="3">
        <f t="shared" si="17"/>
        <v>0</v>
      </c>
      <c r="AI152" s="3" t="str">
        <f t="shared" si="18"/>
        <v/>
      </c>
      <c r="AJ152" s="3">
        <f t="shared" si="19"/>
        <v>0</v>
      </c>
    </row>
    <row r="153">
      <c r="C153" s="6" t="s">
        <v>153</v>
      </c>
      <c r="D153" s="3">
        <f t="shared" si="1"/>
        <v>0</v>
      </c>
      <c r="E153" s="3" t="str">
        <f>IFERROR(__xludf.DUMMYFUNCTION("REGEXEXTRACT(C153,""[^ ]* [^ ]*"")"),"striped olive")</f>
        <v>striped olive</v>
      </c>
      <c r="F153" s="3" t="str">
        <f>IFERROR(__xludf.DUMMYFUNCTION("MID(REGEXEXTRACT(C153,""contain.*$""),9,300)"),"2 mirrored lavender bags.")</f>
        <v>2 mirrored lavender bags.</v>
      </c>
      <c r="G153" s="3" t="str">
        <f>IFERROR(__xludf.DUMMYFUNCTION("INDEX(SPLIT($F153,"",""),COLUMN()-6)"),"2 mirrored lavender bags.")</f>
        <v>2 mirrored lavender bags.</v>
      </c>
      <c r="H153" s="3" t="str">
        <f>IFERROR(__xludf.DUMMYFUNCTION("MID(INDEX(SPLIT($F153,"",""),COLUMN()-6),2,300)"),"#REF!")</f>
        <v>#REF!</v>
      </c>
      <c r="I153" s="3" t="str">
        <f>IFERROR(__xludf.DUMMYFUNCTION("MID(INDEX(SPLIT($F153,"",""),COLUMN()-6),2,300)"),"#REF!")</f>
        <v>#REF!</v>
      </c>
      <c r="J153" s="3" t="str">
        <f>IFERROR(__xludf.DUMMYFUNCTION("MID(INDEX(SPLIT($F153,"",""),COLUMN()-6),2,300)"),"#REF!")</f>
        <v>#REF!</v>
      </c>
      <c r="K153" s="3">
        <f>IFERROR(__xludf.DUMMYFUNCTION("INDEX(SPLIT(G153,"" ""),1)"),2.0)</f>
        <v>2</v>
      </c>
      <c r="L153" s="3" t="str">
        <f>IFERROR(__xludf.DUMMYFUNCTION("REGEXEXTRACT(G153,"" [^ ]* [^ ]* "")")," mirrored lavender ")</f>
        <v> mirrored lavender </v>
      </c>
      <c r="M153" s="3" t="str">
        <f>IFERROR(__xludf.DUMMYFUNCTION("INDEX(SPLIT(H153,"" ""),1)"),"#REF!")</f>
        <v>#REF!</v>
      </c>
      <c r="N153" s="3" t="str">
        <f>IFERROR(__xludf.DUMMYFUNCTION("MID(REGEXEXTRACT(H153,"" [^ ]* [^ ]*""),2,300)"),"#REF!")</f>
        <v>#REF!</v>
      </c>
      <c r="O153" s="3" t="str">
        <f>IFERROR(__xludf.DUMMYFUNCTION("INDEX(SPLIT(I153,"" ""),1)"),"#REF!")</f>
        <v>#REF!</v>
      </c>
      <c r="P153" s="3" t="str">
        <f>IFERROR(__xludf.DUMMYFUNCTION("MID(REGEXEXTRACT(I153,"" [^ ]* [^ ]*""),2,300)"),"#REF!")</f>
        <v>#REF!</v>
      </c>
      <c r="Q153" s="3" t="str">
        <f>IFERROR(__xludf.DUMMYFUNCTION("INDEX(SPLIT(J153,"" ""),1)"),"#REF!")</f>
        <v>#REF!</v>
      </c>
      <c r="R153" s="3" t="str">
        <f>IFERROR(__xludf.DUMMYFUNCTION("MID(REGEXEXTRACT(J153,"" [^ ]* [^ ]*""),2,300)"),"#REF!")</f>
        <v>#REF!</v>
      </c>
      <c r="S153" s="3">
        <f t="shared" si="2"/>
        <v>2</v>
      </c>
      <c r="T153" s="3" t="str">
        <f t="shared" si="3"/>
        <v>mirrored lavender</v>
      </c>
      <c r="U153" s="3" t="str">
        <f t="shared" si="4"/>
        <v/>
      </c>
      <c r="V153" s="3" t="str">
        <f t="shared" si="5"/>
        <v/>
      </c>
      <c r="W153" s="3" t="str">
        <f t="shared" si="6"/>
        <v/>
      </c>
      <c r="X153" s="3" t="str">
        <f t="shared" si="7"/>
        <v/>
      </c>
      <c r="Y153" s="3" t="str">
        <f t="shared" si="8"/>
        <v/>
      </c>
      <c r="Z153" s="3" t="str">
        <f t="shared" si="9"/>
        <v/>
      </c>
      <c r="AA153" s="13">
        <f t="shared" si="10"/>
        <v>11127</v>
      </c>
      <c r="AB153" s="3">
        <f t="shared" si="11"/>
        <v>11126</v>
      </c>
      <c r="AC153" s="3">
        <f t="shared" si="12"/>
        <v>2</v>
      </c>
      <c r="AD153" s="3">
        <f t="shared" si="13"/>
        <v>5563</v>
      </c>
      <c r="AE153" s="3" t="str">
        <f t="shared" si="14"/>
        <v/>
      </c>
      <c r="AF153" s="3">
        <f t="shared" si="15"/>
        <v>0</v>
      </c>
      <c r="AG153" s="3" t="str">
        <f t="shared" si="16"/>
        <v/>
      </c>
      <c r="AH153" s="3">
        <f t="shared" si="17"/>
        <v>0</v>
      </c>
      <c r="AI153" s="3" t="str">
        <f t="shared" si="18"/>
        <v/>
      </c>
      <c r="AJ153" s="3">
        <f t="shared" si="19"/>
        <v>0</v>
      </c>
    </row>
    <row r="154">
      <c r="C154" s="6" t="s">
        <v>154</v>
      </c>
      <c r="D154" s="3">
        <f t="shared" si="1"/>
        <v>2</v>
      </c>
      <c r="E154" s="3" t="str">
        <f>IFERROR(__xludf.DUMMYFUNCTION("REGEXEXTRACT(C154,""[^ ]* [^ ]*"")"),"dull teal")</f>
        <v>dull teal</v>
      </c>
      <c r="F154" s="3" t="str">
        <f>IFERROR(__xludf.DUMMYFUNCTION("MID(REGEXEXTRACT(C154,""contain.*$""),9,300)"),"4 pale teal bags, 5 pale violet bags, 2 drab white bags.")</f>
        <v>4 pale teal bags, 5 pale violet bags, 2 drab white bags.</v>
      </c>
      <c r="G154" s="3" t="str">
        <f>IFERROR(__xludf.DUMMYFUNCTION("INDEX(SPLIT($F154,"",""),COLUMN()-6)"),"4 pale teal bags")</f>
        <v>4 pale teal bags</v>
      </c>
      <c r="H154" s="3" t="str">
        <f>IFERROR(__xludf.DUMMYFUNCTION("MID(INDEX(SPLIT($F154,"",""),COLUMN()-6),2,300)"),"5 pale violet bags")</f>
        <v>5 pale violet bags</v>
      </c>
      <c r="I154" s="3" t="str">
        <f>IFERROR(__xludf.DUMMYFUNCTION("MID(INDEX(SPLIT($F154,"",""),COLUMN()-6),2,300)"),"2 drab white bags.")</f>
        <v>2 drab white bags.</v>
      </c>
      <c r="J154" s="3" t="str">
        <f>IFERROR(__xludf.DUMMYFUNCTION("MID(INDEX(SPLIT($F154,"",""),COLUMN()-6),2,300)"),"#REF!")</f>
        <v>#REF!</v>
      </c>
      <c r="K154" s="3">
        <f>IFERROR(__xludf.DUMMYFUNCTION("INDEX(SPLIT(G154,"" ""),1)"),4.0)</f>
        <v>4</v>
      </c>
      <c r="L154" s="3" t="str">
        <f>IFERROR(__xludf.DUMMYFUNCTION("REGEXEXTRACT(G154,"" [^ ]* [^ ]* "")")," pale teal ")</f>
        <v> pale teal </v>
      </c>
      <c r="M154" s="3">
        <f>IFERROR(__xludf.DUMMYFUNCTION("INDEX(SPLIT(H154,"" ""),1)"),5.0)</f>
        <v>5</v>
      </c>
      <c r="N154" s="3" t="str">
        <f>IFERROR(__xludf.DUMMYFUNCTION("MID(REGEXEXTRACT(H154,"" [^ ]* [^ ]*""),2,300)"),"pale violet")</f>
        <v>pale violet</v>
      </c>
      <c r="O154" s="3">
        <f>IFERROR(__xludf.DUMMYFUNCTION("INDEX(SPLIT(I154,"" ""),1)"),2.0)</f>
        <v>2</v>
      </c>
      <c r="P154" s="3" t="str">
        <f>IFERROR(__xludf.DUMMYFUNCTION("MID(REGEXEXTRACT(I154,"" [^ ]* [^ ]*""),2,300)"),"drab white")</f>
        <v>drab white</v>
      </c>
      <c r="Q154" s="3" t="str">
        <f>IFERROR(__xludf.DUMMYFUNCTION("INDEX(SPLIT(J154,"" ""),1)"),"#REF!")</f>
        <v>#REF!</v>
      </c>
      <c r="R154" s="3" t="str">
        <f>IFERROR(__xludf.DUMMYFUNCTION("MID(REGEXEXTRACT(J154,"" [^ ]* [^ ]*""),2,300)"),"#REF!")</f>
        <v>#REF!</v>
      </c>
      <c r="S154" s="3">
        <f t="shared" si="2"/>
        <v>4</v>
      </c>
      <c r="T154" s="3" t="str">
        <f t="shared" si="3"/>
        <v>pale teal</v>
      </c>
      <c r="U154" s="3">
        <f t="shared" si="4"/>
        <v>5</v>
      </c>
      <c r="V154" s="3" t="str">
        <f t="shared" si="5"/>
        <v>pale violet</v>
      </c>
      <c r="W154" s="3">
        <f t="shared" si="6"/>
        <v>2</v>
      </c>
      <c r="X154" s="3" t="str">
        <f t="shared" si="7"/>
        <v>drab white</v>
      </c>
      <c r="Y154" s="3" t="str">
        <f t="shared" si="8"/>
        <v/>
      </c>
      <c r="Z154" s="3" t="str">
        <f t="shared" si="9"/>
        <v/>
      </c>
      <c r="AA154" s="13">
        <f t="shared" si="10"/>
        <v>6184519899</v>
      </c>
      <c r="AB154" s="3">
        <f t="shared" si="11"/>
        <v>6184519898</v>
      </c>
      <c r="AC154" s="3">
        <f t="shared" si="12"/>
        <v>4</v>
      </c>
      <c r="AD154" s="3">
        <f t="shared" si="13"/>
        <v>314592019</v>
      </c>
      <c r="AE154" s="3">
        <f t="shared" si="14"/>
        <v>5</v>
      </c>
      <c r="AF154" s="3">
        <f t="shared" si="15"/>
        <v>985224380</v>
      </c>
      <c r="AG154" s="3">
        <f t="shared" si="16"/>
        <v>2</v>
      </c>
      <c r="AH154" s="3">
        <f t="shared" si="17"/>
        <v>14961</v>
      </c>
      <c r="AI154" s="3" t="str">
        <f t="shared" si="18"/>
        <v/>
      </c>
      <c r="AJ154" s="3">
        <f t="shared" si="19"/>
        <v>0</v>
      </c>
    </row>
    <row r="155">
      <c r="C155" s="6" t="s">
        <v>155</v>
      </c>
      <c r="D155" s="3">
        <f t="shared" si="1"/>
        <v>1</v>
      </c>
      <c r="E155" s="3" t="str">
        <f>IFERROR(__xludf.DUMMYFUNCTION("REGEXEXTRACT(C155,""[^ ]* [^ ]*"")"),"light black")</f>
        <v>light black</v>
      </c>
      <c r="F155" s="3" t="str">
        <f>IFERROR(__xludf.DUMMYFUNCTION("MID(REGEXEXTRACT(C155,""contain.*$""),9,300)"),"1 dark red bag, 2 plaid tan bags.")</f>
        <v>1 dark red bag, 2 plaid tan bags.</v>
      </c>
      <c r="G155" s="3" t="str">
        <f>IFERROR(__xludf.DUMMYFUNCTION("INDEX(SPLIT($F155,"",""),COLUMN()-6)"),"1 dark red bag")</f>
        <v>1 dark red bag</v>
      </c>
      <c r="H155" s="3" t="str">
        <f>IFERROR(__xludf.DUMMYFUNCTION("MID(INDEX(SPLIT($F155,"",""),COLUMN()-6),2,300)"),"2 plaid tan bags.")</f>
        <v>2 plaid tan bags.</v>
      </c>
      <c r="I155" s="3" t="str">
        <f>IFERROR(__xludf.DUMMYFUNCTION("MID(INDEX(SPLIT($F155,"",""),COLUMN()-6),2,300)"),"#REF!")</f>
        <v>#REF!</v>
      </c>
      <c r="J155" s="3" t="str">
        <f>IFERROR(__xludf.DUMMYFUNCTION("MID(INDEX(SPLIT($F155,"",""),COLUMN()-6),2,300)"),"#REF!")</f>
        <v>#REF!</v>
      </c>
      <c r="K155" s="3">
        <f>IFERROR(__xludf.DUMMYFUNCTION("INDEX(SPLIT(G155,"" ""),1)"),1.0)</f>
        <v>1</v>
      </c>
      <c r="L155" s="3" t="str">
        <f>IFERROR(__xludf.DUMMYFUNCTION("REGEXEXTRACT(G155,"" [^ ]* [^ ]* "")")," dark red ")</f>
        <v> dark red </v>
      </c>
      <c r="M155" s="3">
        <f>IFERROR(__xludf.DUMMYFUNCTION("INDEX(SPLIT(H155,"" ""),1)"),2.0)</f>
        <v>2</v>
      </c>
      <c r="N155" s="3" t="str">
        <f>IFERROR(__xludf.DUMMYFUNCTION("MID(REGEXEXTRACT(H155,"" [^ ]* [^ ]*""),2,300)"),"plaid tan")</f>
        <v>plaid tan</v>
      </c>
      <c r="O155" s="3" t="str">
        <f>IFERROR(__xludf.DUMMYFUNCTION("INDEX(SPLIT(I155,"" ""),1)"),"#REF!")</f>
        <v>#REF!</v>
      </c>
      <c r="P155" s="3" t="str">
        <f>IFERROR(__xludf.DUMMYFUNCTION("MID(REGEXEXTRACT(I155,"" [^ ]* [^ ]*""),2,300)"),"#REF!")</f>
        <v>#REF!</v>
      </c>
      <c r="Q155" s="3" t="str">
        <f>IFERROR(__xludf.DUMMYFUNCTION("INDEX(SPLIT(J155,"" ""),1)"),"#REF!")</f>
        <v>#REF!</v>
      </c>
      <c r="R155" s="3" t="str">
        <f>IFERROR(__xludf.DUMMYFUNCTION("MID(REGEXEXTRACT(J155,"" [^ ]* [^ ]*""),2,300)"),"#REF!")</f>
        <v>#REF!</v>
      </c>
      <c r="S155" s="3">
        <f t="shared" si="2"/>
        <v>1</v>
      </c>
      <c r="T155" s="3" t="str">
        <f t="shared" si="3"/>
        <v>dark red</v>
      </c>
      <c r="U155" s="3">
        <f t="shared" si="4"/>
        <v>2</v>
      </c>
      <c r="V155" s="3" t="str">
        <f t="shared" si="5"/>
        <v>plaid tan</v>
      </c>
      <c r="W155" s="3" t="str">
        <f t="shared" si="6"/>
        <v/>
      </c>
      <c r="X155" s="3" t="str">
        <f t="shared" si="7"/>
        <v/>
      </c>
      <c r="Y155" s="3" t="str">
        <f t="shared" si="8"/>
        <v/>
      </c>
      <c r="Z155" s="3" t="str">
        <f t="shared" si="9"/>
        <v/>
      </c>
      <c r="AA155" s="13">
        <f t="shared" si="10"/>
        <v>132149</v>
      </c>
      <c r="AB155" s="3">
        <f t="shared" si="11"/>
        <v>132148</v>
      </c>
      <c r="AC155" s="3">
        <f t="shared" si="12"/>
        <v>1</v>
      </c>
      <c r="AD155" s="3">
        <f t="shared" si="13"/>
        <v>44592</v>
      </c>
      <c r="AE155" s="3">
        <f t="shared" si="14"/>
        <v>2</v>
      </c>
      <c r="AF155" s="3">
        <f t="shared" si="15"/>
        <v>43778</v>
      </c>
      <c r="AG155" s="3" t="str">
        <f t="shared" si="16"/>
        <v/>
      </c>
      <c r="AH155" s="3">
        <f t="shared" si="17"/>
        <v>0</v>
      </c>
      <c r="AI155" s="3" t="str">
        <f t="shared" si="18"/>
        <v/>
      </c>
      <c r="AJ155" s="3">
        <f t="shared" si="19"/>
        <v>0</v>
      </c>
    </row>
    <row r="156">
      <c r="C156" s="6" t="s">
        <v>156</v>
      </c>
      <c r="D156" s="3">
        <f t="shared" si="1"/>
        <v>0</v>
      </c>
      <c r="E156" s="3" t="str">
        <f>IFERROR(__xludf.DUMMYFUNCTION("REGEXEXTRACT(C156,""[^ ]* [^ ]*"")"),"clear orange")</f>
        <v>clear orange</v>
      </c>
      <c r="F156" s="3" t="str">
        <f>IFERROR(__xludf.DUMMYFUNCTION("MID(REGEXEXTRACT(C156,""contain.*$""),9,300)"),"5 bright cyan bags.")</f>
        <v>5 bright cyan bags.</v>
      </c>
      <c r="G156" s="3" t="str">
        <f>IFERROR(__xludf.DUMMYFUNCTION("INDEX(SPLIT($F156,"",""),COLUMN()-6)"),"5 bright cyan bags.")</f>
        <v>5 bright cyan bags.</v>
      </c>
      <c r="H156" s="3" t="str">
        <f>IFERROR(__xludf.DUMMYFUNCTION("MID(INDEX(SPLIT($F156,"",""),COLUMN()-6),2,300)"),"#REF!")</f>
        <v>#REF!</v>
      </c>
      <c r="I156" s="3" t="str">
        <f>IFERROR(__xludf.DUMMYFUNCTION("MID(INDEX(SPLIT($F156,"",""),COLUMN()-6),2,300)"),"#REF!")</f>
        <v>#REF!</v>
      </c>
      <c r="J156" s="3" t="str">
        <f>IFERROR(__xludf.DUMMYFUNCTION("MID(INDEX(SPLIT($F156,"",""),COLUMN()-6),2,300)"),"#REF!")</f>
        <v>#REF!</v>
      </c>
      <c r="K156" s="3">
        <f>IFERROR(__xludf.DUMMYFUNCTION("INDEX(SPLIT(G156,"" ""),1)"),5.0)</f>
        <v>5</v>
      </c>
      <c r="L156" s="3" t="str">
        <f>IFERROR(__xludf.DUMMYFUNCTION("REGEXEXTRACT(G156,"" [^ ]* [^ ]* "")")," bright cyan ")</f>
        <v> bright cyan </v>
      </c>
      <c r="M156" s="3" t="str">
        <f>IFERROR(__xludf.DUMMYFUNCTION("INDEX(SPLIT(H156,"" ""),1)"),"#REF!")</f>
        <v>#REF!</v>
      </c>
      <c r="N156" s="3" t="str">
        <f>IFERROR(__xludf.DUMMYFUNCTION("MID(REGEXEXTRACT(H156,"" [^ ]* [^ ]*""),2,300)"),"#REF!")</f>
        <v>#REF!</v>
      </c>
      <c r="O156" s="3" t="str">
        <f>IFERROR(__xludf.DUMMYFUNCTION("INDEX(SPLIT(I156,"" ""),1)"),"#REF!")</f>
        <v>#REF!</v>
      </c>
      <c r="P156" s="3" t="str">
        <f>IFERROR(__xludf.DUMMYFUNCTION("MID(REGEXEXTRACT(I156,"" [^ ]* [^ ]*""),2,300)"),"#REF!")</f>
        <v>#REF!</v>
      </c>
      <c r="Q156" s="3" t="str">
        <f>IFERROR(__xludf.DUMMYFUNCTION("INDEX(SPLIT(J156,"" ""),1)"),"#REF!")</f>
        <v>#REF!</v>
      </c>
      <c r="R156" s="3" t="str">
        <f>IFERROR(__xludf.DUMMYFUNCTION("MID(REGEXEXTRACT(J156,"" [^ ]* [^ ]*""),2,300)"),"#REF!")</f>
        <v>#REF!</v>
      </c>
      <c r="S156" s="3">
        <f t="shared" si="2"/>
        <v>5</v>
      </c>
      <c r="T156" s="3" t="str">
        <f t="shared" si="3"/>
        <v>bright cyan</v>
      </c>
      <c r="U156" s="3" t="str">
        <f t="shared" si="4"/>
        <v/>
      </c>
      <c r="V156" s="3" t="str">
        <f t="shared" si="5"/>
        <v/>
      </c>
      <c r="W156" s="3" t="str">
        <f t="shared" si="6"/>
        <v/>
      </c>
      <c r="X156" s="3" t="str">
        <f t="shared" si="7"/>
        <v/>
      </c>
      <c r="Y156" s="3" t="str">
        <f t="shared" si="8"/>
        <v/>
      </c>
      <c r="Z156" s="3" t="str">
        <f t="shared" si="9"/>
        <v/>
      </c>
      <c r="AA156" s="13">
        <f t="shared" si="10"/>
        <v>2656</v>
      </c>
      <c r="AB156" s="3">
        <f t="shared" si="11"/>
        <v>2655</v>
      </c>
      <c r="AC156" s="3">
        <f t="shared" si="12"/>
        <v>5</v>
      </c>
      <c r="AD156" s="3">
        <f t="shared" si="13"/>
        <v>531</v>
      </c>
      <c r="AE156" s="3" t="str">
        <f t="shared" si="14"/>
        <v/>
      </c>
      <c r="AF156" s="3">
        <f t="shared" si="15"/>
        <v>0</v>
      </c>
      <c r="AG156" s="3" t="str">
        <f t="shared" si="16"/>
        <v/>
      </c>
      <c r="AH156" s="3">
        <f t="shared" si="17"/>
        <v>0</v>
      </c>
      <c r="AI156" s="3" t="str">
        <f t="shared" si="18"/>
        <v/>
      </c>
      <c r="AJ156" s="3">
        <f t="shared" si="19"/>
        <v>0</v>
      </c>
    </row>
    <row r="157">
      <c r="C157" s="6" t="s">
        <v>157</v>
      </c>
      <c r="D157" s="3">
        <f t="shared" si="1"/>
        <v>0</v>
      </c>
      <c r="E157" s="3" t="str">
        <f>IFERROR(__xludf.DUMMYFUNCTION("REGEXEXTRACT(C157,""[^ ]* [^ ]*"")"),"pale yellow")</f>
        <v>pale yellow</v>
      </c>
      <c r="F157" s="3" t="str">
        <f>IFERROR(__xludf.DUMMYFUNCTION("MID(REGEXEXTRACT(C157,""contain.*$""),9,300)"),"2 bright lavender bags.")</f>
        <v>2 bright lavender bags.</v>
      </c>
      <c r="G157" s="3" t="str">
        <f>IFERROR(__xludf.DUMMYFUNCTION("INDEX(SPLIT($F157,"",""),COLUMN()-6)"),"2 bright lavender bags.")</f>
        <v>2 bright lavender bags.</v>
      </c>
      <c r="H157" s="3" t="str">
        <f>IFERROR(__xludf.DUMMYFUNCTION("MID(INDEX(SPLIT($F157,"",""),COLUMN()-6),2,300)"),"#REF!")</f>
        <v>#REF!</v>
      </c>
      <c r="I157" s="3" t="str">
        <f>IFERROR(__xludf.DUMMYFUNCTION("MID(INDEX(SPLIT($F157,"",""),COLUMN()-6),2,300)"),"#REF!")</f>
        <v>#REF!</v>
      </c>
      <c r="J157" s="3" t="str">
        <f>IFERROR(__xludf.DUMMYFUNCTION("MID(INDEX(SPLIT($F157,"",""),COLUMN()-6),2,300)"),"#REF!")</f>
        <v>#REF!</v>
      </c>
      <c r="K157" s="3">
        <f>IFERROR(__xludf.DUMMYFUNCTION("INDEX(SPLIT(G157,"" ""),1)"),2.0)</f>
        <v>2</v>
      </c>
      <c r="L157" s="3" t="str">
        <f>IFERROR(__xludf.DUMMYFUNCTION("REGEXEXTRACT(G157,"" [^ ]* [^ ]* "")")," bright lavender ")</f>
        <v> bright lavender </v>
      </c>
      <c r="M157" s="3" t="str">
        <f>IFERROR(__xludf.DUMMYFUNCTION("INDEX(SPLIT(H157,"" ""),1)"),"#REF!")</f>
        <v>#REF!</v>
      </c>
      <c r="N157" s="3" t="str">
        <f>IFERROR(__xludf.DUMMYFUNCTION("MID(REGEXEXTRACT(H157,"" [^ ]* [^ ]*""),2,300)"),"#REF!")</f>
        <v>#REF!</v>
      </c>
      <c r="O157" s="3" t="str">
        <f>IFERROR(__xludf.DUMMYFUNCTION("INDEX(SPLIT(I157,"" ""),1)"),"#REF!")</f>
        <v>#REF!</v>
      </c>
      <c r="P157" s="3" t="str">
        <f>IFERROR(__xludf.DUMMYFUNCTION("MID(REGEXEXTRACT(I157,"" [^ ]* [^ ]*""),2,300)"),"#REF!")</f>
        <v>#REF!</v>
      </c>
      <c r="Q157" s="3" t="str">
        <f>IFERROR(__xludf.DUMMYFUNCTION("INDEX(SPLIT(J157,"" ""),1)"),"#REF!")</f>
        <v>#REF!</v>
      </c>
      <c r="R157" s="3" t="str">
        <f>IFERROR(__xludf.DUMMYFUNCTION("MID(REGEXEXTRACT(J157,"" [^ ]* [^ ]*""),2,300)"),"#REF!")</f>
        <v>#REF!</v>
      </c>
      <c r="S157" s="3">
        <f t="shared" si="2"/>
        <v>2</v>
      </c>
      <c r="T157" s="3" t="str">
        <f t="shared" si="3"/>
        <v>bright lavender</v>
      </c>
      <c r="U157" s="3" t="str">
        <f t="shared" si="4"/>
        <v/>
      </c>
      <c r="V157" s="3" t="str">
        <f t="shared" si="5"/>
        <v/>
      </c>
      <c r="W157" s="3" t="str">
        <f t="shared" si="6"/>
        <v/>
      </c>
      <c r="X157" s="3" t="str">
        <f t="shared" si="7"/>
        <v/>
      </c>
      <c r="Y157" s="3" t="str">
        <f t="shared" si="8"/>
        <v/>
      </c>
      <c r="Z157" s="3" t="str">
        <f t="shared" si="9"/>
        <v/>
      </c>
      <c r="AA157" s="13">
        <f t="shared" si="10"/>
        <v>329</v>
      </c>
      <c r="AB157" s="3">
        <f t="shared" si="11"/>
        <v>328</v>
      </c>
      <c r="AC157" s="3">
        <f t="shared" si="12"/>
        <v>2</v>
      </c>
      <c r="AD157" s="3">
        <f t="shared" si="13"/>
        <v>164</v>
      </c>
      <c r="AE157" s="3" t="str">
        <f t="shared" si="14"/>
        <v/>
      </c>
      <c r="AF157" s="3">
        <f t="shared" si="15"/>
        <v>0</v>
      </c>
      <c r="AG157" s="3" t="str">
        <f t="shared" si="16"/>
        <v/>
      </c>
      <c r="AH157" s="3">
        <f t="shared" si="17"/>
        <v>0</v>
      </c>
      <c r="AI157" s="3" t="str">
        <f t="shared" si="18"/>
        <v/>
      </c>
      <c r="AJ157" s="3">
        <f t="shared" si="19"/>
        <v>0</v>
      </c>
    </row>
    <row r="158">
      <c r="C158" s="6" t="s">
        <v>158</v>
      </c>
      <c r="D158" s="3">
        <f t="shared" si="1"/>
        <v>0</v>
      </c>
      <c r="E158" s="3" t="str">
        <f>IFERROR(__xludf.DUMMYFUNCTION("REGEXEXTRACT(C158,""[^ ]* [^ ]*"")"),"posh cyan")</f>
        <v>posh cyan</v>
      </c>
      <c r="F158" s="3" t="str">
        <f>IFERROR(__xludf.DUMMYFUNCTION("MID(REGEXEXTRACT(C158,""contain.*$""),9,300)"),"4 clear coral bags.")</f>
        <v>4 clear coral bags.</v>
      </c>
      <c r="G158" s="3" t="str">
        <f>IFERROR(__xludf.DUMMYFUNCTION("INDEX(SPLIT($F158,"",""),COLUMN()-6)"),"4 clear coral bags.")</f>
        <v>4 clear coral bags.</v>
      </c>
      <c r="H158" s="3" t="str">
        <f>IFERROR(__xludf.DUMMYFUNCTION("MID(INDEX(SPLIT($F158,"",""),COLUMN()-6),2,300)"),"#REF!")</f>
        <v>#REF!</v>
      </c>
      <c r="I158" s="3" t="str">
        <f>IFERROR(__xludf.DUMMYFUNCTION("MID(INDEX(SPLIT($F158,"",""),COLUMN()-6),2,300)"),"#REF!")</f>
        <v>#REF!</v>
      </c>
      <c r="J158" s="3" t="str">
        <f>IFERROR(__xludf.DUMMYFUNCTION("MID(INDEX(SPLIT($F158,"",""),COLUMN()-6),2,300)"),"#REF!")</f>
        <v>#REF!</v>
      </c>
      <c r="K158" s="3">
        <f>IFERROR(__xludf.DUMMYFUNCTION("INDEX(SPLIT(G158,"" ""),1)"),4.0)</f>
        <v>4</v>
      </c>
      <c r="L158" s="3" t="str">
        <f>IFERROR(__xludf.DUMMYFUNCTION("REGEXEXTRACT(G158,"" [^ ]* [^ ]* "")")," clear coral ")</f>
        <v> clear coral </v>
      </c>
      <c r="M158" s="3" t="str">
        <f>IFERROR(__xludf.DUMMYFUNCTION("INDEX(SPLIT(H158,"" ""),1)"),"#REF!")</f>
        <v>#REF!</v>
      </c>
      <c r="N158" s="3" t="str">
        <f>IFERROR(__xludf.DUMMYFUNCTION("MID(REGEXEXTRACT(H158,"" [^ ]* [^ ]*""),2,300)"),"#REF!")</f>
        <v>#REF!</v>
      </c>
      <c r="O158" s="3" t="str">
        <f>IFERROR(__xludf.DUMMYFUNCTION("INDEX(SPLIT(I158,"" ""),1)"),"#REF!")</f>
        <v>#REF!</v>
      </c>
      <c r="P158" s="3" t="str">
        <f>IFERROR(__xludf.DUMMYFUNCTION("MID(REGEXEXTRACT(I158,"" [^ ]* [^ ]*""),2,300)"),"#REF!")</f>
        <v>#REF!</v>
      </c>
      <c r="Q158" s="3" t="str">
        <f>IFERROR(__xludf.DUMMYFUNCTION("INDEX(SPLIT(J158,"" ""),1)"),"#REF!")</f>
        <v>#REF!</v>
      </c>
      <c r="R158" s="3" t="str">
        <f>IFERROR(__xludf.DUMMYFUNCTION("MID(REGEXEXTRACT(J158,"" [^ ]* [^ ]*""),2,300)"),"#REF!")</f>
        <v>#REF!</v>
      </c>
      <c r="S158" s="3">
        <f t="shared" si="2"/>
        <v>4</v>
      </c>
      <c r="T158" s="3" t="str">
        <f t="shared" si="3"/>
        <v>clear coral</v>
      </c>
      <c r="U158" s="3" t="str">
        <f t="shared" si="4"/>
        <v/>
      </c>
      <c r="V158" s="3" t="str">
        <f t="shared" si="5"/>
        <v/>
      </c>
      <c r="W158" s="3" t="str">
        <f t="shared" si="6"/>
        <v/>
      </c>
      <c r="X158" s="3" t="str">
        <f t="shared" si="7"/>
        <v/>
      </c>
      <c r="Y158" s="3" t="str">
        <f t="shared" si="8"/>
        <v/>
      </c>
      <c r="Z158" s="3" t="str">
        <f t="shared" si="9"/>
        <v/>
      </c>
      <c r="AA158" s="13">
        <f t="shared" si="10"/>
        <v>5</v>
      </c>
      <c r="AB158" s="3">
        <f t="shared" si="11"/>
        <v>4</v>
      </c>
      <c r="AC158" s="3">
        <f t="shared" si="12"/>
        <v>4</v>
      </c>
      <c r="AD158" s="3">
        <f t="shared" si="13"/>
        <v>1</v>
      </c>
      <c r="AE158" s="3" t="str">
        <f t="shared" si="14"/>
        <v/>
      </c>
      <c r="AF158" s="3">
        <f t="shared" si="15"/>
        <v>0</v>
      </c>
      <c r="AG158" s="3" t="str">
        <f t="shared" si="16"/>
        <v/>
      </c>
      <c r="AH158" s="3">
        <f t="shared" si="17"/>
        <v>0</v>
      </c>
      <c r="AI158" s="3" t="str">
        <f t="shared" si="18"/>
        <v/>
      </c>
      <c r="AJ158" s="3">
        <f t="shared" si="19"/>
        <v>0</v>
      </c>
    </row>
    <row r="159">
      <c r="C159" s="6" t="s">
        <v>159</v>
      </c>
      <c r="D159" s="3">
        <f t="shared" si="1"/>
        <v>3</v>
      </c>
      <c r="E159" s="3" t="str">
        <f>IFERROR(__xludf.DUMMYFUNCTION("REGEXEXTRACT(C159,""[^ ]* [^ ]*"")"),"drab tomato")</f>
        <v>drab tomato</v>
      </c>
      <c r="F159" s="3" t="str">
        <f>IFERROR(__xludf.DUMMYFUNCTION("MID(REGEXEXTRACT(C159,""contain.*$""),9,300)"),"4 vibrant blue bags, 5 faded beige bags, 3 clear coral bags, 2 mirrored white bags.")</f>
        <v>4 vibrant blue bags, 5 faded beige bags, 3 clear coral bags, 2 mirrored white bags.</v>
      </c>
      <c r="G159" s="3" t="str">
        <f>IFERROR(__xludf.DUMMYFUNCTION("INDEX(SPLIT($F159,"",""),COLUMN()-6)"),"4 vibrant blue bags")</f>
        <v>4 vibrant blue bags</v>
      </c>
      <c r="H159" s="3" t="str">
        <f>IFERROR(__xludf.DUMMYFUNCTION("MID(INDEX(SPLIT($F159,"",""),COLUMN()-6),2,300)"),"5 faded beige bags")</f>
        <v>5 faded beige bags</v>
      </c>
      <c r="I159" s="3" t="str">
        <f>IFERROR(__xludf.DUMMYFUNCTION("MID(INDEX(SPLIT($F159,"",""),COLUMN()-6),2,300)"),"3 clear coral bags")</f>
        <v>3 clear coral bags</v>
      </c>
      <c r="J159" s="3" t="str">
        <f>IFERROR(__xludf.DUMMYFUNCTION("MID(INDEX(SPLIT($F159,"",""),COLUMN()-6),2,300)"),"2 mirrored white bags.")</f>
        <v>2 mirrored white bags.</v>
      </c>
      <c r="K159" s="3">
        <f>IFERROR(__xludf.DUMMYFUNCTION("INDEX(SPLIT(G159,"" ""),1)"),4.0)</f>
        <v>4</v>
      </c>
      <c r="L159" s="3" t="str">
        <f>IFERROR(__xludf.DUMMYFUNCTION("REGEXEXTRACT(G159,"" [^ ]* [^ ]* "")")," vibrant blue ")</f>
        <v> vibrant blue </v>
      </c>
      <c r="M159" s="3">
        <f>IFERROR(__xludf.DUMMYFUNCTION("INDEX(SPLIT(H159,"" ""),1)"),5.0)</f>
        <v>5</v>
      </c>
      <c r="N159" s="3" t="str">
        <f>IFERROR(__xludf.DUMMYFUNCTION("MID(REGEXEXTRACT(H159,"" [^ ]* [^ ]*""),2,300)"),"faded beige")</f>
        <v>faded beige</v>
      </c>
      <c r="O159" s="3">
        <f>IFERROR(__xludf.DUMMYFUNCTION("INDEX(SPLIT(I159,"" ""),1)"),3.0)</f>
        <v>3</v>
      </c>
      <c r="P159" s="3" t="str">
        <f>IFERROR(__xludf.DUMMYFUNCTION("MID(REGEXEXTRACT(I159,"" [^ ]* [^ ]*""),2,300)"),"clear coral")</f>
        <v>clear coral</v>
      </c>
      <c r="Q159" s="3">
        <f>IFERROR(__xludf.DUMMYFUNCTION("INDEX(SPLIT(J159,"" ""),1)"),2.0)</f>
        <v>2</v>
      </c>
      <c r="R159" s="3" t="str">
        <f>IFERROR(__xludf.DUMMYFUNCTION("MID(REGEXEXTRACT(J159,"" [^ ]* [^ ]*""),2,300)"),"mirrored white")</f>
        <v>mirrored white</v>
      </c>
      <c r="S159" s="3">
        <f t="shared" si="2"/>
        <v>4</v>
      </c>
      <c r="T159" s="3" t="str">
        <f t="shared" si="3"/>
        <v>vibrant blue</v>
      </c>
      <c r="U159" s="3">
        <f t="shared" si="4"/>
        <v>5</v>
      </c>
      <c r="V159" s="3" t="str">
        <f t="shared" si="5"/>
        <v>faded beige</v>
      </c>
      <c r="W159" s="3">
        <f t="shared" si="6"/>
        <v>3</v>
      </c>
      <c r="X159" s="3" t="str">
        <f t="shared" si="7"/>
        <v>clear coral</v>
      </c>
      <c r="Y159" s="3">
        <f t="shared" si="8"/>
        <v>2</v>
      </c>
      <c r="Z159" s="3" t="str">
        <f t="shared" si="9"/>
        <v>mirrored white</v>
      </c>
      <c r="AA159" s="13">
        <f t="shared" si="10"/>
        <v>38687</v>
      </c>
      <c r="AB159" s="3">
        <f t="shared" si="11"/>
        <v>38686</v>
      </c>
      <c r="AC159" s="3">
        <f t="shared" si="12"/>
        <v>4</v>
      </c>
      <c r="AD159" s="3">
        <f t="shared" si="13"/>
        <v>1545</v>
      </c>
      <c r="AE159" s="3">
        <f t="shared" si="14"/>
        <v>5</v>
      </c>
      <c r="AF159" s="3">
        <f t="shared" si="15"/>
        <v>6373</v>
      </c>
      <c r="AG159" s="3">
        <f t="shared" si="16"/>
        <v>3</v>
      </c>
      <c r="AH159" s="3">
        <f t="shared" si="17"/>
        <v>1</v>
      </c>
      <c r="AI159" s="3">
        <f t="shared" si="18"/>
        <v>2</v>
      </c>
      <c r="AJ159" s="3">
        <f t="shared" si="19"/>
        <v>319</v>
      </c>
    </row>
    <row r="160">
      <c r="C160" s="6" t="s">
        <v>160</v>
      </c>
      <c r="D160" s="3">
        <f t="shared" si="1"/>
        <v>0</v>
      </c>
      <c r="E160" s="3" t="str">
        <f>IFERROR(__xludf.DUMMYFUNCTION("REGEXEXTRACT(C160,""[^ ]* [^ ]*"")"),"pale orange")</f>
        <v>pale orange</v>
      </c>
      <c r="F160" s="3" t="str">
        <f>IFERROR(__xludf.DUMMYFUNCTION("MID(REGEXEXTRACT(C160,""contain.*$""),9,300)"),"2 light aqua bags.")</f>
        <v>2 light aqua bags.</v>
      </c>
      <c r="G160" s="3" t="str">
        <f>IFERROR(__xludf.DUMMYFUNCTION("INDEX(SPLIT($F160,"",""),COLUMN()-6)"),"2 light aqua bags.")</f>
        <v>2 light aqua bags.</v>
      </c>
      <c r="H160" s="3" t="str">
        <f>IFERROR(__xludf.DUMMYFUNCTION("MID(INDEX(SPLIT($F160,"",""),COLUMN()-6),2,300)"),"#REF!")</f>
        <v>#REF!</v>
      </c>
      <c r="I160" s="3" t="str">
        <f>IFERROR(__xludf.DUMMYFUNCTION("MID(INDEX(SPLIT($F160,"",""),COLUMN()-6),2,300)"),"#REF!")</f>
        <v>#REF!</v>
      </c>
      <c r="J160" s="3" t="str">
        <f>IFERROR(__xludf.DUMMYFUNCTION("MID(INDEX(SPLIT($F160,"",""),COLUMN()-6),2,300)"),"#REF!")</f>
        <v>#REF!</v>
      </c>
      <c r="K160" s="3">
        <f>IFERROR(__xludf.DUMMYFUNCTION("INDEX(SPLIT(G160,"" ""),1)"),2.0)</f>
        <v>2</v>
      </c>
      <c r="L160" s="3" t="str">
        <f>IFERROR(__xludf.DUMMYFUNCTION("REGEXEXTRACT(G160,"" [^ ]* [^ ]* "")")," light aqua ")</f>
        <v> light aqua </v>
      </c>
      <c r="M160" s="3" t="str">
        <f>IFERROR(__xludf.DUMMYFUNCTION("INDEX(SPLIT(H160,"" ""),1)"),"#REF!")</f>
        <v>#REF!</v>
      </c>
      <c r="N160" s="3" t="str">
        <f>IFERROR(__xludf.DUMMYFUNCTION("MID(REGEXEXTRACT(H160,"" [^ ]* [^ ]*""),2,300)"),"#REF!")</f>
        <v>#REF!</v>
      </c>
      <c r="O160" s="3" t="str">
        <f>IFERROR(__xludf.DUMMYFUNCTION("INDEX(SPLIT(I160,"" ""),1)"),"#REF!")</f>
        <v>#REF!</v>
      </c>
      <c r="P160" s="3" t="str">
        <f>IFERROR(__xludf.DUMMYFUNCTION("MID(REGEXEXTRACT(I160,"" [^ ]* [^ ]*""),2,300)"),"#REF!")</f>
        <v>#REF!</v>
      </c>
      <c r="Q160" s="3" t="str">
        <f>IFERROR(__xludf.DUMMYFUNCTION("INDEX(SPLIT(J160,"" ""),1)"),"#REF!")</f>
        <v>#REF!</v>
      </c>
      <c r="R160" s="3" t="str">
        <f>IFERROR(__xludf.DUMMYFUNCTION("MID(REGEXEXTRACT(J160,"" [^ ]* [^ ]*""),2,300)"),"#REF!")</f>
        <v>#REF!</v>
      </c>
      <c r="S160" s="3">
        <f t="shared" si="2"/>
        <v>2</v>
      </c>
      <c r="T160" s="3" t="str">
        <f t="shared" si="3"/>
        <v>light aqua</v>
      </c>
      <c r="U160" s="3" t="str">
        <f t="shared" si="4"/>
        <v/>
      </c>
      <c r="V160" s="3" t="str">
        <f t="shared" si="5"/>
        <v/>
      </c>
      <c r="W160" s="3" t="str">
        <f t="shared" si="6"/>
        <v/>
      </c>
      <c r="X160" s="3" t="str">
        <f t="shared" si="7"/>
        <v/>
      </c>
      <c r="Y160" s="3" t="str">
        <f t="shared" si="8"/>
        <v/>
      </c>
      <c r="Z160" s="3" t="str">
        <f t="shared" si="9"/>
        <v/>
      </c>
      <c r="AA160" s="13">
        <f t="shared" si="10"/>
        <v>360510907</v>
      </c>
      <c r="AB160" s="3">
        <f t="shared" si="11"/>
        <v>360510906</v>
      </c>
      <c r="AC160" s="3">
        <f t="shared" si="12"/>
        <v>2</v>
      </c>
      <c r="AD160" s="3">
        <f t="shared" si="13"/>
        <v>180255453</v>
      </c>
      <c r="AE160" s="3" t="str">
        <f t="shared" si="14"/>
        <v/>
      </c>
      <c r="AF160" s="3">
        <f t="shared" si="15"/>
        <v>0</v>
      </c>
      <c r="AG160" s="3" t="str">
        <f t="shared" si="16"/>
        <v/>
      </c>
      <c r="AH160" s="3">
        <f t="shared" si="17"/>
        <v>0</v>
      </c>
      <c r="AI160" s="3" t="str">
        <f t="shared" si="18"/>
        <v/>
      </c>
      <c r="AJ160" s="3">
        <f t="shared" si="19"/>
        <v>0</v>
      </c>
    </row>
    <row r="161">
      <c r="C161" s="6" t="s">
        <v>161</v>
      </c>
      <c r="D161" s="3">
        <f t="shared" si="1"/>
        <v>2</v>
      </c>
      <c r="E161" s="3" t="str">
        <f>IFERROR(__xludf.DUMMYFUNCTION("REGEXEXTRACT(C161,""[^ ]* [^ ]*"")"),"dull tomato")</f>
        <v>dull tomato</v>
      </c>
      <c r="F161" s="3" t="str">
        <f>IFERROR(__xludf.DUMMYFUNCTION("MID(REGEXEXTRACT(C161,""contain.*$""),9,300)"),"5 plaid aqua bags, 2 posh magenta bags, 3 vibrant aqua bags.")</f>
        <v>5 plaid aqua bags, 2 posh magenta bags, 3 vibrant aqua bags.</v>
      </c>
      <c r="G161" s="3" t="str">
        <f>IFERROR(__xludf.DUMMYFUNCTION("INDEX(SPLIT($F161,"",""),COLUMN()-6)"),"5 plaid aqua bags")</f>
        <v>5 plaid aqua bags</v>
      </c>
      <c r="H161" s="3" t="str">
        <f>IFERROR(__xludf.DUMMYFUNCTION("MID(INDEX(SPLIT($F161,"",""),COLUMN()-6),2,300)"),"2 posh magenta bags")</f>
        <v>2 posh magenta bags</v>
      </c>
      <c r="I161" s="3" t="str">
        <f>IFERROR(__xludf.DUMMYFUNCTION("MID(INDEX(SPLIT($F161,"",""),COLUMN()-6),2,300)"),"3 vibrant aqua bags.")</f>
        <v>3 vibrant aqua bags.</v>
      </c>
      <c r="J161" s="3" t="str">
        <f>IFERROR(__xludf.DUMMYFUNCTION("MID(INDEX(SPLIT($F161,"",""),COLUMN()-6),2,300)"),"#REF!")</f>
        <v>#REF!</v>
      </c>
      <c r="K161" s="3">
        <f>IFERROR(__xludf.DUMMYFUNCTION("INDEX(SPLIT(G161,"" ""),1)"),5.0)</f>
        <v>5</v>
      </c>
      <c r="L161" s="3" t="str">
        <f>IFERROR(__xludf.DUMMYFUNCTION("REGEXEXTRACT(G161,"" [^ ]* [^ ]* "")")," plaid aqua ")</f>
        <v> plaid aqua </v>
      </c>
      <c r="M161" s="3">
        <f>IFERROR(__xludf.DUMMYFUNCTION("INDEX(SPLIT(H161,"" ""),1)"),2.0)</f>
        <v>2</v>
      </c>
      <c r="N161" s="3" t="str">
        <f>IFERROR(__xludf.DUMMYFUNCTION("MID(REGEXEXTRACT(H161,"" [^ ]* [^ ]*""),2,300)"),"posh magenta")</f>
        <v>posh magenta</v>
      </c>
      <c r="O161" s="3">
        <f>IFERROR(__xludf.DUMMYFUNCTION("INDEX(SPLIT(I161,"" ""),1)"),3.0)</f>
        <v>3</v>
      </c>
      <c r="P161" s="3" t="str">
        <f>IFERROR(__xludf.DUMMYFUNCTION("MID(REGEXEXTRACT(I161,"" [^ ]* [^ ]*""),2,300)"),"vibrant aqua")</f>
        <v>vibrant aqua</v>
      </c>
      <c r="Q161" s="3" t="str">
        <f>IFERROR(__xludf.DUMMYFUNCTION("INDEX(SPLIT(J161,"" ""),1)"),"#REF!")</f>
        <v>#REF!</v>
      </c>
      <c r="R161" s="3" t="str">
        <f>IFERROR(__xludf.DUMMYFUNCTION("MID(REGEXEXTRACT(J161,"" [^ ]* [^ ]*""),2,300)"),"#REF!")</f>
        <v>#REF!</v>
      </c>
      <c r="S161" s="3">
        <f t="shared" si="2"/>
        <v>5</v>
      </c>
      <c r="T161" s="3" t="str">
        <f t="shared" si="3"/>
        <v>plaid aqua</v>
      </c>
      <c r="U161" s="3">
        <f t="shared" si="4"/>
        <v>2</v>
      </c>
      <c r="V161" s="3" t="str">
        <f t="shared" si="5"/>
        <v>posh magenta</v>
      </c>
      <c r="W161" s="3">
        <f t="shared" si="6"/>
        <v>3</v>
      </c>
      <c r="X161" s="3" t="str">
        <f t="shared" si="7"/>
        <v>vibrant aqua</v>
      </c>
      <c r="Y161" s="3" t="str">
        <f t="shared" si="8"/>
        <v/>
      </c>
      <c r="Z161" s="3" t="str">
        <f t="shared" si="9"/>
        <v/>
      </c>
      <c r="AA161" s="13">
        <f t="shared" si="10"/>
        <v>11</v>
      </c>
      <c r="AB161" s="3">
        <f t="shared" si="11"/>
        <v>10</v>
      </c>
      <c r="AC161" s="3">
        <f t="shared" si="12"/>
        <v>5</v>
      </c>
      <c r="AD161" s="3">
        <f t="shared" si="13"/>
        <v>1</v>
      </c>
      <c r="AE161" s="3">
        <f t="shared" si="14"/>
        <v>2</v>
      </c>
      <c r="AF161" s="3">
        <f t="shared" si="15"/>
        <v>1</v>
      </c>
      <c r="AG161" s="3">
        <f t="shared" si="16"/>
        <v>3</v>
      </c>
      <c r="AH161" s="3">
        <f t="shared" si="17"/>
        <v>1</v>
      </c>
      <c r="AI161" s="3" t="str">
        <f t="shared" si="18"/>
        <v/>
      </c>
      <c r="AJ161" s="3">
        <f t="shared" si="19"/>
        <v>0</v>
      </c>
    </row>
    <row r="162">
      <c r="C162" s="6" t="s">
        <v>162</v>
      </c>
      <c r="D162" s="3">
        <f t="shared" si="1"/>
        <v>1</v>
      </c>
      <c r="E162" s="3" t="str">
        <f>IFERROR(__xludf.DUMMYFUNCTION("REGEXEXTRACT(C162,""[^ ]* [^ ]*"")"),"pale turquoise")</f>
        <v>pale turquoise</v>
      </c>
      <c r="F162" s="3" t="str">
        <f>IFERROR(__xludf.DUMMYFUNCTION("MID(REGEXEXTRACT(C162,""contain.*$""),9,300)"),"1 pale coral bag, 3 dim teal bags.")</f>
        <v>1 pale coral bag, 3 dim teal bags.</v>
      </c>
      <c r="G162" s="3" t="str">
        <f>IFERROR(__xludf.DUMMYFUNCTION("INDEX(SPLIT($F162,"",""),COLUMN()-6)"),"1 pale coral bag")</f>
        <v>1 pale coral bag</v>
      </c>
      <c r="H162" s="3" t="str">
        <f>IFERROR(__xludf.DUMMYFUNCTION("MID(INDEX(SPLIT($F162,"",""),COLUMN()-6),2,300)"),"3 dim teal bags.")</f>
        <v>3 dim teal bags.</v>
      </c>
      <c r="I162" s="3" t="str">
        <f>IFERROR(__xludf.DUMMYFUNCTION("MID(INDEX(SPLIT($F162,"",""),COLUMN()-6),2,300)"),"#REF!")</f>
        <v>#REF!</v>
      </c>
      <c r="J162" s="3" t="str">
        <f>IFERROR(__xludf.DUMMYFUNCTION("MID(INDEX(SPLIT($F162,"",""),COLUMN()-6),2,300)"),"#REF!")</f>
        <v>#REF!</v>
      </c>
      <c r="K162" s="3">
        <f>IFERROR(__xludf.DUMMYFUNCTION("INDEX(SPLIT(G162,"" ""),1)"),1.0)</f>
        <v>1</v>
      </c>
      <c r="L162" s="3" t="str">
        <f>IFERROR(__xludf.DUMMYFUNCTION("REGEXEXTRACT(G162,"" [^ ]* [^ ]* "")")," pale coral ")</f>
        <v> pale coral </v>
      </c>
      <c r="M162" s="3">
        <f>IFERROR(__xludf.DUMMYFUNCTION("INDEX(SPLIT(H162,"" ""),1)"),3.0)</f>
        <v>3</v>
      </c>
      <c r="N162" s="3" t="str">
        <f>IFERROR(__xludf.DUMMYFUNCTION("MID(REGEXEXTRACT(H162,"" [^ ]* [^ ]*""),2,300)"),"dim teal")</f>
        <v>dim teal</v>
      </c>
      <c r="O162" s="3" t="str">
        <f>IFERROR(__xludf.DUMMYFUNCTION("INDEX(SPLIT(I162,"" ""),1)"),"#REF!")</f>
        <v>#REF!</v>
      </c>
      <c r="P162" s="3" t="str">
        <f>IFERROR(__xludf.DUMMYFUNCTION("MID(REGEXEXTRACT(I162,"" [^ ]* [^ ]*""),2,300)"),"#REF!")</f>
        <v>#REF!</v>
      </c>
      <c r="Q162" s="3" t="str">
        <f>IFERROR(__xludf.DUMMYFUNCTION("INDEX(SPLIT(J162,"" ""),1)"),"#REF!")</f>
        <v>#REF!</v>
      </c>
      <c r="R162" s="3" t="str">
        <f>IFERROR(__xludf.DUMMYFUNCTION("MID(REGEXEXTRACT(J162,"" [^ ]* [^ ]*""),2,300)"),"#REF!")</f>
        <v>#REF!</v>
      </c>
      <c r="S162" s="3">
        <f t="shared" si="2"/>
        <v>1</v>
      </c>
      <c r="T162" s="3" t="str">
        <f t="shared" si="3"/>
        <v>pale coral</v>
      </c>
      <c r="U162" s="3">
        <f t="shared" si="4"/>
        <v>3</v>
      </c>
      <c r="V162" s="3" t="str">
        <f t="shared" si="5"/>
        <v>dim teal</v>
      </c>
      <c r="W162" s="3" t="str">
        <f t="shared" si="6"/>
        <v/>
      </c>
      <c r="X162" s="3" t="str">
        <f t="shared" si="7"/>
        <v/>
      </c>
      <c r="Y162" s="3" t="str">
        <f t="shared" si="8"/>
        <v/>
      </c>
      <c r="Z162" s="3" t="str">
        <f t="shared" si="9"/>
        <v/>
      </c>
      <c r="AA162" s="13">
        <f t="shared" si="10"/>
        <v>187357169</v>
      </c>
      <c r="AB162" s="3">
        <f t="shared" si="11"/>
        <v>187357168</v>
      </c>
      <c r="AC162" s="3">
        <f t="shared" si="12"/>
        <v>1</v>
      </c>
      <c r="AD162" s="3">
        <f t="shared" si="13"/>
        <v>79927</v>
      </c>
      <c r="AE162" s="3">
        <f t="shared" si="14"/>
        <v>3</v>
      </c>
      <c r="AF162" s="3">
        <f t="shared" si="15"/>
        <v>62425747</v>
      </c>
      <c r="AG162" s="3" t="str">
        <f t="shared" si="16"/>
        <v/>
      </c>
      <c r="AH162" s="3">
        <f t="shared" si="17"/>
        <v>0</v>
      </c>
      <c r="AI162" s="3" t="str">
        <f t="shared" si="18"/>
        <v/>
      </c>
      <c r="AJ162" s="3">
        <f t="shared" si="19"/>
        <v>0</v>
      </c>
    </row>
    <row r="163">
      <c r="C163" s="6" t="s">
        <v>163</v>
      </c>
      <c r="D163" s="3">
        <f t="shared" si="1"/>
        <v>0</v>
      </c>
      <c r="E163" s="3" t="str">
        <f>IFERROR(__xludf.DUMMYFUNCTION("REGEXEXTRACT(C163,""[^ ]* [^ ]*"")"),"plaid maroon")</f>
        <v>plaid maroon</v>
      </c>
      <c r="F163" s="3" t="str">
        <f>IFERROR(__xludf.DUMMYFUNCTION("MID(REGEXEXTRACT(C163,""contain.*$""),9,300)"),"5 posh maroon bags.")</f>
        <v>5 posh maroon bags.</v>
      </c>
      <c r="G163" s="3" t="str">
        <f>IFERROR(__xludf.DUMMYFUNCTION("INDEX(SPLIT($F163,"",""),COLUMN()-6)"),"5 posh maroon bags.")</f>
        <v>5 posh maroon bags.</v>
      </c>
      <c r="H163" s="3" t="str">
        <f>IFERROR(__xludf.DUMMYFUNCTION("MID(INDEX(SPLIT($F163,"",""),COLUMN()-6),2,300)"),"#REF!")</f>
        <v>#REF!</v>
      </c>
      <c r="I163" s="3" t="str">
        <f>IFERROR(__xludf.DUMMYFUNCTION("MID(INDEX(SPLIT($F163,"",""),COLUMN()-6),2,300)"),"#REF!")</f>
        <v>#REF!</v>
      </c>
      <c r="J163" s="3" t="str">
        <f>IFERROR(__xludf.DUMMYFUNCTION("MID(INDEX(SPLIT($F163,"",""),COLUMN()-6),2,300)"),"#REF!")</f>
        <v>#REF!</v>
      </c>
      <c r="K163" s="3">
        <f>IFERROR(__xludf.DUMMYFUNCTION("INDEX(SPLIT(G163,"" ""),1)"),5.0)</f>
        <v>5</v>
      </c>
      <c r="L163" s="3" t="str">
        <f>IFERROR(__xludf.DUMMYFUNCTION("REGEXEXTRACT(G163,"" [^ ]* [^ ]* "")")," posh maroon ")</f>
        <v> posh maroon </v>
      </c>
      <c r="M163" s="3" t="str">
        <f>IFERROR(__xludf.DUMMYFUNCTION("INDEX(SPLIT(H163,"" ""),1)"),"#REF!")</f>
        <v>#REF!</v>
      </c>
      <c r="N163" s="3" t="str">
        <f>IFERROR(__xludf.DUMMYFUNCTION("MID(REGEXEXTRACT(H163,"" [^ ]* [^ ]*""),2,300)"),"#REF!")</f>
        <v>#REF!</v>
      </c>
      <c r="O163" s="3" t="str">
        <f>IFERROR(__xludf.DUMMYFUNCTION("INDEX(SPLIT(I163,"" ""),1)"),"#REF!")</f>
        <v>#REF!</v>
      </c>
      <c r="P163" s="3" t="str">
        <f>IFERROR(__xludf.DUMMYFUNCTION("MID(REGEXEXTRACT(I163,"" [^ ]* [^ ]*""),2,300)"),"#REF!")</f>
        <v>#REF!</v>
      </c>
      <c r="Q163" s="3" t="str">
        <f>IFERROR(__xludf.DUMMYFUNCTION("INDEX(SPLIT(J163,"" ""),1)"),"#REF!")</f>
        <v>#REF!</v>
      </c>
      <c r="R163" s="3" t="str">
        <f>IFERROR(__xludf.DUMMYFUNCTION("MID(REGEXEXTRACT(J163,"" [^ ]* [^ ]*""),2,300)"),"#REF!")</f>
        <v>#REF!</v>
      </c>
      <c r="S163" s="3">
        <f t="shared" si="2"/>
        <v>5</v>
      </c>
      <c r="T163" s="3" t="str">
        <f t="shared" si="3"/>
        <v>posh maroon</v>
      </c>
      <c r="U163" s="3" t="str">
        <f t="shared" si="4"/>
        <v/>
      </c>
      <c r="V163" s="3" t="str">
        <f t="shared" si="5"/>
        <v/>
      </c>
      <c r="W163" s="3" t="str">
        <f t="shared" si="6"/>
        <v/>
      </c>
      <c r="X163" s="3" t="str">
        <f t="shared" si="7"/>
        <v/>
      </c>
      <c r="Y163" s="3" t="str">
        <f t="shared" si="8"/>
        <v/>
      </c>
      <c r="Z163" s="3" t="str">
        <f t="shared" si="9"/>
        <v/>
      </c>
      <c r="AA163" s="13">
        <f t="shared" si="10"/>
        <v>134688116</v>
      </c>
      <c r="AB163" s="3">
        <f t="shared" si="11"/>
        <v>134688115</v>
      </c>
      <c r="AC163" s="3">
        <f t="shared" si="12"/>
        <v>5</v>
      </c>
      <c r="AD163" s="3">
        <f t="shared" si="13"/>
        <v>26937623</v>
      </c>
      <c r="AE163" s="3" t="str">
        <f t="shared" si="14"/>
        <v/>
      </c>
      <c r="AF163" s="3">
        <f t="shared" si="15"/>
        <v>0</v>
      </c>
      <c r="AG163" s="3" t="str">
        <f t="shared" si="16"/>
        <v/>
      </c>
      <c r="AH163" s="3">
        <f t="shared" si="17"/>
        <v>0</v>
      </c>
      <c r="AI163" s="3" t="str">
        <f t="shared" si="18"/>
        <v/>
      </c>
      <c r="AJ163" s="3">
        <f t="shared" si="19"/>
        <v>0</v>
      </c>
    </row>
    <row r="164">
      <c r="C164" s="6" t="s">
        <v>164</v>
      </c>
      <c r="D164" s="3">
        <f t="shared" si="1"/>
        <v>0</v>
      </c>
      <c r="E164" s="3" t="str">
        <f>IFERROR(__xludf.DUMMYFUNCTION("REGEXEXTRACT(C164,""[^ ]* [^ ]*"")"),"vibrant beige")</f>
        <v>vibrant beige</v>
      </c>
      <c r="F164" s="3" t="str">
        <f>IFERROR(__xludf.DUMMYFUNCTION("MID(REGEXEXTRACT(C164,""contain.*$""),9,300)"),"5 dull coral bags.")</f>
        <v>5 dull coral bags.</v>
      </c>
      <c r="G164" s="3" t="str">
        <f>IFERROR(__xludf.DUMMYFUNCTION("INDEX(SPLIT($F164,"",""),COLUMN()-6)"),"5 dull coral bags.")</f>
        <v>5 dull coral bags.</v>
      </c>
      <c r="H164" s="3" t="str">
        <f>IFERROR(__xludf.DUMMYFUNCTION("MID(INDEX(SPLIT($F164,"",""),COLUMN()-6),2,300)"),"#REF!")</f>
        <v>#REF!</v>
      </c>
      <c r="I164" s="3" t="str">
        <f>IFERROR(__xludf.DUMMYFUNCTION("MID(INDEX(SPLIT($F164,"",""),COLUMN()-6),2,300)"),"#REF!")</f>
        <v>#REF!</v>
      </c>
      <c r="J164" s="3" t="str">
        <f>IFERROR(__xludf.DUMMYFUNCTION("MID(INDEX(SPLIT($F164,"",""),COLUMN()-6),2,300)"),"#REF!")</f>
        <v>#REF!</v>
      </c>
      <c r="K164" s="3">
        <f>IFERROR(__xludf.DUMMYFUNCTION("INDEX(SPLIT(G164,"" ""),1)"),5.0)</f>
        <v>5</v>
      </c>
      <c r="L164" s="3" t="str">
        <f>IFERROR(__xludf.DUMMYFUNCTION("REGEXEXTRACT(G164,"" [^ ]* [^ ]* "")")," dull coral ")</f>
        <v> dull coral </v>
      </c>
      <c r="M164" s="3" t="str">
        <f>IFERROR(__xludf.DUMMYFUNCTION("INDEX(SPLIT(H164,"" ""),1)"),"#REF!")</f>
        <v>#REF!</v>
      </c>
      <c r="N164" s="3" t="str">
        <f>IFERROR(__xludf.DUMMYFUNCTION("MID(REGEXEXTRACT(H164,"" [^ ]* [^ ]*""),2,300)"),"#REF!")</f>
        <v>#REF!</v>
      </c>
      <c r="O164" s="3" t="str">
        <f>IFERROR(__xludf.DUMMYFUNCTION("INDEX(SPLIT(I164,"" ""),1)"),"#REF!")</f>
        <v>#REF!</v>
      </c>
      <c r="P164" s="3" t="str">
        <f>IFERROR(__xludf.DUMMYFUNCTION("MID(REGEXEXTRACT(I164,"" [^ ]* [^ ]*""),2,300)"),"#REF!")</f>
        <v>#REF!</v>
      </c>
      <c r="Q164" s="3" t="str">
        <f>IFERROR(__xludf.DUMMYFUNCTION("INDEX(SPLIT(J164,"" ""),1)"),"#REF!")</f>
        <v>#REF!</v>
      </c>
      <c r="R164" s="3" t="str">
        <f>IFERROR(__xludf.DUMMYFUNCTION("MID(REGEXEXTRACT(J164,"" [^ ]* [^ ]*""),2,300)"),"#REF!")</f>
        <v>#REF!</v>
      </c>
      <c r="S164" s="3">
        <f t="shared" si="2"/>
        <v>5</v>
      </c>
      <c r="T164" s="3" t="str">
        <f t="shared" si="3"/>
        <v>dull coral</v>
      </c>
      <c r="U164" s="3" t="str">
        <f t="shared" si="4"/>
        <v/>
      </c>
      <c r="V164" s="3" t="str">
        <f t="shared" si="5"/>
        <v/>
      </c>
      <c r="W164" s="3" t="str">
        <f t="shared" si="6"/>
        <v/>
      </c>
      <c r="X164" s="3" t="str">
        <f t="shared" si="7"/>
        <v/>
      </c>
      <c r="Y164" s="3" t="str">
        <f t="shared" si="8"/>
        <v/>
      </c>
      <c r="Z164" s="3" t="str">
        <f t="shared" si="9"/>
        <v/>
      </c>
      <c r="AA164" s="13">
        <f t="shared" si="10"/>
        <v>4621</v>
      </c>
      <c r="AB164" s="3">
        <f t="shared" si="11"/>
        <v>4620</v>
      </c>
      <c r="AC164" s="3">
        <f t="shared" si="12"/>
        <v>5</v>
      </c>
      <c r="AD164" s="3">
        <f t="shared" si="13"/>
        <v>924</v>
      </c>
      <c r="AE164" s="3" t="str">
        <f t="shared" si="14"/>
        <v/>
      </c>
      <c r="AF164" s="3">
        <f t="shared" si="15"/>
        <v>0</v>
      </c>
      <c r="AG164" s="3" t="str">
        <f t="shared" si="16"/>
        <v/>
      </c>
      <c r="AH164" s="3">
        <f t="shared" si="17"/>
        <v>0</v>
      </c>
      <c r="AI164" s="3" t="str">
        <f t="shared" si="18"/>
        <v/>
      </c>
      <c r="AJ164" s="3">
        <f t="shared" si="19"/>
        <v>0</v>
      </c>
    </row>
    <row r="165">
      <c r="C165" s="6" t="s">
        <v>165</v>
      </c>
      <c r="D165" s="3">
        <f t="shared" si="1"/>
        <v>2</v>
      </c>
      <c r="E165" s="3" t="str">
        <f>IFERROR(__xludf.DUMMYFUNCTION("REGEXEXTRACT(C165,""[^ ]* [^ ]*"")"),"bright purple")</f>
        <v>bright purple</v>
      </c>
      <c r="F165" s="3" t="str">
        <f>IFERROR(__xludf.DUMMYFUNCTION("MID(REGEXEXTRACT(C165,""contain.*$""),9,300)"),"2 vibrant salmon bags, 5 dotted purple bags, 5 clear silver bags.")</f>
        <v>2 vibrant salmon bags, 5 dotted purple bags, 5 clear silver bags.</v>
      </c>
      <c r="G165" s="3" t="str">
        <f>IFERROR(__xludf.DUMMYFUNCTION("INDEX(SPLIT($F165,"",""),COLUMN()-6)"),"2 vibrant salmon bags")</f>
        <v>2 vibrant salmon bags</v>
      </c>
      <c r="H165" s="3" t="str">
        <f>IFERROR(__xludf.DUMMYFUNCTION("MID(INDEX(SPLIT($F165,"",""),COLUMN()-6),2,300)"),"5 dotted purple bags")</f>
        <v>5 dotted purple bags</v>
      </c>
      <c r="I165" s="3" t="str">
        <f>IFERROR(__xludf.DUMMYFUNCTION("MID(INDEX(SPLIT($F165,"",""),COLUMN()-6),2,300)"),"5 clear silver bags.")</f>
        <v>5 clear silver bags.</v>
      </c>
      <c r="J165" s="3" t="str">
        <f>IFERROR(__xludf.DUMMYFUNCTION("MID(INDEX(SPLIT($F165,"",""),COLUMN()-6),2,300)"),"#REF!")</f>
        <v>#REF!</v>
      </c>
      <c r="K165" s="3">
        <f>IFERROR(__xludf.DUMMYFUNCTION("INDEX(SPLIT(G165,"" ""),1)"),2.0)</f>
        <v>2</v>
      </c>
      <c r="L165" s="3" t="str">
        <f>IFERROR(__xludf.DUMMYFUNCTION("REGEXEXTRACT(G165,"" [^ ]* [^ ]* "")")," vibrant salmon ")</f>
        <v> vibrant salmon </v>
      </c>
      <c r="M165" s="3">
        <f>IFERROR(__xludf.DUMMYFUNCTION("INDEX(SPLIT(H165,"" ""),1)"),5.0)</f>
        <v>5</v>
      </c>
      <c r="N165" s="3" t="str">
        <f>IFERROR(__xludf.DUMMYFUNCTION("MID(REGEXEXTRACT(H165,"" [^ ]* [^ ]*""),2,300)"),"dotted purple")</f>
        <v>dotted purple</v>
      </c>
      <c r="O165" s="3">
        <f>IFERROR(__xludf.DUMMYFUNCTION("INDEX(SPLIT(I165,"" ""),1)"),5.0)</f>
        <v>5</v>
      </c>
      <c r="P165" s="3" t="str">
        <f>IFERROR(__xludf.DUMMYFUNCTION("MID(REGEXEXTRACT(I165,"" [^ ]* [^ ]*""),2,300)"),"clear silver")</f>
        <v>clear silver</v>
      </c>
      <c r="Q165" s="3" t="str">
        <f>IFERROR(__xludf.DUMMYFUNCTION("INDEX(SPLIT(J165,"" ""),1)"),"#REF!")</f>
        <v>#REF!</v>
      </c>
      <c r="R165" s="3" t="str">
        <f>IFERROR(__xludf.DUMMYFUNCTION("MID(REGEXEXTRACT(J165,"" [^ ]* [^ ]*""),2,300)"),"#REF!")</f>
        <v>#REF!</v>
      </c>
      <c r="S165" s="3">
        <f t="shared" si="2"/>
        <v>2</v>
      </c>
      <c r="T165" s="3" t="str">
        <f t="shared" si="3"/>
        <v>vibrant salmon</v>
      </c>
      <c r="U165" s="3">
        <f t="shared" si="4"/>
        <v>5</v>
      </c>
      <c r="V165" s="3" t="str">
        <f t="shared" si="5"/>
        <v>dotted purple</v>
      </c>
      <c r="W165" s="3">
        <f t="shared" si="6"/>
        <v>5</v>
      </c>
      <c r="X165" s="3" t="str">
        <f t="shared" si="7"/>
        <v>clear silver</v>
      </c>
      <c r="Y165" s="3" t="str">
        <f t="shared" si="8"/>
        <v/>
      </c>
      <c r="Z165" s="3" t="str">
        <f t="shared" si="9"/>
        <v/>
      </c>
      <c r="AA165" s="13">
        <f t="shared" si="10"/>
        <v>6441642</v>
      </c>
      <c r="AB165" s="3">
        <f t="shared" si="11"/>
        <v>6441641</v>
      </c>
      <c r="AC165" s="3">
        <f t="shared" si="12"/>
        <v>2</v>
      </c>
      <c r="AD165" s="3">
        <f t="shared" si="13"/>
        <v>3172113</v>
      </c>
      <c r="AE165" s="3">
        <f t="shared" si="14"/>
        <v>5</v>
      </c>
      <c r="AF165" s="3">
        <f t="shared" si="15"/>
        <v>19266</v>
      </c>
      <c r="AG165" s="3">
        <f t="shared" si="16"/>
        <v>5</v>
      </c>
      <c r="AH165" s="3">
        <f t="shared" si="17"/>
        <v>217</v>
      </c>
      <c r="AI165" s="3" t="str">
        <f t="shared" si="18"/>
        <v/>
      </c>
      <c r="AJ165" s="3">
        <f t="shared" si="19"/>
        <v>0</v>
      </c>
    </row>
    <row r="166">
      <c r="C166" s="6" t="s">
        <v>166</v>
      </c>
      <c r="D166" s="3">
        <f t="shared" si="1"/>
        <v>2</v>
      </c>
      <c r="E166" s="3" t="str">
        <f>IFERROR(__xludf.DUMMYFUNCTION("REGEXEXTRACT(C166,""[^ ]* [^ ]*"")"),"dull coral")</f>
        <v>dull coral</v>
      </c>
      <c r="F166" s="3" t="str">
        <f>IFERROR(__xludf.DUMMYFUNCTION("MID(REGEXEXTRACT(C166,""contain.*$""),9,300)"),"4 vibrant aqua bags, 3 dotted brown bags, 4 shiny coral bags.")</f>
        <v>4 vibrant aqua bags, 3 dotted brown bags, 4 shiny coral bags.</v>
      </c>
      <c r="G166" s="3" t="str">
        <f>IFERROR(__xludf.DUMMYFUNCTION("INDEX(SPLIT($F166,"",""),COLUMN()-6)"),"4 vibrant aqua bags")</f>
        <v>4 vibrant aqua bags</v>
      </c>
      <c r="H166" s="3" t="str">
        <f>IFERROR(__xludf.DUMMYFUNCTION("MID(INDEX(SPLIT($F166,"",""),COLUMN()-6),2,300)"),"3 dotted brown bags")</f>
        <v>3 dotted brown bags</v>
      </c>
      <c r="I166" s="3" t="str">
        <f>IFERROR(__xludf.DUMMYFUNCTION("MID(INDEX(SPLIT($F166,"",""),COLUMN()-6),2,300)"),"4 shiny coral bags.")</f>
        <v>4 shiny coral bags.</v>
      </c>
      <c r="J166" s="3" t="str">
        <f>IFERROR(__xludf.DUMMYFUNCTION("MID(INDEX(SPLIT($F166,"",""),COLUMN()-6),2,300)"),"#REF!")</f>
        <v>#REF!</v>
      </c>
      <c r="K166" s="3">
        <f>IFERROR(__xludf.DUMMYFUNCTION("INDEX(SPLIT(G166,"" ""),1)"),4.0)</f>
        <v>4</v>
      </c>
      <c r="L166" s="3" t="str">
        <f>IFERROR(__xludf.DUMMYFUNCTION("REGEXEXTRACT(G166,"" [^ ]* [^ ]* "")")," vibrant aqua ")</f>
        <v> vibrant aqua </v>
      </c>
      <c r="M166" s="3">
        <f>IFERROR(__xludf.DUMMYFUNCTION("INDEX(SPLIT(H166,"" ""),1)"),3.0)</f>
        <v>3</v>
      </c>
      <c r="N166" s="3" t="str">
        <f>IFERROR(__xludf.DUMMYFUNCTION("MID(REGEXEXTRACT(H166,"" [^ ]* [^ ]*""),2,300)"),"dotted brown")</f>
        <v>dotted brown</v>
      </c>
      <c r="O166" s="3">
        <f>IFERROR(__xludf.DUMMYFUNCTION("INDEX(SPLIT(I166,"" ""),1)"),4.0)</f>
        <v>4</v>
      </c>
      <c r="P166" s="3" t="str">
        <f>IFERROR(__xludf.DUMMYFUNCTION("MID(REGEXEXTRACT(I166,"" [^ ]* [^ ]*""),2,300)"),"shiny coral")</f>
        <v>shiny coral</v>
      </c>
      <c r="Q166" s="3" t="str">
        <f>IFERROR(__xludf.DUMMYFUNCTION("INDEX(SPLIT(J166,"" ""),1)"),"#REF!")</f>
        <v>#REF!</v>
      </c>
      <c r="R166" s="3" t="str">
        <f>IFERROR(__xludf.DUMMYFUNCTION("MID(REGEXEXTRACT(J166,"" [^ ]* [^ ]*""),2,300)"),"#REF!")</f>
        <v>#REF!</v>
      </c>
      <c r="S166" s="3">
        <f t="shared" si="2"/>
        <v>4</v>
      </c>
      <c r="T166" s="3" t="str">
        <f t="shared" si="3"/>
        <v>vibrant aqua</v>
      </c>
      <c r="U166" s="3">
        <f t="shared" si="4"/>
        <v>3</v>
      </c>
      <c r="V166" s="3" t="str">
        <f t="shared" si="5"/>
        <v>dotted brown</v>
      </c>
      <c r="W166" s="3">
        <f t="shared" si="6"/>
        <v>4</v>
      </c>
      <c r="X166" s="3" t="str">
        <f t="shared" si="7"/>
        <v>shiny coral</v>
      </c>
      <c r="Y166" s="3" t="str">
        <f t="shared" si="8"/>
        <v/>
      </c>
      <c r="Z166" s="3" t="str">
        <f t="shared" si="9"/>
        <v/>
      </c>
      <c r="AA166" s="13">
        <f t="shared" si="10"/>
        <v>924</v>
      </c>
      <c r="AB166" s="3">
        <f t="shared" si="11"/>
        <v>923</v>
      </c>
      <c r="AC166" s="3">
        <f t="shared" si="12"/>
        <v>4</v>
      </c>
      <c r="AD166" s="3">
        <f t="shared" si="13"/>
        <v>1</v>
      </c>
      <c r="AE166" s="3">
        <f t="shared" si="14"/>
        <v>3</v>
      </c>
      <c r="AF166" s="3">
        <f t="shared" si="15"/>
        <v>305</v>
      </c>
      <c r="AG166" s="3">
        <f t="shared" si="16"/>
        <v>4</v>
      </c>
      <c r="AH166" s="3">
        <f t="shared" si="17"/>
        <v>1</v>
      </c>
      <c r="AI166" s="3" t="str">
        <f t="shared" si="18"/>
        <v/>
      </c>
      <c r="AJ166" s="3">
        <f t="shared" si="19"/>
        <v>0</v>
      </c>
    </row>
    <row r="167">
      <c r="C167" s="6" t="s">
        <v>167</v>
      </c>
      <c r="D167" s="3">
        <f t="shared" si="1"/>
        <v>0</v>
      </c>
      <c r="E167" s="3" t="str">
        <f>IFERROR(__xludf.DUMMYFUNCTION("REGEXEXTRACT(C167,""[^ ]* [^ ]*"")"),"drab gray")</f>
        <v>drab gray</v>
      </c>
      <c r="F167" s="3" t="str">
        <f>IFERROR(__xludf.DUMMYFUNCTION("MID(REGEXEXTRACT(C167,""contain.*$""),9,300)"),"4 vibrant lavender bags.")</f>
        <v>4 vibrant lavender bags.</v>
      </c>
      <c r="G167" s="3" t="str">
        <f>IFERROR(__xludf.DUMMYFUNCTION("INDEX(SPLIT($F167,"",""),COLUMN()-6)"),"4 vibrant lavender bags.")</f>
        <v>4 vibrant lavender bags.</v>
      </c>
      <c r="H167" s="3" t="str">
        <f>IFERROR(__xludf.DUMMYFUNCTION("MID(INDEX(SPLIT($F167,"",""),COLUMN()-6),2,300)"),"#REF!")</f>
        <v>#REF!</v>
      </c>
      <c r="I167" s="3" t="str">
        <f>IFERROR(__xludf.DUMMYFUNCTION("MID(INDEX(SPLIT($F167,"",""),COLUMN()-6),2,300)"),"#REF!")</f>
        <v>#REF!</v>
      </c>
      <c r="J167" s="3" t="str">
        <f>IFERROR(__xludf.DUMMYFUNCTION("MID(INDEX(SPLIT($F167,"",""),COLUMN()-6),2,300)"),"#REF!")</f>
        <v>#REF!</v>
      </c>
      <c r="K167" s="3">
        <f>IFERROR(__xludf.DUMMYFUNCTION("INDEX(SPLIT(G167,"" ""),1)"),4.0)</f>
        <v>4</v>
      </c>
      <c r="L167" s="3" t="str">
        <f>IFERROR(__xludf.DUMMYFUNCTION("REGEXEXTRACT(G167,"" [^ ]* [^ ]* "")")," vibrant lavender ")</f>
        <v> vibrant lavender </v>
      </c>
      <c r="M167" s="3" t="str">
        <f>IFERROR(__xludf.DUMMYFUNCTION("INDEX(SPLIT(H167,"" ""),1)"),"#REF!")</f>
        <v>#REF!</v>
      </c>
      <c r="N167" s="3" t="str">
        <f>IFERROR(__xludf.DUMMYFUNCTION("MID(REGEXEXTRACT(H167,"" [^ ]* [^ ]*""),2,300)"),"#REF!")</f>
        <v>#REF!</v>
      </c>
      <c r="O167" s="3" t="str">
        <f>IFERROR(__xludf.DUMMYFUNCTION("INDEX(SPLIT(I167,"" ""),1)"),"#REF!")</f>
        <v>#REF!</v>
      </c>
      <c r="P167" s="3" t="str">
        <f>IFERROR(__xludf.DUMMYFUNCTION("MID(REGEXEXTRACT(I167,"" [^ ]* [^ ]*""),2,300)"),"#REF!")</f>
        <v>#REF!</v>
      </c>
      <c r="Q167" s="3" t="str">
        <f>IFERROR(__xludf.DUMMYFUNCTION("INDEX(SPLIT(J167,"" ""),1)"),"#REF!")</f>
        <v>#REF!</v>
      </c>
      <c r="R167" s="3" t="str">
        <f>IFERROR(__xludf.DUMMYFUNCTION("MID(REGEXEXTRACT(J167,"" [^ ]* [^ ]*""),2,300)"),"#REF!")</f>
        <v>#REF!</v>
      </c>
      <c r="S167" s="3">
        <f t="shared" si="2"/>
        <v>4</v>
      </c>
      <c r="T167" s="3" t="str">
        <f t="shared" si="3"/>
        <v>vibrant lavender</v>
      </c>
      <c r="U167" s="3" t="str">
        <f t="shared" si="4"/>
        <v/>
      </c>
      <c r="V167" s="3" t="str">
        <f t="shared" si="5"/>
        <v/>
      </c>
      <c r="W167" s="3" t="str">
        <f t="shared" si="6"/>
        <v/>
      </c>
      <c r="X167" s="3" t="str">
        <f t="shared" si="7"/>
        <v/>
      </c>
      <c r="Y167" s="3" t="str">
        <f t="shared" si="8"/>
        <v/>
      </c>
      <c r="Z167" s="3" t="str">
        <f t="shared" si="9"/>
        <v/>
      </c>
      <c r="AA167" s="13">
        <f t="shared" si="10"/>
        <v>2783489</v>
      </c>
      <c r="AB167" s="3">
        <f t="shared" si="11"/>
        <v>2783488</v>
      </c>
      <c r="AC167" s="3">
        <f t="shared" si="12"/>
        <v>4</v>
      </c>
      <c r="AD167" s="3">
        <f t="shared" si="13"/>
        <v>695872</v>
      </c>
      <c r="AE167" s="3" t="str">
        <f t="shared" si="14"/>
        <v/>
      </c>
      <c r="AF167" s="3">
        <f t="shared" si="15"/>
        <v>0</v>
      </c>
      <c r="AG167" s="3" t="str">
        <f t="shared" si="16"/>
        <v/>
      </c>
      <c r="AH167" s="3">
        <f t="shared" si="17"/>
        <v>0</v>
      </c>
      <c r="AI167" s="3" t="str">
        <f t="shared" si="18"/>
        <v/>
      </c>
      <c r="AJ167" s="3">
        <f t="shared" si="19"/>
        <v>0</v>
      </c>
    </row>
    <row r="168">
      <c r="C168" s="6" t="s">
        <v>168</v>
      </c>
      <c r="D168" s="3">
        <f t="shared" si="1"/>
        <v>3</v>
      </c>
      <c r="E168" s="3" t="str">
        <f>IFERROR(__xludf.DUMMYFUNCTION("REGEXEXTRACT(C168,""[^ ]* [^ ]*"")"),"dull lavender")</f>
        <v>dull lavender</v>
      </c>
      <c r="F168" s="3" t="str">
        <f>IFERROR(__xludf.DUMMYFUNCTION("MID(REGEXEXTRACT(C168,""contain.*$""),9,300)"),"3 vibrant lavender bags, 1 posh red bag, 4 drab tan bags, 3 light purple bags.")</f>
        <v>3 vibrant lavender bags, 1 posh red bag, 4 drab tan bags, 3 light purple bags.</v>
      </c>
      <c r="G168" s="3" t="str">
        <f>IFERROR(__xludf.DUMMYFUNCTION("INDEX(SPLIT($F168,"",""),COLUMN()-6)"),"3 vibrant lavender bags")</f>
        <v>3 vibrant lavender bags</v>
      </c>
      <c r="H168" s="3" t="str">
        <f>IFERROR(__xludf.DUMMYFUNCTION("MID(INDEX(SPLIT($F168,"",""),COLUMN()-6),2,300)"),"1 posh red bag")</f>
        <v>1 posh red bag</v>
      </c>
      <c r="I168" s="3" t="str">
        <f>IFERROR(__xludf.DUMMYFUNCTION("MID(INDEX(SPLIT($F168,"",""),COLUMN()-6),2,300)"),"4 drab tan bags")</f>
        <v>4 drab tan bags</v>
      </c>
      <c r="J168" s="3" t="str">
        <f>IFERROR(__xludf.DUMMYFUNCTION("MID(INDEX(SPLIT($F168,"",""),COLUMN()-6),2,300)"),"3 light purple bags.")</f>
        <v>3 light purple bags.</v>
      </c>
      <c r="K168" s="3">
        <f>IFERROR(__xludf.DUMMYFUNCTION("INDEX(SPLIT(G168,"" ""),1)"),3.0)</f>
        <v>3</v>
      </c>
      <c r="L168" s="3" t="str">
        <f>IFERROR(__xludf.DUMMYFUNCTION("REGEXEXTRACT(G168,"" [^ ]* [^ ]* "")")," vibrant lavender ")</f>
        <v> vibrant lavender </v>
      </c>
      <c r="M168" s="3">
        <f>IFERROR(__xludf.DUMMYFUNCTION("INDEX(SPLIT(H168,"" ""),1)"),1.0)</f>
        <v>1</v>
      </c>
      <c r="N168" s="3" t="str">
        <f>IFERROR(__xludf.DUMMYFUNCTION("MID(REGEXEXTRACT(H168,"" [^ ]* [^ ]*""),2,300)"),"posh red")</f>
        <v>posh red</v>
      </c>
      <c r="O168" s="3">
        <f>IFERROR(__xludf.DUMMYFUNCTION("INDEX(SPLIT(I168,"" ""),1)"),4.0)</f>
        <v>4</v>
      </c>
      <c r="P168" s="3" t="str">
        <f>IFERROR(__xludf.DUMMYFUNCTION("MID(REGEXEXTRACT(I168,"" [^ ]* [^ ]*""),2,300)"),"drab tan")</f>
        <v>drab tan</v>
      </c>
      <c r="Q168" s="3">
        <f>IFERROR(__xludf.DUMMYFUNCTION("INDEX(SPLIT(J168,"" ""),1)"),3.0)</f>
        <v>3</v>
      </c>
      <c r="R168" s="3" t="str">
        <f>IFERROR(__xludf.DUMMYFUNCTION("MID(REGEXEXTRACT(J168,"" [^ ]* [^ ]*""),2,300)"),"light purple")</f>
        <v>light purple</v>
      </c>
      <c r="S168" s="3">
        <f t="shared" si="2"/>
        <v>3</v>
      </c>
      <c r="T168" s="3" t="str">
        <f t="shared" si="3"/>
        <v>vibrant lavender</v>
      </c>
      <c r="U168" s="3">
        <f t="shared" si="4"/>
        <v>1</v>
      </c>
      <c r="V168" s="3" t="str">
        <f t="shared" si="5"/>
        <v>posh red</v>
      </c>
      <c r="W168" s="3">
        <f t="shared" si="6"/>
        <v>4</v>
      </c>
      <c r="X168" s="3" t="str">
        <f t="shared" si="7"/>
        <v>drab tan</v>
      </c>
      <c r="Y168" s="3">
        <f t="shared" si="8"/>
        <v>3</v>
      </c>
      <c r="Z168" s="3" t="str">
        <f t="shared" si="9"/>
        <v>light purple</v>
      </c>
      <c r="AA168" s="13">
        <f t="shared" si="10"/>
        <v>17050595</v>
      </c>
      <c r="AB168" s="3">
        <f t="shared" si="11"/>
        <v>17050594</v>
      </c>
      <c r="AC168" s="3">
        <f t="shared" si="12"/>
        <v>3</v>
      </c>
      <c r="AD168" s="3">
        <f t="shared" si="13"/>
        <v>695872</v>
      </c>
      <c r="AE168" s="3">
        <f t="shared" si="14"/>
        <v>1</v>
      </c>
      <c r="AF168" s="3">
        <f t="shared" si="15"/>
        <v>367934</v>
      </c>
      <c r="AG168" s="3">
        <f t="shared" si="16"/>
        <v>4</v>
      </c>
      <c r="AH168" s="3">
        <f t="shared" si="17"/>
        <v>3591437</v>
      </c>
      <c r="AI168" s="3">
        <f t="shared" si="18"/>
        <v>3</v>
      </c>
      <c r="AJ168" s="3">
        <f t="shared" si="19"/>
        <v>76432</v>
      </c>
    </row>
    <row r="169">
      <c r="C169" s="6" t="s">
        <v>169</v>
      </c>
      <c r="D169" s="3">
        <f t="shared" si="1"/>
        <v>0</v>
      </c>
      <c r="E169" s="3" t="str">
        <f>IFERROR(__xludf.DUMMYFUNCTION("REGEXEXTRACT(C169,""[^ ]* [^ ]*"")"),"striped maroon")</f>
        <v>striped maroon</v>
      </c>
      <c r="F169" s="3" t="str">
        <f>IFERROR(__xludf.DUMMYFUNCTION("MID(REGEXEXTRACT(C169,""contain.*$""),9,300)"),"3 bright silver bags.")</f>
        <v>3 bright silver bags.</v>
      </c>
      <c r="G169" s="3" t="str">
        <f>IFERROR(__xludf.DUMMYFUNCTION("INDEX(SPLIT($F169,"",""),COLUMN()-6)"),"3 bright silver bags.")</f>
        <v>3 bright silver bags.</v>
      </c>
      <c r="H169" s="3" t="str">
        <f>IFERROR(__xludf.DUMMYFUNCTION("MID(INDEX(SPLIT($F169,"",""),COLUMN()-6),2,300)"),"#REF!")</f>
        <v>#REF!</v>
      </c>
      <c r="I169" s="3" t="str">
        <f>IFERROR(__xludf.DUMMYFUNCTION("MID(INDEX(SPLIT($F169,"",""),COLUMN()-6),2,300)"),"#REF!")</f>
        <v>#REF!</v>
      </c>
      <c r="J169" s="3" t="str">
        <f>IFERROR(__xludf.DUMMYFUNCTION("MID(INDEX(SPLIT($F169,"",""),COLUMN()-6),2,300)"),"#REF!")</f>
        <v>#REF!</v>
      </c>
      <c r="K169" s="3">
        <f>IFERROR(__xludf.DUMMYFUNCTION("INDEX(SPLIT(G169,"" ""),1)"),3.0)</f>
        <v>3</v>
      </c>
      <c r="L169" s="3" t="str">
        <f>IFERROR(__xludf.DUMMYFUNCTION("REGEXEXTRACT(G169,"" [^ ]* [^ ]* "")")," bright silver ")</f>
        <v> bright silver </v>
      </c>
      <c r="M169" s="3" t="str">
        <f>IFERROR(__xludf.DUMMYFUNCTION("INDEX(SPLIT(H169,"" ""),1)"),"#REF!")</f>
        <v>#REF!</v>
      </c>
      <c r="N169" s="3" t="str">
        <f>IFERROR(__xludf.DUMMYFUNCTION("MID(REGEXEXTRACT(H169,"" [^ ]* [^ ]*""),2,300)"),"#REF!")</f>
        <v>#REF!</v>
      </c>
      <c r="O169" s="3" t="str">
        <f>IFERROR(__xludf.DUMMYFUNCTION("INDEX(SPLIT(I169,"" ""),1)"),"#REF!")</f>
        <v>#REF!</v>
      </c>
      <c r="P169" s="3" t="str">
        <f>IFERROR(__xludf.DUMMYFUNCTION("MID(REGEXEXTRACT(I169,"" [^ ]* [^ ]*""),2,300)"),"#REF!")</f>
        <v>#REF!</v>
      </c>
      <c r="Q169" s="3" t="str">
        <f>IFERROR(__xludf.DUMMYFUNCTION("INDEX(SPLIT(J169,"" ""),1)"),"#REF!")</f>
        <v>#REF!</v>
      </c>
      <c r="R169" s="3" t="str">
        <f>IFERROR(__xludf.DUMMYFUNCTION("MID(REGEXEXTRACT(J169,"" [^ ]* [^ ]*""),2,300)"),"#REF!")</f>
        <v>#REF!</v>
      </c>
      <c r="S169" s="3">
        <f t="shared" si="2"/>
        <v>3</v>
      </c>
      <c r="T169" s="3" t="str">
        <f t="shared" si="3"/>
        <v>bright silver</v>
      </c>
      <c r="U169" s="3" t="str">
        <f t="shared" si="4"/>
        <v/>
      </c>
      <c r="V169" s="3" t="str">
        <f t="shared" si="5"/>
        <v/>
      </c>
      <c r="W169" s="3" t="str">
        <f t="shared" si="6"/>
        <v/>
      </c>
      <c r="X169" s="3" t="str">
        <f t="shared" si="7"/>
        <v/>
      </c>
      <c r="Y169" s="3" t="str">
        <f t="shared" si="8"/>
        <v/>
      </c>
      <c r="Z169" s="3" t="str">
        <f t="shared" si="9"/>
        <v/>
      </c>
      <c r="AA169" s="13">
        <f t="shared" si="10"/>
        <v>124</v>
      </c>
      <c r="AB169" s="3">
        <f t="shared" si="11"/>
        <v>123</v>
      </c>
      <c r="AC169" s="3">
        <f t="shared" si="12"/>
        <v>3</v>
      </c>
      <c r="AD169" s="3">
        <f t="shared" si="13"/>
        <v>41</v>
      </c>
      <c r="AE169" s="3" t="str">
        <f t="shared" si="14"/>
        <v/>
      </c>
      <c r="AF169" s="3">
        <f t="shared" si="15"/>
        <v>0</v>
      </c>
      <c r="AG169" s="3" t="str">
        <f t="shared" si="16"/>
        <v/>
      </c>
      <c r="AH169" s="3">
        <f t="shared" si="17"/>
        <v>0</v>
      </c>
      <c r="AI169" s="3" t="str">
        <f t="shared" si="18"/>
        <v/>
      </c>
      <c r="AJ169" s="3">
        <f t="shared" si="19"/>
        <v>0</v>
      </c>
    </row>
    <row r="170">
      <c r="C170" s="6" t="s">
        <v>170</v>
      </c>
      <c r="D170" s="3">
        <f t="shared" si="1"/>
        <v>2</v>
      </c>
      <c r="E170" s="3" t="str">
        <f>IFERROR(__xludf.DUMMYFUNCTION("REGEXEXTRACT(C170,""[^ ]* [^ ]*"")"),"mirrored silver")</f>
        <v>mirrored silver</v>
      </c>
      <c r="F170" s="3" t="str">
        <f>IFERROR(__xludf.DUMMYFUNCTION("MID(REGEXEXTRACT(C170,""contain.*$""),9,300)"),"5 clear blue bags, 3 posh magenta bags, 2 bright brown bags.")</f>
        <v>5 clear blue bags, 3 posh magenta bags, 2 bright brown bags.</v>
      </c>
      <c r="G170" s="3" t="str">
        <f>IFERROR(__xludf.DUMMYFUNCTION("INDEX(SPLIT($F170,"",""),COLUMN()-6)"),"5 clear blue bags")</f>
        <v>5 clear blue bags</v>
      </c>
      <c r="H170" s="3" t="str">
        <f>IFERROR(__xludf.DUMMYFUNCTION("MID(INDEX(SPLIT($F170,"",""),COLUMN()-6),2,300)"),"3 posh magenta bags")</f>
        <v>3 posh magenta bags</v>
      </c>
      <c r="I170" s="3" t="str">
        <f>IFERROR(__xludf.DUMMYFUNCTION("MID(INDEX(SPLIT($F170,"",""),COLUMN()-6),2,300)"),"2 bright brown bags.")</f>
        <v>2 bright brown bags.</v>
      </c>
      <c r="J170" s="3" t="str">
        <f>IFERROR(__xludf.DUMMYFUNCTION("MID(INDEX(SPLIT($F170,"",""),COLUMN()-6),2,300)"),"#REF!")</f>
        <v>#REF!</v>
      </c>
      <c r="K170" s="3">
        <f>IFERROR(__xludf.DUMMYFUNCTION("INDEX(SPLIT(G170,"" ""),1)"),5.0)</f>
        <v>5</v>
      </c>
      <c r="L170" s="3" t="str">
        <f>IFERROR(__xludf.DUMMYFUNCTION("REGEXEXTRACT(G170,"" [^ ]* [^ ]* "")")," clear blue ")</f>
        <v> clear blue </v>
      </c>
      <c r="M170" s="3">
        <f>IFERROR(__xludf.DUMMYFUNCTION("INDEX(SPLIT(H170,"" ""),1)"),3.0)</f>
        <v>3</v>
      </c>
      <c r="N170" s="3" t="str">
        <f>IFERROR(__xludf.DUMMYFUNCTION("MID(REGEXEXTRACT(H170,"" [^ ]* [^ ]*""),2,300)"),"posh magenta")</f>
        <v>posh magenta</v>
      </c>
      <c r="O170" s="3">
        <f>IFERROR(__xludf.DUMMYFUNCTION("INDEX(SPLIT(I170,"" ""),1)"),2.0)</f>
        <v>2</v>
      </c>
      <c r="P170" s="3" t="str">
        <f>IFERROR(__xludf.DUMMYFUNCTION("MID(REGEXEXTRACT(I170,"" [^ ]* [^ ]*""),2,300)"),"bright brown")</f>
        <v>bright brown</v>
      </c>
      <c r="Q170" s="3" t="str">
        <f>IFERROR(__xludf.DUMMYFUNCTION("INDEX(SPLIT(J170,"" ""),1)"),"#REF!")</f>
        <v>#REF!</v>
      </c>
      <c r="R170" s="3" t="str">
        <f>IFERROR(__xludf.DUMMYFUNCTION("MID(REGEXEXTRACT(J170,"" [^ ]* [^ ]*""),2,300)"),"#REF!")</f>
        <v>#REF!</v>
      </c>
      <c r="S170" s="3">
        <f t="shared" si="2"/>
        <v>5</v>
      </c>
      <c r="T170" s="3" t="str">
        <f t="shared" si="3"/>
        <v>clear blue</v>
      </c>
      <c r="U170" s="3">
        <f t="shared" si="4"/>
        <v>3</v>
      </c>
      <c r="V170" s="3" t="str">
        <f t="shared" si="5"/>
        <v>posh magenta</v>
      </c>
      <c r="W170" s="3">
        <f t="shared" si="6"/>
        <v>2</v>
      </c>
      <c r="X170" s="3" t="str">
        <f t="shared" si="7"/>
        <v>bright brown</v>
      </c>
      <c r="Y170" s="3" t="str">
        <f t="shared" si="8"/>
        <v/>
      </c>
      <c r="Z170" s="3" t="str">
        <f t="shared" si="9"/>
        <v/>
      </c>
      <c r="AA170" s="13">
        <f t="shared" si="10"/>
        <v>386</v>
      </c>
      <c r="AB170" s="3">
        <f t="shared" si="11"/>
        <v>385</v>
      </c>
      <c r="AC170" s="3">
        <f t="shared" si="12"/>
        <v>5</v>
      </c>
      <c r="AD170" s="3">
        <f t="shared" si="13"/>
        <v>76</v>
      </c>
      <c r="AE170" s="3">
        <f t="shared" si="14"/>
        <v>3</v>
      </c>
      <c r="AF170" s="3">
        <f t="shared" si="15"/>
        <v>1</v>
      </c>
      <c r="AG170" s="3">
        <f t="shared" si="16"/>
        <v>2</v>
      </c>
      <c r="AH170" s="3">
        <f t="shared" si="17"/>
        <v>1</v>
      </c>
      <c r="AI170" s="3" t="str">
        <f t="shared" si="18"/>
        <v/>
      </c>
      <c r="AJ170" s="3">
        <f t="shared" si="19"/>
        <v>0</v>
      </c>
    </row>
    <row r="171">
      <c r="C171" s="6" t="s">
        <v>171</v>
      </c>
      <c r="D171" s="3">
        <f t="shared" si="1"/>
        <v>0</v>
      </c>
      <c r="E171" s="3" t="str">
        <f>IFERROR(__xludf.DUMMYFUNCTION("REGEXEXTRACT(C171,""[^ ]* [^ ]*"")"),"faded yellow")</f>
        <v>faded yellow</v>
      </c>
      <c r="F171" s="3" t="str">
        <f>IFERROR(__xludf.DUMMYFUNCTION("MID(REGEXEXTRACT(C171,""contain.*$""),9,300)"),"2 muted maroon bags.")</f>
        <v>2 muted maroon bags.</v>
      </c>
      <c r="G171" s="3" t="str">
        <f>IFERROR(__xludf.DUMMYFUNCTION("INDEX(SPLIT($F171,"",""),COLUMN()-6)"),"2 muted maroon bags.")</f>
        <v>2 muted maroon bags.</v>
      </c>
      <c r="H171" s="3" t="str">
        <f>IFERROR(__xludf.DUMMYFUNCTION("MID(INDEX(SPLIT($F171,"",""),COLUMN()-6),2,300)"),"#REF!")</f>
        <v>#REF!</v>
      </c>
      <c r="I171" s="3" t="str">
        <f>IFERROR(__xludf.DUMMYFUNCTION("MID(INDEX(SPLIT($F171,"",""),COLUMN()-6),2,300)"),"#REF!")</f>
        <v>#REF!</v>
      </c>
      <c r="J171" s="3" t="str">
        <f>IFERROR(__xludf.DUMMYFUNCTION("MID(INDEX(SPLIT($F171,"",""),COLUMN()-6),2,300)"),"#REF!")</f>
        <v>#REF!</v>
      </c>
      <c r="K171" s="3">
        <f>IFERROR(__xludf.DUMMYFUNCTION("INDEX(SPLIT(G171,"" ""),1)"),2.0)</f>
        <v>2</v>
      </c>
      <c r="L171" s="3" t="str">
        <f>IFERROR(__xludf.DUMMYFUNCTION("REGEXEXTRACT(G171,"" [^ ]* [^ ]* "")")," muted maroon ")</f>
        <v> muted maroon </v>
      </c>
      <c r="M171" s="3" t="str">
        <f>IFERROR(__xludf.DUMMYFUNCTION("INDEX(SPLIT(H171,"" ""),1)"),"#REF!")</f>
        <v>#REF!</v>
      </c>
      <c r="N171" s="3" t="str">
        <f>IFERROR(__xludf.DUMMYFUNCTION("MID(REGEXEXTRACT(H171,"" [^ ]* [^ ]*""),2,300)"),"#REF!")</f>
        <v>#REF!</v>
      </c>
      <c r="O171" s="3" t="str">
        <f>IFERROR(__xludf.DUMMYFUNCTION("INDEX(SPLIT(I171,"" ""),1)"),"#REF!")</f>
        <v>#REF!</v>
      </c>
      <c r="P171" s="3" t="str">
        <f>IFERROR(__xludf.DUMMYFUNCTION("MID(REGEXEXTRACT(I171,"" [^ ]* [^ ]*""),2,300)"),"#REF!")</f>
        <v>#REF!</v>
      </c>
      <c r="Q171" s="3" t="str">
        <f>IFERROR(__xludf.DUMMYFUNCTION("INDEX(SPLIT(J171,"" ""),1)"),"#REF!")</f>
        <v>#REF!</v>
      </c>
      <c r="R171" s="3" t="str">
        <f>IFERROR(__xludf.DUMMYFUNCTION("MID(REGEXEXTRACT(J171,"" [^ ]* [^ ]*""),2,300)"),"#REF!")</f>
        <v>#REF!</v>
      </c>
      <c r="S171" s="3">
        <f t="shared" si="2"/>
        <v>2</v>
      </c>
      <c r="T171" s="3" t="str">
        <f t="shared" si="3"/>
        <v>muted maroon</v>
      </c>
      <c r="U171" s="3" t="str">
        <f t="shared" si="4"/>
        <v/>
      </c>
      <c r="V171" s="3" t="str">
        <f t="shared" si="5"/>
        <v/>
      </c>
      <c r="W171" s="3" t="str">
        <f t="shared" si="6"/>
        <v/>
      </c>
      <c r="X171" s="3" t="str">
        <f t="shared" si="7"/>
        <v/>
      </c>
      <c r="Y171" s="3" t="str">
        <f t="shared" si="8"/>
        <v/>
      </c>
      <c r="Z171" s="3" t="str">
        <f t="shared" si="9"/>
        <v/>
      </c>
      <c r="AA171" s="13">
        <f t="shared" si="10"/>
        <v>50963</v>
      </c>
      <c r="AB171" s="3">
        <f t="shared" si="11"/>
        <v>50962</v>
      </c>
      <c r="AC171" s="3">
        <f t="shared" si="12"/>
        <v>2</v>
      </c>
      <c r="AD171" s="3">
        <f t="shared" si="13"/>
        <v>25481</v>
      </c>
      <c r="AE171" s="3" t="str">
        <f t="shared" si="14"/>
        <v/>
      </c>
      <c r="AF171" s="3">
        <f t="shared" si="15"/>
        <v>0</v>
      </c>
      <c r="AG171" s="3" t="str">
        <f t="shared" si="16"/>
        <v/>
      </c>
      <c r="AH171" s="3">
        <f t="shared" si="17"/>
        <v>0</v>
      </c>
      <c r="AI171" s="3" t="str">
        <f t="shared" si="18"/>
        <v/>
      </c>
      <c r="AJ171" s="3">
        <f t="shared" si="19"/>
        <v>0</v>
      </c>
    </row>
    <row r="172">
      <c r="C172" s="6" t="s">
        <v>172</v>
      </c>
      <c r="D172" s="3">
        <f t="shared" si="1"/>
        <v>2</v>
      </c>
      <c r="E172" s="3" t="str">
        <f>IFERROR(__xludf.DUMMYFUNCTION("REGEXEXTRACT(C172,""[^ ]* [^ ]*"")"),"striped purple")</f>
        <v>striped purple</v>
      </c>
      <c r="F172" s="3" t="str">
        <f>IFERROR(__xludf.DUMMYFUNCTION("MID(REGEXEXTRACT(C172,""contain.*$""),9,300)"),"2 dotted yellow bags, 1 clear cyan bag, 2 dark teal bags.")</f>
        <v>2 dotted yellow bags, 1 clear cyan bag, 2 dark teal bags.</v>
      </c>
      <c r="G172" s="3" t="str">
        <f>IFERROR(__xludf.DUMMYFUNCTION("INDEX(SPLIT($F172,"",""),COLUMN()-6)"),"2 dotted yellow bags")</f>
        <v>2 dotted yellow bags</v>
      </c>
      <c r="H172" s="3" t="str">
        <f>IFERROR(__xludf.DUMMYFUNCTION("MID(INDEX(SPLIT($F172,"",""),COLUMN()-6),2,300)"),"1 clear cyan bag")</f>
        <v>1 clear cyan bag</v>
      </c>
      <c r="I172" s="3" t="str">
        <f>IFERROR(__xludf.DUMMYFUNCTION("MID(INDEX(SPLIT($F172,"",""),COLUMN()-6),2,300)"),"2 dark teal bags.")</f>
        <v>2 dark teal bags.</v>
      </c>
      <c r="J172" s="3" t="str">
        <f>IFERROR(__xludf.DUMMYFUNCTION("MID(INDEX(SPLIT($F172,"",""),COLUMN()-6),2,300)"),"#REF!")</f>
        <v>#REF!</v>
      </c>
      <c r="K172" s="3">
        <f>IFERROR(__xludf.DUMMYFUNCTION("INDEX(SPLIT(G172,"" ""),1)"),2.0)</f>
        <v>2</v>
      </c>
      <c r="L172" s="3" t="str">
        <f>IFERROR(__xludf.DUMMYFUNCTION("REGEXEXTRACT(G172,"" [^ ]* [^ ]* "")")," dotted yellow ")</f>
        <v> dotted yellow </v>
      </c>
      <c r="M172" s="3">
        <f>IFERROR(__xludf.DUMMYFUNCTION("INDEX(SPLIT(H172,"" ""),1)"),1.0)</f>
        <v>1</v>
      </c>
      <c r="N172" s="3" t="str">
        <f>IFERROR(__xludf.DUMMYFUNCTION("MID(REGEXEXTRACT(H172,"" [^ ]* [^ ]*""),2,300)"),"clear cyan")</f>
        <v>clear cyan</v>
      </c>
      <c r="O172" s="3">
        <f>IFERROR(__xludf.DUMMYFUNCTION("INDEX(SPLIT(I172,"" ""),1)"),2.0)</f>
        <v>2</v>
      </c>
      <c r="P172" s="3" t="str">
        <f>IFERROR(__xludf.DUMMYFUNCTION("MID(REGEXEXTRACT(I172,"" [^ ]* [^ ]*""),2,300)"),"dark teal")</f>
        <v>dark teal</v>
      </c>
      <c r="Q172" s="3" t="str">
        <f>IFERROR(__xludf.DUMMYFUNCTION("INDEX(SPLIT(J172,"" ""),1)"),"#REF!")</f>
        <v>#REF!</v>
      </c>
      <c r="R172" s="3" t="str">
        <f>IFERROR(__xludf.DUMMYFUNCTION("MID(REGEXEXTRACT(J172,"" [^ ]* [^ ]*""),2,300)"),"#REF!")</f>
        <v>#REF!</v>
      </c>
      <c r="S172" s="3">
        <f t="shared" si="2"/>
        <v>2</v>
      </c>
      <c r="T172" s="3" t="str">
        <f t="shared" si="3"/>
        <v>dotted yellow</v>
      </c>
      <c r="U172" s="3">
        <f t="shared" si="4"/>
        <v>1</v>
      </c>
      <c r="V172" s="3" t="str">
        <f t="shared" si="5"/>
        <v>clear cyan</v>
      </c>
      <c r="W172" s="3">
        <f t="shared" si="6"/>
        <v>2</v>
      </c>
      <c r="X172" s="3" t="str">
        <f t="shared" si="7"/>
        <v>dark teal</v>
      </c>
      <c r="Y172" s="3" t="str">
        <f t="shared" si="8"/>
        <v/>
      </c>
      <c r="Z172" s="3" t="str">
        <f t="shared" si="9"/>
        <v/>
      </c>
      <c r="AA172" s="13">
        <f t="shared" si="10"/>
        <v>96654824</v>
      </c>
      <c r="AB172" s="3">
        <f t="shared" si="11"/>
        <v>96654823</v>
      </c>
      <c r="AC172" s="3">
        <f t="shared" si="12"/>
        <v>2</v>
      </c>
      <c r="AD172" s="3">
        <f t="shared" si="13"/>
        <v>47862843</v>
      </c>
      <c r="AE172" s="3">
        <f t="shared" si="14"/>
        <v>1</v>
      </c>
      <c r="AF172" s="3">
        <f t="shared" si="15"/>
        <v>899055</v>
      </c>
      <c r="AG172" s="3">
        <f t="shared" si="16"/>
        <v>2</v>
      </c>
      <c r="AH172" s="3">
        <f t="shared" si="17"/>
        <v>15041</v>
      </c>
      <c r="AI172" s="3" t="str">
        <f t="shared" si="18"/>
        <v/>
      </c>
      <c r="AJ172" s="3">
        <f t="shared" si="19"/>
        <v>0</v>
      </c>
    </row>
    <row r="173">
      <c r="C173" s="6" t="s">
        <v>173</v>
      </c>
      <c r="D173" s="3">
        <f t="shared" si="1"/>
        <v>2</v>
      </c>
      <c r="E173" s="3" t="str">
        <f>IFERROR(__xludf.DUMMYFUNCTION("REGEXEXTRACT(C173,""[^ ]* [^ ]*"")"),"clear gray")</f>
        <v>clear gray</v>
      </c>
      <c r="F173" s="3" t="str">
        <f>IFERROR(__xludf.DUMMYFUNCTION("MID(REGEXEXTRACT(C173,""contain.*$""),9,300)"),"5 dim black bags, 1 faded green bag, 5 muted crimson bags.")</f>
        <v>5 dim black bags, 1 faded green bag, 5 muted crimson bags.</v>
      </c>
      <c r="G173" s="3" t="str">
        <f>IFERROR(__xludf.DUMMYFUNCTION("INDEX(SPLIT($F173,"",""),COLUMN()-6)"),"5 dim black bags")</f>
        <v>5 dim black bags</v>
      </c>
      <c r="H173" s="3" t="str">
        <f>IFERROR(__xludf.DUMMYFUNCTION("MID(INDEX(SPLIT($F173,"",""),COLUMN()-6),2,300)"),"1 faded green bag")</f>
        <v>1 faded green bag</v>
      </c>
      <c r="I173" s="3" t="str">
        <f>IFERROR(__xludf.DUMMYFUNCTION("MID(INDEX(SPLIT($F173,"",""),COLUMN()-6),2,300)"),"5 muted crimson bags.")</f>
        <v>5 muted crimson bags.</v>
      </c>
      <c r="J173" s="3" t="str">
        <f>IFERROR(__xludf.DUMMYFUNCTION("MID(INDEX(SPLIT($F173,"",""),COLUMN()-6),2,300)"),"#REF!")</f>
        <v>#REF!</v>
      </c>
      <c r="K173" s="3">
        <f>IFERROR(__xludf.DUMMYFUNCTION("INDEX(SPLIT(G173,"" ""),1)"),5.0)</f>
        <v>5</v>
      </c>
      <c r="L173" s="3" t="str">
        <f>IFERROR(__xludf.DUMMYFUNCTION("REGEXEXTRACT(G173,"" [^ ]* [^ ]* "")")," dim black ")</f>
        <v> dim black </v>
      </c>
      <c r="M173" s="3">
        <f>IFERROR(__xludf.DUMMYFUNCTION("INDEX(SPLIT(H173,"" ""),1)"),1.0)</f>
        <v>1</v>
      </c>
      <c r="N173" s="3" t="str">
        <f>IFERROR(__xludf.DUMMYFUNCTION("MID(REGEXEXTRACT(H173,"" [^ ]* [^ ]*""),2,300)"),"faded green")</f>
        <v>faded green</v>
      </c>
      <c r="O173" s="3">
        <f>IFERROR(__xludf.DUMMYFUNCTION("INDEX(SPLIT(I173,"" ""),1)"),5.0)</f>
        <v>5</v>
      </c>
      <c r="P173" s="3" t="str">
        <f>IFERROR(__xludf.DUMMYFUNCTION("MID(REGEXEXTRACT(I173,"" [^ ]* [^ ]*""),2,300)"),"muted crimson")</f>
        <v>muted crimson</v>
      </c>
      <c r="Q173" s="3" t="str">
        <f>IFERROR(__xludf.DUMMYFUNCTION("INDEX(SPLIT(J173,"" ""),1)"),"#REF!")</f>
        <v>#REF!</v>
      </c>
      <c r="R173" s="3" t="str">
        <f>IFERROR(__xludf.DUMMYFUNCTION("MID(REGEXEXTRACT(J173,"" [^ ]* [^ ]*""),2,300)"),"#REF!")</f>
        <v>#REF!</v>
      </c>
      <c r="S173" s="3">
        <f t="shared" si="2"/>
        <v>5</v>
      </c>
      <c r="T173" s="3" t="str">
        <f t="shared" si="3"/>
        <v>dim black</v>
      </c>
      <c r="U173" s="3">
        <f t="shared" si="4"/>
        <v>1</v>
      </c>
      <c r="V173" s="3" t="str">
        <f t="shared" si="5"/>
        <v>faded green</v>
      </c>
      <c r="W173" s="3">
        <f t="shared" si="6"/>
        <v>5</v>
      </c>
      <c r="X173" s="3" t="str">
        <f t="shared" si="7"/>
        <v>muted crimson</v>
      </c>
      <c r="Y173" s="3" t="str">
        <f t="shared" si="8"/>
        <v/>
      </c>
      <c r="Z173" s="3" t="str">
        <f t="shared" si="9"/>
        <v/>
      </c>
      <c r="AA173" s="13">
        <f t="shared" si="10"/>
        <v>594104</v>
      </c>
      <c r="AB173" s="3">
        <f t="shared" si="11"/>
        <v>594103</v>
      </c>
      <c r="AC173" s="3">
        <f t="shared" si="12"/>
        <v>5</v>
      </c>
      <c r="AD173" s="3">
        <f t="shared" si="13"/>
        <v>117480</v>
      </c>
      <c r="AE173" s="3">
        <f t="shared" si="14"/>
        <v>1</v>
      </c>
      <c r="AF173" s="3">
        <f t="shared" si="15"/>
        <v>3598</v>
      </c>
      <c r="AG173" s="3">
        <f t="shared" si="16"/>
        <v>5</v>
      </c>
      <c r="AH173" s="3">
        <f t="shared" si="17"/>
        <v>621</v>
      </c>
      <c r="AI173" s="3" t="str">
        <f t="shared" si="18"/>
        <v/>
      </c>
      <c r="AJ173" s="3">
        <f t="shared" si="19"/>
        <v>0</v>
      </c>
    </row>
    <row r="174">
      <c r="C174" s="6" t="s">
        <v>174</v>
      </c>
      <c r="D174" s="3">
        <f t="shared" si="1"/>
        <v>2</v>
      </c>
      <c r="E174" s="3" t="str">
        <f>IFERROR(__xludf.DUMMYFUNCTION("REGEXEXTRACT(C174,""[^ ]* [^ ]*"")"),"plaid cyan")</f>
        <v>plaid cyan</v>
      </c>
      <c r="F174" s="3" t="str">
        <f>IFERROR(__xludf.DUMMYFUNCTION("MID(REGEXEXTRACT(C174,""contain.*$""),9,300)"),"2 dark teal bags, 1 pale lime bag, 1 wavy beige bag.")</f>
        <v>2 dark teal bags, 1 pale lime bag, 1 wavy beige bag.</v>
      </c>
      <c r="G174" s="3" t="str">
        <f>IFERROR(__xludf.DUMMYFUNCTION("INDEX(SPLIT($F174,"",""),COLUMN()-6)"),"2 dark teal bags")</f>
        <v>2 dark teal bags</v>
      </c>
      <c r="H174" s="3" t="str">
        <f>IFERROR(__xludf.DUMMYFUNCTION("MID(INDEX(SPLIT($F174,"",""),COLUMN()-6),2,300)"),"1 pale lime bag")</f>
        <v>1 pale lime bag</v>
      </c>
      <c r="I174" s="3" t="str">
        <f>IFERROR(__xludf.DUMMYFUNCTION("MID(INDEX(SPLIT($F174,"",""),COLUMN()-6),2,300)"),"1 wavy beige bag.")</f>
        <v>1 wavy beige bag.</v>
      </c>
      <c r="J174" s="3" t="str">
        <f>IFERROR(__xludf.DUMMYFUNCTION("MID(INDEX(SPLIT($F174,"",""),COLUMN()-6),2,300)"),"#REF!")</f>
        <v>#REF!</v>
      </c>
      <c r="K174" s="3">
        <f>IFERROR(__xludf.DUMMYFUNCTION("INDEX(SPLIT(G174,"" ""),1)"),2.0)</f>
        <v>2</v>
      </c>
      <c r="L174" s="3" t="str">
        <f>IFERROR(__xludf.DUMMYFUNCTION("REGEXEXTRACT(G174,"" [^ ]* [^ ]* "")")," dark teal ")</f>
        <v> dark teal </v>
      </c>
      <c r="M174" s="3">
        <f>IFERROR(__xludf.DUMMYFUNCTION("INDEX(SPLIT(H174,"" ""),1)"),1.0)</f>
        <v>1</v>
      </c>
      <c r="N174" s="3" t="str">
        <f>IFERROR(__xludf.DUMMYFUNCTION("MID(REGEXEXTRACT(H174,"" [^ ]* [^ ]*""),2,300)"),"pale lime")</f>
        <v>pale lime</v>
      </c>
      <c r="O174" s="3">
        <f>IFERROR(__xludf.DUMMYFUNCTION("INDEX(SPLIT(I174,"" ""),1)"),1.0)</f>
        <v>1</v>
      </c>
      <c r="P174" s="3" t="str">
        <f>IFERROR(__xludf.DUMMYFUNCTION("MID(REGEXEXTRACT(I174,"" [^ ]* [^ ]*""),2,300)"),"wavy beige")</f>
        <v>wavy beige</v>
      </c>
      <c r="Q174" s="3" t="str">
        <f>IFERROR(__xludf.DUMMYFUNCTION("INDEX(SPLIT(J174,"" ""),1)"),"#REF!")</f>
        <v>#REF!</v>
      </c>
      <c r="R174" s="3" t="str">
        <f>IFERROR(__xludf.DUMMYFUNCTION("MID(REGEXEXTRACT(J174,"" [^ ]* [^ ]*""),2,300)"),"#REF!")</f>
        <v>#REF!</v>
      </c>
      <c r="S174" s="3">
        <f t="shared" si="2"/>
        <v>2</v>
      </c>
      <c r="T174" s="3" t="str">
        <f t="shared" si="3"/>
        <v>dark teal</v>
      </c>
      <c r="U174" s="3">
        <f t="shared" si="4"/>
        <v>1</v>
      </c>
      <c r="V174" s="3" t="str">
        <f t="shared" si="5"/>
        <v>pale lime</v>
      </c>
      <c r="W174" s="3">
        <f t="shared" si="6"/>
        <v>1</v>
      </c>
      <c r="X174" s="3" t="str">
        <f t="shared" si="7"/>
        <v>wavy beige</v>
      </c>
      <c r="Y174" s="3" t="str">
        <f t="shared" si="8"/>
        <v/>
      </c>
      <c r="Z174" s="3" t="str">
        <f t="shared" si="9"/>
        <v/>
      </c>
      <c r="AA174" s="13">
        <f t="shared" si="10"/>
        <v>80294</v>
      </c>
      <c r="AB174" s="3">
        <f t="shared" si="11"/>
        <v>80293</v>
      </c>
      <c r="AC174" s="3">
        <f t="shared" si="12"/>
        <v>2</v>
      </c>
      <c r="AD174" s="3">
        <f t="shared" si="13"/>
        <v>15041</v>
      </c>
      <c r="AE174" s="3">
        <f t="shared" si="14"/>
        <v>1</v>
      </c>
      <c r="AF174" s="3">
        <f t="shared" si="15"/>
        <v>5333</v>
      </c>
      <c r="AG174" s="3">
        <f t="shared" si="16"/>
        <v>1</v>
      </c>
      <c r="AH174" s="3">
        <f t="shared" si="17"/>
        <v>44878</v>
      </c>
      <c r="AI174" s="3" t="str">
        <f t="shared" si="18"/>
        <v/>
      </c>
      <c r="AJ174" s="3">
        <f t="shared" si="19"/>
        <v>0</v>
      </c>
    </row>
    <row r="175">
      <c r="C175" s="6" t="s">
        <v>175</v>
      </c>
      <c r="D175" s="3">
        <f t="shared" si="1"/>
        <v>1</v>
      </c>
      <c r="E175" s="3" t="str">
        <f>IFERROR(__xludf.DUMMYFUNCTION("REGEXEXTRACT(C175,""[^ ]* [^ ]*"")"),"bright orange")</f>
        <v>bright orange</v>
      </c>
      <c r="F175" s="3" t="str">
        <f>IFERROR(__xludf.DUMMYFUNCTION("MID(REGEXEXTRACT(C175,""contain.*$""),9,300)"),"5 mirrored brown bags, 2 dotted gold bags.")</f>
        <v>5 mirrored brown bags, 2 dotted gold bags.</v>
      </c>
      <c r="G175" s="3" t="str">
        <f>IFERROR(__xludf.DUMMYFUNCTION("INDEX(SPLIT($F175,"",""),COLUMN()-6)"),"5 mirrored brown bags")</f>
        <v>5 mirrored brown bags</v>
      </c>
      <c r="H175" s="3" t="str">
        <f>IFERROR(__xludf.DUMMYFUNCTION("MID(INDEX(SPLIT($F175,"",""),COLUMN()-6),2,300)"),"2 dotted gold bags.")</f>
        <v>2 dotted gold bags.</v>
      </c>
      <c r="I175" s="3" t="str">
        <f>IFERROR(__xludf.DUMMYFUNCTION("MID(INDEX(SPLIT($F175,"",""),COLUMN()-6),2,300)"),"#REF!")</f>
        <v>#REF!</v>
      </c>
      <c r="J175" s="3" t="str">
        <f>IFERROR(__xludf.DUMMYFUNCTION("MID(INDEX(SPLIT($F175,"",""),COLUMN()-6),2,300)"),"#REF!")</f>
        <v>#REF!</v>
      </c>
      <c r="K175" s="3">
        <f>IFERROR(__xludf.DUMMYFUNCTION("INDEX(SPLIT(G175,"" ""),1)"),5.0)</f>
        <v>5</v>
      </c>
      <c r="L175" s="3" t="str">
        <f>IFERROR(__xludf.DUMMYFUNCTION("REGEXEXTRACT(G175,"" [^ ]* [^ ]* "")")," mirrored brown ")</f>
        <v> mirrored brown </v>
      </c>
      <c r="M175" s="3">
        <f>IFERROR(__xludf.DUMMYFUNCTION("INDEX(SPLIT(H175,"" ""),1)"),2.0)</f>
        <v>2</v>
      </c>
      <c r="N175" s="3" t="str">
        <f>IFERROR(__xludf.DUMMYFUNCTION("MID(REGEXEXTRACT(H175,"" [^ ]* [^ ]*""),2,300)"),"dotted gold")</f>
        <v>dotted gold</v>
      </c>
      <c r="O175" s="3" t="str">
        <f>IFERROR(__xludf.DUMMYFUNCTION("INDEX(SPLIT(I175,"" ""),1)"),"#REF!")</f>
        <v>#REF!</v>
      </c>
      <c r="P175" s="3" t="str">
        <f>IFERROR(__xludf.DUMMYFUNCTION("MID(REGEXEXTRACT(I175,"" [^ ]* [^ ]*""),2,300)"),"#REF!")</f>
        <v>#REF!</v>
      </c>
      <c r="Q175" s="3" t="str">
        <f>IFERROR(__xludf.DUMMYFUNCTION("INDEX(SPLIT(J175,"" ""),1)"),"#REF!")</f>
        <v>#REF!</v>
      </c>
      <c r="R175" s="3" t="str">
        <f>IFERROR(__xludf.DUMMYFUNCTION("MID(REGEXEXTRACT(J175,"" [^ ]* [^ ]*""),2,300)"),"#REF!")</f>
        <v>#REF!</v>
      </c>
      <c r="S175" s="3">
        <f t="shared" si="2"/>
        <v>5</v>
      </c>
      <c r="T175" s="3" t="str">
        <f t="shared" si="3"/>
        <v>mirrored brown</v>
      </c>
      <c r="U175" s="3">
        <f t="shared" si="4"/>
        <v>2</v>
      </c>
      <c r="V175" s="3" t="str">
        <f t="shared" si="5"/>
        <v>dotted gold</v>
      </c>
      <c r="W175" s="3" t="str">
        <f t="shared" si="6"/>
        <v/>
      </c>
      <c r="X175" s="3" t="str">
        <f t="shared" si="7"/>
        <v/>
      </c>
      <c r="Y175" s="3" t="str">
        <f t="shared" si="8"/>
        <v/>
      </c>
      <c r="Z175" s="3" t="str">
        <f t="shared" si="9"/>
        <v/>
      </c>
      <c r="AA175" s="13">
        <f t="shared" si="10"/>
        <v>2666</v>
      </c>
      <c r="AB175" s="3">
        <f t="shared" si="11"/>
        <v>2665</v>
      </c>
      <c r="AC175" s="3">
        <f t="shared" si="12"/>
        <v>5</v>
      </c>
      <c r="AD175" s="3">
        <f t="shared" si="13"/>
        <v>529</v>
      </c>
      <c r="AE175" s="3">
        <f t="shared" si="14"/>
        <v>2</v>
      </c>
      <c r="AF175" s="3">
        <f t="shared" si="15"/>
        <v>10</v>
      </c>
      <c r="AG175" s="3" t="str">
        <f t="shared" si="16"/>
        <v/>
      </c>
      <c r="AH175" s="3">
        <f t="shared" si="17"/>
        <v>0</v>
      </c>
      <c r="AI175" s="3" t="str">
        <f t="shared" si="18"/>
        <v/>
      </c>
      <c r="AJ175" s="3">
        <f t="shared" si="19"/>
        <v>0</v>
      </c>
    </row>
    <row r="176">
      <c r="C176" s="6" t="s">
        <v>176</v>
      </c>
      <c r="D176" s="3">
        <f t="shared" si="1"/>
        <v>1</v>
      </c>
      <c r="E176" s="3" t="str">
        <f>IFERROR(__xludf.DUMMYFUNCTION("REGEXEXTRACT(C176,""[^ ]* [^ ]*"")"),"dotted turquoise")</f>
        <v>dotted turquoise</v>
      </c>
      <c r="F176" s="3" t="str">
        <f>IFERROR(__xludf.DUMMYFUNCTION("MID(REGEXEXTRACT(C176,""contain.*$""),9,300)"),"3 plaid gray bags, 3 clear chartreuse bags.")</f>
        <v>3 plaid gray bags, 3 clear chartreuse bags.</v>
      </c>
      <c r="G176" s="3" t="str">
        <f>IFERROR(__xludf.DUMMYFUNCTION("INDEX(SPLIT($F176,"",""),COLUMN()-6)"),"3 plaid gray bags")</f>
        <v>3 plaid gray bags</v>
      </c>
      <c r="H176" s="3" t="str">
        <f>IFERROR(__xludf.DUMMYFUNCTION("MID(INDEX(SPLIT($F176,"",""),COLUMN()-6),2,300)"),"3 clear chartreuse bags.")</f>
        <v>3 clear chartreuse bags.</v>
      </c>
      <c r="I176" s="3" t="str">
        <f>IFERROR(__xludf.DUMMYFUNCTION("MID(INDEX(SPLIT($F176,"",""),COLUMN()-6),2,300)"),"#REF!")</f>
        <v>#REF!</v>
      </c>
      <c r="J176" s="3" t="str">
        <f>IFERROR(__xludf.DUMMYFUNCTION("MID(INDEX(SPLIT($F176,"",""),COLUMN()-6),2,300)"),"#REF!")</f>
        <v>#REF!</v>
      </c>
      <c r="K176" s="3">
        <f>IFERROR(__xludf.DUMMYFUNCTION("INDEX(SPLIT(G176,"" ""),1)"),3.0)</f>
        <v>3</v>
      </c>
      <c r="L176" s="3" t="str">
        <f>IFERROR(__xludf.DUMMYFUNCTION("REGEXEXTRACT(G176,"" [^ ]* [^ ]* "")")," plaid gray ")</f>
        <v> plaid gray </v>
      </c>
      <c r="M176" s="3">
        <f>IFERROR(__xludf.DUMMYFUNCTION("INDEX(SPLIT(H176,"" ""),1)"),3.0)</f>
        <v>3</v>
      </c>
      <c r="N176" s="3" t="str">
        <f>IFERROR(__xludf.DUMMYFUNCTION("MID(REGEXEXTRACT(H176,"" [^ ]* [^ ]*""),2,300)"),"clear chartreuse")</f>
        <v>clear chartreuse</v>
      </c>
      <c r="O176" s="3" t="str">
        <f>IFERROR(__xludf.DUMMYFUNCTION("INDEX(SPLIT(I176,"" ""),1)"),"#REF!")</f>
        <v>#REF!</v>
      </c>
      <c r="P176" s="3" t="str">
        <f>IFERROR(__xludf.DUMMYFUNCTION("MID(REGEXEXTRACT(I176,"" [^ ]* [^ ]*""),2,300)"),"#REF!")</f>
        <v>#REF!</v>
      </c>
      <c r="Q176" s="3" t="str">
        <f>IFERROR(__xludf.DUMMYFUNCTION("INDEX(SPLIT(J176,"" ""),1)"),"#REF!")</f>
        <v>#REF!</v>
      </c>
      <c r="R176" s="3" t="str">
        <f>IFERROR(__xludf.DUMMYFUNCTION("MID(REGEXEXTRACT(J176,"" [^ ]* [^ ]*""),2,300)"),"#REF!")</f>
        <v>#REF!</v>
      </c>
      <c r="S176" s="3">
        <f t="shared" si="2"/>
        <v>3</v>
      </c>
      <c r="T176" s="3" t="str">
        <f t="shared" si="3"/>
        <v>plaid gray</v>
      </c>
      <c r="U176" s="3">
        <f t="shared" si="4"/>
        <v>3</v>
      </c>
      <c r="V176" s="3" t="str">
        <f t="shared" si="5"/>
        <v>clear chartreuse</v>
      </c>
      <c r="W176" s="3" t="str">
        <f t="shared" si="6"/>
        <v/>
      </c>
      <c r="X176" s="3" t="str">
        <f t="shared" si="7"/>
        <v/>
      </c>
      <c r="Y176" s="3" t="str">
        <f t="shared" si="8"/>
        <v/>
      </c>
      <c r="Z176" s="3" t="str">
        <f t="shared" si="9"/>
        <v/>
      </c>
      <c r="AA176" s="13">
        <f t="shared" si="10"/>
        <v>156976195</v>
      </c>
      <c r="AB176" s="3">
        <f t="shared" si="11"/>
        <v>156976194</v>
      </c>
      <c r="AC176" s="3">
        <f t="shared" si="12"/>
        <v>3</v>
      </c>
      <c r="AD176" s="3">
        <f t="shared" si="13"/>
        <v>54</v>
      </c>
      <c r="AE176" s="3">
        <f t="shared" si="14"/>
        <v>3</v>
      </c>
      <c r="AF176" s="3">
        <f t="shared" si="15"/>
        <v>52325344</v>
      </c>
      <c r="AG176" s="3" t="str">
        <f t="shared" si="16"/>
        <v/>
      </c>
      <c r="AH176" s="3">
        <f t="shared" si="17"/>
        <v>0</v>
      </c>
      <c r="AI176" s="3" t="str">
        <f t="shared" si="18"/>
        <v/>
      </c>
      <c r="AJ176" s="3">
        <f t="shared" si="19"/>
        <v>0</v>
      </c>
    </row>
    <row r="177">
      <c r="C177" s="6" t="s">
        <v>177</v>
      </c>
      <c r="D177" s="3">
        <f t="shared" si="1"/>
        <v>3</v>
      </c>
      <c r="E177" s="3" t="str">
        <f>IFERROR(__xludf.DUMMYFUNCTION("REGEXEXTRACT(C177,""[^ ]* [^ ]*"")"),"vibrant turquoise")</f>
        <v>vibrant turquoise</v>
      </c>
      <c r="F177" s="3" t="str">
        <f>IFERROR(__xludf.DUMMYFUNCTION("MID(REGEXEXTRACT(C177,""contain.*$""),9,300)"),"1 muted brown bag, 3 dim purple bags, 1 posh gray bag, 5 pale bronze bags.")</f>
        <v>1 muted brown bag, 3 dim purple bags, 1 posh gray bag, 5 pale bronze bags.</v>
      </c>
      <c r="G177" s="3" t="str">
        <f>IFERROR(__xludf.DUMMYFUNCTION("INDEX(SPLIT($F177,"",""),COLUMN()-6)"),"1 muted brown bag")</f>
        <v>1 muted brown bag</v>
      </c>
      <c r="H177" s="3" t="str">
        <f>IFERROR(__xludf.DUMMYFUNCTION("MID(INDEX(SPLIT($F177,"",""),COLUMN()-6),2,300)"),"3 dim purple bags")</f>
        <v>3 dim purple bags</v>
      </c>
      <c r="I177" s="3" t="str">
        <f>IFERROR(__xludf.DUMMYFUNCTION("MID(INDEX(SPLIT($F177,"",""),COLUMN()-6),2,300)"),"1 posh gray bag")</f>
        <v>1 posh gray bag</v>
      </c>
      <c r="J177" s="3" t="str">
        <f>IFERROR(__xludf.DUMMYFUNCTION("MID(INDEX(SPLIT($F177,"",""),COLUMN()-6),2,300)"),"5 pale bronze bags.")</f>
        <v>5 pale bronze bags.</v>
      </c>
      <c r="K177" s="3">
        <f>IFERROR(__xludf.DUMMYFUNCTION("INDEX(SPLIT(G177,"" ""),1)"),1.0)</f>
        <v>1</v>
      </c>
      <c r="L177" s="3" t="str">
        <f>IFERROR(__xludf.DUMMYFUNCTION("REGEXEXTRACT(G177,"" [^ ]* [^ ]* "")")," muted brown ")</f>
        <v> muted brown </v>
      </c>
      <c r="M177" s="3">
        <f>IFERROR(__xludf.DUMMYFUNCTION("INDEX(SPLIT(H177,"" ""),1)"),3.0)</f>
        <v>3</v>
      </c>
      <c r="N177" s="3" t="str">
        <f>IFERROR(__xludf.DUMMYFUNCTION("MID(REGEXEXTRACT(H177,"" [^ ]* [^ ]*""),2,300)"),"dim purple")</f>
        <v>dim purple</v>
      </c>
      <c r="O177" s="3">
        <f>IFERROR(__xludf.DUMMYFUNCTION("INDEX(SPLIT(I177,"" ""),1)"),1.0)</f>
        <v>1</v>
      </c>
      <c r="P177" s="3" t="str">
        <f>IFERROR(__xludf.DUMMYFUNCTION("MID(REGEXEXTRACT(I177,"" [^ ]* [^ ]*""),2,300)"),"posh gray")</f>
        <v>posh gray</v>
      </c>
      <c r="Q177" s="3">
        <f>IFERROR(__xludf.DUMMYFUNCTION("INDEX(SPLIT(J177,"" ""),1)"),5.0)</f>
        <v>5</v>
      </c>
      <c r="R177" s="3" t="str">
        <f>IFERROR(__xludf.DUMMYFUNCTION("MID(REGEXEXTRACT(J177,"" [^ ]* [^ ]*""),2,300)"),"pale bronze")</f>
        <v>pale bronze</v>
      </c>
      <c r="S177" s="3">
        <f t="shared" si="2"/>
        <v>1</v>
      </c>
      <c r="T177" s="3" t="str">
        <f t="shared" si="3"/>
        <v>muted brown</v>
      </c>
      <c r="U177" s="3">
        <f t="shared" si="4"/>
        <v>3</v>
      </c>
      <c r="V177" s="3" t="str">
        <f t="shared" si="5"/>
        <v>dim purple</v>
      </c>
      <c r="W177" s="3">
        <f t="shared" si="6"/>
        <v>1</v>
      </c>
      <c r="X177" s="3" t="str">
        <f t="shared" si="7"/>
        <v>posh gray</v>
      </c>
      <c r="Y177" s="3">
        <f t="shared" si="8"/>
        <v>5</v>
      </c>
      <c r="Z177" s="3" t="str">
        <f t="shared" si="9"/>
        <v>pale bronze</v>
      </c>
      <c r="AA177" s="13">
        <f t="shared" si="10"/>
        <v>4105879</v>
      </c>
      <c r="AB177" s="3">
        <f t="shared" si="11"/>
        <v>4105878</v>
      </c>
      <c r="AC177" s="3">
        <f t="shared" si="12"/>
        <v>1</v>
      </c>
      <c r="AD177" s="3">
        <f t="shared" si="13"/>
        <v>591080</v>
      </c>
      <c r="AE177" s="3">
        <f t="shared" si="14"/>
        <v>3</v>
      </c>
      <c r="AF177" s="3">
        <f t="shared" si="15"/>
        <v>1160117</v>
      </c>
      <c r="AG177" s="3">
        <f t="shared" si="16"/>
        <v>1</v>
      </c>
      <c r="AH177" s="3">
        <f t="shared" si="17"/>
        <v>25477</v>
      </c>
      <c r="AI177" s="3">
        <f t="shared" si="18"/>
        <v>5</v>
      </c>
      <c r="AJ177" s="3">
        <f t="shared" si="19"/>
        <v>1794</v>
      </c>
    </row>
    <row r="178">
      <c r="C178" s="6" t="s">
        <v>178</v>
      </c>
      <c r="D178" s="3">
        <f t="shared" si="1"/>
        <v>0</v>
      </c>
      <c r="E178" s="3" t="str">
        <f>IFERROR(__xludf.DUMMYFUNCTION("REGEXEXTRACT(C178,""[^ ]* [^ ]*"")"),"striped lime")</f>
        <v>striped lime</v>
      </c>
      <c r="F178" s="3" t="str">
        <f>IFERROR(__xludf.DUMMYFUNCTION("MID(REGEXEXTRACT(C178,""contain.*$""),9,300)"),"1 shiny gold bag.")</f>
        <v>1 shiny gold bag.</v>
      </c>
      <c r="G178" s="3" t="str">
        <f>IFERROR(__xludf.DUMMYFUNCTION("INDEX(SPLIT($F178,"",""),COLUMN()-6)"),"1 shiny gold bag.")</f>
        <v>1 shiny gold bag.</v>
      </c>
      <c r="H178" s="3" t="str">
        <f>IFERROR(__xludf.DUMMYFUNCTION("MID(INDEX(SPLIT($F178,"",""),COLUMN()-6),2,300)"),"#REF!")</f>
        <v>#REF!</v>
      </c>
      <c r="I178" s="3" t="str">
        <f>IFERROR(__xludf.DUMMYFUNCTION("MID(INDEX(SPLIT($F178,"",""),COLUMN()-6),2,300)"),"#REF!")</f>
        <v>#REF!</v>
      </c>
      <c r="J178" s="3" t="str">
        <f>IFERROR(__xludf.DUMMYFUNCTION("MID(INDEX(SPLIT($F178,"",""),COLUMN()-6),2,300)"),"#REF!")</f>
        <v>#REF!</v>
      </c>
      <c r="K178" s="3">
        <f>IFERROR(__xludf.DUMMYFUNCTION("INDEX(SPLIT(G178,"" ""),1)"),1.0)</f>
        <v>1</v>
      </c>
      <c r="L178" s="3" t="str">
        <f>IFERROR(__xludf.DUMMYFUNCTION("REGEXEXTRACT(G178,"" [^ ]* [^ ]* "")")," shiny gold ")</f>
        <v> shiny gold </v>
      </c>
      <c r="M178" s="3" t="str">
        <f>IFERROR(__xludf.DUMMYFUNCTION("INDEX(SPLIT(H178,"" ""),1)"),"#REF!")</f>
        <v>#REF!</v>
      </c>
      <c r="N178" s="3" t="str">
        <f>IFERROR(__xludf.DUMMYFUNCTION("MID(REGEXEXTRACT(H178,"" [^ ]* [^ ]*""),2,300)"),"#REF!")</f>
        <v>#REF!</v>
      </c>
      <c r="O178" s="3" t="str">
        <f>IFERROR(__xludf.DUMMYFUNCTION("INDEX(SPLIT(I178,"" ""),1)"),"#REF!")</f>
        <v>#REF!</v>
      </c>
      <c r="P178" s="3" t="str">
        <f>IFERROR(__xludf.DUMMYFUNCTION("MID(REGEXEXTRACT(I178,"" [^ ]* [^ ]*""),2,300)"),"#REF!")</f>
        <v>#REF!</v>
      </c>
      <c r="Q178" s="3" t="str">
        <f>IFERROR(__xludf.DUMMYFUNCTION("INDEX(SPLIT(J178,"" ""),1)"),"#REF!")</f>
        <v>#REF!</v>
      </c>
      <c r="R178" s="3" t="str">
        <f>IFERROR(__xludf.DUMMYFUNCTION("MID(REGEXEXTRACT(J178,"" [^ ]* [^ ]*""),2,300)"),"#REF!")</f>
        <v>#REF!</v>
      </c>
      <c r="S178" s="3">
        <f t="shared" si="2"/>
        <v>1</v>
      </c>
      <c r="T178" s="3" t="str">
        <f t="shared" si="3"/>
        <v>shiny gold</v>
      </c>
      <c r="U178" s="3" t="str">
        <f t="shared" si="4"/>
        <v/>
      </c>
      <c r="V178" s="3" t="str">
        <f t="shared" si="5"/>
        <v/>
      </c>
      <c r="W178" s="3" t="str">
        <f t="shared" si="6"/>
        <v/>
      </c>
      <c r="X178" s="3" t="str">
        <f t="shared" si="7"/>
        <v/>
      </c>
      <c r="Y178" s="3" t="str">
        <f t="shared" si="8"/>
        <v/>
      </c>
      <c r="Z178" s="3" t="str">
        <f t="shared" si="9"/>
        <v/>
      </c>
      <c r="AA178" s="13">
        <f t="shared" si="10"/>
        <v>12130</v>
      </c>
      <c r="AB178" s="3">
        <f t="shared" si="11"/>
        <v>12129</v>
      </c>
      <c r="AC178" s="3">
        <f t="shared" si="12"/>
        <v>1</v>
      </c>
      <c r="AD178" s="3">
        <f t="shared" si="13"/>
        <v>12129</v>
      </c>
      <c r="AE178" s="3" t="str">
        <f t="shared" si="14"/>
        <v/>
      </c>
      <c r="AF178" s="3">
        <f t="shared" si="15"/>
        <v>0</v>
      </c>
      <c r="AG178" s="3" t="str">
        <f t="shared" si="16"/>
        <v/>
      </c>
      <c r="AH178" s="3">
        <f t="shared" si="17"/>
        <v>0</v>
      </c>
      <c r="AI178" s="3" t="str">
        <f t="shared" si="18"/>
        <v/>
      </c>
      <c r="AJ178" s="3">
        <f t="shared" si="19"/>
        <v>0</v>
      </c>
    </row>
    <row r="179">
      <c r="C179" s="6" t="s">
        <v>179</v>
      </c>
      <c r="D179" s="3">
        <f t="shared" si="1"/>
        <v>1</v>
      </c>
      <c r="E179" s="3" t="str">
        <f>IFERROR(__xludf.DUMMYFUNCTION("REGEXEXTRACT(C179,""[^ ]* [^ ]*"")"),"light violet")</f>
        <v>light violet</v>
      </c>
      <c r="F179" s="3" t="str">
        <f>IFERROR(__xludf.DUMMYFUNCTION("MID(REGEXEXTRACT(C179,""contain.*$""),9,300)"),"4 mirrored purple bags, 5 clear blue bags.")</f>
        <v>4 mirrored purple bags, 5 clear blue bags.</v>
      </c>
      <c r="G179" s="3" t="str">
        <f>IFERROR(__xludf.DUMMYFUNCTION("INDEX(SPLIT($F179,"",""),COLUMN()-6)"),"4 mirrored purple bags")</f>
        <v>4 mirrored purple bags</v>
      </c>
      <c r="H179" s="3" t="str">
        <f>IFERROR(__xludf.DUMMYFUNCTION("MID(INDEX(SPLIT($F179,"",""),COLUMN()-6),2,300)"),"5 clear blue bags.")</f>
        <v>5 clear blue bags.</v>
      </c>
      <c r="I179" s="3" t="str">
        <f>IFERROR(__xludf.DUMMYFUNCTION("MID(INDEX(SPLIT($F179,"",""),COLUMN()-6),2,300)"),"#REF!")</f>
        <v>#REF!</v>
      </c>
      <c r="J179" s="3" t="str">
        <f>IFERROR(__xludf.DUMMYFUNCTION("MID(INDEX(SPLIT($F179,"",""),COLUMN()-6),2,300)"),"#REF!")</f>
        <v>#REF!</v>
      </c>
      <c r="K179" s="3">
        <f>IFERROR(__xludf.DUMMYFUNCTION("INDEX(SPLIT(G179,"" ""),1)"),4.0)</f>
        <v>4</v>
      </c>
      <c r="L179" s="3" t="str">
        <f>IFERROR(__xludf.DUMMYFUNCTION("REGEXEXTRACT(G179,"" [^ ]* [^ ]* "")")," mirrored purple ")</f>
        <v> mirrored purple </v>
      </c>
      <c r="M179" s="3">
        <f>IFERROR(__xludf.DUMMYFUNCTION("INDEX(SPLIT(H179,"" ""),1)"),5.0)</f>
        <v>5</v>
      </c>
      <c r="N179" s="3" t="str">
        <f>IFERROR(__xludf.DUMMYFUNCTION("MID(REGEXEXTRACT(H179,"" [^ ]* [^ ]*""),2,300)"),"clear blue")</f>
        <v>clear blue</v>
      </c>
      <c r="O179" s="3" t="str">
        <f>IFERROR(__xludf.DUMMYFUNCTION("INDEX(SPLIT(I179,"" ""),1)"),"#REF!")</f>
        <v>#REF!</v>
      </c>
      <c r="P179" s="3" t="str">
        <f>IFERROR(__xludf.DUMMYFUNCTION("MID(REGEXEXTRACT(I179,"" [^ ]* [^ ]*""),2,300)"),"#REF!")</f>
        <v>#REF!</v>
      </c>
      <c r="Q179" s="3" t="str">
        <f>IFERROR(__xludf.DUMMYFUNCTION("INDEX(SPLIT(J179,"" ""),1)"),"#REF!")</f>
        <v>#REF!</v>
      </c>
      <c r="R179" s="3" t="str">
        <f>IFERROR(__xludf.DUMMYFUNCTION("MID(REGEXEXTRACT(J179,"" [^ ]* [^ ]*""),2,300)"),"#REF!")</f>
        <v>#REF!</v>
      </c>
      <c r="S179" s="3">
        <f t="shared" si="2"/>
        <v>4</v>
      </c>
      <c r="T179" s="3" t="str">
        <f t="shared" si="3"/>
        <v>mirrored purple</v>
      </c>
      <c r="U179" s="3">
        <f t="shared" si="4"/>
        <v>5</v>
      </c>
      <c r="V179" s="3" t="str">
        <f t="shared" si="5"/>
        <v>clear blue</v>
      </c>
      <c r="W179" s="3" t="str">
        <f t="shared" si="6"/>
        <v/>
      </c>
      <c r="X179" s="3" t="str">
        <f t="shared" si="7"/>
        <v/>
      </c>
      <c r="Y179" s="3" t="str">
        <f t="shared" si="8"/>
        <v/>
      </c>
      <c r="Z179" s="3" t="str">
        <f t="shared" si="9"/>
        <v/>
      </c>
      <c r="AA179" s="13">
        <f t="shared" si="10"/>
        <v>188174045</v>
      </c>
      <c r="AB179" s="3">
        <f t="shared" si="11"/>
        <v>188174044</v>
      </c>
      <c r="AC179" s="3">
        <f t="shared" si="12"/>
        <v>4</v>
      </c>
      <c r="AD179" s="3">
        <f t="shared" si="13"/>
        <v>47043416</v>
      </c>
      <c r="AE179" s="3">
        <f t="shared" si="14"/>
        <v>5</v>
      </c>
      <c r="AF179" s="3">
        <f t="shared" si="15"/>
        <v>76</v>
      </c>
      <c r="AG179" s="3" t="str">
        <f t="shared" si="16"/>
        <v/>
      </c>
      <c r="AH179" s="3">
        <f t="shared" si="17"/>
        <v>0</v>
      </c>
      <c r="AI179" s="3" t="str">
        <f t="shared" si="18"/>
        <v/>
      </c>
      <c r="AJ179" s="3">
        <f t="shared" si="19"/>
        <v>0</v>
      </c>
    </row>
    <row r="180">
      <c r="C180" s="6" t="s">
        <v>180</v>
      </c>
      <c r="D180" s="3">
        <f t="shared" si="1"/>
        <v>3</v>
      </c>
      <c r="E180" s="3" t="str">
        <f>IFERROR(__xludf.DUMMYFUNCTION("REGEXEXTRACT(C180,""[^ ]* [^ ]*"")"),"striped orange")</f>
        <v>striped orange</v>
      </c>
      <c r="F180" s="3" t="str">
        <f>IFERROR(__xludf.DUMMYFUNCTION("MID(REGEXEXTRACT(C180,""contain.*$""),9,300)"),"3 light gold bags, 3 light olive bags, 3 muted crimson bags, 2 pale cyan bags.")</f>
        <v>3 light gold bags, 3 light olive bags, 3 muted crimson bags, 2 pale cyan bags.</v>
      </c>
      <c r="G180" s="3" t="str">
        <f>IFERROR(__xludf.DUMMYFUNCTION("INDEX(SPLIT($F180,"",""),COLUMN()-6)"),"3 light gold bags")</f>
        <v>3 light gold bags</v>
      </c>
      <c r="H180" s="3" t="str">
        <f>IFERROR(__xludf.DUMMYFUNCTION("MID(INDEX(SPLIT($F180,"",""),COLUMN()-6),2,300)"),"3 light olive bags")</f>
        <v>3 light olive bags</v>
      </c>
      <c r="I180" s="3" t="str">
        <f>IFERROR(__xludf.DUMMYFUNCTION("MID(INDEX(SPLIT($F180,"",""),COLUMN()-6),2,300)"),"3 muted crimson bags")</f>
        <v>3 muted crimson bags</v>
      </c>
      <c r="J180" s="3" t="str">
        <f>IFERROR(__xludf.DUMMYFUNCTION("MID(INDEX(SPLIT($F180,"",""),COLUMN()-6),2,300)"),"2 pale cyan bags.")</f>
        <v>2 pale cyan bags.</v>
      </c>
      <c r="K180" s="3">
        <f>IFERROR(__xludf.DUMMYFUNCTION("INDEX(SPLIT(G180,"" ""),1)"),3.0)</f>
        <v>3</v>
      </c>
      <c r="L180" s="3" t="str">
        <f>IFERROR(__xludf.DUMMYFUNCTION("REGEXEXTRACT(G180,"" [^ ]* [^ ]* "")")," light gold ")</f>
        <v> light gold </v>
      </c>
      <c r="M180" s="3">
        <f>IFERROR(__xludf.DUMMYFUNCTION("INDEX(SPLIT(H180,"" ""),1)"),3.0)</f>
        <v>3</v>
      </c>
      <c r="N180" s="3" t="str">
        <f>IFERROR(__xludf.DUMMYFUNCTION("MID(REGEXEXTRACT(H180,"" [^ ]* [^ ]*""),2,300)"),"light olive")</f>
        <v>light olive</v>
      </c>
      <c r="O180" s="3">
        <f>IFERROR(__xludf.DUMMYFUNCTION("INDEX(SPLIT(I180,"" ""),1)"),3.0)</f>
        <v>3</v>
      </c>
      <c r="P180" s="3" t="str">
        <f>IFERROR(__xludf.DUMMYFUNCTION("MID(REGEXEXTRACT(I180,"" [^ ]* [^ ]*""),2,300)"),"muted crimson")</f>
        <v>muted crimson</v>
      </c>
      <c r="Q180" s="3">
        <f>IFERROR(__xludf.DUMMYFUNCTION("INDEX(SPLIT(J180,"" ""),1)"),2.0)</f>
        <v>2</v>
      </c>
      <c r="R180" s="3" t="str">
        <f>IFERROR(__xludf.DUMMYFUNCTION("MID(REGEXEXTRACT(J180,"" [^ ]* [^ ]*""),2,300)"),"pale cyan")</f>
        <v>pale cyan</v>
      </c>
      <c r="S180" s="3">
        <f t="shared" si="2"/>
        <v>3</v>
      </c>
      <c r="T180" s="3" t="str">
        <f t="shared" si="3"/>
        <v>light gold</v>
      </c>
      <c r="U180" s="3">
        <f t="shared" si="4"/>
        <v>3</v>
      </c>
      <c r="V180" s="3" t="str">
        <f t="shared" si="5"/>
        <v>light olive</v>
      </c>
      <c r="W180" s="3">
        <f t="shared" si="6"/>
        <v>3</v>
      </c>
      <c r="X180" s="3" t="str">
        <f t="shared" si="7"/>
        <v>muted crimson</v>
      </c>
      <c r="Y180" s="3">
        <f t="shared" si="8"/>
        <v>2</v>
      </c>
      <c r="Z180" s="3" t="str">
        <f t="shared" si="9"/>
        <v>pale cyan</v>
      </c>
      <c r="AA180" s="13">
        <f t="shared" si="10"/>
        <v>485371005</v>
      </c>
      <c r="AB180" s="3">
        <f t="shared" si="11"/>
        <v>485371004</v>
      </c>
      <c r="AC180" s="3">
        <f t="shared" si="12"/>
        <v>3</v>
      </c>
      <c r="AD180" s="3">
        <f t="shared" si="13"/>
        <v>112904201</v>
      </c>
      <c r="AE180" s="3">
        <f t="shared" si="14"/>
        <v>3</v>
      </c>
      <c r="AF180" s="3">
        <f t="shared" si="15"/>
        <v>12655590</v>
      </c>
      <c r="AG180" s="3">
        <f t="shared" si="16"/>
        <v>3</v>
      </c>
      <c r="AH180" s="3">
        <f t="shared" si="17"/>
        <v>621</v>
      </c>
      <c r="AI180" s="3">
        <f t="shared" si="18"/>
        <v>2</v>
      </c>
      <c r="AJ180" s="3">
        <f t="shared" si="19"/>
        <v>54344884</v>
      </c>
    </row>
    <row r="181">
      <c r="C181" s="6" t="s">
        <v>181</v>
      </c>
      <c r="D181" s="3">
        <f t="shared" si="1"/>
        <v>1</v>
      </c>
      <c r="E181" s="3" t="str">
        <f>IFERROR(__xludf.DUMMYFUNCTION("REGEXEXTRACT(C181,""[^ ]* [^ ]*"")"),"drab turquoise")</f>
        <v>drab turquoise</v>
      </c>
      <c r="F181" s="3" t="str">
        <f>IFERROR(__xludf.DUMMYFUNCTION("MID(REGEXEXTRACT(C181,""contain.*$""),9,300)"),"3 dim magenta bags, 4 pale black bags.")</f>
        <v>3 dim magenta bags, 4 pale black bags.</v>
      </c>
      <c r="G181" s="3" t="str">
        <f>IFERROR(__xludf.DUMMYFUNCTION("INDEX(SPLIT($F181,"",""),COLUMN()-6)"),"3 dim magenta bags")</f>
        <v>3 dim magenta bags</v>
      </c>
      <c r="H181" s="3" t="str">
        <f>IFERROR(__xludf.DUMMYFUNCTION("MID(INDEX(SPLIT($F181,"",""),COLUMN()-6),2,300)"),"4 pale black bags.")</f>
        <v>4 pale black bags.</v>
      </c>
      <c r="I181" s="3" t="str">
        <f>IFERROR(__xludf.DUMMYFUNCTION("MID(INDEX(SPLIT($F181,"",""),COLUMN()-6),2,300)"),"#REF!")</f>
        <v>#REF!</v>
      </c>
      <c r="J181" s="3" t="str">
        <f>IFERROR(__xludf.DUMMYFUNCTION("MID(INDEX(SPLIT($F181,"",""),COLUMN()-6),2,300)"),"#REF!")</f>
        <v>#REF!</v>
      </c>
      <c r="K181" s="3">
        <f>IFERROR(__xludf.DUMMYFUNCTION("INDEX(SPLIT(G181,"" ""),1)"),3.0)</f>
        <v>3</v>
      </c>
      <c r="L181" s="3" t="str">
        <f>IFERROR(__xludf.DUMMYFUNCTION("REGEXEXTRACT(G181,"" [^ ]* [^ ]* "")")," dim magenta ")</f>
        <v> dim magenta </v>
      </c>
      <c r="M181" s="3">
        <f>IFERROR(__xludf.DUMMYFUNCTION("INDEX(SPLIT(H181,"" ""),1)"),4.0)</f>
        <v>4</v>
      </c>
      <c r="N181" s="3" t="str">
        <f>IFERROR(__xludf.DUMMYFUNCTION("MID(REGEXEXTRACT(H181,"" [^ ]* [^ ]*""),2,300)"),"pale black")</f>
        <v>pale black</v>
      </c>
      <c r="O181" s="3" t="str">
        <f>IFERROR(__xludf.DUMMYFUNCTION("INDEX(SPLIT(I181,"" ""),1)"),"#REF!")</f>
        <v>#REF!</v>
      </c>
      <c r="P181" s="3" t="str">
        <f>IFERROR(__xludf.DUMMYFUNCTION("MID(REGEXEXTRACT(I181,"" [^ ]* [^ ]*""),2,300)"),"#REF!")</f>
        <v>#REF!</v>
      </c>
      <c r="Q181" s="3" t="str">
        <f>IFERROR(__xludf.DUMMYFUNCTION("INDEX(SPLIT(J181,"" ""),1)"),"#REF!")</f>
        <v>#REF!</v>
      </c>
      <c r="R181" s="3" t="str">
        <f>IFERROR(__xludf.DUMMYFUNCTION("MID(REGEXEXTRACT(J181,"" [^ ]* [^ ]*""),2,300)"),"#REF!")</f>
        <v>#REF!</v>
      </c>
      <c r="S181" s="3">
        <f t="shared" si="2"/>
        <v>3</v>
      </c>
      <c r="T181" s="3" t="str">
        <f t="shared" si="3"/>
        <v>dim magenta</v>
      </c>
      <c r="U181" s="3">
        <f t="shared" si="4"/>
        <v>4</v>
      </c>
      <c r="V181" s="3" t="str">
        <f t="shared" si="5"/>
        <v>pale black</v>
      </c>
      <c r="W181" s="3" t="str">
        <f t="shared" si="6"/>
        <v/>
      </c>
      <c r="X181" s="3" t="str">
        <f t="shared" si="7"/>
        <v/>
      </c>
      <c r="Y181" s="3" t="str">
        <f t="shared" si="8"/>
        <v/>
      </c>
      <c r="Z181" s="3" t="str">
        <f t="shared" si="9"/>
        <v/>
      </c>
      <c r="AA181" s="13">
        <f t="shared" si="10"/>
        <v>6667815</v>
      </c>
      <c r="AB181" s="3">
        <f t="shared" si="11"/>
        <v>6667814</v>
      </c>
      <c r="AC181" s="3">
        <f t="shared" si="12"/>
        <v>3</v>
      </c>
      <c r="AD181" s="3">
        <f t="shared" si="13"/>
        <v>2222594</v>
      </c>
      <c r="AE181" s="3">
        <f t="shared" si="14"/>
        <v>4</v>
      </c>
      <c r="AF181" s="3">
        <f t="shared" si="15"/>
        <v>8</v>
      </c>
      <c r="AG181" s="3" t="str">
        <f t="shared" si="16"/>
        <v/>
      </c>
      <c r="AH181" s="3">
        <f t="shared" si="17"/>
        <v>0</v>
      </c>
      <c r="AI181" s="3" t="str">
        <f t="shared" si="18"/>
        <v/>
      </c>
      <c r="AJ181" s="3">
        <f t="shared" si="19"/>
        <v>0</v>
      </c>
    </row>
    <row r="182">
      <c r="C182" s="6" t="s">
        <v>182</v>
      </c>
      <c r="D182" s="3">
        <f t="shared" si="1"/>
        <v>1</v>
      </c>
      <c r="E182" s="3" t="str">
        <f>IFERROR(__xludf.DUMMYFUNCTION("REGEXEXTRACT(C182,""[^ ]* [^ ]*"")"),"pale salmon")</f>
        <v>pale salmon</v>
      </c>
      <c r="F182" s="3" t="str">
        <f>IFERROR(__xludf.DUMMYFUNCTION("MID(REGEXEXTRACT(C182,""contain.*$""),9,300)"),"2 mirrored cyan bags, 4 vibrant blue bags.")</f>
        <v>2 mirrored cyan bags, 4 vibrant blue bags.</v>
      </c>
      <c r="G182" s="3" t="str">
        <f>IFERROR(__xludf.DUMMYFUNCTION("INDEX(SPLIT($F182,"",""),COLUMN()-6)"),"2 mirrored cyan bags")</f>
        <v>2 mirrored cyan bags</v>
      </c>
      <c r="H182" s="3" t="str">
        <f>IFERROR(__xludf.DUMMYFUNCTION("MID(INDEX(SPLIT($F182,"",""),COLUMN()-6),2,300)"),"4 vibrant blue bags.")</f>
        <v>4 vibrant blue bags.</v>
      </c>
      <c r="I182" s="3" t="str">
        <f>IFERROR(__xludf.DUMMYFUNCTION("MID(INDEX(SPLIT($F182,"",""),COLUMN()-6),2,300)"),"#REF!")</f>
        <v>#REF!</v>
      </c>
      <c r="J182" s="3" t="str">
        <f>IFERROR(__xludf.DUMMYFUNCTION("MID(INDEX(SPLIT($F182,"",""),COLUMN()-6),2,300)"),"#REF!")</f>
        <v>#REF!</v>
      </c>
      <c r="K182" s="3">
        <f>IFERROR(__xludf.DUMMYFUNCTION("INDEX(SPLIT(G182,"" ""),1)"),2.0)</f>
        <v>2</v>
      </c>
      <c r="L182" s="3" t="str">
        <f>IFERROR(__xludf.DUMMYFUNCTION("REGEXEXTRACT(G182,"" [^ ]* [^ ]* "")")," mirrored cyan ")</f>
        <v> mirrored cyan </v>
      </c>
      <c r="M182" s="3">
        <f>IFERROR(__xludf.DUMMYFUNCTION("INDEX(SPLIT(H182,"" ""),1)"),4.0)</f>
        <v>4</v>
      </c>
      <c r="N182" s="3" t="str">
        <f>IFERROR(__xludf.DUMMYFUNCTION("MID(REGEXEXTRACT(H182,"" [^ ]* [^ ]*""),2,300)"),"vibrant blue")</f>
        <v>vibrant blue</v>
      </c>
      <c r="O182" s="3" t="str">
        <f>IFERROR(__xludf.DUMMYFUNCTION("INDEX(SPLIT(I182,"" ""),1)"),"#REF!")</f>
        <v>#REF!</v>
      </c>
      <c r="P182" s="3" t="str">
        <f>IFERROR(__xludf.DUMMYFUNCTION("MID(REGEXEXTRACT(I182,"" [^ ]* [^ ]*""),2,300)"),"#REF!")</f>
        <v>#REF!</v>
      </c>
      <c r="Q182" s="3" t="str">
        <f>IFERROR(__xludf.DUMMYFUNCTION("INDEX(SPLIT(J182,"" ""),1)"),"#REF!")</f>
        <v>#REF!</v>
      </c>
      <c r="R182" s="3" t="str">
        <f>IFERROR(__xludf.DUMMYFUNCTION("MID(REGEXEXTRACT(J182,"" [^ ]* [^ ]*""),2,300)"),"#REF!")</f>
        <v>#REF!</v>
      </c>
      <c r="S182" s="3">
        <f t="shared" si="2"/>
        <v>2</v>
      </c>
      <c r="T182" s="3" t="str">
        <f t="shared" si="3"/>
        <v>mirrored cyan</v>
      </c>
      <c r="U182" s="3">
        <f t="shared" si="4"/>
        <v>4</v>
      </c>
      <c r="V182" s="3" t="str">
        <f t="shared" si="5"/>
        <v>vibrant blue</v>
      </c>
      <c r="W182" s="3" t="str">
        <f t="shared" si="6"/>
        <v/>
      </c>
      <c r="X182" s="3" t="str">
        <f t="shared" si="7"/>
        <v/>
      </c>
      <c r="Y182" s="3" t="str">
        <f t="shared" si="8"/>
        <v/>
      </c>
      <c r="Z182" s="3" t="str">
        <f t="shared" si="9"/>
        <v/>
      </c>
      <c r="AA182" s="13">
        <f t="shared" si="10"/>
        <v>9889</v>
      </c>
      <c r="AB182" s="3">
        <f t="shared" si="11"/>
        <v>9888</v>
      </c>
      <c r="AC182" s="3">
        <f t="shared" si="12"/>
        <v>2</v>
      </c>
      <c r="AD182" s="3">
        <f t="shared" si="13"/>
        <v>1854</v>
      </c>
      <c r="AE182" s="3">
        <f t="shared" si="14"/>
        <v>4</v>
      </c>
      <c r="AF182" s="3">
        <f t="shared" si="15"/>
        <v>1545</v>
      </c>
      <c r="AG182" s="3" t="str">
        <f t="shared" si="16"/>
        <v/>
      </c>
      <c r="AH182" s="3">
        <f t="shared" si="17"/>
        <v>0</v>
      </c>
      <c r="AI182" s="3" t="str">
        <f t="shared" si="18"/>
        <v/>
      </c>
      <c r="AJ182" s="3">
        <f t="shared" si="19"/>
        <v>0</v>
      </c>
    </row>
    <row r="183">
      <c r="C183" s="6" t="s">
        <v>183</v>
      </c>
      <c r="D183" s="3">
        <f t="shared" si="1"/>
        <v>2</v>
      </c>
      <c r="E183" s="3" t="str">
        <f>IFERROR(__xludf.DUMMYFUNCTION("REGEXEXTRACT(C183,""[^ ]* [^ ]*"")"),"shiny yellow")</f>
        <v>shiny yellow</v>
      </c>
      <c r="F183" s="3" t="str">
        <f>IFERROR(__xludf.DUMMYFUNCTION("MID(REGEXEXTRACT(C183,""contain.*$""),9,300)"),"5 vibrant tomato bags, 3 muted salmon bags, 5 wavy tomato bags.")</f>
        <v>5 vibrant tomato bags, 3 muted salmon bags, 5 wavy tomato bags.</v>
      </c>
      <c r="G183" s="3" t="str">
        <f>IFERROR(__xludf.DUMMYFUNCTION("INDEX(SPLIT($F183,"",""),COLUMN()-6)"),"5 vibrant tomato bags")</f>
        <v>5 vibrant tomato bags</v>
      </c>
      <c r="H183" s="3" t="str">
        <f>IFERROR(__xludf.DUMMYFUNCTION("MID(INDEX(SPLIT($F183,"",""),COLUMN()-6),2,300)"),"3 muted salmon bags")</f>
        <v>3 muted salmon bags</v>
      </c>
      <c r="I183" s="3" t="str">
        <f>IFERROR(__xludf.DUMMYFUNCTION("MID(INDEX(SPLIT($F183,"",""),COLUMN()-6),2,300)"),"5 wavy tomato bags.")</f>
        <v>5 wavy tomato bags.</v>
      </c>
      <c r="J183" s="3" t="str">
        <f>IFERROR(__xludf.DUMMYFUNCTION("MID(INDEX(SPLIT($F183,"",""),COLUMN()-6),2,300)"),"#REF!")</f>
        <v>#REF!</v>
      </c>
      <c r="K183" s="3">
        <f>IFERROR(__xludf.DUMMYFUNCTION("INDEX(SPLIT(G183,"" ""),1)"),5.0)</f>
        <v>5</v>
      </c>
      <c r="L183" s="3" t="str">
        <f>IFERROR(__xludf.DUMMYFUNCTION("REGEXEXTRACT(G183,"" [^ ]* [^ ]* "")")," vibrant tomato ")</f>
        <v> vibrant tomato </v>
      </c>
      <c r="M183" s="3">
        <f>IFERROR(__xludf.DUMMYFUNCTION("INDEX(SPLIT(H183,"" ""),1)"),3.0)</f>
        <v>3</v>
      </c>
      <c r="N183" s="3" t="str">
        <f>IFERROR(__xludf.DUMMYFUNCTION("MID(REGEXEXTRACT(H183,"" [^ ]* [^ ]*""),2,300)"),"muted salmon")</f>
        <v>muted salmon</v>
      </c>
      <c r="O183" s="3">
        <f>IFERROR(__xludf.DUMMYFUNCTION("INDEX(SPLIT(I183,"" ""),1)"),5.0)</f>
        <v>5</v>
      </c>
      <c r="P183" s="3" t="str">
        <f>IFERROR(__xludf.DUMMYFUNCTION("MID(REGEXEXTRACT(I183,"" [^ ]* [^ ]*""),2,300)"),"wavy tomato")</f>
        <v>wavy tomato</v>
      </c>
      <c r="Q183" s="3" t="str">
        <f>IFERROR(__xludf.DUMMYFUNCTION("INDEX(SPLIT(J183,"" ""),1)"),"#REF!")</f>
        <v>#REF!</v>
      </c>
      <c r="R183" s="3" t="str">
        <f>IFERROR(__xludf.DUMMYFUNCTION("MID(REGEXEXTRACT(J183,"" [^ ]* [^ ]*""),2,300)"),"#REF!")</f>
        <v>#REF!</v>
      </c>
      <c r="S183" s="3">
        <f t="shared" si="2"/>
        <v>5</v>
      </c>
      <c r="T183" s="3" t="str">
        <f t="shared" si="3"/>
        <v>vibrant tomato</v>
      </c>
      <c r="U183" s="3">
        <f t="shared" si="4"/>
        <v>3</v>
      </c>
      <c r="V183" s="3" t="str">
        <f t="shared" si="5"/>
        <v>muted salmon</v>
      </c>
      <c r="W183" s="3">
        <f t="shared" si="6"/>
        <v>5</v>
      </c>
      <c r="X183" s="3" t="str">
        <f t="shared" si="7"/>
        <v>wavy tomato</v>
      </c>
      <c r="Y183" s="3" t="str">
        <f t="shared" si="8"/>
        <v/>
      </c>
      <c r="Z183" s="3" t="str">
        <f t="shared" si="9"/>
        <v/>
      </c>
      <c r="AA183" s="13">
        <f t="shared" si="10"/>
        <v>2036627</v>
      </c>
      <c r="AB183" s="3">
        <f t="shared" si="11"/>
        <v>2036626</v>
      </c>
      <c r="AC183" s="3">
        <f t="shared" si="12"/>
        <v>5</v>
      </c>
      <c r="AD183" s="3">
        <f t="shared" si="13"/>
        <v>405253</v>
      </c>
      <c r="AE183" s="3">
        <f t="shared" si="14"/>
        <v>3</v>
      </c>
      <c r="AF183" s="3">
        <f t="shared" si="15"/>
        <v>3012</v>
      </c>
      <c r="AG183" s="3">
        <f t="shared" si="16"/>
        <v>5</v>
      </c>
      <c r="AH183" s="3">
        <f t="shared" si="17"/>
        <v>265</v>
      </c>
      <c r="AI183" s="3" t="str">
        <f t="shared" si="18"/>
        <v/>
      </c>
      <c r="AJ183" s="3">
        <f t="shared" si="19"/>
        <v>0</v>
      </c>
    </row>
    <row r="184">
      <c r="C184" s="6" t="s">
        <v>184</v>
      </c>
      <c r="D184" s="3">
        <f t="shared" si="1"/>
        <v>3</v>
      </c>
      <c r="E184" s="3" t="str">
        <f>IFERROR(__xludf.DUMMYFUNCTION("REGEXEXTRACT(C184,""[^ ]* [^ ]*"")"),"plaid lime")</f>
        <v>plaid lime</v>
      </c>
      <c r="F184" s="3" t="str">
        <f>IFERROR(__xludf.DUMMYFUNCTION("MID(REGEXEXTRACT(C184,""contain.*$""),9,300)"),"2 pale yellow bags, 2 shiny red bags, 3 muted crimson bags, 4 dull green bags.")</f>
        <v>2 pale yellow bags, 2 shiny red bags, 3 muted crimson bags, 4 dull green bags.</v>
      </c>
      <c r="G184" s="3" t="str">
        <f>IFERROR(__xludf.DUMMYFUNCTION("INDEX(SPLIT($F184,"",""),COLUMN()-6)"),"2 pale yellow bags")</f>
        <v>2 pale yellow bags</v>
      </c>
      <c r="H184" s="3" t="str">
        <f>IFERROR(__xludf.DUMMYFUNCTION("MID(INDEX(SPLIT($F184,"",""),COLUMN()-6),2,300)"),"2 shiny red bags")</f>
        <v>2 shiny red bags</v>
      </c>
      <c r="I184" s="3" t="str">
        <f>IFERROR(__xludf.DUMMYFUNCTION("MID(INDEX(SPLIT($F184,"",""),COLUMN()-6),2,300)"),"3 muted crimson bags")</f>
        <v>3 muted crimson bags</v>
      </c>
      <c r="J184" s="3" t="str">
        <f>IFERROR(__xludf.DUMMYFUNCTION("MID(INDEX(SPLIT($F184,"",""),COLUMN()-6),2,300)"),"4 dull green bags.")</f>
        <v>4 dull green bags.</v>
      </c>
      <c r="K184" s="3">
        <f>IFERROR(__xludf.DUMMYFUNCTION("INDEX(SPLIT(G184,"" ""),1)"),2.0)</f>
        <v>2</v>
      </c>
      <c r="L184" s="3" t="str">
        <f>IFERROR(__xludf.DUMMYFUNCTION("REGEXEXTRACT(G184,"" [^ ]* [^ ]* "")")," pale yellow ")</f>
        <v> pale yellow </v>
      </c>
      <c r="M184" s="3">
        <f>IFERROR(__xludf.DUMMYFUNCTION("INDEX(SPLIT(H184,"" ""),1)"),2.0)</f>
        <v>2</v>
      </c>
      <c r="N184" s="3" t="str">
        <f>IFERROR(__xludf.DUMMYFUNCTION("MID(REGEXEXTRACT(H184,"" [^ ]* [^ ]*""),2,300)"),"shiny red")</f>
        <v>shiny red</v>
      </c>
      <c r="O184" s="3">
        <f>IFERROR(__xludf.DUMMYFUNCTION("INDEX(SPLIT(I184,"" ""),1)"),3.0)</f>
        <v>3</v>
      </c>
      <c r="P184" s="3" t="str">
        <f>IFERROR(__xludf.DUMMYFUNCTION("MID(REGEXEXTRACT(I184,"" [^ ]* [^ ]*""),2,300)"),"muted crimson")</f>
        <v>muted crimson</v>
      </c>
      <c r="Q184" s="3">
        <f>IFERROR(__xludf.DUMMYFUNCTION("INDEX(SPLIT(J184,"" ""),1)"),4.0)</f>
        <v>4</v>
      </c>
      <c r="R184" s="3" t="str">
        <f>IFERROR(__xludf.DUMMYFUNCTION("MID(REGEXEXTRACT(J184,"" [^ ]* [^ ]*""),2,300)"),"dull green")</f>
        <v>dull green</v>
      </c>
      <c r="S184" s="3">
        <f t="shared" si="2"/>
        <v>2</v>
      </c>
      <c r="T184" s="3" t="str">
        <f t="shared" si="3"/>
        <v>pale yellow</v>
      </c>
      <c r="U184" s="3">
        <f t="shared" si="4"/>
        <v>2</v>
      </c>
      <c r="V184" s="3" t="str">
        <f t="shared" si="5"/>
        <v>shiny red</v>
      </c>
      <c r="W184" s="3">
        <f t="shared" si="6"/>
        <v>3</v>
      </c>
      <c r="X184" s="3" t="str">
        <f t="shared" si="7"/>
        <v>muted crimson</v>
      </c>
      <c r="Y184" s="3">
        <f t="shared" si="8"/>
        <v>4</v>
      </c>
      <c r="Z184" s="3" t="str">
        <f t="shared" si="9"/>
        <v>dull green</v>
      </c>
      <c r="AA184" s="13">
        <f t="shared" si="10"/>
        <v>5215422</v>
      </c>
      <c r="AB184" s="3">
        <f t="shared" si="11"/>
        <v>5215421</v>
      </c>
      <c r="AC184" s="3">
        <f t="shared" si="12"/>
        <v>2</v>
      </c>
      <c r="AD184" s="3">
        <f t="shared" si="13"/>
        <v>329</v>
      </c>
      <c r="AE184" s="3">
        <f t="shared" si="14"/>
        <v>2</v>
      </c>
      <c r="AF184" s="3">
        <f t="shared" si="15"/>
        <v>461698</v>
      </c>
      <c r="AG184" s="3">
        <f t="shared" si="16"/>
        <v>3</v>
      </c>
      <c r="AH184" s="3">
        <f t="shared" si="17"/>
        <v>621</v>
      </c>
      <c r="AI184" s="3">
        <f t="shared" si="18"/>
        <v>4</v>
      </c>
      <c r="AJ184" s="3">
        <f t="shared" si="19"/>
        <v>1072376</v>
      </c>
    </row>
    <row r="185">
      <c r="C185" s="6" t="s">
        <v>185</v>
      </c>
      <c r="D185" s="3">
        <f t="shared" si="1"/>
        <v>3</v>
      </c>
      <c r="E185" s="3" t="str">
        <f>IFERROR(__xludf.DUMMYFUNCTION("REGEXEXTRACT(C185,""[^ ]* [^ ]*"")"),"muted cyan")</f>
        <v>muted cyan</v>
      </c>
      <c r="F185" s="3" t="str">
        <f>IFERROR(__xludf.DUMMYFUNCTION("MID(REGEXEXTRACT(C185,""contain.*$""),9,300)"),"4 bright green bags, 5 striped bronze bags, 1 vibrant lavender bag, 4 posh violet bags.")</f>
        <v>4 bright green bags, 5 striped bronze bags, 1 vibrant lavender bag, 4 posh violet bags.</v>
      </c>
      <c r="G185" s="3" t="str">
        <f>IFERROR(__xludf.DUMMYFUNCTION("INDEX(SPLIT($F185,"",""),COLUMN()-6)"),"4 bright green bags")</f>
        <v>4 bright green bags</v>
      </c>
      <c r="H185" s="3" t="str">
        <f>IFERROR(__xludf.DUMMYFUNCTION("MID(INDEX(SPLIT($F185,"",""),COLUMN()-6),2,300)"),"5 striped bronze bags")</f>
        <v>5 striped bronze bags</v>
      </c>
      <c r="I185" s="3" t="str">
        <f>IFERROR(__xludf.DUMMYFUNCTION("MID(INDEX(SPLIT($F185,"",""),COLUMN()-6),2,300)"),"1 vibrant lavender bag")</f>
        <v>1 vibrant lavender bag</v>
      </c>
      <c r="J185" s="3" t="str">
        <f>IFERROR(__xludf.DUMMYFUNCTION("MID(INDEX(SPLIT($F185,"",""),COLUMN()-6),2,300)"),"4 posh violet bags.")</f>
        <v>4 posh violet bags.</v>
      </c>
      <c r="K185" s="3">
        <f>IFERROR(__xludf.DUMMYFUNCTION("INDEX(SPLIT(G185,"" ""),1)"),4.0)</f>
        <v>4</v>
      </c>
      <c r="L185" s="3" t="str">
        <f>IFERROR(__xludf.DUMMYFUNCTION("REGEXEXTRACT(G185,"" [^ ]* [^ ]* "")")," bright green ")</f>
        <v> bright green </v>
      </c>
      <c r="M185" s="3">
        <f>IFERROR(__xludf.DUMMYFUNCTION("INDEX(SPLIT(H185,"" ""),1)"),5.0)</f>
        <v>5</v>
      </c>
      <c r="N185" s="3" t="str">
        <f>IFERROR(__xludf.DUMMYFUNCTION("MID(REGEXEXTRACT(H185,"" [^ ]* [^ ]*""),2,300)"),"striped bronze")</f>
        <v>striped bronze</v>
      </c>
      <c r="O185" s="3">
        <f>IFERROR(__xludf.DUMMYFUNCTION("INDEX(SPLIT(I185,"" ""),1)"),1.0)</f>
        <v>1</v>
      </c>
      <c r="P185" s="3" t="str">
        <f>IFERROR(__xludf.DUMMYFUNCTION("MID(REGEXEXTRACT(I185,"" [^ ]* [^ ]*""),2,300)"),"vibrant lavender")</f>
        <v>vibrant lavender</v>
      </c>
      <c r="Q185" s="3">
        <f>IFERROR(__xludf.DUMMYFUNCTION("INDEX(SPLIT(J185,"" ""),1)"),4.0)</f>
        <v>4</v>
      </c>
      <c r="R185" s="3" t="str">
        <f>IFERROR(__xludf.DUMMYFUNCTION("MID(REGEXEXTRACT(J185,"" [^ ]* [^ ]*""),2,300)"),"posh violet")</f>
        <v>posh violet</v>
      </c>
      <c r="S185" s="3">
        <f t="shared" si="2"/>
        <v>4</v>
      </c>
      <c r="T185" s="3" t="str">
        <f t="shared" si="3"/>
        <v>bright green</v>
      </c>
      <c r="U185" s="3">
        <f t="shared" si="4"/>
        <v>5</v>
      </c>
      <c r="V185" s="3" t="str">
        <f t="shared" si="5"/>
        <v>striped bronze</v>
      </c>
      <c r="W185" s="3">
        <f t="shared" si="6"/>
        <v>1</v>
      </c>
      <c r="X185" s="3" t="str">
        <f t="shared" si="7"/>
        <v>vibrant lavender</v>
      </c>
      <c r="Y185" s="3">
        <f t="shared" si="8"/>
        <v>4</v>
      </c>
      <c r="Z185" s="3" t="str">
        <f t="shared" si="9"/>
        <v>posh violet</v>
      </c>
      <c r="AA185" s="13">
        <f t="shared" si="10"/>
        <v>522328398</v>
      </c>
      <c r="AB185" s="3">
        <f t="shared" si="11"/>
        <v>522328397</v>
      </c>
      <c r="AC185" s="3">
        <f t="shared" si="12"/>
        <v>4</v>
      </c>
      <c r="AD185" s="3">
        <f t="shared" si="13"/>
        <v>134494</v>
      </c>
      <c r="AE185" s="3">
        <f t="shared" si="14"/>
        <v>5</v>
      </c>
      <c r="AF185" s="3">
        <f t="shared" si="15"/>
        <v>3362673</v>
      </c>
      <c r="AG185" s="3">
        <f t="shared" si="16"/>
        <v>1</v>
      </c>
      <c r="AH185" s="3">
        <f t="shared" si="17"/>
        <v>695872</v>
      </c>
      <c r="AI185" s="3">
        <f t="shared" si="18"/>
        <v>4</v>
      </c>
      <c r="AJ185" s="3">
        <f t="shared" si="19"/>
        <v>126070296</v>
      </c>
    </row>
    <row r="186">
      <c r="C186" s="6" t="s">
        <v>186</v>
      </c>
      <c r="D186" s="3">
        <f t="shared" si="1"/>
        <v>3</v>
      </c>
      <c r="E186" s="3" t="str">
        <f>IFERROR(__xludf.DUMMYFUNCTION("REGEXEXTRACT(C186,""[^ ]* [^ ]*"")"),"dull cyan")</f>
        <v>dull cyan</v>
      </c>
      <c r="F186" s="3" t="str">
        <f>IFERROR(__xludf.DUMMYFUNCTION("MID(REGEXEXTRACT(C186,""contain.*$""),9,300)"),"5 dark lavender bags, 5 drab green bags, 1 bright crimson bag, 4 mirrored silver bags.")</f>
        <v>5 dark lavender bags, 5 drab green bags, 1 bright crimson bag, 4 mirrored silver bags.</v>
      </c>
      <c r="G186" s="3" t="str">
        <f>IFERROR(__xludf.DUMMYFUNCTION("INDEX(SPLIT($F186,"",""),COLUMN()-6)"),"5 dark lavender bags")</f>
        <v>5 dark lavender bags</v>
      </c>
      <c r="H186" s="3" t="str">
        <f>IFERROR(__xludf.DUMMYFUNCTION("MID(INDEX(SPLIT($F186,"",""),COLUMN()-6),2,300)"),"5 drab green bags")</f>
        <v>5 drab green bags</v>
      </c>
      <c r="I186" s="3" t="str">
        <f>IFERROR(__xludf.DUMMYFUNCTION("MID(INDEX(SPLIT($F186,"",""),COLUMN()-6),2,300)"),"1 bright crimson bag")</f>
        <v>1 bright crimson bag</v>
      </c>
      <c r="J186" s="3" t="str">
        <f>IFERROR(__xludf.DUMMYFUNCTION("MID(INDEX(SPLIT($F186,"",""),COLUMN()-6),2,300)"),"4 mirrored silver bags.")</f>
        <v>4 mirrored silver bags.</v>
      </c>
      <c r="K186" s="3">
        <f>IFERROR(__xludf.DUMMYFUNCTION("INDEX(SPLIT(G186,"" ""),1)"),5.0)</f>
        <v>5</v>
      </c>
      <c r="L186" s="3" t="str">
        <f>IFERROR(__xludf.DUMMYFUNCTION("REGEXEXTRACT(G186,"" [^ ]* [^ ]* "")")," dark lavender ")</f>
        <v> dark lavender </v>
      </c>
      <c r="M186" s="3">
        <f>IFERROR(__xludf.DUMMYFUNCTION("INDEX(SPLIT(H186,"" ""),1)"),5.0)</f>
        <v>5</v>
      </c>
      <c r="N186" s="3" t="str">
        <f>IFERROR(__xludf.DUMMYFUNCTION("MID(REGEXEXTRACT(H186,"" [^ ]* [^ ]*""),2,300)"),"drab green")</f>
        <v>drab green</v>
      </c>
      <c r="O186" s="3">
        <f>IFERROR(__xludf.DUMMYFUNCTION("INDEX(SPLIT(I186,"" ""),1)"),1.0)</f>
        <v>1</v>
      </c>
      <c r="P186" s="3" t="str">
        <f>IFERROR(__xludf.DUMMYFUNCTION("MID(REGEXEXTRACT(I186,"" [^ ]* [^ ]*""),2,300)"),"bright crimson")</f>
        <v>bright crimson</v>
      </c>
      <c r="Q186" s="3">
        <f>IFERROR(__xludf.DUMMYFUNCTION("INDEX(SPLIT(J186,"" ""),1)"),4.0)</f>
        <v>4</v>
      </c>
      <c r="R186" s="3" t="str">
        <f>IFERROR(__xludf.DUMMYFUNCTION("MID(REGEXEXTRACT(J186,"" [^ ]* [^ ]*""),2,300)"),"mirrored silver")</f>
        <v>mirrored silver</v>
      </c>
      <c r="S186" s="3">
        <f t="shared" si="2"/>
        <v>5</v>
      </c>
      <c r="T186" s="3" t="str">
        <f t="shared" si="3"/>
        <v>dark lavender</v>
      </c>
      <c r="U186" s="3">
        <f t="shared" si="4"/>
        <v>5</v>
      </c>
      <c r="V186" s="3" t="str">
        <f t="shared" si="5"/>
        <v>drab green</v>
      </c>
      <c r="W186" s="3">
        <f t="shared" si="6"/>
        <v>1</v>
      </c>
      <c r="X186" s="3" t="str">
        <f t="shared" si="7"/>
        <v>bright crimson</v>
      </c>
      <c r="Y186" s="3">
        <f t="shared" si="8"/>
        <v>4</v>
      </c>
      <c r="Z186" s="3" t="str">
        <f t="shared" si="9"/>
        <v>mirrored silver</v>
      </c>
      <c r="AA186" s="13">
        <f t="shared" si="10"/>
        <v>3008</v>
      </c>
      <c r="AB186" s="3">
        <f t="shared" si="11"/>
        <v>3007</v>
      </c>
      <c r="AC186" s="3">
        <f t="shared" si="12"/>
        <v>5</v>
      </c>
      <c r="AD186" s="3">
        <f t="shared" si="13"/>
        <v>133</v>
      </c>
      <c r="AE186" s="3">
        <f t="shared" si="14"/>
        <v>5</v>
      </c>
      <c r="AF186" s="3">
        <f t="shared" si="15"/>
        <v>5</v>
      </c>
      <c r="AG186" s="3">
        <f t="shared" si="16"/>
        <v>1</v>
      </c>
      <c r="AH186" s="3">
        <f t="shared" si="17"/>
        <v>773</v>
      </c>
      <c r="AI186" s="3">
        <f t="shared" si="18"/>
        <v>4</v>
      </c>
      <c r="AJ186" s="3">
        <f t="shared" si="19"/>
        <v>386</v>
      </c>
    </row>
    <row r="187">
      <c r="C187" s="6" t="s">
        <v>187</v>
      </c>
      <c r="D187" s="3">
        <f t="shared" si="1"/>
        <v>0</v>
      </c>
      <c r="E187" s="3" t="str">
        <f>IFERROR(__xludf.DUMMYFUNCTION("REGEXEXTRACT(C187,""[^ ]* [^ ]*"")"),"pale beige")</f>
        <v>pale beige</v>
      </c>
      <c r="F187" s="3" t="str">
        <f>IFERROR(__xludf.DUMMYFUNCTION("MID(REGEXEXTRACT(C187,""contain.*$""),9,300)"),"3 posh coral bags.")</f>
        <v>3 posh coral bags.</v>
      </c>
      <c r="G187" s="3" t="str">
        <f>IFERROR(__xludf.DUMMYFUNCTION("INDEX(SPLIT($F187,"",""),COLUMN()-6)"),"3 posh coral bags.")</f>
        <v>3 posh coral bags.</v>
      </c>
      <c r="H187" s="3" t="str">
        <f>IFERROR(__xludf.DUMMYFUNCTION("MID(INDEX(SPLIT($F187,"",""),COLUMN()-6),2,300)"),"#REF!")</f>
        <v>#REF!</v>
      </c>
      <c r="I187" s="3" t="str">
        <f>IFERROR(__xludf.DUMMYFUNCTION("MID(INDEX(SPLIT($F187,"",""),COLUMN()-6),2,300)"),"#REF!")</f>
        <v>#REF!</v>
      </c>
      <c r="J187" s="3" t="str">
        <f>IFERROR(__xludf.DUMMYFUNCTION("MID(INDEX(SPLIT($F187,"",""),COLUMN()-6),2,300)"),"#REF!")</f>
        <v>#REF!</v>
      </c>
      <c r="K187" s="3">
        <f>IFERROR(__xludf.DUMMYFUNCTION("INDEX(SPLIT(G187,"" ""),1)"),3.0)</f>
        <v>3</v>
      </c>
      <c r="L187" s="3" t="str">
        <f>IFERROR(__xludf.DUMMYFUNCTION("REGEXEXTRACT(G187,"" [^ ]* [^ ]* "")")," posh coral ")</f>
        <v> posh coral </v>
      </c>
      <c r="M187" s="3" t="str">
        <f>IFERROR(__xludf.DUMMYFUNCTION("INDEX(SPLIT(H187,"" ""),1)"),"#REF!")</f>
        <v>#REF!</v>
      </c>
      <c r="N187" s="3" t="str">
        <f>IFERROR(__xludf.DUMMYFUNCTION("MID(REGEXEXTRACT(H187,"" [^ ]* [^ ]*""),2,300)"),"#REF!")</f>
        <v>#REF!</v>
      </c>
      <c r="O187" s="3" t="str">
        <f>IFERROR(__xludf.DUMMYFUNCTION("INDEX(SPLIT(I187,"" ""),1)"),"#REF!")</f>
        <v>#REF!</v>
      </c>
      <c r="P187" s="3" t="str">
        <f>IFERROR(__xludf.DUMMYFUNCTION("MID(REGEXEXTRACT(I187,"" [^ ]* [^ ]*""),2,300)"),"#REF!")</f>
        <v>#REF!</v>
      </c>
      <c r="Q187" s="3" t="str">
        <f>IFERROR(__xludf.DUMMYFUNCTION("INDEX(SPLIT(J187,"" ""),1)"),"#REF!")</f>
        <v>#REF!</v>
      </c>
      <c r="R187" s="3" t="str">
        <f>IFERROR(__xludf.DUMMYFUNCTION("MID(REGEXEXTRACT(J187,"" [^ ]* [^ ]*""),2,300)"),"#REF!")</f>
        <v>#REF!</v>
      </c>
      <c r="S187" s="3">
        <f t="shared" si="2"/>
        <v>3</v>
      </c>
      <c r="T187" s="3" t="str">
        <f t="shared" si="3"/>
        <v>posh coral</v>
      </c>
      <c r="U187" s="3" t="str">
        <f t="shared" si="4"/>
        <v/>
      </c>
      <c r="V187" s="3" t="str">
        <f t="shared" si="5"/>
        <v/>
      </c>
      <c r="W187" s="3" t="str">
        <f t="shared" si="6"/>
        <v/>
      </c>
      <c r="X187" s="3" t="str">
        <f t="shared" si="7"/>
        <v/>
      </c>
      <c r="Y187" s="3" t="str">
        <f t="shared" si="8"/>
        <v/>
      </c>
      <c r="Z187" s="3" t="str">
        <f t="shared" si="9"/>
        <v/>
      </c>
      <c r="AA187" s="13">
        <f t="shared" si="10"/>
        <v>4</v>
      </c>
      <c r="AB187" s="3">
        <f t="shared" si="11"/>
        <v>3</v>
      </c>
      <c r="AC187" s="3">
        <f t="shared" si="12"/>
        <v>3</v>
      </c>
      <c r="AD187" s="3">
        <f t="shared" si="13"/>
        <v>1</v>
      </c>
      <c r="AE187" s="3" t="str">
        <f t="shared" si="14"/>
        <v/>
      </c>
      <c r="AF187" s="3">
        <f t="shared" si="15"/>
        <v>0</v>
      </c>
      <c r="AG187" s="3" t="str">
        <f t="shared" si="16"/>
        <v/>
      </c>
      <c r="AH187" s="3">
        <f t="shared" si="17"/>
        <v>0</v>
      </c>
      <c r="AI187" s="3" t="str">
        <f t="shared" si="18"/>
        <v/>
      </c>
      <c r="AJ187" s="3">
        <f t="shared" si="19"/>
        <v>0</v>
      </c>
    </row>
    <row r="188">
      <c r="C188" s="6" t="s">
        <v>188</v>
      </c>
      <c r="D188" s="3">
        <f t="shared" si="1"/>
        <v>0</v>
      </c>
      <c r="E188" s="3" t="str">
        <f>IFERROR(__xludf.DUMMYFUNCTION("REGEXEXTRACT(C188,""[^ ]* [^ ]*"")"),"shiny chartreuse")</f>
        <v>shiny chartreuse</v>
      </c>
      <c r="F188" s="3" t="str">
        <f>IFERROR(__xludf.DUMMYFUNCTION("MID(REGEXEXTRACT(C188,""contain.*$""),9,300)"),"4 mirrored silver bags.")</f>
        <v>4 mirrored silver bags.</v>
      </c>
      <c r="G188" s="3" t="str">
        <f>IFERROR(__xludf.DUMMYFUNCTION("INDEX(SPLIT($F188,"",""),COLUMN()-6)"),"4 mirrored silver bags.")</f>
        <v>4 mirrored silver bags.</v>
      </c>
      <c r="H188" s="3" t="str">
        <f>IFERROR(__xludf.DUMMYFUNCTION("MID(INDEX(SPLIT($F188,"",""),COLUMN()-6),2,300)"),"#REF!")</f>
        <v>#REF!</v>
      </c>
      <c r="I188" s="3" t="str">
        <f>IFERROR(__xludf.DUMMYFUNCTION("MID(INDEX(SPLIT($F188,"",""),COLUMN()-6),2,300)"),"#REF!")</f>
        <v>#REF!</v>
      </c>
      <c r="J188" s="3" t="str">
        <f>IFERROR(__xludf.DUMMYFUNCTION("MID(INDEX(SPLIT($F188,"",""),COLUMN()-6),2,300)"),"#REF!")</f>
        <v>#REF!</v>
      </c>
      <c r="K188" s="3">
        <f>IFERROR(__xludf.DUMMYFUNCTION("INDEX(SPLIT(G188,"" ""),1)"),4.0)</f>
        <v>4</v>
      </c>
      <c r="L188" s="3" t="str">
        <f>IFERROR(__xludf.DUMMYFUNCTION("REGEXEXTRACT(G188,"" [^ ]* [^ ]* "")")," mirrored silver ")</f>
        <v> mirrored silver </v>
      </c>
      <c r="M188" s="3" t="str">
        <f>IFERROR(__xludf.DUMMYFUNCTION("INDEX(SPLIT(H188,"" ""),1)"),"#REF!")</f>
        <v>#REF!</v>
      </c>
      <c r="N188" s="3" t="str">
        <f>IFERROR(__xludf.DUMMYFUNCTION("MID(REGEXEXTRACT(H188,"" [^ ]* [^ ]*""),2,300)"),"#REF!")</f>
        <v>#REF!</v>
      </c>
      <c r="O188" s="3" t="str">
        <f>IFERROR(__xludf.DUMMYFUNCTION("INDEX(SPLIT(I188,"" ""),1)"),"#REF!")</f>
        <v>#REF!</v>
      </c>
      <c r="P188" s="3" t="str">
        <f>IFERROR(__xludf.DUMMYFUNCTION("MID(REGEXEXTRACT(I188,"" [^ ]* [^ ]*""),2,300)"),"#REF!")</f>
        <v>#REF!</v>
      </c>
      <c r="Q188" s="3" t="str">
        <f>IFERROR(__xludf.DUMMYFUNCTION("INDEX(SPLIT(J188,"" ""),1)"),"#REF!")</f>
        <v>#REF!</v>
      </c>
      <c r="R188" s="3" t="str">
        <f>IFERROR(__xludf.DUMMYFUNCTION("MID(REGEXEXTRACT(J188,"" [^ ]* [^ ]*""),2,300)"),"#REF!")</f>
        <v>#REF!</v>
      </c>
      <c r="S188" s="3">
        <f t="shared" si="2"/>
        <v>4</v>
      </c>
      <c r="T188" s="3" t="str">
        <f t="shared" si="3"/>
        <v>mirrored silver</v>
      </c>
      <c r="U188" s="3" t="str">
        <f t="shared" si="4"/>
        <v/>
      </c>
      <c r="V188" s="3" t="str">
        <f t="shared" si="5"/>
        <v/>
      </c>
      <c r="W188" s="3" t="str">
        <f t="shared" si="6"/>
        <v/>
      </c>
      <c r="X188" s="3" t="str">
        <f t="shared" si="7"/>
        <v/>
      </c>
      <c r="Y188" s="3" t="str">
        <f t="shared" si="8"/>
        <v/>
      </c>
      <c r="Z188" s="3" t="str">
        <f t="shared" si="9"/>
        <v/>
      </c>
      <c r="AA188" s="13">
        <f t="shared" si="10"/>
        <v>1545</v>
      </c>
      <c r="AB188" s="3">
        <f t="shared" si="11"/>
        <v>1544</v>
      </c>
      <c r="AC188" s="3">
        <f t="shared" si="12"/>
        <v>4</v>
      </c>
      <c r="AD188" s="3">
        <f t="shared" si="13"/>
        <v>386</v>
      </c>
      <c r="AE188" s="3" t="str">
        <f t="shared" si="14"/>
        <v/>
      </c>
      <c r="AF188" s="3">
        <f t="shared" si="15"/>
        <v>0</v>
      </c>
      <c r="AG188" s="3" t="str">
        <f t="shared" si="16"/>
        <v/>
      </c>
      <c r="AH188" s="3">
        <f t="shared" si="17"/>
        <v>0</v>
      </c>
      <c r="AI188" s="3" t="str">
        <f t="shared" si="18"/>
        <v/>
      </c>
      <c r="AJ188" s="3">
        <f t="shared" si="19"/>
        <v>0</v>
      </c>
    </row>
    <row r="189">
      <c r="C189" s="6" t="s">
        <v>189</v>
      </c>
      <c r="D189" s="3">
        <f t="shared" si="1"/>
        <v>2</v>
      </c>
      <c r="E189" s="3" t="str">
        <f>IFERROR(__xludf.DUMMYFUNCTION("REGEXEXTRACT(C189,""[^ ]* [^ ]*"")"),"dark silver")</f>
        <v>dark silver</v>
      </c>
      <c r="F189" s="3" t="str">
        <f>IFERROR(__xludf.DUMMYFUNCTION("MID(REGEXEXTRACT(C189,""contain.*$""),9,300)"),"2 dull turquoise bags, 1 muted maroon bag, 5 vibrant magenta bags.")</f>
        <v>2 dull turquoise bags, 1 muted maroon bag, 5 vibrant magenta bags.</v>
      </c>
      <c r="G189" s="3" t="str">
        <f>IFERROR(__xludf.DUMMYFUNCTION("INDEX(SPLIT($F189,"",""),COLUMN()-6)"),"2 dull turquoise bags")</f>
        <v>2 dull turquoise bags</v>
      </c>
      <c r="H189" s="3" t="str">
        <f>IFERROR(__xludf.DUMMYFUNCTION("MID(INDEX(SPLIT($F189,"",""),COLUMN()-6),2,300)"),"1 muted maroon bag")</f>
        <v>1 muted maroon bag</v>
      </c>
      <c r="I189" s="3" t="str">
        <f>IFERROR(__xludf.DUMMYFUNCTION("MID(INDEX(SPLIT($F189,"",""),COLUMN()-6),2,300)"),"5 vibrant magenta bags.")</f>
        <v>5 vibrant magenta bags.</v>
      </c>
      <c r="J189" s="3" t="str">
        <f>IFERROR(__xludf.DUMMYFUNCTION("MID(INDEX(SPLIT($F189,"",""),COLUMN()-6),2,300)"),"#REF!")</f>
        <v>#REF!</v>
      </c>
      <c r="K189" s="3">
        <f>IFERROR(__xludf.DUMMYFUNCTION("INDEX(SPLIT(G189,"" ""),1)"),2.0)</f>
        <v>2</v>
      </c>
      <c r="L189" s="3" t="str">
        <f>IFERROR(__xludf.DUMMYFUNCTION("REGEXEXTRACT(G189,"" [^ ]* [^ ]* "")")," dull turquoise ")</f>
        <v> dull turquoise </v>
      </c>
      <c r="M189" s="3">
        <f>IFERROR(__xludf.DUMMYFUNCTION("INDEX(SPLIT(H189,"" ""),1)"),1.0)</f>
        <v>1</v>
      </c>
      <c r="N189" s="3" t="str">
        <f>IFERROR(__xludf.DUMMYFUNCTION("MID(REGEXEXTRACT(H189,"" [^ ]* [^ ]*""),2,300)"),"muted maroon")</f>
        <v>muted maroon</v>
      </c>
      <c r="O189" s="3">
        <f>IFERROR(__xludf.DUMMYFUNCTION("INDEX(SPLIT(I189,"" ""),1)"),5.0)</f>
        <v>5</v>
      </c>
      <c r="P189" s="3" t="str">
        <f>IFERROR(__xludf.DUMMYFUNCTION("MID(REGEXEXTRACT(I189,"" [^ ]* [^ ]*""),2,300)"),"vibrant magenta")</f>
        <v>vibrant magenta</v>
      </c>
      <c r="Q189" s="3" t="str">
        <f>IFERROR(__xludf.DUMMYFUNCTION("INDEX(SPLIT(J189,"" ""),1)"),"#REF!")</f>
        <v>#REF!</v>
      </c>
      <c r="R189" s="3" t="str">
        <f>IFERROR(__xludf.DUMMYFUNCTION("MID(REGEXEXTRACT(J189,"" [^ ]* [^ ]*""),2,300)"),"#REF!")</f>
        <v>#REF!</v>
      </c>
      <c r="S189" s="3">
        <f t="shared" si="2"/>
        <v>2</v>
      </c>
      <c r="T189" s="3" t="str">
        <f t="shared" si="3"/>
        <v>dull turquoise</v>
      </c>
      <c r="U189" s="3">
        <f t="shared" si="4"/>
        <v>1</v>
      </c>
      <c r="V189" s="3" t="str">
        <f t="shared" si="5"/>
        <v>muted maroon</v>
      </c>
      <c r="W189" s="3">
        <f t="shared" si="6"/>
        <v>5</v>
      </c>
      <c r="X189" s="3" t="str">
        <f t="shared" si="7"/>
        <v>vibrant magenta</v>
      </c>
      <c r="Y189" s="3" t="str">
        <f t="shared" si="8"/>
        <v/>
      </c>
      <c r="Z189" s="3" t="str">
        <f t="shared" si="9"/>
        <v/>
      </c>
      <c r="AA189" s="13">
        <f t="shared" si="10"/>
        <v>1015059570</v>
      </c>
      <c r="AB189" s="3">
        <f t="shared" si="11"/>
        <v>1015059569</v>
      </c>
      <c r="AC189" s="3">
        <f t="shared" si="12"/>
        <v>2</v>
      </c>
      <c r="AD189" s="3">
        <f t="shared" si="13"/>
        <v>346469</v>
      </c>
      <c r="AE189" s="3">
        <f t="shared" si="14"/>
        <v>1</v>
      </c>
      <c r="AF189" s="3">
        <f t="shared" si="15"/>
        <v>25481</v>
      </c>
      <c r="AG189" s="3">
        <f t="shared" si="16"/>
        <v>5</v>
      </c>
      <c r="AH189" s="3">
        <f t="shared" si="17"/>
        <v>202868230</v>
      </c>
      <c r="AI189" s="3" t="str">
        <f t="shared" si="18"/>
        <v/>
      </c>
      <c r="AJ189" s="3">
        <f t="shared" si="19"/>
        <v>0</v>
      </c>
    </row>
    <row r="190">
      <c r="C190" s="6" t="s">
        <v>190</v>
      </c>
      <c r="D190" s="3">
        <f t="shared" si="1"/>
        <v>0</v>
      </c>
      <c r="E190" s="3" t="str">
        <f>IFERROR(__xludf.DUMMYFUNCTION("REGEXEXTRACT(C190,""[^ ]* [^ ]*"")"),"mirrored violet")</f>
        <v>mirrored violet</v>
      </c>
      <c r="F190" s="3" t="str">
        <f>IFERROR(__xludf.DUMMYFUNCTION("MID(REGEXEXTRACT(C190,""contain.*$""),9,300)"),"4 dark brown bags.")</f>
        <v>4 dark brown bags.</v>
      </c>
      <c r="G190" s="3" t="str">
        <f>IFERROR(__xludf.DUMMYFUNCTION("INDEX(SPLIT($F190,"",""),COLUMN()-6)"),"4 dark brown bags.")</f>
        <v>4 dark brown bags.</v>
      </c>
      <c r="H190" s="3" t="str">
        <f>IFERROR(__xludf.DUMMYFUNCTION("MID(INDEX(SPLIT($F190,"",""),COLUMN()-6),2,300)"),"#REF!")</f>
        <v>#REF!</v>
      </c>
      <c r="I190" s="3" t="str">
        <f>IFERROR(__xludf.DUMMYFUNCTION("MID(INDEX(SPLIT($F190,"",""),COLUMN()-6),2,300)"),"#REF!")</f>
        <v>#REF!</v>
      </c>
      <c r="J190" s="3" t="str">
        <f>IFERROR(__xludf.DUMMYFUNCTION("MID(INDEX(SPLIT($F190,"",""),COLUMN()-6),2,300)"),"#REF!")</f>
        <v>#REF!</v>
      </c>
      <c r="K190" s="3">
        <f>IFERROR(__xludf.DUMMYFUNCTION("INDEX(SPLIT(G190,"" ""),1)"),4.0)</f>
        <v>4</v>
      </c>
      <c r="L190" s="3" t="str">
        <f>IFERROR(__xludf.DUMMYFUNCTION("REGEXEXTRACT(G190,"" [^ ]* [^ ]* "")")," dark brown ")</f>
        <v> dark brown </v>
      </c>
      <c r="M190" s="3" t="str">
        <f>IFERROR(__xludf.DUMMYFUNCTION("INDEX(SPLIT(H190,"" ""),1)"),"#REF!")</f>
        <v>#REF!</v>
      </c>
      <c r="N190" s="3" t="str">
        <f>IFERROR(__xludf.DUMMYFUNCTION("MID(REGEXEXTRACT(H190,"" [^ ]* [^ ]*""),2,300)"),"#REF!")</f>
        <v>#REF!</v>
      </c>
      <c r="O190" s="3" t="str">
        <f>IFERROR(__xludf.DUMMYFUNCTION("INDEX(SPLIT(I190,"" ""),1)"),"#REF!")</f>
        <v>#REF!</v>
      </c>
      <c r="P190" s="3" t="str">
        <f>IFERROR(__xludf.DUMMYFUNCTION("MID(REGEXEXTRACT(I190,"" [^ ]* [^ ]*""),2,300)"),"#REF!")</f>
        <v>#REF!</v>
      </c>
      <c r="Q190" s="3" t="str">
        <f>IFERROR(__xludf.DUMMYFUNCTION("INDEX(SPLIT(J190,"" ""),1)"),"#REF!")</f>
        <v>#REF!</v>
      </c>
      <c r="R190" s="3" t="str">
        <f>IFERROR(__xludf.DUMMYFUNCTION("MID(REGEXEXTRACT(J190,"" [^ ]* [^ ]*""),2,300)"),"#REF!")</f>
        <v>#REF!</v>
      </c>
      <c r="S190" s="3">
        <f t="shared" si="2"/>
        <v>4</v>
      </c>
      <c r="T190" s="3" t="str">
        <f t="shared" si="3"/>
        <v>dark brown</v>
      </c>
      <c r="U190" s="3" t="str">
        <f t="shared" si="4"/>
        <v/>
      </c>
      <c r="V190" s="3" t="str">
        <f t="shared" si="5"/>
        <v/>
      </c>
      <c r="W190" s="3" t="str">
        <f t="shared" si="6"/>
        <v/>
      </c>
      <c r="X190" s="3" t="str">
        <f t="shared" si="7"/>
        <v/>
      </c>
      <c r="Y190" s="3" t="str">
        <f t="shared" si="8"/>
        <v/>
      </c>
      <c r="Z190" s="3" t="str">
        <f t="shared" si="9"/>
        <v/>
      </c>
      <c r="AA190" s="13">
        <f t="shared" si="10"/>
        <v>538277</v>
      </c>
      <c r="AB190" s="3">
        <f t="shared" si="11"/>
        <v>538276</v>
      </c>
      <c r="AC190" s="3">
        <f t="shared" si="12"/>
        <v>4</v>
      </c>
      <c r="AD190" s="3">
        <f t="shared" si="13"/>
        <v>134569</v>
      </c>
      <c r="AE190" s="3" t="str">
        <f t="shared" si="14"/>
        <v/>
      </c>
      <c r="AF190" s="3">
        <f t="shared" si="15"/>
        <v>0</v>
      </c>
      <c r="AG190" s="3" t="str">
        <f t="shared" si="16"/>
        <v/>
      </c>
      <c r="AH190" s="3">
        <f t="shared" si="17"/>
        <v>0</v>
      </c>
      <c r="AI190" s="3" t="str">
        <f t="shared" si="18"/>
        <v/>
      </c>
      <c r="AJ190" s="3">
        <f t="shared" si="19"/>
        <v>0</v>
      </c>
    </row>
    <row r="191">
      <c r="C191" s="6" t="s">
        <v>191</v>
      </c>
      <c r="D191" s="3">
        <f t="shared" si="1"/>
        <v>3</v>
      </c>
      <c r="E191" s="3" t="str">
        <f>IFERROR(__xludf.DUMMYFUNCTION("REGEXEXTRACT(C191,""[^ ]* [^ ]*"")"),"clear aqua")</f>
        <v>clear aqua</v>
      </c>
      <c r="F191" s="3" t="str">
        <f>IFERROR(__xludf.DUMMYFUNCTION("MID(REGEXEXTRACT(C191,""contain.*$""),9,300)"),"2 striped beige bags, 1 dotted indigo bag, 5 faded violet bags, 5 vibrant violet bags.")</f>
        <v>2 striped beige bags, 1 dotted indigo bag, 5 faded violet bags, 5 vibrant violet bags.</v>
      </c>
      <c r="G191" s="3" t="str">
        <f>IFERROR(__xludf.DUMMYFUNCTION("INDEX(SPLIT($F191,"",""),COLUMN()-6)"),"2 striped beige bags")</f>
        <v>2 striped beige bags</v>
      </c>
      <c r="H191" s="3" t="str">
        <f>IFERROR(__xludf.DUMMYFUNCTION("MID(INDEX(SPLIT($F191,"",""),COLUMN()-6),2,300)"),"1 dotted indigo bag")</f>
        <v>1 dotted indigo bag</v>
      </c>
      <c r="I191" s="3" t="str">
        <f>IFERROR(__xludf.DUMMYFUNCTION("MID(INDEX(SPLIT($F191,"",""),COLUMN()-6),2,300)"),"5 faded violet bags")</f>
        <v>5 faded violet bags</v>
      </c>
      <c r="J191" s="3" t="str">
        <f>IFERROR(__xludf.DUMMYFUNCTION("MID(INDEX(SPLIT($F191,"",""),COLUMN()-6),2,300)"),"5 vibrant violet bags.")</f>
        <v>5 vibrant violet bags.</v>
      </c>
      <c r="K191" s="3">
        <f>IFERROR(__xludf.DUMMYFUNCTION("INDEX(SPLIT(G191,"" ""),1)"),2.0)</f>
        <v>2</v>
      </c>
      <c r="L191" s="3" t="str">
        <f>IFERROR(__xludf.DUMMYFUNCTION("REGEXEXTRACT(G191,"" [^ ]* [^ ]* "")")," striped beige ")</f>
        <v> striped beige </v>
      </c>
      <c r="M191" s="3">
        <f>IFERROR(__xludf.DUMMYFUNCTION("INDEX(SPLIT(H191,"" ""),1)"),1.0)</f>
        <v>1</v>
      </c>
      <c r="N191" s="3" t="str">
        <f>IFERROR(__xludf.DUMMYFUNCTION("MID(REGEXEXTRACT(H191,"" [^ ]* [^ ]*""),2,300)"),"dotted indigo")</f>
        <v>dotted indigo</v>
      </c>
      <c r="O191" s="3">
        <f>IFERROR(__xludf.DUMMYFUNCTION("INDEX(SPLIT(I191,"" ""),1)"),5.0)</f>
        <v>5</v>
      </c>
      <c r="P191" s="3" t="str">
        <f>IFERROR(__xludf.DUMMYFUNCTION("MID(REGEXEXTRACT(I191,"" [^ ]* [^ ]*""),2,300)"),"faded violet")</f>
        <v>faded violet</v>
      </c>
      <c r="Q191" s="3">
        <f>IFERROR(__xludf.DUMMYFUNCTION("INDEX(SPLIT(J191,"" ""),1)"),5.0)</f>
        <v>5</v>
      </c>
      <c r="R191" s="3" t="str">
        <f>IFERROR(__xludf.DUMMYFUNCTION("MID(REGEXEXTRACT(J191,"" [^ ]* [^ ]*""),2,300)"),"vibrant violet")</f>
        <v>vibrant violet</v>
      </c>
      <c r="S191" s="3">
        <f t="shared" si="2"/>
        <v>2</v>
      </c>
      <c r="T191" s="3" t="str">
        <f t="shared" si="3"/>
        <v>striped beige</v>
      </c>
      <c r="U191" s="3">
        <f t="shared" si="4"/>
        <v>1</v>
      </c>
      <c r="V191" s="3" t="str">
        <f t="shared" si="5"/>
        <v>dotted indigo</v>
      </c>
      <c r="W191" s="3">
        <f t="shared" si="6"/>
        <v>5</v>
      </c>
      <c r="X191" s="3" t="str">
        <f t="shared" si="7"/>
        <v>faded violet</v>
      </c>
      <c r="Y191" s="3">
        <f t="shared" si="8"/>
        <v>5</v>
      </c>
      <c r="Z191" s="3" t="str">
        <f t="shared" si="9"/>
        <v>vibrant violet</v>
      </c>
      <c r="AA191" s="13">
        <f t="shared" si="10"/>
        <v>4216861532</v>
      </c>
      <c r="AB191" s="3">
        <f t="shared" si="11"/>
        <v>4216861531</v>
      </c>
      <c r="AC191" s="3">
        <f t="shared" si="12"/>
        <v>2</v>
      </c>
      <c r="AD191" s="3">
        <f t="shared" si="13"/>
        <v>1728590198</v>
      </c>
      <c r="AE191" s="3">
        <f t="shared" si="14"/>
        <v>1</v>
      </c>
      <c r="AF191" s="3">
        <f t="shared" si="15"/>
        <v>745224695</v>
      </c>
      <c r="AG191" s="3">
        <f t="shared" si="16"/>
        <v>5</v>
      </c>
      <c r="AH191" s="3">
        <f t="shared" si="17"/>
        <v>115573</v>
      </c>
      <c r="AI191" s="3">
        <f t="shared" si="18"/>
        <v>5</v>
      </c>
      <c r="AJ191" s="3">
        <f t="shared" si="19"/>
        <v>2775715</v>
      </c>
    </row>
    <row r="192">
      <c r="C192" s="6" t="s">
        <v>192</v>
      </c>
      <c r="D192" s="3">
        <f t="shared" si="1"/>
        <v>1</v>
      </c>
      <c r="E192" s="3" t="str">
        <f>IFERROR(__xludf.DUMMYFUNCTION("REGEXEXTRACT(C192,""[^ ]* [^ ]*"")"),"plaid teal")</f>
        <v>plaid teal</v>
      </c>
      <c r="F192" s="3" t="str">
        <f>IFERROR(__xludf.DUMMYFUNCTION("MID(REGEXEXTRACT(C192,""contain.*$""),9,300)"),"3 mirrored lavender bags, 4 posh gray bags.")</f>
        <v>3 mirrored lavender bags, 4 posh gray bags.</v>
      </c>
      <c r="G192" s="3" t="str">
        <f>IFERROR(__xludf.DUMMYFUNCTION("INDEX(SPLIT($F192,"",""),COLUMN()-6)"),"3 mirrored lavender bags")</f>
        <v>3 mirrored lavender bags</v>
      </c>
      <c r="H192" s="3" t="str">
        <f>IFERROR(__xludf.DUMMYFUNCTION("MID(INDEX(SPLIT($F192,"",""),COLUMN()-6),2,300)"),"4 posh gray bags.")</f>
        <v>4 posh gray bags.</v>
      </c>
      <c r="I192" s="3" t="str">
        <f>IFERROR(__xludf.DUMMYFUNCTION("MID(INDEX(SPLIT($F192,"",""),COLUMN()-6),2,300)"),"#REF!")</f>
        <v>#REF!</v>
      </c>
      <c r="J192" s="3" t="str">
        <f>IFERROR(__xludf.DUMMYFUNCTION("MID(INDEX(SPLIT($F192,"",""),COLUMN()-6),2,300)"),"#REF!")</f>
        <v>#REF!</v>
      </c>
      <c r="K192" s="3">
        <f>IFERROR(__xludf.DUMMYFUNCTION("INDEX(SPLIT(G192,"" ""),1)"),3.0)</f>
        <v>3</v>
      </c>
      <c r="L192" s="3" t="str">
        <f>IFERROR(__xludf.DUMMYFUNCTION("REGEXEXTRACT(G192,"" [^ ]* [^ ]* "")")," mirrored lavender ")</f>
        <v> mirrored lavender </v>
      </c>
      <c r="M192" s="3">
        <f>IFERROR(__xludf.DUMMYFUNCTION("INDEX(SPLIT(H192,"" ""),1)"),4.0)</f>
        <v>4</v>
      </c>
      <c r="N192" s="3" t="str">
        <f>IFERROR(__xludf.DUMMYFUNCTION("MID(REGEXEXTRACT(H192,"" [^ ]* [^ ]*""),2,300)"),"posh gray")</f>
        <v>posh gray</v>
      </c>
      <c r="O192" s="3" t="str">
        <f>IFERROR(__xludf.DUMMYFUNCTION("INDEX(SPLIT(I192,"" ""),1)"),"#REF!")</f>
        <v>#REF!</v>
      </c>
      <c r="P192" s="3" t="str">
        <f>IFERROR(__xludf.DUMMYFUNCTION("MID(REGEXEXTRACT(I192,"" [^ ]* [^ ]*""),2,300)"),"#REF!")</f>
        <v>#REF!</v>
      </c>
      <c r="Q192" s="3" t="str">
        <f>IFERROR(__xludf.DUMMYFUNCTION("INDEX(SPLIT(J192,"" ""),1)"),"#REF!")</f>
        <v>#REF!</v>
      </c>
      <c r="R192" s="3" t="str">
        <f>IFERROR(__xludf.DUMMYFUNCTION("MID(REGEXEXTRACT(J192,"" [^ ]* [^ ]*""),2,300)"),"#REF!")</f>
        <v>#REF!</v>
      </c>
      <c r="S192" s="3">
        <f t="shared" si="2"/>
        <v>3</v>
      </c>
      <c r="T192" s="3" t="str">
        <f t="shared" si="3"/>
        <v>mirrored lavender</v>
      </c>
      <c r="U192" s="3">
        <f t="shared" si="4"/>
        <v>4</v>
      </c>
      <c r="V192" s="3" t="str">
        <f t="shared" si="5"/>
        <v>posh gray</v>
      </c>
      <c r="W192" s="3" t="str">
        <f t="shared" si="6"/>
        <v/>
      </c>
      <c r="X192" s="3" t="str">
        <f t="shared" si="7"/>
        <v/>
      </c>
      <c r="Y192" s="3" t="str">
        <f t="shared" si="8"/>
        <v/>
      </c>
      <c r="Z192" s="3" t="str">
        <f t="shared" si="9"/>
        <v/>
      </c>
      <c r="AA192" s="13">
        <f t="shared" si="10"/>
        <v>118598</v>
      </c>
      <c r="AB192" s="3">
        <f t="shared" si="11"/>
        <v>118597</v>
      </c>
      <c r="AC192" s="3">
        <f t="shared" si="12"/>
        <v>3</v>
      </c>
      <c r="AD192" s="3">
        <f t="shared" si="13"/>
        <v>5563</v>
      </c>
      <c r="AE192" s="3">
        <f t="shared" si="14"/>
        <v>4</v>
      </c>
      <c r="AF192" s="3">
        <f t="shared" si="15"/>
        <v>25477</v>
      </c>
      <c r="AG192" s="3" t="str">
        <f t="shared" si="16"/>
        <v/>
      </c>
      <c r="AH192" s="3">
        <f t="shared" si="17"/>
        <v>0</v>
      </c>
      <c r="AI192" s="3" t="str">
        <f t="shared" si="18"/>
        <v/>
      </c>
      <c r="AJ192" s="3">
        <f t="shared" si="19"/>
        <v>0</v>
      </c>
    </row>
    <row r="193">
      <c r="C193" s="6" t="s">
        <v>193</v>
      </c>
      <c r="D193" s="3">
        <f t="shared" si="1"/>
        <v>2</v>
      </c>
      <c r="E193" s="3" t="str">
        <f>IFERROR(__xludf.DUMMYFUNCTION("REGEXEXTRACT(C193,""[^ ]* [^ ]*"")"),"wavy olive")</f>
        <v>wavy olive</v>
      </c>
      <c r="F193" s="3" t="str">
        <f>IFERROR(__xludf.DUMMYFUNCTION("MID(REGEXEXTRACT(C193,""contain.*$""),9,300)"),"3 dull blue bags, 5 bright salmon bags, 5 shiny purple bags.")</f>
        <v>3 dull blue bags, 5 bright salmon bags, 5 shiny purple bags.</v>
      </c>
      <c r="G193" s="3" t="str">
        <f>IFERROR(__xludf.DUMMYFUNCTION("INDEX(SPLIT($F193,"",""),COLUMN()-6)"),"3 dull blue bags")</f>
        <v>3 dull blue bags</v>
      </c>
      <c r="H193" s="3" t="str">
        <f>IFERROR(__xludf.DUMMYFUNCTION("MID(INDEX(SPLIT($F193,"",""),COLUMN()-6),2,300)"),"5 bright salmon bags")</f>
        <v>5 bright salmon bags</v>
      </c>
      <c r="I193" s="3" t="str">
        <f>IFERROR(__xludf.DUMMYFUNCTION("MID(INDEX(SPLIT($F193,"",""),COLUMN()-6),2,300)"),"5 shiny purple bags.")</f>
        <v>5 shiny purple bags.</v>
      </c>
      <c r="J193" s="3" t="str">
        <f>IFERROR(__xludf.DUMMYFUNCTION("MID(INDEX(SPLIT($F193,"",""),COLUMN()-6),2,300)"),"#REF!")</f>
        <v>#REF!</v>
      </c>
      <c r="K193" s="3">
        <f>IFERROR(__xludf.DUMMYFUNCTION("INDEX(SPLIT(G193,"" ""),1)"),3.0)</f>
        <v>3</v>
      </c>
      <c r="L193" s="3" t="str">
        <f>IFERROR(__xludf.DUMMYFUNCTION("REGEXEXTRACT(G193,"" [^ ]* [^ ]* "")")," dull blue ")</f>
        <v> dull blue </v>
      </c>
      <c r="M193" s="3">
        <f>IFERROR(__xludf.DUMMYFUNCTION("INDEX(SPLIT(H193,"" ""),1)"),5.0)</f>
        <v>5</v>
      </c>
      <c r="N193" s="3" t="str">
        <f>IFERROR(__xludf.DUMMYFUNCTION("MID(REGEXEXTRACT(H193,"" [^ ]* [^ ]*""),2,300)"),"bright salmon")</f>
        <v>bright salmon</v>
      </c>
      <c r="O193" s="3">
        <f>IFERROR(__xludf.DUMMYFUNCTION("INDEX(SPLIT(I193,"" ""),1)"),5.0)</f>
        <v>5</v>
      </c>
      <c r="P193" s="3" t="str">
        <f>IFERROR(__xludf.DUMMYFUNCTION("MID(REGEXEXTRACT(I193,"" [^ ]* [^ ]*""),2,300)"),"shiny purple")</f>
        <v>shiny purple</v>
      </c>
      <c r="Q193" s="3" t="str">
        <f>IFERROR(__xludf.DUMMYFUNCTION("INDEX(SPLIT(J193,"" ""),1)"),"#REF!")</f>
        <v>#REF!</v>
      </c>
      <c r="R193" s="3" t="str">
        <f>IFERROR(__xludf.DUMMYFUNCTION("MID(REGEXEXTRACT(J193,"" [^ ]* [^ ]*""),2,300)"),"#REF!")</f>
        <v>#REF!</v>
      </c>
      <c r="S193" s="3">
        <f t="shared" si="2"/>
        <v>3</v>
      </c>
      <c r="T193" s="3" t="str">
        <f t="shared" si="3"/>
        <v>dull blue</v>
      </c>
      <c r="U193" s="3">
        <f t="shared" si="4"/>
        <v>5</v>
      </c>
      <c r="V193" s="3" t="str">
        <f t="shared" si="5"/>
        <v>bright salmon</v>
      </c>
      <c r="W193" s="3">
        <f t="shared" si="6"/>
        <v>5</v>
      </c>
      <c r="X193" s="3" t="str">
        <f t="shared" si="7"/>
        <v>shiny purple</v>
      </c>
      <c r="Y193" s="3" t="str">
        <f t="shared" si="8"/>
        <v/>
      </c>
      <c r="Z193" s="3" t="str">
        <f t="shared" si="9"/>
        <v/>
      </c>
      <c r="AA193" s="13">
        <f t="shared" si="10"/>
        <v>43868443</v>
      </c>
      <c r="AB193" s="3">
        <f t="shared" si="11"/>
        <v>43868442</v>
      </c>
      <c r="AC193" s="3">
        <f t="shared" si="12"/>
        <v>3</v>
      </c>
      <c r="AD193" s="3">
        <f t="shared" si="13"/>
        <v>229339</v>
      </c>
      <c r="AE193" s="3">
        <f t="shared" si="14"/>
        <v>5</v>
      </c>
      <c r="AF193" s="3">
        <f t="shared" si="15"/>
        <v>367933</v>
      </c>
      <c r="AG193" s="3">
        <f t="shared" si="16"/>
        <v>5</v>
      </c>
      <c r="AH193" s="3">
        <f t="shared" si="17"/>
        <v>8268152</v>
      </c>
      <c r="AI193" s="3" t="str">
        <f t="shared" si="18"/>
        <v/>
      </c>
      <c r="AJ193" s="3">
        <f t="shared" si="19"/>
        <v>0</v>
      </c>
    </row>
    <row r="194">
      <c r="C194" s="6" t="s">
        <v>194</v>
      </c>
      <c r="D194" s="3">
        <f t="shared" si="1"/>
        <v>3</v>
      </c>
      <c r="E194" s="3" t="str">
        <f>IFERROR(__xludf.DUMMYFUNCTION("REGEXEXTRACT(C194,""[^ ]* [^ ]*"")"),"pale lavender")</f>
        <v>pale lavender</v>
      </c>
      <c r="F194" s="3" t="str">
        <f>IFERROR(__xludf.DUMMYFUNCTION("MID(REGEXEXTRACT(C194,""contain.*$""),9,300)"),"4 light purple bags, 2 dotted gray bags, 2 pale plum bags, 3 shiny silver bags.")</f>
        <v>4 light purple bags, 2 dotted gray bags, 2 pale plum bags, 3 shiny silver bags.</v>
      </c>
      <c r="G194" s="3" t="str">
        <f>IFERROR(__xludf.DUMMYFUNCTION("INDEX(SPLIT($F194,"",""),COLUMN()-6)"),"4 light purple bags")</f>
        <v>4 light purple bags</v>
      </c>
      <c r="H194" s="3" t="str">
        <f>IFERROR(__xludf.DUMMYFUNCTION("MID(INDEX(SPLIT($F194,"",""),COLUMN()-6),2,300)"),"2 dotted gray bags")</f>
        <v>2 dotted gray bags</v>
      </c>
      <c r="I194" s="3" t="str">
        <f>IFERROR(__xludf.DUMMYFUNCTION("MID(INDEX(SPLIT($F194,"",""),COLUMN()-6),2,300)"),"2 pale plum bags")</f>
        <v>2 pale plum bags</v>
      </c>
      <c r="J194" s="3" t="str">
        <f>IFERROR(__xludf.DUMMYFUNCTION("MID(INDEX(SPLIT($F194,"",""),COLUMN()-6),2,300)"),"3 shiny silver bags.")</f>
        <v>3 shiny silver bags.</v>
      </c>
      <c r="K194" s="3">
        <f>IFERROR(__xludf.DUMMYFUNCTION("INDEX(SPLIT(G194,"" ""),1)"),4.0)</f>
        <v>4</v>
      </c>
      <c r="L194" s="3" t="str">
        <f>IFERROR(__xludf.DUMMYFUNCTION("REGEXEXTRACT(G194,"" [^ ]* [^ ]* "")")," light purple ")</f>
        <v> light purple </v>
      </c>
      <c r="M194" s="3">
        <f>IFERROR(__xludf.DUMMYFUNCTION("INDEX(SPLIT(H194,"" ""),1)"),2.0)</f>
        <v>2</v>
      </c>
      <c r="N194" s="3" t="str">
        <f>IFERROR(__xludf.DUMMYFUNCTION("MID(REGEXEXTRACT(H194,"" [^ ]* [^ ]*""),2,300)"),"dotted gray")</f>
        <v>dotted gray</v>
      </c>
      <c r="O194" s="3">
        <f>IFERROR(__xludf.DUMMYFUNCTION("INDEX(SPLIT(I194,"" ""),1)"),2.0)</f>
        <v>2</v>
      </c>
      <c r="P194" s="3" t="str">
        <f>IFERROR(__xludf.DUMMYFUNCTION("MID(REGEXEXTRACT(I194,"" [^ ]* [^ ]*""),2,300)"),"pale plum")</f>
        <v>pale plum</v>
      </c>
      <c r="Q194" s="3">
        <f>IFERROR(__xludf.DUMMYFUNCTION("INDEX(SPLIT(J194,"" ""),1)"),3.0)</f>
        <v>3</v>
      </c>
      <c r="R194" s="3" t="str">
        <f>IFERROR(__xludf.DUMMYFUNCTION("MID(REGEXEXTRACT(J194,"" [^ ]* [^ ]*""),2,300)"),"shiny silver")</f>
        <v>shiny silver</v>
      </c>
      <c r="S194" s="3">
        <f t="shared" si="2"/>
        <v>4</v>
      </c>
      <c r="T194" s="3" t="str">
        <f t="shared" si="3"/>
        <v>light purple</v>
      </c>
      <c r="U194" s="3">
        <f t="shared" si="4"/>
        <v>2</v>
      </c>
      <c r="V194" s="3" t="str">
        <f t="shared" si="5"/>
        <v>dotted gray</v>
      </c>
      <c r="W194" s="3">
        <f t="shared" si="6"/>
        <v>2</v>
      </c>
      <c r="X194" s="3" t="str">
        <f t="shared" si="7"/>
        <v>pale plum</v>
      </c>
      <c r="Y194" s="3">
        <f t="shared" si="8"/>
        <v>3</v>
      </c>
      <c r="Z194" s="3" t="str">
        <f t="shared" si="9"/>
        <v>shiny silver</v>
      </c>
      <c r="AA194" s="13">
        <f t="shared" si="10"/>
        <v>692117082</v>
      </c>
      <c r="AB194" s="3">
        <f t="shared" si="11"/>
        <v>692117081</v>
      </c>
      <c r="AC194" s="3">
        <f t="shared" si="12"/>
        <v>4</v>
      </c>
      <c r="AD194" s="3">
        <f t="shared" si="13"/>
        <v>76432</v>
      </c>
      <c r="AE194" s="3">
        <f t="shared" si="14"/>
        <v>2</v>
      </c>
      <c r="AF194" s="3">
        <f t="shared" si="15"/>
        <v>953436</v>
      </c>
      <c r="AG194" s="3">
        <f t="shared" si="16"/>
        <v>2</v>
      </c>
      <c r="AH194" s="3">
        <f t="shared" si="17"/>
        <v>344908190</v>
      </c>
      <c r="AI194" s="3">
        <f t="shared" si="18"/>
        <v>3</v>
      </c>
      <c r="AJ194" s="3">
        <f t="shared" si="19"/>
        <v>29367</v>
      </c>
    </row>
    <row r="195">
      <c r="C195" s="6" t="s">
        <v>195</v>
      </c>
      <c r="D195" s="3">
        <f t="shared" si="1"/>
        <v>3</v>
      </c>
      <c r="E195" s="3" t="str">
        <f>IFERROR(__xludf.DUMMYFUNCTION("REGEXEXTRACT(C195,""[^ ]* [^ ]*"")"),"shiny blue")</f>
        <v>shiny blue</v>
      </c>
      <c r="F195" s="3" t="str">
        <f>IFERROR(__xludf.DUMMYFUNCTION("MID(REGEXEXTRACT(C195,""contain.*$""),9,300)"),"2 vibrant white bags, 3 light gold bags, 3 mirrored lavender bags, 1 drab plum bag.")</f>
        <v>2 vibrant white bags, 3 light gold bags, 3 mirrored lavender bags, 1 drab plum bag.</v>
      </c>
      <c r="G195" s="3" t="str">
        <f>IFERROR(__xludf.DUMMYFUNCTION("INDEX(SPLIT($F195,"",""),COLUMN()-6)"),"2 vibrant white bags")</f>
        <v>2 vibrant white bags</v>
      </c>
      <c r="H195" s="3" t="str">
        <f>IFERROR(__xludf.DUMMYFUNCTION("MID(INDEX(SPLIT($F195,"",""),COLUMN()-6),2,300)"),"3 light gold bags")</f>
        <v>3 light gold bags</v>
      </c>
      <c r="I195" s="3" t="str">
        <f>IFERROR(__xludf.DUMMYFUNCTION("MID(INDEX(SPLIT($F195,"",""),COLUMN()-6),2,300)"),"3 mirrored lavender bags")</f>
        <v>3 mirrored lavender bags</v>
      </c>
      <c r="J195" s="3" t="str">
        <f>IFERROR(__xludf.DUMMYFUNCTION("MID(INDEX(SPLIT($F195,"",""),COLUMN()-6),2,300)"),"1 drab plum bag.")</f>
        <v>1 drab plum bag.</v>
      </c>
      <c r="K195" s="3">
        <f>IFERROR(__xludf.DUMMYFUNCTION("INDEX(SPLIT(G195,"" ""),1)"),2.0)</f>
        <v>2</v>
      </c>
      <c r="L195" s="3" t="str">
        <f>IFERROR(__xludf.DUMMYFUNCTION("REGEXEXTRACT(G195,"" [^ ]* [^ ]* "")")," vibrant white ")</f>
        <v> vibrant white </v>
      </c>
      <c r="M195" s="3">
        <f>IFERROR(__xludf.DUMMYFUNCTION("INDEX(SPLIT(H195,"" ""),1)"),3.0)</f>
        <v>3</v>
      </c>
      <c r="N195" s="3" t="str">
        <f>IFERROR(__xludf.DUMMYFUNCTION("MID(REGEXEXTRACT(H195,"" [^ ]* [^ ]*""),2,300)"),"light gold")</f>
        <v>light gold</v>
      </c>
      <c r="O195" s="3">
        <f>IFERROR(__xludf.DUMMYFUNCTION("INDEX(SPLIT(I195,"" ""),1)"),3.0)</f>
        <v>3</v>
      </c>
      <c r="P195" s="3" t="str">
        <f>IFERROR(__xludf.DUMMYFUNCTION("MID(REGEXEXTRACT(I195,"" [^ ]* [^ ]*""),2,300)"),"mirrored lavender")</f>
        <v>mirrored lavender</v>
      </c>
      <c r="Q195" s="3">
        <f>IFERROR(__xludf.DUMMYFUNCTION("INDEX(SPLIT(J195,"" ""),1)"),1.0)</f>
        <v>1</v>
      </c>
      <c r="R195" s="3" t="str">
        <f>IFERROR(__xludf.DUMMYFUNCTION("MID(REGEXEXTRACT(J195,"" [^ ]* [^ ]*""),2,300)"),"drab plum")</f>
        <v>drab plum</v>
      </c>
      <c r="S195" s="3">
        <f t="shared" si="2"/>
        <v>2</v>
      </c>
      <c r="T195" s="3" t="str">
        <f t="shared" si="3"/>
        <v>vibrant white</v>
      </c>
      <c r="U195" s="3">
        <f t="shared" si="4"/>
        <v>3</v>
      </c>
      <c r="V195" s="3" t="str">
        <f t="shared" si="5"/>
        <v>light gold</v>
      </c>
      <c r="W195" s="3">
        <f t="shared" si="6"/>
        <v>3</v>
      </c>
      <c r="X195" s="3" t="str">
        <f t="shared" si="7"/>
        <v>mirrored lavender</v>
      </c>
      <c r="Y195" s="3">
        <f t="shared" si="8"/>
        <v>1</v>
      </c>
      <c r="Z195" s="3" t="str">
        <f t="shared" si="9"/>
        <v>drab plum</v>
      </c>
      <c r="AA195" s="13">
        <f t="shared" si="10"/>
        <v>361232457</v>
      </c>
      <c r="AB195" s="3">
        <f t="shared" si="11"/>
        <v>361232456</v>
      </c>
      <c r="AC195" s="3">
        <f t="shared" si="12"/>
        <v>2</v>
      </c>
      <c r="AD195" s="3">
        <f t="shared" si="13"/>
        <v>1249859</v>
      </c>
      <c r="AE195" s="3">
        <f t="shared" si="14"/>
        <v>3</v>
      </c>
      <c r="AF195" s="3">
        <f t="shared" si="15"/>
        <v>112904201</v>
      </c>
      <c r="AG195" s="3">
        <f t="shared" si="16"/>
        <v>3</v>
      </c>
      <c r="AH195" s="3">
        <f t="shared" si="17"/>
        <v>5563</v>
      </c>
      <c r="AI195" s="3">
        <f t="shared" si="18"/>
        <v>1</v>
      </c>
      <c r="AJ195" s="3">
        <f t="shared" si="19"/>
        <v>20003446</v>
      </c>
    </row>
    <row r="196">
      <c r="C196" s="6" t="s">
        <v>196</v>
      </c>
      <c r="D196" s="3">
        <f t="shared" si="1"/>
        <v>2</v>
      </c>
      <c r="E196" s="3" t="str">
        <f>IFERROR(__xludf.DUMMYFUNCTION("REGEXEXTRACT(C196,""[^ ]* [^ ]*"")"),"light coral")</f>
        <v>light coral</v>
      </c>
      <c r="F196" s="3" t="str">
        <f>IFERROR(__xludf.DUMMYFUNCTION("MID(REGEXEXTRACT(C196,""contain.*$""),9,300)"),"4 light teal bags, 1 striped chartreuse bag, 5 dotted chartreuse bags.")</f>
        <v>4 light teal bags, 1 striped chartreuse bag, 5 dotted chartreuse bags.</v>
      </c>
      <c r="G196" s="3" t="str">
        <f>IFERROR(__xludf.DUMMYFUNCTION("INDEX(SPLIT($F196,"",""),COLUMN()-6)"),"4 light teal bags")</f>
        <v>4 light teal bags</v>
      </c>
      <c r="H196" s="3" t="str">
        <f>IFERROR(__xludf.DUMMYFUNCTION("MID(INDEX(SPLIT($F196,"",""),COLUMN()-6),2,300)"),"1 striped chartreuse bag")</f>
        <v>1 striped chartreuse bag</v>
      </c>
      <c r="I196" s="3" t="str">
        <f>IFERROR(__xludf.DUMMYFUNCTION("MID(INDEX(SPLIT($F196,"",""),COLUMN()-6),2,300)"),"5 dotted chartreuse bags.")</f>
        <v>5 dotted chartreuse bags.</v>
      </c>
      <c r="J196" s="3" t="str">
        <f>IFERROR(__xludf.DUMMYFUNCTION("MID(INDEX(SPLIT($F196,"",""),COLUMN()-6),2,300)"),"#REF!")</f>
        <v>#REF!</v>
      </c>
      <c r="K196" s="3">
        <f>IFERROR(__xludf.DUMMYFUNCTION("INDEX(SPLIT(G196,"" ""),1)"),4.0)</f>
        <v>4</v>
      </c>
      <c r="L196" s="3" t="str">
        <f>IFERROR(__xludf.DUMMYFUNCTION("REGEXEXTRACT(G196,"" [^ ]* [^ ]* "")")," light teal ")</f>
        <v> light teal </v>
      </c>
      <c r="M196" s="3">
        <f>IFERROR(__xludf.DUMMYFUNCTION("INDEX(SPLIT(H196,"" ""),1)"),1.0)</f>
        <v>1</v>
      </c>
      <c r="N196" s="3" t="str">
        <f>IFERROR(__xludf.DUMMYFUNCTION("MID(REGEXEXTRACT(H196,"" [^ ]* [^ ]*""),2,300)"),"striped chartreuse")</f>
        <v>striped chartreuse</v>
      </c>
      <c r="O196" s="3">
        <f>IFERROR(__xludf.DUMMYFUNCTION("INDEX(SPLIT(I196,"" ""),1)"),5.0)</f>
        <v>5</v>
      </c>
      <c r="P196" s="3" t="str">
        <f>IFERROR(__xludf.DUMMYFUNCTION("MID(REGEXEXTRACT(I196,"" [^ ]* [^ ]*""),2,300)"),"dotted chartreuse")</f>
        <v>dotted chartreuse</v>
      </c>
      <c r="Q196" s="3" t="str">
        <f>IFERROR(__xludf.DUMMYFUNCTION("INDEX(SPLIT(J196,"" ""),1)"),"#REF!")</f>
        <v>#REF!</v>
      </c>
      <c r="R196" s="3" t="str">
        <f>IFERROR(__xludf.DUMMYFUNCTION("MID(REGEXEXTRACT(J196,"" [^ ]* [^ ]*""),2,300)"),"#REF!")</f>
        <v>#REF!</v>
      </c>
      <c r="S196" s="3">
        <f t="shared" si="2"/>
        <v>4</v>
      </c>
      <c r="T196" s="3" t="str">
        <f t="shared" si="3"/>
        <v>light teal</v>
      </c>
      <c r="U196" s="3">
        <f t="shared" si="4"/>
        <v>1</v>
      </c>
      <c r="V196" s="3" t="str">
        <f t="shared" si="5"/>
        <v>striped chartreuse</v>
      </c>
      <c r="W196" s="3">
        <f t="shared" si="6"/>
        <v>5</v>
      </c>
      <c r="X196" s="3" t="str">
        <f t="shared" si="7"/>
        <v>dotted chartreuse</v>
      </c>
      <c r="Y196" s="3" t="str">
        <f t="shared" si="8"/>
        <v/>
      </c>
      <c r="Z196" s="3" t="str">
        <f t="shared" si="9"/>
        <v/>
      </c>
      <c r="AA196" s="13">
        <f t="shared" si="10"/>
        <v>557816</v>
      </c>
      <c r="AB196" s="3">
        <f t="shared" si="11"/>
        <v>557815</v>
      </c>
      <c r="AC196" s="3">
        <f t="shared" si="12"/>
        <v>4</v>
      </c>
      <c r="AD196" s="3">
        <f t="shared" si="13"/>
        <v>48488</v>
      </c>
      <c r="AE196" s="3">
        <f t="shared" si="14"/>
        <v>1</v>
      </c>
      <c r="AF196" s="3">
        <f t="shared" si="15"/>
        <v>4053</v>
      </c>
      <c r="AG196" s="3">
        <f t="shared" si="16"/>
        <v>5</v>
      </c>
      <c r="AH196" s="3">
        <f t="shared" si="17"/>
        <v>71962</v>
      </c>
      <c r="AI196" s="3" t="str">
        <f t="shared" si="18"/>
        <v/>
      </c>
      <c r="AJ196" s="3">
        <f t="shared" si="19"/>
        <v>0</v>
      </c>
    </row>
    <row r="197">
      <c r="C197" s="6" t="s">
        <v>197</v>
      </c>
      <c r="D197" s="3">
        <f t="shared" si="1"/>
        <v>3</v>
      </c>
      <c r="E197" s="3" t="str">
        <f>IFERROR(__xludf.DUMMYFUNCTION("REGEXEXTRACT(C197,""[^ ]* [^ ]*"")"),"pale brown")</f>
        <v>pale brown</v>
      </c>
      <c r="F197" s="3" t="str">
        <f>IFERROR(__xludf.DUMMYFUNCTION("MID(REGEXEXTRACT(C197,""contain.*$""),9,300)"),"2 dim gold bags, 2 clear turquoise bags, 3 bright cyan bags, 4 clear maroon bags.")</f>
        <v>2 dim gold bags, 2 clear turquoise bags, 3 bright cyan bags, 4 clear maroon bags.</v>
      </c>
      <c r="G197" s="3" t="str">
        <f>IFERROR(__xludf.DUMMYFUNCTION("INDEX(SPLIT($F197,"",""),COLUMN()-6)"),"2 dim gold bags")</f>
        <v>2 dim gold bags</v>
      </c>
      <c r="H197" s="3" t="str">
        <f>IFERROR(__xludf.DUMMYFUNCTION("MID(INDEX(SPLIT($F197,"",""),COLUMN()-6),2,300)"),"2 clear turquoise bags")</f>
        <v>2 clear turquoise bags</v>
      </c>
      <c r="I197" s="3" t="str">
        <f>IFERROR(__xludf.DUMMYFUNCTION("MID(INDEX(SPLIT($F197,"",""),COLUMN()-6),2,300)"),"3 bright cyan bags")</f>
        <v>3 bright cyan bags</v>
      </c>
      <c r="J197" s="3" t="str">
        <f>IFERROR(__xludf.DUMMYFUNCTION("MID(INDEX(SPLIT($F197,"",""),COLUMN()-6),2,300)"),"4 clear maroon bags.")</f>
        <v>4 clear maroon bags.</v>
      </c>
      <c r="K197" s="3">
        <f>IFERROR(__xludf.DUMMYFUNCTION("INDEX(SPLIT(G197,"" ""),1)"),2.0)</f>
        <v>2</v>
      </c>
      <c r="L197" s="3" t="str">
        <f>IFERROR(__xludf.DUMMYFUNCTION("REGEXEXTRACT(G197,"" [^ ]* [^ ]* "")")," dim gold ")</f>
        <v> dim gold </v>
      </c>
      <c r="M197" s="3">
        <f>IFERROR(__xludf.DUMMYFUNCTION("INDEX(SPLIT(H197,"" ""),1)"),2.0)</f>
        <v>2</v>
      </c>
      <c r="N197" s="3" t="str">
        <f>IFERROR(__xludf.DUMMYFUNCTION("MID(REGEXEXTRACT(H197,"" [^ ]* [^ ]*""),2,300)"),"clear turquoise")</f>
        <v>clear turquoise</v>
      </c>
      <c r="O197" s="3">
        <f>IFERROR(__xludf.DUMMYFUNCTION("INDEX(SPLIT(I197,"" ""),1)"),3.0)</f>
        <v>3</v>
      </c>
      <c r="P197" s="3" t="str">
        <f>IFERROR(__xludf.DUMMYFUNCTION("MID(REGEXEXTRACT(I197,"" [^ ]* [^ ]*""),2,300)"),"bright cyan")</f>
        <v>bright cyan</v>
      </c>
      <c r="Q197" s="3">
        <f>IFERROR(__xludf.DUMMYFUNCTION("INDEX(SPLIT(J197,"" ""),1)"),4.0)</f>
        <v>4</v>
      </c>
      <c r="R197" s="3" t="str">
        <f>IFERROR(__xludf.DUMMYFUNCTION("MID(REGEXEXTRACT(J197,"" [^ ]* [^ ]*""),2,300)"),"clear maroon")</f>
        <v>clear maroon</v>
      </c>
      <c r="S197" s="3">
        <f t="shared" si="2"/>
        <v>2</v>
      </c>
      <c r="T197" s="3" t="str">
        <f t="shared" si="3"/>
        <v>dim gold</v>
      </c>
      <c r="U197" s="3">
        <f t="shared" si="4"/>
        <v>2</v>
      </c>
      <c r="V197" s="3" t="str">
        <f t="shared" si="5"/>
        <v>clear turquoise</v>
      </c>
      <c r="W197" s="3">
        <f t="shared" si="6"/>
        <v>3</v>
      </c>
      <c r="X197" s="3" t="str">
        <f t="shared" si="7"/>
        <v>bright cyan</v>
      </c>
      <c r="Y197" s="3">
        <f t="shared" si="8"/>
        <v>4</v>
      </c>
      <c r="Z197" s="3" t="str">
        <f t="shared" si="9"/>
        <v>clear maroon</v>
      </c>
      <c r="AA197" s="13">
        <f t="shared" si="10"/>
        <v>944486316</v>
      </c>
      <c r="AB197" s="3">
        <f t="shared" si="11"/>
        <v>944486315</v>
      </c>
      <c r="AC197" s="3">
        <f t="shared" si="12"/>
        <v>2</v>
      </c>
      <c r="AD197" s="3">
        <f t="shared" si="13"/>
        <v>149536384</v>
      </c>
      <c r="AE197" s="3">
        <f t="shared" si="14"/>
        <v>2</v>
      </c>
      <c r="AF197" s="3">
        <f t="shared" si="15"/>
        <v>269888361</v>
      </c>
      <c r="AG197" s="3">
        <f t="shared" si="16"/>
        <v>3</v>
      </c>
      <c r="AH197" s="3">
        <f t="shared" si="17"/>
        <v>531</v>
      </c>
      <c r="AI197" s="3">
        <f t="shared" si="18"/>
        <v>4</v>
      </c>
      <c r="AJ197" s="3">
        <f t="shared" si="19"/>
        <v>26408808</v>
      </c>
    </row>
    <row r="198">
      <c r="C198" s="6" t="s">
        <v>198</v>
      </c>
      <c r="D198" s="3">
        <f t="shared" si="1"/>
        <v>1</v>
      </c>
      <c r="E198" s="3" t="str">
        <f>IFERROR(__xludf.DUMMYFUNCTION("REGEXEXTRACT(C198,""[^ ]* [^ ]*"")"),"vibrant tomato")</f>
        <v>vibrant tomato</v>
      </c>
      <c r="F198" s="3" t="str">
        <f>IFERROR(__xludf.DUMMYFUNCTION("MID(REGEXEXTRACT(C198,""contain.*$""),9,300)"),"3 dark brown bags, 1 vibrant blue bag.")</f>
        <v>3 dark brown bags, 1 vibrant blue bag.</v>
      </c>
      <c r="G198" s="3" t="str">
        <f>IFERROR(__xludf.DUMMYFUNCTION("INDEX(SPLIT($F198,"",""),COLUMN()-6)"),"3 dark brown bags")</f>
        <v>3 dark brown bags</v>
      </c>
      <c r="H198" s="3" t="str">
        <f>IFERROR(__xludf.DUMMYFUNCTION("MID(INDEX(SPLIT($F198,"",""),COLUMN()-6),2,300)"),"1 vibrant blue bag.")</f>
        <v>1 vibrant blue bag.</v>
      </c>
      <c r="I198" s="3" t="str">
        <f>IFERROR(__xludf.DUMMYFUNCTION("MID(INDEX(SPLIT($F198,"",""),COLUMN()-6),2,300)"),"#REF!")</f>
        <v>#REF!</v>
      </c>
      <c r="J198" s="3" t="str">
        <f>IFERROR(__xludf.DUMMYFUNCTION("MID(INDEX(SPLIT($F198,"",""),COLUMN()-6),2,300)"),"#REF!")</f>
        <v>#REF!</v>
      </c>
      <c r="K198" s="3">
        <f>IFERROR(__xludf.DUMMYFUNCTION("INDEX(SPLIT(G198,"" ""),1)"),3.0)</f>
        <v>3</v>
      </c>
      <c r="L198" s="3" t="str">
        <f>IFERROR(__xludf.DUMMYFUNCTION("REGEXEXTRACT(G198,"" [^ ]* [^ ]* "")")," dark brown ")</f>
        <v> dark brown </v>
      </c>
      <c r="M198" s="3">
        <f>IFERROR(__xludf.DUMMYFUNCTION("INDEX(SPLIT(H198,"" ""),1)"),1.0)</f>
        <v>1</v>
      </c>
      <c r="N198" s="3" t="str">
        <f>IFERROR(__xludf.DUMMYFUNCTION("MID(REGEXEXTRACT(H198,"" [^ ]* [^ ]*""),2,300)"),"vibrant blue")</f>
        <v>vibrant blue</v>
      </c>
      <c r="O198" s="3" t="str">
        <f>IFERROR(__xludf.DUMMYFUNCTION("INDEX(SPLIT(I198,"" ""),1)"),"#REF!")</f>
        <v>#REF!</v>
      </c>
      <c r="P198" s="3" t="str">
        <f>IFERROR(__xludf.DUMMYFUNCTION("MID(REGEXEXTRACT(I198,"" [^ ]* [^ ]*""),2,300)"),"#REF!")</f>
        <v>#REF!</v>
      </c>
      <c r="Q198" s="3" t="str">
        <f>IFERROR(__xludf.DUMMYFUNCTION("INDEX(SPLIT(J198,"" ""),1)"),"#REF!")</f>
        <v>#REF!</v>
      </c>
      <c r="R198" s="3" t="str">
        <f>IFERROR(__xludf.DUMMYFUNCTION("MID(REGEXEXTRACT(J198,"" [^ ]* [^ ]*""),2,300)"),"#REF!")</f>
        <v>#REF!</v>
      </c>
      <c r="S198" s="3">
        <f t="shared" si="2"/>
        <v>3</v>
      </c>
      <c r="T198" s="3" t="str">
        <f t="shared" si="3"/>
        <v>dark brown</v>
      </c>
      <c r="U198" s="3">
        <f t="shared" si="4"/>
        <v>1</v>
      </c>
      <c r="V198" s="3" t="str">
        <f t="shared" si="5"/>
        <v>vibrant blue</v>
      </c>
      <c r="W198" s="3" t="str">
        <f t="shared" si="6"/>
        <v/>
      </c>
      <c r="X198" s="3" t="str">
        <f t="shared" si="7"/>
        <v/>
      </c>
      <c r="Y198" s="3" t="str">
        <f t="shared" si="8"/>
        <v/>
      </c>
      <c r="Z198" s="3" t="str">
        <f t="shared" si="9"/>
        <v/>
      </c>
      <c r="AA198" s="13">
        <f t="shared" si="10"/>
        <v>405253</v>
      </c>
      <c r="AB198" s="3">
        <f t="shared" si="11"/>
        <v>405252</v>
      </c>
      <c r="AC198" s="3">
        <f t="shared" si="12"/>
        <v>3</v>
      </c>
      <c r="AD198" s="3">
        <f t="shared" si="13"/>
        <v>134569</v>
      </c>
      <c r="AE198" s="3">
        <f t="shared" si="14"/>
        <v>1</v>
      </c>
      <c r="AF198" s="3">
        <f t="shared" si="15"/>
        <v>1545</v>
      </c>
      <c r="AG198" s="3" t="str">
        <f t="shared" si="16"/>
        <v/>
      </c>
      <c r="AH198" s="3">
        <f t="shared" si="17"/>
        <v>0</v>
      </c>
      <c r="AI198" s="3" t="str">
        <f t="shared" si="18"/>
        <v/>
      </c>
      <c r="AJ198" s="3">
        <f t="shared" si="19"/>
        <v>0</v>
      </c>
    </row>
    <row r="199">
      <c r="C199" s="6" t="s">
        <v>199</v>
      </c>
      <c r="D199" s="3">
        <f t="shared" si="1"/>
        <v>1</v>
      </c>
      <c r="E199" s="3" t="str">
        <f>IFERROR(__xludf.DUMMYFUNCTION("REGEXEXTRACT(C199,""[^ ]* [^ ]*"")"),"dull olive")</f>
        <v>dull olive</v>
      </c>
      <c r="F199" s="3" t="str">
        <f>IFERROR(__xludf.DUMMYFUNCTION("MID(REGEXEXTRACT(C199,""contain.*$""),9,300)"),"5 mirrored yellow bags, 2 shiny cyan bags.")</f>
        <v>5 mirrored yellow bags, 2 shiny cyan bags.</v>
      </c>
      <c r="G199" s="3" t="str">
        <f>IFERROR(__xludf.DUMMYFUNCTION("INDEX(SPLIT($F199,"",""),COLUMN()-6)"),"5 mirrored yellow bags")</f>
        <v>5 mirrored yellow bags</v>
      </c>
      <c r="H199" s="3" t="str">
        <f>IFERROR(__xludf.DUMMYFUNCTION("MID(INDEX(SPLIT($F199,"",""),COLUMN()-6),2,300)"),"2 shiny cyan bags.")</f>
        <v>2 shiny cyan bags.</v>
      </c>
      <c r="I199" s="3" t="str">
        <f>IFERROR(__xludf.DUMMYFUNCTION("MID(INDEX(SPLIT($F199,"",""),COLUMN()-6),2,300)"),"#REF!")</f>
        <v>#REF!</v>
      </c>
      <c r="J199" s="3" t="str">
        <f>IFERROR(__xludf.DUMMYFUNCTION("MID(INDEX(SPLIT($F199,"",""),COLUMN()-6),2,300)"),"#REF!")</f>
        <v>#REF!</v>
      </c>
      <c r="K199" s="3">
        <f>IFERROR(__xludf.DUMMYFUNCTION("INDEX(SPLIT(G199,"" ""),1)"),5.0)</f>
        <v>5</v>
      </c>
      <c r="L199" s="3" t="str">
        <f>IFERROR(__xludf.DUMMYFUNCTION("REGEXEXTRACT(G199,"" [^ ]* [^ ]* "")")," mirrored yellow ")</f>
        <v> mirrored yellow </v>
      </c>
      <c r="M199" s="3">
        <f>IFERROR(__xludf.DUMMYFUNCTION("INDEX(SPLIT(H199,"" ""),1)"),2.0)</f>
        <v>2</v>
      </c>
      <c r="N199" s="3" t="str">
        <f>IFERROR(__xludf.DUMMYFUNCTION("MID(REGEXEXTRACT(H199,"" [^ ]* [^ ]*""),2,300)"),"shiny cyan")</f>
        <v>shiny cyan</v>
      </c>
      <c r="O199" s="3" t="str">
        <f>IFERROR(__xludf.DUMMYFUNCTION("INDEX(SPLIT(I199,"" ""),1)"),"#REF!")</f>
        <v>#REF!</v>
      </c>
      <c r="P199" s="3" t="str">
        <f>IFERROR(__xludf.DUMMYFUNCTION("MID(REGEXEXTRACT(I199,"" [^ ]* [^ ]*""),2,300)"),"#REF!")</f>
        <v>#REF!</v>
      </c>
      <c r="Q199" s="3" t="str">
        <f>IFERROR(__xludf.DUMMYFUNCTION("INDEX(SPLIT(J199,"" ""),1)"),"#REF!")</f>
        <v>#REF!</v>
      </c>
      <c r="R199" s="3" t="str">
        <f>IFERROR(__xludf.DUMMYFUNCTION("MID(REGEXEXTRACT(J199,"" [^ ]* [^ ]*""),2,300)"),"#REF!")</f>
        <v>#REF!</v>
      </c>
      <c r="S199" s="3">
        <f t="shared" si="2"/>
        <v>5</v>
      </c>
      <c r="T199" s="3" t="str">
        <f t="shared" si="3"/>
        <v>mirrored yellow</v>
      </c>
      <c r="U199" s="3">
        <f t="shared" si="4"/>
        <v>2</v>
      </c>
      <c r="V199" s="3" t="str">
        <f t="shared" si="5"/>
        <v>shiny cyan</v>
      </c>
      <c r="W199" s="3" t="str">
        <f t="shared" si="6"/>
        <v/>
      </c>
      <c r="X199" s="3" t="str">
        <f t="shared" si="7"/>
        <v/>
      </c>
      <c r="Y199" s="3" t="str">
        <f t="shared" si="8"/>
        <v/>
      </c>
      <c r="Z199" s="3" t="str">
        <f t="shared" si="9"/>
        <v/>
      </c>
      <c r="AA199" s="13">
        <f t="shared" si="10"/>
        <v>262509449</v>
      </c>
      <c r="AB199" s="3">
        <f t="shared" si="11"/>
        <v>262509448</v>
      </c>
      <c r="AC199" s="3">
        <f t="shared" si="12"/>
        <v>5</v>
      </c>
      <c r="AD199" s="3">
        <f t="shared" si="13"/>
        <v>52501888</v>
      </c>
      <c r="AE199" s="3">
        <f t="shared" si="14"/>
        <v>2</v>
      </c>
      <c r="AF199" s="3">
        <f t="shared" si="15"/>
        <v>4</v>
      </c>
      <c r="AG199" s="3" t="str">
        <f t="shared" si="16"/>
        <v/>
      </c>
      <c r="AH199" s="3">
        <f t="shared" si="17"/>
        <v>0</v>
      </c>
      <c r="AI199" s="3" t="str">
        <f t="shared" si="18"/>
        <v/>
      </c>
      <c r="AJ199" s="3">
        <f t="shared" si="19"/>
        <v>0</v>
      </c>
    </row>
    <row r="200">
      <c r="C200" s="6" t="s">
        <v>200</v>
      </c>
      <c r="D200" s="3">
        <f t="shared" si="1"/>
        <v>3</v>
      </c>
      <c r="E200" s="3" t="str">
        <f>IFERROR(__xludf.DUMMYFUNCTION("REGEXEXTRACT(C200,""[^ ]* [^ ]*"")"),"light chartreuse")</f>
        <v>light chartreuse</v>
      </c>
      <c r="F200" s="3" t="str">
        <f>IFERROR(__xludf.DUMMYFUNCTION("MID(REGEXEXTRACT(C200,""contain.*$""),9,300)"),"2 dull aqua bags, 4 dull brown bags, 1 clear fuchsia bag, 4 bright yellow bags.")</f>
        <v>2 dull aqua bags, 4 dull brown bags, 1 clear fuchsia bag, 4 bright yellow bags.</v>
      </c>
      <c r="G200" s="3" t="str">
        <f>IFERROR(__xludf.DUMMYFUNCTION("INDEX(SPLIT($F200,"",""),COLUMN()-6)"),"2 dull aqua bags")</f>
        <v>2 dull aqua bags</v>
      </c>
      <c r="H200" s="3" t="str">
        <f>IFERROR(__xludf.DUMMYFUNCTION("MID(INDEX(SPLIT($F200,"",""),COLUMN()-6),2,300)"),"4 dull brown bags")</f>
        <v>4 dull brown bags</v>
      </c>
      <c r="I200" s="3" t="str">
        <f>IFERROR(__xludf.DUMMYFUNCTION("MID(INDEX(SPLIT($F200,"",""),COLUMN()-6),2,300)"),"1 clear fuchsia bag")</f>
        <v>1 clear fuchsia bag</v>
      </c>
      <c r="J200" s="3" t="str">
        <f>IFERROR(__xludf.DUMMYFUNCTION("MID(INDEX(SPLIT($F200,"",""),COLUMN()-6),2,300)"),"4 bright yellow bags.")</f>
        <v>4 bright yellow bags.</v>
      </c>
      <c r="K200" s="3">
        <f>IFERROR(__xludf.DUMMYFUNCTION("INDEX(SPLIT(G200,"" ""),1)"),2.0)</f>
        <v>2</v>
      </c>
      <c r="L200" s="3" t="str">
        <f>IFERROR(__xludf.DUMMYFUNCTION("REGEXEXTRACT(G200,"" [^ ]* [^ ]* "")")," dull aqua ")</f>
        <v> dull aqua </v>
      </c>
      <c r="M200" s="3">
        <f>IFERROR(__xludf.DUMMYFUNCTION("INDEX(SPLIT(H200,"" ""),1)"),4.0)</f>
        <v>4</v>
      </c>
      <c r="N200" s="3" t="str">
        <f>IFERROR(__xludf.DUMMYFUNCTION("MID(REGEXEXTRACT(H200,"" [^ ]* [^ ]*""),2,300)"),"dull brown")</f>
        <v>dull brown</v>
      </c>
      <c r="O200" s="3">
        <f>IFERROR(__xludf.DUMMYFUNCTION("INDEX(SPLIT(I200,"" ""),1)"),1.0)</f>
        <v>1</v>
      </c>
      <c r="P200" s="3" t="str">
        <f>IFERROR(__xludf.DUMMYFUNCTION("MID(REGEXEXTRACT(I200,"" [^ ]* [^ ]*""),2,300)"),"clear fuchsia")</f>
        <v>clear fuchsia</v>
      </c>
      <c r="Q200" s="3">
        <f>IFERROR(__xludf.DUMMYFUNCTION("INDEX(SPLIT(J200,"" ""),1)"),4.0)</f>
        <v>4</v>
      </c>
      <c r="R200" s="3" t="str">
        <f>IFERROR(__xludf.DUMMYFUNCTION("MID(REGEXEXTRACT(J200,"" [^ ]* [^ ]*""),2,300)"),"bright yellow")</f>
        <v>bright yellow</v>
      </c>
      <c r="S200" s="3">
        <f t="shared" si="2"/>
        <v>2</v>
      </c>
      <c r="T200" s="3" t="str">
        <f t="shared" si="3"/>
        <v>dull aqua</v>
      </c>
      <c r="U200" s="3">
        <f t="shared" si="4"/>
        <v>4</v>
      </c>
      <c r="V200" s="3" t="str">
        <f t="shared" si="5"/>
        <v>dull brown</v>
      </c>
      <c r="W200" s="3">
        <f t="shared" si="6"/>
        <v>1</v>
      </c>
      <c r="X200" s="3" t="str">
        <f t="shared" si="7"/>
        <v>clear fuchsia</v>
      </c>
      <c r="Y200" s="3">
        <f t="shared" si="8"/>
        <v>4</v>
      </c>
      <c r="Z200" s="3" t="str">
        <f t="shared" si="9"/>
        <v>bright yellow</v>
      </c>
      <c r="AA200" s="13">
        <f t="shared" si="10"/>
        <v>82641219</v>
      </c>
      <c r="AB200" s="3">
        <f t="shared" si="11"/>
        <v>82641218</v>
      </c>
      <c r="AC200" s="3">
        <f t="shared" si="12"/>
        <v>2</v>
      </c>
      <c r="AD200" s="3">
        <f t="shared" si="13"/>
        <v>12033257</v>
      </c>
      <c r="AE200" s="3">
        <f t="shared" si="14"/>
        <v>4</v>
      </c>
      <c r="AF200" s="3">
        <f t="shared" si="15"/>
        <v>8325969</v>
      </c>
      <c r="AG200" s="3">
        <f t="shared" si="16"/>
        <v>1</v>
      </c>
      <c r="AH200" s="3">
        <f t="shared" si="17"/>
        <v>19368</v>
      </c>
      <c r="AI200" s="3">
        <f t="shared" si="18"/>
        <v>4</v>
      </c>
      <c r="AJ200" s="3">
        <f t="shared" si="19"/>
        <v>6312865</v>
      </c>
    </row>
    <row r="201">
      <c r="C201" s="6" t="s">
        <v>201</v>
      </c>
      <c r="D201" s="3">
        <f t="shared" si="1"/>
        <v>1</v>
      </c>
      <c r="E201" s="3" t="str">
        <f>IFERROR(__xludf.DUMMYFUNCTION("REGEXEXTRACT(C201,""[^ ]* [^ ]*"")"),"posh gray")</f>
        <v>posh gray</v>
      </c>
      <c r="F201" s="3" t="str">
        <f>IFERROR(__xludf.DUMMYFUNCTION("MID(REGEXEXTRACT(C201,""contain.*$""),9,300)"),"4 posh green bags, 1 mirrored gray bag.")</f>
        <v>4 posh green bags, 1 mirrored gray bag.</v>
      </c>
      <c r="G201" s="3" t="str">
        <f>IFERROR(__xludf.DUMMYFUNCTION("INDEX(SPLIT($F201,"",""),COLUMN()-6)"),"4 posh green bags")</f>
        <v>4 posh green bags</v>
      </c>
      <c r="H201" s="3" t="str">
        <f>IFERROR(__xludf.DUMMYFUNCTION("MID(INDEX(SPLIT($F201,"",""),COLUMN()-6),2,300)"),"1 mirrored gray bag.")</f>
        <v>1 mirrored gray bag.</v>
      </c>
      <c r="I201" s="3" t="str">
        <f>IFERROR(__xludf.DUMMYFUNCTION("MID(INDEX(SPLIT($F201,"",""),COLUMN()-6),2,300)"),"#REF!")</f>
        <v>#REF!</v>
      </c>
      <c r="J201" s="3" t="str">
        <f>IFERROR(__xludf.DUMMYFUNCTION("MID(INDEX(SPLIT($F201,"",""),COLUMN()-6),2,300)"),"#REF!")</f>
        <v>#REF!</v>
      </c>
      <c r="K201" s="3">
        <f>IFERROR(__xludf.DUMMYFUNCTION("INDEX(SPLIT(G201,"" ""),1)"),4.0)</f>
        <v>4</v>
      </c>
      <c r="L201" s="3" t="str">
        <f>IFERROR(__xludf.DUMMYFUNCTION("REGEXEXTRACT(G201,"" [^ ]* [^ ]* "")")," posh green ")</f>
        <v> posh green </v>
      </c>
      <c r="M201" s="3">
        <f>IFERROR(__xludf.DUMMYFUNCTION("INDEX(SPLIT(H201,"" ""),1)"),1.0)</f>
        <v>1</v>
      </c>
      <c r="N201" s="3" t="str">
        <f>IFERROR(__xludf.DUMMYFUNCTION("MID(REGEXEXTRACT(H201,"" [^ ]* [^ ]*""),2,300)"),"mirrored gray")</f>
        <v>mirrored gray</v>
      </c>
      <c r="O201" s="3" t="str">
        <f>IFERROR(__xludf.DUMMYFUNCTION("INDEX(SPLIT(I201,"" ""),1)"),"#REF!")</f>
        <v>#REF!</v>
      </c>
      <c r="P201" s="3" t="str">
        <f>IFERROR(__xludf.DUMMYFUNCTION("MID(REGEXEXTRACT(I201,"" [^ ]* [^ ]*""),2,300)"),"#REF!")</f>
        <v>#REF!</v>
      </c>
      <c r="Q201" s="3" t="str">
        <f>IFERROR(__xludf.DUMMYFUNCTION("INDEX(SPLIT(J201,"" ""),1)"),"#REF!")</f>
        <v>#REF!</v>
      </c>
      <c r="R201" s="3" t="str">
        <f>IFERROR(__xludf.DUMMYFUNCTION("MID(REGEXEXTRACT(J201,"" [^ ]* [^ ]*""),2,300)"),"#REF!")</f>
        <v>#REF!</v>
      </c>
      <c r="S201" s="3">
        <f t="shared" si="2"/>
        <v>4</v>
      </c>
      <c r="T201" s="3" t="str">
        <f t="shared" si="3"/>
        <v>posh green</v>
      </c>
      <c r="U201" s="3">
        <f t="shared" si="4"/>
        <v>1</v>
      </c>
      <c r="V201" s="3" t="str">
        <f t="shared" si="5"/>
        <v>mirrored gray</v>
      </c>
      <c r="W201" s="3" t="str">
        <f t="shared" si="6"/>
        <v/>
      </c>
      <c r="X201" s="3" t="str">
        <f t="shared" si="7"/>
        <v/>
      </c>
      <c r="Y201" s="3" t="str">
        <f t="shared" si="8"/>
        <v/>
      </c>
      <c r="Z201" s="3" t="str">
        <f t="shared" si="9"/>
        <v/>
      </c>
      <c r="AA201" s="13">
        <f t="shared" si="10"/>
        <v>25477</v>
      </c>
      <c r="AB201" s="3">
        <f t="shared" si="11"/>
        <v>25476</v>
      </c>
      <c r="AC201" s="3">
        <f t="shared" si="12"/>
        <v>4</v>
      </c>
      <c r="AD201" s="3">
        <f t="shared" si="13"/>
        <v>6367</v>
      </c>
      <c r="AE201" s="3">
        <f t="shared" si="14"/>
        <v>1</v>
      </c>
      <c r="AF201" s="3">
        <f t="shared" si="15"/>
        <v>8</v>
      </c>
      <c r="AG201" s="3" t="str">
        <f t="shared" si="16"/>
        <v/>
      </c>
      <c r="AH201" s="3">
        <f t="shared" si="17"/>
        <v>0</v>
      </c>
      <c r="AI201" s="3" t="str">
        <f t="shared" si="18"/>
        <v/>
      </c>
      <c r="AJ201" s="3">
        <f t="shared" si="19"/>
        <v>0</v>
      </c>
    </row>
    <row r="202">
      <c r="C202" s="6" t="s">
        <v>202</v>
      </c>
      <c r="D202" s="3">
        <f t="shared" si="1"/>
        <v>0</v>
      </c>
      <c r="E202" s="3" t="str">
        <f>IFERROR(__xludf.DUMMYFUNCTION("REGEXEXTRACT(C202,""[^ ]* [^ ]*"")"),"bright yellow")</f>
        <v>bright yellow</v>
      </c>
      <c r="F202" s="3" t="str">
        <f>IFERROR(__xludf.DUMMYFUNCTION("MID(REGEXEXTRACT(C202,""contain.*$""),9,300)"),"4 pale aqua bags.")</f>
        <v>4 pale aqua bags.</v>
      </c>
      <c r="G202" s="3" t="str">
        <f>IFERROR(__xludf.DUMMYFUNCTION("INDEX(SPLIT($F202,"",""),COLUMN()-6)"),"4 pale aqua bags.")</f>
        <v>4 pale aqua bags.</v>
      </c>
      <c r="H202" s="3" t="str">
        <f>IFERROR(__xludf.DUMMYFUNCTION("MID(INDEX(SPLIT($F202,"",""),COLUMN()-6),2,300)"),"#REF!")</f>
        <v>#REF!</v>
      </c>
      <c r="I202" s="3" t="str">
        <f>IFERROR(__xludf.DUMMYFUNCTION("MID(INDEX(SPLIT($F202,"",""),COLUMN()-6),2,300)"),"#REF!")</f>
        <v>#REF!</v>
      </c>
      <c r="J202" s="3" t="str">
        <f>IFERROR(__xludf.DUMMYFUNCTION("MID(INDEX(SPLIT($F202,"",""),COLUMN()-6),2,300)"),"#REF!")</f>
        <v>#REF!</v>
      </c>
      <c r="K202" s="3">
        <f>IFERROR(__xludf.DUMMYFUNCTION("INDEX(SPLIT(G202,"" ""),1)"),4.0)</f>
        <v>4</v>
      </c>
      <c r="L202" s="3" t="str">
        <f>IFERROR(__xludf.DUMMYFUNCTION("REGEXEXTRACT(G202,"" [^ ]* [^ ]* "")")," pale aqua ")</f>
        <v> pale aqua </v>
      </c>
      <c r="M202" s="3" t="str">
        <f>IFERROR(__xludf.DUMMYFUNCTION("INDEX(SPLIT(H202,"" ""),1)"),"#REF!")</f>
        <v>#REF!</v>
      </c>
      <c r="N202" s="3" t="str">
        <f>IFERROR(__xludf.DUMMYFUNCTION("MID(REGEXEXTRACT(H202,"" [^ ]* [^ ]*""),2,300)"),"#REF!")</f>
        <v>#REF!</v>
      </c>
      <c r="O202" s="3" t="str">
        <f>IFERROR(__xludf.DUMMYFUNCTION("INDEX(SPLIT(I202,"" ""),1)"),"#REF!")</f>
        <v>#REF!</v>
      </c>
      <c r="P202" s="3" t="str">
        <f>IFERROR(__xludf.DUMMYFUNCTION("MID(REGEXEXTRACT(I202,"" [^ ]* [^ ]*""),2,300)"),"#REF!")</f>
        <v>#REF!</v>
      </c>
      <c r="Q202" s="3" t="str">
        <f>IFERROR(__xludf.DUMMYFUNCTION("INDEX(SPLIT(J202,"" ""),1)"),"#REF!")</f>
        <v>#REF!</v>
      </c>
      <c r="R202" s="3" t="str">
        <f>IFERROR(__xludf.DUMMYFUNCTION("MID(REGEXEXTRACT(J202,"" [^ ]* [^ ]*""),2,300)"),"#REF!")</f>
        <v>#REF!</v>
      </c>
      <c r="S202" s="3">
        <f t="shared" si="2"/>
        <v>4</v>
      </c>
      <c r="T202" s="3" t="str">
        <f t="shared" si="3"/>
        <v>pale aqua</v>
      </c>
      <c r="U202" s="3" t="str">
        <f t="shared" si="4"/>
        <v/>
      </c>
      <c r="V202" s="3" t="str">
        <f t="shared" si="5"/>
        <v/>
      </c>
      <c r="W202" s="3" t="str">
        <f t="shared" si="6"/>
        <v/>
      </c>
      <c r="X202" s="3" t="str">
        <f t="shared" si="7"/>
        <v/>
      </c>
      <c r="Y202" s="3" t="str">
        <f t="shared" si="8"/>
        <v/>
      </c>
      <c r="Z202" s="3" t="str">
        <f t="shared" si="9"/>
        <v/>
      </c>
      <c r="AA202" s="13">
        <f t="shared" si="10"/>
        <v>6312865</v>
      </c>
      <c r="AB202" s="3">
        <f t="shared" si="11"/>
        <v>6312864</v>
      </c>
      <c r="AC202" s="3">
        <f t="shared" si="12"/>
        <v>4</v>
      </c>
      <c r="AD202" s="3">
        <f t="shared" si="13"/>
        <v>1578216</v>
      </c>
      <c r="AE202" s="3" t="str">
        <f t="shared" si="14"/>
        <v/>
      </c>
      <c r="AF202" s="3">
        <f t="shared" si="15"/>
        <v>0</v>
      </c>
      <c r="AG202" s="3" t="str">
        <f t="shared" si="16"/>
        <v/>
      </c>
      <c r="AH202" s="3">
        <f t="shared" si="17"/>
        <v>0</v>
      </c>
      <c r="AI202" s="3" t="str">
        <f t="shared" si="18"/>
        <v/>
      </c>
      <c r="AJ202" s="3">
        <f t="shared" si="19"/>
        <v>0</v>
      </c>
    </row>
    <row r="203">
      <c r="C203" s="6" t="s">
        <v>203</v>
      </c>
      <c r="D203" s="3">
        <f t="shared" si="1"/>
        <v>1</v>
      </c>
      <c r="E203" s="3" t="str">
        <f>IFERROR(__xludf.DUMMYFUNCTION("REGEXEXTRACT(C203,""[^ ]* [^ ]*"")"),"bright gold")</f>
        <v>bright gold</v>
      </c>
      <c r="F203" s="3" t="str">
        <f>IFERROR(__xludf.DUMMYFUNCTION("MID(REGEXEXTRACT(C203,""contain.*$""),9,300)"),"3 pale indigo bags, 3 dull crimson bags.")</f>
        <v>3 pale indigo bags, 3 dull crimson bags.</v>
      </c>
      <c r="G203" s="3" t="str">
        <f>IFERROR(__xludf.DUMMYFUNCTION("INDEX(SPLIT($F203,"",""),COLUMN()-6)"),"3 pale indigo bags")</f>
        <v>3 pale indigo bags</v>
      </c>
      <c r="H203" s="3" t="str">
        <f>IFERROR(__xludf.DUMMYFUNCTION("MID(INDEX(SPLIT($F203,"",""),COLUMN()-6),2,300)"),"3 dull crimson bags.")</f>
        <v>3 dull crimson bags.</v>
      </c>
      <c r="I203" s="3" t="str">
        <f>IFERROR(__xludf.DUMMYFUNCTION("MID(INDEX(SPLIT($F203,"",""),COLUMN()-6),2,300)"),"#REF!")</f>
        <v>#REF!</v>
      </c>
      <c r="J203" s="3" t="str">
        <f>IFERROR(__xludf.DUMMYFUNCTION("MID(INDEX(SPLIT($F203,"",""),COLUMN()-6),2,300)"),"#REF!")</f>
        <v>#REF!</v>
      </c>
      <c r="K203" s="3">
        <f>IFERROR(__xludf.DUMMYFUNCTION("INDEX(SPLIT(G203,"" ""),1)"),3.0)</f>
        <v>3</v>
      </c>
      <c r="L203" s="3" t="str">
        <f>IFERROR(__xludf.DUMMYFUNCTION("REGEXEXTRACT(G203,"" [^ ]* [^ ]* "")")," pale indigo ")</f>
        <v> pale indigo </v>
      </c>
      <c r="M203" s="3">
        <f>IFERROR(__xludf.DUMMYFUNCTION("INDEX(SPLIT(H203,"" ""),1)"),3.0)</f>
        <v>3</v>
      </c>
      <c r="N203" s="3" t="str">
        <f>IFERROR(__xludf.DUMMYFUNCTION("MID(REGEXEXTRACT(H203,"" [^ ]* [^ ]*""),2,300)"),"dull crimson")</f>
        <v>dull crimson</v>
      </c>
      <c r="O203" s="3" t="str">
        <f>IFERROR(__xludf.DUMMYFUNCTION("INDEX(SPLIT(I203,"" ""),1)"),"#REF!")</f>
        <v>#REF!</v>
      </c>
      <c r="P203" s="3" t="str">
        <f>IFERROR(__xludf.DUMMYFUNCTION("MID(REGEXEXTRACT(I203,"" [^ ]* [^ ]*""),2,300)"),"#REF!")</f>
        <v>#REF!</v>
      </c>
      <c r="Q203" s="3" t="str">
        <f>IFERROR(__xludf.DUMMYFUNCTION("INDEX(SPLIT(J203,"" ""),1)"),"#REF!")</f>
        <v>#REF!</v>
      </c>
      <c r="R203" s="3" t="str">
        <f>IFERROR(__xludf.DUMMYFUNCTION("MID(REGEXEXTRACT(J203,"" [^ ]* [^ ]*""),2,300)"),"#REF!")</f>
        <v>#REF!</v>
      </c>
      <c r="S203" s="3">
        <f t="shared" si="2"/>
        <v>3</v>
      </c>
      <c r="T203" s="3" t="str">
        <f t="shared" si="3"/>
        <v>pale indigo</v>
      </c>
      <c r="U203" s="3">
        <f t="shared" si="4"/>
        <v>3</v>
      </c>
      <c r="V203" s="3" t="str">
        <f t="shared" si="5"/>
        <v>dull crimson</v>
      </c>
      <c r="W203" s="3" t="str">
        <f t="shared" si="6"/>
        <v/>
      </c>
      <c r="X203" s="3" t="str">
        <f t="shared" si="7"/>
        <v/>
      </c>
      <c r="Y203" s="3" t="str">
        <f t="shared" si="8"/>
        <v/>
      </c>
      <c r="Z203" s="3" t="str">
        <f t="shared" si="9"/>
        <v/>
      </c>
      <c r="AA203" s="13">
        <f t="shared" si="10"/>
        <v>442840048</v>
      </c>
      <c r="AB203" s="3">
        <f t="shared" si="11"/>
        <v>442840047</v>
      </c>
      <c r="AC203" s="3">
        <f t="shared" si="12"/>
        <v>3</v>
      </c>
      <c r="AD203" s="3">
        <f t="shared" si="13"/>
        <v>93823002</v>
      </c>
      <c r="AE203" s="3">
        <f t="shared" si="14"/>
        <v>3</v>
      </c>
      <c r="AF203" s="3">
        <f t="shared" si="15"/>
        <v>53790347</v>
      </c>
      <c r="AG203" s="3" t="str">
        <f t="shared" si="16"/>
        <v/>
      </c>
      <c r="AH203" s="3">
        <f t="shared" si="17"/>
        <v>0</v>
      </c>
      <c r="AI203" s="3" t="str">
        <f t="shared" si="18"/>
        <v/>
      </c>
      <c r="AJ203" s="3">
        <f t="shared" si="19"/>
        <v>0</v>
      </c>
    </row>
    <row r="204">
      <c r="C204" s="6" t="s">
        <v>204</v>
      </c>
      <c r="D204" s="3">
        <f t="shared" si="1"/>
        <v>3</v>
      </c>
      <c r="E204" s="3" t="str">
        <f>IFERROR(__xludf.DUMMYFUNCTION("REGEXEXTRACT(C204,""[^ ]* [^ ]*"")"),"dotted red")</f>
        <v>dotted red</v>
      </c>
      <c r="F204" s="3" t="str">
        <f>IFERROR(__xludf.DUMMYFUNCTION("MID(REGEXEXTRACT(C204,""contain.*$""),9,300)"),"4 pale turquoise bags, 4 muted blue bags, 1 bright bronze bag, 2 light blue bags.")</f>
        <v>4 pale turquoise bags, 4 muted blue bags, 1 bright bronze bag, 2 light blue bags.</v>
      </c>
      <c r="G204" s="3" t="str">
        <f>IFERROR(__xludf.DUMMYFUNCTION("INDEX(SPLIT($F204,"",""),COLUMN()-6)"),"4 pale turquoise bags")</f>
        <v>4 pale turquoise bags</v>
      </c>
      <c r="H204" s="3" t="str">
        <f>IFERROR(__xludf.DUMMYFUNCTION("MID(INDEX(SPLIT($F204,"",""),COLUMN()-6),2,300)"),"4 muted blue bags")</f>
        <v>4 muted blue bags</v>
      </c>
      <c r="I204" s="3" t="str">
        <f>IFERROR(__xludf.DUMMYFUNCTION("MID(INDEX(SPLIT($F204,"",""),COLUMN()-6),2,300)"),"1 bright bronze bag")</f>
        <v>1 bright bronze bag</v>
      </c>
      <c r="J204" s="3" t="str">
        <f>IFERROR(__xludf.DUMMYFUNCTION("MID(INDEX(SPLIT($F204,"",""),COLUMN()-6),2,300)"),"2 light blue bags.")</f>
        <v>2 light blue bags.</v>
      </c>
      <c r="K204" s="3">
        <f>IFERROR(__xludf.DUMMYFUNCTION("INDEX(SPLIT(G204,"" ""),1)"),4.0)</f>
        <v>4</v>
      </c>
      <c r="L204" s="3" t="str">
        <f>IFERROR(__xludf.DUMMYFUNCTION("REGEXEXTRACT(G204,"" [^ ]* [^ ]* "")")," pale turquoise ")</f>
        <v> pale turquoise </v>
      </c>
      <c r="M204" s="3">
        <f>IFERROR(__xludf.DUMMYFUNCTION("INDEX(SPLIT(H204,"" ""),1)"),4.0)</f>
        <v>4</v>
      </c>
      <c r="N204" s="3" t="str">
        <f>IFERROR(__xludf.DUMMYFUNCTION("MID(REGEXEXTRACT(H204,"" [^ ]* [^ ]*""),2,300)"),"muted blue")</f>
        <v>muted blue</v>
      </c>
      <c r="O204" s="3">
        <f>IFERROR(__xludf.DUMMYFUNCTION("INDEX(SPLIT(I204,"" ""),1)"),1.0)</f>
        <v>1</v>
      </c>
      <c r="P204" s="3" t="str">
        <f>IFERROR(__xludf.DUMMYFUNCTION("MID(REGEXEXTRACT(I204,"" [^ ]* [^ ]*""),2,300)"),"bright bronze")</f>
        <v>bright bronze</v>
      </c>
      <c r="Q204" s="3">
        <f>IFERROR(__xludf.DUMMYFUNCTION("INDEX(SPLIT(J204,"" ""),1)"),2.0)</f>
        <v>2</v>
      </c>
      <c r="R204" s="3" t="str">
        <f>IFERROR(__xludf.DUMMYFUNCTION("MID(REGEXEXTRACT(J204,"" [^ ]* [^ ]*""),2,300)"),"light blue")</f>
        <v>light blue</v>
      </c>
      <c r="S204" s="3">
        <f t="shared" si="2"/>
        <v>4</v>
      </c>
      <c r="T204" s="3" t="str">
        <f t="shared" si="3"/>
        <v>pale turquoise</v>
      </c>
      <c r="U204" s="3">
        <f t="shared" si="4"/>
        <v>4</v>
      </c>
      <c r="V204" s="3" t="str">
        <f t="shared" si="5"/>
        <v>muted blue</v>
      </c>
      <c r="W204" s="3">
        <f t="shared" si="6"/>
        <v>1</v>
      </c>
      <c r="X204" s="3" t="str">
        <f t="shared" si="7"/>
        <v>bright bronze</v>
      </c>
      <c r="Y204" s="3">
        <f t="shared" si="8"/>
        <v>2</v>
      </c>
      <c r="Z204" s="3" t="str">
        <f t="shared" si="9"/>
        <v>light blue</v>
      </c>
      <c r="AA204" s="13">
        <f t="shared" si="10"/>
        <v>1244051275</v>
      </c>
      <c r="AB204" s="3">
        <f t="shared" si="11"/>
        <v>1244051274</v>
      </c>
      <c r="AC204" s="3">
        <f t="shared" si="12"/>
        <v>4</v>
      </c>
      <c r="AD204" s="3">
        <f t="shared" si="13"/>
        <v>187357169</v>
      </c>
      <c r="AE204" s="3">
        <f t="shared" si="14"/>
        <v>4</v>
      </c>
      <c r="AF204" s="3">
        <f t="shared" si="15"/>
        <v>3381607</v>
      </c>
      <c r="AG204" s="3">
        <f t="shared" si="16"/>
        <v>1</v>
      </c>
      <c r="AH204" s="3">
        <f t="shared" si="17"/>
        <v>9540014</v>
      </c>
      <c r="AI204" s="3">
        <f t="shared" si="18"/>
        <v>2</v>
      </c>
      <c r="AJ204" s="3">
        <f t="shared" si="19"/>
        <v>235778078</v>
      </c>
    </row>
    <row r="205">
      <c r="C205" s="6" t="s">
        <v>205</v>
      </c>
      <c r="D205" s="3">
        <f t="shared" si="1"/>
        <v>0</v>
      </c>
      <c r="E205" s="3" t="str">
        <f>IFERROR(__xludf.DUMMYFUNCTION("REGEXEXTRACT(C205,""[^ ]* [^ ]*"")"),"clear brown")</f>
        <v>clear brown</v>
      </c>
      <c r="F205" s="3" t="str">
        <f>IFERROR(__xludf.DUMMYFUNCTION("MID(REGEXEXTRACT(C205,""contain.*$""),9,300)"),"1 mirrored yellow bag.")</f>
        <v>1 mirrored yellow bag.</v>
      </c>
      <c r="G205" s="3" t="str">
        <f>IFERROR(__xludf.DUMMYFUNCTION("INDEX(SPLIT($F205,"",""),COLUMN()-6)"),"1 mirrored yellow bag.")</f>
        <v>1 mirrored yellow bag.</v>
      </c>
      <c r="H205" s="3" t="str">
        <f>IFERROR(__xludf.DUMMYFUNCTION("MID(INDEX(SPLIT($F205,"",""),COLUMN()-6),2,300)"),"#REF!")</f>
        <v>#REF!</v>
      </c>
      <c r="I205" s="3" t="str">
        <f>IFERROR(__xludf.DUMMYFUNCTION("MID(INDEX(SPLIT($F205,"",""),COLUMN()-6),2,300)"),"#REF!")</f>
        <v>#REF!</v>
      </c>
      <c r="J205" s="3" t="str">
        <f>IFERROR(__xludf.DUMMYFUNCTION("MID(INDEX(SPLIT($F205,"",""),COLUMN()-6),2,300)"),"#REF!")</f>
        <v>#REF!</v>
      </c>
      <c r="K205" s="3">
        <f>IFERROR(__xludf.DUMMYFUNCTION("INDEX(SPLIT(G205,"" ""),1)"),1.0)</f>
        <v>1</v>
      </c>
      <c r="L205" s="3" t="str">
        <f>IFERROR(__xludf.DUMMYFUNCTION("REGEXEXTRACT(G205,"" [^ ]* [^ ]* "")")," mirrored yellow ")</f>
        <v> mirrored yellow </v>
      </c>
      <c r="M205" s="3" t="str">
        <f>IFERROR(__xludf.DUMMYFUNCTION("INDEX(SPLIT(H205,"" ""),1)"),"#REF!")</f>
        <v>#REF!</v>
      </c>
      <c r="N205" s="3" t="str">
        <f>IFERROR(__xludf.DUMMYFUNCTION("MID(REGEXEXTRACT(H205,"" [^ ]* [^ ]*""),2,300)"),"#REF!")</f>
        <v>#REF!</v>
      </c>
      <c r="O205" s="3" t="str">
        <f>IFERROR(__xludf.DUMMYFUNCTION("INDEX(SPLIT(I205,"" ""),1)"),"#REF!")</f>
        <v>#REF!</v>
      </c>
      <c r="P205" s="3" t="str">
        <f>IFERROR(__xludf.DUMMYFUNCTION("MID(REGEXEXTRACT(I205,"" [^ ]* [^ ]*""),2,300)"),"#REF!")</f>
        <v>#REF!</v>
      </c>
      <c r="Q205" s="3" t="str">
        <f>IFERROR(__xludf.DUMMYFUNCTION("INDEX(SPLIT(J205,"" ""),1)"),"#REF!")</f>
        <v>#REF!</v>
      </c>
      <c r="R205" s="3" t="str">
        <f>IFERROR(__xludf.DUMMYFUNCTION("MID(REGEXEXTRACT(J205,"" [^ ]* [^ ]*""),2,300)"),"#REF!")</f>
        <v>#REF!</v>
      </c>
      <c r="S205" s="3">
        <f t="shared" si="2"/>
        <v>1</v>
      </c>
      <c r="T205" s="3" t="str">
        <f t="shared" si="3"/>
        <v>mirrored yellow</v>
      </c>
      <c r="U205" s="3" t="str">
        <f t="shared" si="4"/>
        <v/>
      </c>
      <c r="V205" s="3" t="str">
        <f t="shared" si="5"/>
        <v/>
      </c>
      <c r="W205" s="3" t="str">
        <f t="shared" si="6"/>
        <v/>
      </c>
      <c r="X205" s="3" t="str">
        <f t="shared" si="7"/>
        <v/>
      </c>
      <c r="Y205" s="3" t="str">
        <f t="shared" si="8"/>
        <v/>
      </c>
      <c r="Z205" s="3" t="str">
        <f t="shared" si="9"/>
        <v/>
      </c>
      <c r="AA205" s="13">
        <f t="shared" si="10"/>
        <v>52501889</v>
      </c>
      <c r="AB205" s="3">
        <f t="shared" si="11"/>
        <v>52501888</v>
      </c>
      <c r="AC205" s="3">
        <f t="shared" si="12"/>
        <v>1</v>
      </c>
      <c r="AD205" s="3">
        <f t="shared" si="13"/>
        <v>52501888</v>
      </c>
      <c r="AE205" s="3" t="str">
        <f t="shared" si="14"/>
        <v/>
      </c>
      <c r="AF205" s="3">
        <f t="shared" si="15"/>
        <v>0</v>
      </c>
      <c r="AG205" s="3" t="str">
        <f t="shared" si="16"/>
        <v/>
      </c>
      <c r="AH205" s="3">
        <f t="shared" si="17"/>
        <v>0</v>
      </c>
      <c r="AI205" s="3" t="str">
        <f t="shared" si="18"/>
        <v/>
      </c>
      <c r="AJ205" s="3">
        <f t="shared" si="19"/>
        <v>0</v>
      </c>
    </row>
    <row r="206">
      <c r="C206" s="6" t="s">
        <v>206</v>
      </c>
      <c r="D206" s="3">
        <f t="shared" si="1"/>
        <v>0</v>
      </c>
      <c r="E206" s="3" t="str">
        <f>IFERROR(__xludf.DUMMYFUNCTION("REGEXEXTRACT(C206,""[^ ]* [^ ]*"")"),"light plum")</f>
        <v>light plum</v>
      </c>
      <c r="F206" s="3" t="str">
        <f>IFERROR(__xludf.DUMMYFUNCTION("MID(REGEXEXTRACT(C206,""contain.*$""),9,300)"),"2 bright violet bags.")</f>
        <v>2 bright violet bags.</v>
      </c>
      <c r="G206" s="3" t="str">
        <f>IFERROR(__xludf.DUMMYFUNCTION("INDEX(SPLIT($F206,"",""),COLUMN()-6)"),"2 bright violet bags.")</f>
        <v>2 bright violet bags.</v>
      </c>
      <c r="H206" s="3" t="str">
        <f>IFERROR(__xludf.DUMMYFUNCTION("MID(INDEX(SPLIT($F206,"",""),COLUMN()-6),2,300)"),"#REF!")</f>
        <v>#REF!</v>
      </c>
      <c r="I206" s="3" t="str">
        <f>IFERROR(__xludf.DUMMYFUNCTION("MID(INDEX(SPLIT($F206,"",""),COLUMN()-6),2,300)"),"#REF!")</f>
        <v>#REF!</v>
      </c>
      <c r="J206" s="3" t="str">
        <f>IFERROR(__xludf.DUMMYFUNCTION("MID(INDEX(SPLIT($F206,"",""),COLUMN()-6),2,300)"),"#REF!")</f>
        <v>#REF!</v>
      </c>
      <c r="K206" s="3">
        <f>IFERROR(__xludf.DUMMYFUNCTION("INDEX(SPLIT(G206,"" ""),1)"),2.0)</f>
        <v>2</v>
      </c>
      <c r="L206" s="3" t="str">
        <f>IFERROR(__xludf.DUMMYFUNCTION("REGEXEXTRACT(G206,"" [^ ]* [^ ]* "")")," bright violet ")</f>
        <v> bright violet </v>
      </c>
      <c r="M206" s="3" t="str">
        <f>IFERROR(__xludf.DUMMYFUNCTION("INDEX(SPLIT(H206,"" ""),1)"),"#REF!")</f>
        <v>#REF!</v>
      </c>
      <c r="N206" s="3" t="str">
        <f>IFERROR(__xludf.DUMMYFUNCTION("MID(REGEXEXTRACT(H206,"" [^ ]* [^ ]*""),2,300)"),"#REF!")</f>
        <v>#REF!</v>
      </c>
      <c r="O206" s="3" t="str">
        <f>IFERROR(__xludf.DUMMYFUNCTION("INDEX(SPLIT(I206,"" ""),1)"),"#REF!")</f>
        <v>#REF!</v>
      </c>
      <c r="P206" s="3" t="str">
        <f>IFERROR(__xludf.DUMMYFUNCTION("MID(REGEXEXTRACT(I206,"" [^ ]* [^ ]*""),2,300)"),"#REF!")</f>
        <v>#REF!</v>
      </c>
      <c r="Q206" s="3" t="str">
        <f>IFERROR(__xludf.DUMMYFUNCTION("INDEX(SPLIT(J206,"" ""),1)"),"#REF!")</f>
        <v>#REF!</v>
      </c>
      <c r="R206" s="3" t="str">
        <f>IFERROR(__xludf.DUMMYFUNCTION("MID(REGEXEXTRACT(J206,"" [^ ]* [^ ]*""),2,300)"),"#REF!")</f>
        <v>#REF!</v>
      </c>
      <c r="S206" s="3">
        <f t="shared" si="2"/>
        <v>2</v>
      </c>
      <c r="T206" s="3" t="str">
        <f t="shared" si="3"/>
        <v>bright violet</v>
      </c>
      <c r="U206" s="3" t="str">
        <f t="shared" si="4"/>
        <v/>
      </c>
      <c r="V206" s="3" t="str">
        <f t="shared" si="5"/>
        <v/>
      </c>
      <c r="W206" s="3" t="str">
        <f t="shared" si="6"/>
        <v/>
      </c>
      <c r="X206" s="3" t="str">
        <f t="shared" si="7"/>
        <v/>
      </c>
      <c r="Y206" s="3" t="str">
        <f t="shared" si="8"/>
        <v/>
      </c>
      <c r="Z206" s="3" t="str">
        <f t="shared" si="9"/>
        <v/>
      </c>
      <c r="AA206" s="13">
        <f t="shared" si="10"/>
        <v>3</v>
      </c>
      <c r="AB206" s="3">
        <f t="shared" si="11"/>
        <v>2</v>
      </c>
      <c r="AC206" s="3">
        <f t="shared" si="12"/>
        <v>2</v>
      </c>
      <c r="AD206" s="3">
        <f t="shared" si="13"/>
        <v>1</v>
      </c>
      <c r="AE206" s="3" t="str">
        <f t="shared" si="14"/>
        <v/>
      </c>
      <c r="AF206" s="3">
        <f t="shared" si="15"/>
        <v>0</v>
      </c>
      <c r="AG206" s="3" t="str">
        <f t="shared" si="16"/>
        <v/>
      </c>
      <c r="AH206" s="3">
        <f t="shared" si="17"/>
        <v>0</v>
      </c>
      <c r="AI206" s="3" t="str">
        <f t="shared" si="18"/>
        <v/>
      </c>
      <c r="AJ206" s="3">
        <f t="shared" si="19"/>
        <v>0</v>
      </c>
    </row>
    <row r="207">
      <c r="C207" s="6" t="s">
        <v>207</v>
      </c>
      <c r="D207" s="3">
        <f t="shared" si="1"/>
        <v>1</v>
      </c>
      <c r="E207" s="3" t="str">
        <f>IFERROR(__xludf.DUMMYFUNCTION("REGEXEXTRACT(C207,""[^ ]* [^ ]*"")"),"dim purple")</f>
        <v>dim purple</v>
      </c>
      <c r="F207" s="3" t="str">
        <f>IFERROR(__xludf.DUMMYFUNCTION("MID(REGEXEXTRACT(C207,""contain.*$""),9,300)"),"3 faded chartreuse bags, 5 light teal bags.")</f>
        <v>3 faded chartreuse bags, 5 light teal bags.</v>
      </c>
      <c r="G207" s="3" t="str">
        <f>IFERROR(__xludf.DUMMYFUNCTION("INDEX(SPLIT($F207,"",""),COLUMN()-6)"),"3 faded chartreuse bags")</f>
        <v>3 faded chartreuse bags</v>
      </c>
      <c r="H207" s="3" t="str">
        <f>IFERROR(__xludf.DUMMYFUNCTION("MID(INDEX(SPLIT($F207,"",""),COLUMN()-6),2,300)"),"5 light teal bags.")</f>
        <v>5 light teal bags.</v>
      </c>
      <c r="I207" s="3" t="str">
        <f>IFERROR(__xludf.DUMMYFUNCTION("MID(INDEX(SPLIT($F207,"",""),COLUMN()-6),2,300)"),"#REF!")</f>
        <v>#REF!</v>
      </c>
      <c r="J207" s="3" t="str">
        <f>IFERROR(__xludf.DUMMYFUNCTION("MID(INDEX(SPLIT($F207,"",""),COLUMN()-6),2,300)"),"#REF!")</f>
        <v>#REF!</v>
      </c>
      <c r="K207" s="3">
        <f>IFERROR(__xludf.DUMMYFUNCTION("INDEX(SPLIT(G207,"" ""),1)"),3.0)</f>
        <v>3</v>
      </c>
      <c r="L207" s="3" t="str">
        <f>IFERROR(__xludf.DUMMYFUNCTION("REGEXEXTRACT(G207,"" [^ ]* [^ ]* "")")," faded chartreuse ")</f>
        <v> faded chartreuse </v>
      </c>
      <c r="M207" s="3">
        <f>IFERROR(__xludf.DUMMYFUNCTION("INDEX(SPLIT(H207,"" ""),1)"),5.0)</f>
        <v>5</v>
      </c>
      <c r="N207" s="3" t="str">
        <f>IFERROR(__xludf.DUMMYFUNCTION("MID(REGEXEXTRACT(H207,"" [^ ]* [^ ]*""),2,300)"),"light teal")</f>
        <v>light teal</v>
      </c>
      <c r="O207" s="3" t="str">
        <f>IFERROR(__xludf.DUMMYFUNCTION("INDEX(SPLIT(I207,"" ""),1)"),"#REF!")</f>
        <v>#REF!</v>
      </c>
      <c r="P207" s="3" t="str">
        <f>IFERROR(__xludf.DUMMYFUNCTION("MID(REGEXEXTRACT(I207,"" [^ ]* [^ ]*""),2,300)"),"#REF!")</f>
        <v>#REF!</v>
      </c>
      <c r="Q207" s="3" t="str">
        <f>IFERROR(__xludf.DUMMYFUNCTION("INDEX(SPLIT(J207,"" ""),1)"),"#REF!")</f>
        <v>#REF!</v>
      </c>
      <c r="R207" s="3" t="str">
        <f>IFERROR(__xludf.DUMMYFUNCTION("MID(REGEXEXTRACT(J207,"" [^ ]* [^ ]*""),2,300)"),"#REF!")</f>
        <v>#REF!</v>
      </c>
      <c r="S207" s="3">
        <f t="shared" si="2"/>
        <v>3</v>
      </c>
      <c r="T207" s="3" t="str">
        <f t="shared" si="3"/>
        <v>faded chartreuse</v>
      </c>
      <c r="U207" s="3">
        <f t="shared" si="4"/>
        <v>5</v>
      </c>
      <c r="V207" s="3" t="str">
        <f t="shared" si="5"/>
        <v>light teal</v>
      </c>
      <c r="W207" s="3" t="str">
        <f t="shared" si="6"/>
        <v/>
      </c>
      <c r="X207" s="3" t="str">
        <f t="shared" si="7"/>
        <v/>
      </c>
      <c r="Y207" s="3" t="str">
        <f t="shared" si="8"/>
        <v/>
      </c>
      <c r="Z207" s="3" t="str">
        <f t="shared" si="9"/>
        <v/>
      </c>
      <c r="AA207" s="13">
        <f t="shared" si="10"/>
        <v>1160117</v>
      </c>
      <c r="AB207" s="3">
        <f t="shared" si="11"/>
        <v>1160116</v>
      </c>
      <c r="AC207" s="3">
        <f t="shared" si="12"/>
        <v>3</v>
      </c>
      <c r="AD207" s="3">
        <f t="shared" si="13"/>
        <v>305892</v>
      </c>
      <c r="AE207" s="3">
        <f t="shared" si="14"/>
        <v>5</v>
      </c>
      <c r="AF207" s="3">
        <f t="shared" si="15"/>
        <v>48488</v>
      </c>
      <c r="AG207" s="3" t="str">
        <f t="shared" si="16"/>
        <v/>
      </c>
      <c r="AH207" s="3">
        <f t="shared" si="17"/>
        <v>0</v>
      </c>
      <c r="AI207" s="3" t="str">
        <f t="shared" si="18"/>
        <v/>
      </c>
      <c r="AJ207" s="3">
        <f t="shared" si="19"/>
        <v>0</v>
      </c>
    </row>
    <row r="208">
      <c r="C208" s="6" t="s">
        <v>208</v>
      </c>
      <c r="D208" s="3">
        <f t="shared" si="1"/>
        <v>2</v>
      </c>
      <c r="E208" s="3" t="str">
        <f>IFERROR(__xludf.DUMMYFUNCTION("REGEXEXTRACT(C208,""[^ ]* [^ ]*"")"),"dull yellow")</f>
        <v>dull yellow</v>
      </c>
      <c r="F208" s="3" t="str">
        <f>IFERROR(__xludf.DUMMYFUNCTION("MID(REGEXEXTRACT(C208,""contain.*$""),9,300)"),"5 muted aqua bags, 3 dotted coral bags, 2 drab maroon bags.")</f>
        <v>5 muted aqua bags, 3 dotted coral bags, 2 drab maroon bags.</v>
      </c>
      <c r="G208" s="3" t="str">
        <f>IFERROR(__xludf.DUMMYFUNCTION("INDEX(SPLIT($F208,"",""),COLUMN()-6)"),"5 muted aqua bags")</f>
        <v>5 muted aqua bags</v>
      </c>
      <c r="H208" s="3" t="str">
        <f>IFERROR(__xludf.DUMMYFUNCTION("MID(INDEX(SPLIT($F208,"",""),COLUMN()-6),2,300)"),"3 dotted coral bags")</f>
        <v>3 dotted coral bags</v>
      </c>
      <c r="I208" s="3" t="str">
        <f>IFERROR(__xludf.DUMMYFUNCTION("MID(INDEX(SPLIT($F208,"",""),COLUMN()-6),2,300)"),"2 drab maroon bags.")</f>
        <v>2 drab maroon bags.</v>
      </c>
      <c r="J208" s="3" t="str">
        <f>IFERROR(__xludf.DUMMYFUNCTION("MID(INDEX(SPLIT($F208,"",""),COLUMN()-6),2,300)"),"#REF!")</f>
        <v>#REF!</v>
      </c>
      <c r="K208" s="3">
        <f>IFERROR(__xludf.DUMMYFUNCTION("INDEX(SPLIT(G208,"" ""),1)"),5.0)</f>
        <v>5</v>
      </c>
      <c r="L208" s="3" t="str">
        <f>IFERROR(__xludf.DUMMYFUNCTION("REGEXEXTRACT(G208,"" [^ ]* [^ ]* "")")," muted aqua ")</f>
        <v> muted aqua </v>
      </c>
      <c r="M208" s="3">
        <f>IFERROR(__xludf.DUMMYFUNCTION("INDEX(SPLIT(H208,"" ""),1)"),3.0)</f>
        <v>3</v>
      </c>
      <c r="N208" s="3" t="str">
        <f>IFERROR(__xludf.DUMMYFUNCTION("MID(REGEXEXTRACT(H208,"" [^ ]* [^ ]*""),2,300)"),"dotted coral")</f>
        <v>dotted coral</v>
      </c>
      <c r="O208" s="3">
        <f>IFERROR(__xludf.DUMMYFUNCTION("INDEX(SPLIT(I208,"" ""),1)"),2.0)</f>
        <v>2</v>
      </c>
      <c r="P208" s="3" t="str">
        <f>IFERROR(__xludf.DUMMYFUNCTION("MID(REGEXEXTRACT(I208,"" [^ ]* [^ ]*""),2,300)"),"drab maroon")</f>
        <v>drab maroon</v>
      </c>
      <c r="Q208" s="3" t="str">
        <f>IFERROR(__xludf.DUMMYFUNCTION("INDEX(SPLIT(J208,"" ""),1)"),"#REF!")</f>
        <v>#REF!</v>
      </c>
      <c r="R208" s="3" t="str">
        <f>IFERROR(__xludf.DUMMYFUNCTION("MID(REGEXEXTRACT(J208,"" [^ ]* [^ ]*""),2,300)"),"#REF!")</f>
        <v>#REF!</v>
      </c>
      <c r="S208" s="3">
        <f t="shared" si="2"/>
        <v>5</v>
      </c>
      <c r="T208" s="3" t="str">
        <f t="shared" si="3"/>
        <v>muted aqua</v>
      </c>
      <c r="U208" s="3">
        <f t="shared" si="4"/>
        <v>3</v>
      </c>
      <c r="V208" s="3" t="str">
        <f t="shared" si="5"/>
        <v>dotted coral</v>
      </c>
      <c r="W208" s="3">
        <f t="shared" si="6"/>
        <v>2</v>
      </c>
      <c r="X208" s="3" t="str">
        <f t="shared" si="7"/>
        <v>drab maroon</v>
      </c>
      <c r="Y208" s="3" t="str">
        <f t="shared" si="8"/>
        <v/>
      </c>
      <c r="Z208" s="3" t="str">
        <f t="shared" si="9"/>
        <v/>
      </c>
      <c r="AA208" s="13">
        <f t="shared" si="10"/>
        <v>190019</v>
      </c>
      <c r="AB208" s="3">
        <f t="shared" si="11"/>
        <v>190018</v>
      </c>
      <c r="AC208" s="3">
        <f t="shared" si="12"/>
        <v>5</v>
      </c>
      <c r="AD208" s="3">
        <f t="shared" si="13"/>
        <v>30083</v>
      </c>
      <c r="AE208" s="3">
        <f t="shared" si="14"/>
        <v>3</v>
      </c>
      <c r="AF208" s="3">
        <f t="shared" si="15"/>
        <v>10803</v>
      </c>
      <c r="AG208" s="3">
        <f t="shared" si="16"/>
        <v>2</v>
      </c>
      <c r="AH208" s="3">
        <f t="shared" si="17"/>
        <v>3597</v>
      </c>
      <c r="AI208" s="3" t="str">
        <f t="shared" si="18"/>
        <v/>
      </c>
      <c r="AJ208" s="3">
        <f t="shared" si="19"/>
        <v>0</v>
      </c>
    </row>
    <row r="209">
      <c r="C209" s="6" t="s">
        <v>209</v>
      </c>
      <c r="D209" s="3">
        <f t="shared" si="1"/>
        <v>2</v>
      </c>
      <c r="E209" s="3" t="str">
        <f>IFERROR(__xludf.DUMMYFUNCTION("REGEXEXTRACT(C209,""[^ ]* [^ ]*"")"),"shiny gold")</f>
        <v>shiny gold</v>
      </c>
      <c r="F209" s="3" t="str">
        <f>IFERROR(__xludf.DUMMYFUNCTION("MID(REGEXEXTRACT(C209,""contain.*$""),9,300)"),"4 pale black bags, 4 dim violet bags, 3 muted yellow bags.")</f>
        <v>4 pale black bags, 4 dim violet bags, 3 muted yellow bags.</v>
      </c>
      <c r="G209" s="3" t="str">
        <f>IFERROR(__xludf.DUMMYFUNCTION("INDEX(SPLIT($F209,"",""),COLUMN()-6)"),"4 pale black bags")</f>
        <v>4 pale black bags</v>
      </c>
      <c r="H209" s="3" t="str">
        <f>IFERROR(__xludf.DUMMYFUNCTION("MID(INDEX(SPLIT($F209,"",""),COLUMN()-6),2,300)"),"4 dim violet bags")</f>
        <v>4 dim violet bags</v>
      </c>
      <c r="I209" s="3" t="str">
        <f>IFERROR(__xludf.DUMMYFUNCTION("MID(INDEX(SPLIT($F209,"",""),COLUMN()-6),2,300)"),"3 muted yellow bags.")</f>
        <v>3 muted yellow bags.</v>
      </c>
      <c r="J209" s="3" t="str">
        <f>IFERROR(__xludf.DUMMYFUNCTION("MID(INDEX(SPLIT($F209,"",""),COLUMN()-6),2,300)"),"#REF!")</f>
        <v>#REF!</v>
      </c>
      <c r="K209" s="3">
        <f>IFERROR(__xludf.DUMMYFUNCTION("INDEX(SPLIT(G209,"" ""),1)"),4.0)</f>
        <v>4</v>
      </c>
      <c r="L209" s="3" t="str">
        <f>IFERROR(__xludf.DUMMYFUNCTION("REGEXEXTRACT(G209,"" [^ ]* [^ ]* "")")," pale black ")</f>
        <v> pale black </v>
      </c>
      <c r="M209" s="3">
        <f>IFERROR(__xludf.DUMMYFUNCTION("INDEX(SPLIT(H209,"" ""),1)"),4.0)</f>
        <v>4</v>
      </c>
      <c r="N209" s="3" t="str">
        <f>IFERROR(__xludf.DUMMYFUNCTION("MID(REGEXEXTRACT(H209,"" [^ ]* [^ ]*""),2,300)"),"dim violet")</f>
        <v>dim violet</v>
      </c>
      <c r="O209" s="3">
        <f>IFERROR(__xludf.DUMMYFUNCTION("INDEX(SPLIT(I209,"" ""),1)"),3.0)</f>
        <v>3</v>
      </c>
      <c r="P209" s="3" t="str">
        <f>IFERROR(__xludf.DUMMYFUNCTION("MID(REGEXEXTRACT(I209,"" [^ ]* [^ ]*""),2,300)"),"muted yellow")</f>
        <v>muted yellow</v>
      </c>
      <c r="Q209" s="3" t="str">
        <f>IFERROR(__xludf.DUMMYFUNCTION("INDEX(SPLIT(J209,"" ""),1)"),"#REF!")</f>
        <v>#REF!</v>
      </c>
      <c r="R209" s="3" t="str">
        <f>IFERROR(__xludf.DUMMYFUNCTION("MID(REGEXEXTRACT(J209,"" [^ ]* [^ ]*""),2,300)"),"#REF!")</f>
        <v>#REF!</v>
      </c>
      <c r="S209" s="3">
        <f t="shared" si="2"/>
        <v>4</v>
      </c>
      <c r="T209" s="3" t="str">
        <f t="shared" si="3"/>
        <v>pale black</v>
      </c>
      <c r="U209" s="3">
        <f t="shared" si="4"/>
        <v>4</v>
      </c>
      <c r="V209" s="3" t="str">
        <f t="shared" si="5"/>
        <v>dim violet</v>
      </c>
      <c r="W209" s="3">
        <f t="shared" si="6"/>
        <v>3</v>
      </c>
      <c r="X209" s="3" t="str">
        <f t="shared" si="7"/>
        <v>muted yellow</v>
      </c>
      <c r="Y209" s="3" t="str">
        <f t="shared" si="8"/>
        <v/>
      </c>
      <c r="Z209" s="3" t="str">
        <f t="shared" si="9"/>
        <v/>
      </c>
      <c r="AA209" s="13">
        <f t="shared" si="10"/>
        <v>12129</v>
      </c>
      <c r="AB209" s="3">
        <f t="shared" si="11"/>
        <v>12128</v>
      </c>
      <c r="AC209" s="3">
        <f t="shared" si="12"/>
        <v>4</v>
      </c>
      <c r="AD209" s="3">
        <f t="shared" si="13"/>
        <v>8</v>
      </c>
      <c r="AE209" s="3">
        <f t="shared" si="14"/>
        <v>4</v>
      </c>
      <c r="AF209" s="3">
        <f t="shared" si="15"/>
        <v>153</v>
      </c>
      <c r="AG209" s="3">
        <f t="shared" si="16"/>
        <v>3</v>
      </c>
      <c r="AH209" s="3">
        <f t="shared" si="17"/>
        <v>3828</v>
      </c>
      <c r="AI209" s="3" t="str">
        <f t="shared" si="18"/>
        <v/>
      </c>
      <c r="AJ209" s="3">
        <f t="shared" si="19"/>
        <v>0</v>
      </c>
    </row>
    <row r="210">
      <c r="C210" s="6" t="s">
        <v>210</v>
      </c>
      <c r="D210" s="3">
        <f t="shared" si="1"/>
        <v>1</v>
      </c>
      <c r="E210" s="3" t="str">
        <f>IFERROR(__xludf.DUMMYFUNCTION("REGEXEXTRACT(C210,""[^ ]* [^ ]*"")"),"mirrored crimson")</f>
        <v>mirrored crimson</v>
      </c>
      <c r="F210" s="3" t="str">
        <f>IFERROR(__xludf.DUMMYFUNCTION("MID(REGEXEXTRACT(C210,""contain.*$""),9,300)"),"1 striped teal bag, 5 mirrored cyan bags.")</f>
        <v>1 striped teal bag, 5 mirrored cyan bags.</v>
      </c>
      <c r="G210" s="3" t="str">
        <f>IFERROR(__xludf.DUMMYFUNCTION("INDEX(SPLIT($F210,"",""),COLUMN()-6)"),"1 striped teal bag")</f>
        <v>1 striped teal bag</v>
      </c>
      <c r="H210" s="3" t="str">
        <f>IFERROR(__xludf.DUMMYFUNCTION("MID(INDEX(SPLIT($F210,"",""),COLUMN()-6),2,300)"),"5 mirrored cyan bags.")</f>
        <v>5 mirrored cyan bags.</v>
      </c>
      <c r="I210" s="3" t="str">
        <f>IFERROR(__xludf.DUMMYFUNCTION("MID(INDEX(SPLIT($F210,"",""),COLUMN()-6),2,300)"),"#REF!")</f>
        <v>#REF!</v>
      </c>
      <c r="J210" s="3" t="str">
        <f>IFERROR(__xludf.DUMMYFUNCTION("MID(INDEX(SPLIT($F210,"",""),COLUMN()-6),2,300)"),"#REF!")</f>
        <v>#REF!</v>
      </c>
      <c r="K210" s="3">
        <f>IFERROR(__xludf.DUMMYFUNCTION("INDEX(SPLIT(G210,"" ""),1)"),1.0)</f>
        <v>1</v>
      </c>
      <c r="L210" s="3" t="str">
        <f>IFERROR(__xludf.DUMMYFUNCTION("REGEXEXTRACT(G210,"" [^ ]* [^ ]* "")")," striped teal ")</f>
        <v> striped teal </v>
      </c>
      <c r="M210" s="3">
        <f>IFERROR(__xludf.DUMMYFUNCTION("INDEX(SPLIT(H210,"" ""),1)"),5.0)</f>
        <v>5</v>
      </c>
      <c r="N210" s="3" t="str">
        <f>IFERROR(__xludf.DUMMYFUNCTION("MID(REGEXEXTRACT(H210,"" [^ ]* [^ ]*""),2,300)"),"mirrored cyan")</f>
        <v>mirrored cyan</v>
      </c>
      <c r="O210" s="3" t="str">
        <f>IFERROR(__xludf.DUMMYFUNCTION("INDEX(SPLIT(I210,"" ""),1)"),"#REF!")</f>
        <v>#REF!</v>
      </c>
      <c r="P210" s="3" t="str">
        <f>IFERROR(__xludf.DUMMYFUNCTION("MID(REGEXEXTRACT(I210,"" [^ ]* [^ ]*""),2,300)"),"#REF!")</f>
        <v>#REF!</v>
      </c>
      <c r="Q210" s="3" t="str">
        <f>IFERROR(__xludf.DUMMYFUNCTION("INDEX(SPLIT(J210,"" ""),1)"),"#REF!")</f>
        <v>#REF!</v>
      </c>
      <c r="R210" s="3" t="str">
        <f>IFERROR(__xludf.DUMMYFUNCTION("MID(REGEXEXTRACT(J210,"" [^ ]* [^ ]*""),2,300)"),"#REF!")</f>
        <v>#REF!</v>
      </c>
      <c r="S210" s="3">
        <f t="shared" si="2"/>
        <v>1</v>
      </c>
      <c r="T210" s="3" t="str">
        <f t="shared" si="3"/>
        <v>striped teal</v>
      </c>
      <c r="U210" s="3">
        <f t="shared" si="4"/>
        <v>5</v>
      </c>
      <c r="V210" s="3" t="str">
        <f t="shared" si="5"/>
        <v>mirrored cyan</v>
      </c>
      <c r="W210" s="3" t="str">
        <f t="shared" si="6"/>
        <v/>
      </c>
      <c r="X210" s="3" t="str">
        <f t="shared" si="7"/>
        <v/>
      </c>
      <c r="Y210" s="3" t="str">
        <f t="shared" si="8"/>
        <v/>
      </c>
      <c r="Z210" s="3" t="str">
        <f t="shared" si="9"/>
        <v/>
      </c>
      <c r="AA210" s="13">
        <f t="shared" si="10"/>
        <v>23660</v>
      </c>
      <c r="AB210" s="3">
        <f t="shared" si="11"/>
        <v>23659</v>
      </c>
      <c r="AC210" s="3">
        <f t="shared" si="12"/>
        <v>1</v>
      </c>
      <c r="AD210" s="3">
        <f t="shared" si="13"/>
        <v>14389</v>
      </c>
      <c r="AE210" s="3">
        <f t="shared" si="14"/>
        <v>5</v>
      </c>
      <c r="AF210" s="3">
        <f t="shared" si="15"/>
        <v>1854</v>
      </c>
      <c r="AG210" s="3" t="str">
        <f t="shared" si="16"/>
        <v/>
      </c>
      <c r="AH210" s="3">
        <f t="shared" si="17"/>
        <v>0</v>
      </c>
      <c r="AI210" s="3" t="str">
        <f t="shared" si="18"/>
        <v/>
      </c>
      <c r="AJ210" s="3">
        <f t="shared" si="19"/>
        <v>0</v>
      </c>
    </row>
    <row r="211">
      <c r="C211" s="6" t="s">
        <v>211</v>
      </c>
      <c r="D211" s="3">
        <f t="shared" si="1"/>
        <v>3</v>
      </c>
      <c r="E211" s="3" t="str">
        <f>IFERROR(__xludf.DUMMYFUNCTION("REGEXEXTRACT(C211,""[^ ]* [^ ]*"")"),"shiny lavender")</f>
        <v>shiny lavender</v>
      </c>
      <c r="F211" s="3" t="str">
        <f>IFERROR(__xludf.DUMMYFUNCTION("MID(REGEXEXTRACT(C211,""contain.*$""),9,300)"),"4 bright brown bags, 3 bright tan bags, 5 dotted crimson bags, 4 pale black bags.")</f>
        <v>4 bright brown bags, 3 bright tan bags, 5 dotted crimson bags, 4 pale black bags.</v>
      </c>
      <c r="G211" s="3" t="str">
        <f>IFERROR(__xludf.DUMMYFUNCTION("INDEX(SPLIT($F211,"",""),COLUMN()-6)"),"4 bright brown bags")</f>
        <v>4 bright brown bags</v>
      </c>
      <c r="H211" s="3" t="str">
        <f>IFERROR(__xludf.DUMMYFUNCTION("MID(INDEX(SPLIT($F211,"",""),COLUMN()-6),2,300)"),"3 bright tan bags")</f>
        <v>3 bright tan bags</v>
      </c>
      <c r="I211" s="3" t="str">
        <f>IFERROR(__xludf.DUMMYFUNCTION("MID(INDEX(SPLIT($F211,"",""),COLUMN()-6),2,300)"),"5 dotted crimson bags")</f>
        <v>5 dotted crimson bags</v>
      </c>
      <c r="J211" s="3" t="str">
        <f>IFERROR(__xludf.DUMMYFUNCTION("MID(INDEX(SPLIT($F211,"",""),COLUMN()-6),2,300)"),"4 pale black bags.")</f>
        <v>4 pale black bags.</v>
      </c>
      <c r="K211" s="3">
        <f>IFERROR(__xludf.DUMMYFUNCTION("INDEX(SPLIT(G211,"" ""),1)"),4.0)</f>
        <v>4</v>
      </c>
      <c r="L211" s="3" t="str">
        <f>IFERROR(__xludf.DUMMYFUNCTION("REGEXEXTRACT(G211,"" [^ ]* [^ ]* "")")," bright brown ")</f>
        <v> bright brown </v>
      </c>
      <c r="M211" s="3">
        <f>IFERROR(__xludf.DUMMYFUNCTION("INDEX(SPLIT(H211,"" ""),1)"),3.0)</f>
        <v>3</v>
      </c>
      <c r="N211" s="3" t="str">
        <f>IFERROR(__xludf.DUMMYFUNCTION("MID(REGEXEXTRACT(H211,"" [^ ]* [^ ]*""),2,300)"),"bright tan")</f>
        <v>bright tan</v>
      </c>
      <c r="O211" s="3">
        <f>IFERROR(__xludf.DUMMYFUNCTION("INDEX(SPLIT(I211,"" ""),1)"),5.0)</f>
        <v>5</v>
      </c>
      <c r="P211" s="3" t="str">
        <f>IFERROR(__xludf.DUMMYFUNCTION("MID(REGEXEXTRACT(I211,"" [^ ]* [^ ]*""),2,300)"),"dotted crimson")</f>
        <v>dotted crimson</v>
      </c>
      <c r="Q211" s="3">
        <f>IFERROR(__xludf.DUMMYFUNCTION("INDEX(SPLIT(J211,"" ""),1)"),4.0)</f>
        <v>4</v>
      </c>
      <c r="R211" s="3" t="str">
        <f>IFERROR(__xludf.DUMMYFUNCTION("MID(REGEXEXTRACT(J211,"" [^ ]* [^ ]*""),2,300)"),"pale black")</f>
        <v>pale black</v>
      </c>
      <c r="S211" s="3">
        <f t="shared" si="2"/>
        <v>4</v>
      </c>
      <c r="T211" s="3" t="str">
        <f t="shared" si="3"/>
        <v>bright brown</v>
      </c>
      <c r="U211" s="3">
        <f t="shared" si="4"/>
        <v>3</v>
      </c>
      <c r="V211" s="3" t="str">
        <f t="shared" si="5"/>
        <v>bright tan</v>
      </c>
      <c r="W211" s="3">
        <f t="shared" si="6"/>
        <v>5</v>
      </c>
      <c r="X211" s="3" t="str">
        <f t="shared" si="7"/>
        <v>dotted crimson</v>
      </c>
      <c r="Y211" s="3">
        <f t="shared" si="8"/>
        <v>4</v>
      </c>
      <c r="Z211" s="3" t="str">
        <f t="shared" si="9"/>
        <v>pale black</v>
      </c>
      <c r="AA211" s="13">
        <f t="shared" si="10"/>
        <v>1187190</v>
      </c>
      <c r="AB211" s="3">
        <f t="shared" si="11"/>
        <v>1187189</v>
      </c>
      <c r="AC211" s="3">
        <f t="shared" si="12"/>
        <v>4</v>
      </c>
      <c r="AD211" s="3">
        <f t="shared" si="13"/>
        <v>1</v>
      </c>
      <c r="AE211" s="3">
        <f t="shared" si="14"/>
        <v>3</v>
      </c>
      <c r="AF211" s="3">
        <f t="shared" si="15"/>
        <v>393586</v>
      </c>
      <c r="AG211" s="3">
        <f t="shared" si="16"/>
        <v>5</v>
      </c>
      <c r="AH211" s="3">
        <f t="shared" si="17"/>
        <v>1279</v>
      </c>
      <c r="AI211" s="3">
        <f t="shared" si="18"/>
        <v>4</v>
      </c>
      <c r="AJ211" s="3">
        <f t="shared" si="19"/>
        <v>8</v>
      </c>
    </row>
    <row r="212">
      <c r="C212" s="6" t="s">
        <v>212</v>
      </c>
      <c r="D212" s="3">
        <f t="shared" si="1"/>
        <v>1</v>
      </c>
      <c r="E212" s="3" t="str">
        <f>IFERROR(__xludf.DUMMYFUNCTION("REGEXEXTRACT(C212,""[^ ]* [^ ]*"")"),"vibrant cyan")</f>
        <v>vibrant cyan</v>
      </c>
      <c r="F212" s="3" t="str">
        <f>IFERROR(__xludf.DUMMYFUNCTION("MID(REGEXEXTRACT(C212,""contain.*$""),9,300)"),"1 dim yellow bag, 5 bright tan bags.")</f>
        <v>1 dim yellow bag, 5 bright tan bags.</v>
      </c>
      <c r="G212" s="3" t="str">
        <f>IFERROR(__xludf.DUMMYFUNCTION("INDEX(SPLIT($F212,"",""),COLUMN()-6)"),"1 dim yellow bag")</f>
        <v>1 dim yellow bag</v>
      </c>
      <c r="H212" s="3" t="str">
        <f>IFERROR(__xludf.DUMMYFUNCTION("MID(INDEX(SPLIT($F212,"",""),COLUMN()-6),2,300)"),"5 bright tan bags.")</f>
        <v>5 bright tan bags.</v>
      </c>
      <c r="I212" s="3" t="str">
        <f>IFERROR(__xludf.DUMMYFUNCTION("MID(INDEX(SPLIT($F212,"",""),COLUMN()-6),2,300)"),"#REF!")</f>
        <v>#REF!</v>
      </c>
      <c r="J212" s="3" t="str">
        <f>IFERROR(__xludf.DUMMYFUNCTION("MID(INDEX(SPLIT($F212,"",""),COLUMN()-6),2,300)"),"#REF!")</f>
        <v>#REF!</v>
      </c>
      <c r="K212" s="3">
        <f>IFERROR(__xludf.DUMMYFUNCTION("INDEX(SPLIT(G212,"" ""),1)"),1.0)</f>
        <v>1</v>
      </c>
      <c r="L212" s="3" t="str">
        <f>IFERROR(__xludf.DUMMYFUNCTION("REGEXEXTRACT(G212,"" [^ ]* [^ ]* "")")," dim yellow ")</f>
        <v> dim yellow </v>
      </c>
      <c r="M212" s="3">
        <f>IFERROR(__xludf.DUMMYFUNCTION("INDEX(SPLIT(H212,"" ""),1)"),5.0)</f>
        <v>5</v>
      </c>
      <c r="N212" s="3" t="str">
        <f>IFERROR(__xludf.DUMMYFUNCTION("MID(REGEXEXTRACT(H212,"" [^ ]* [^ ]*""),2,300)"),"bright tan")</f>
        <v>bright tan</v>
      </c>
      <c r="O212" s="3" t="str">
        <f>IFERROR(__xludf.DUMMYFUNCTION("INDEX(SPLIT(I212,"" ""),1)"),"#REF!")</f>
        <v>#REF!</v>
      </c>
      <c r="P212" s="3" t="str">
        <f>IFERROR(__xludf.DUMMYFUNCTION("MID(REGEXEXTRACT(I212,"" [^ ]* [^ ]*""),2,300)"),"#REF!")</f>
        <v>#REF!</v>
      </c>
      <c r="Q212" s="3" t="str">
        <f>IFERROR(__xludf.DUMMYFUNCTION("INDEX(SPLIT(J212,"" ""),1)"),"#REF!")</f>
        <v>#REF!</v>
      </c>
      <c r="R212" s="3" t="str">
        <f>IFERROR(__xludf.DUMMYFUNCTION("MID(REGEXEXTRACT(J212,"" [^ ]* [^ ]*""),2,300)"),"#REF!")</f>
        <v>#REF!</v>
      </c>
      <c r="S212" s="3">
        <f t="shared" si="2"/>
        <v>1</v>
      </c>
      <c r="T212" s="3" t="str">
        <f t="shared" si="3"/>
        <v>dim yellow</v>
      </c>
      <c r="U212" s="3">
        <f t="shared" si="4"/>
        <v>5</v>
      </c>
      <c r="V212" s="3" t="str">
        <f t="shared" si="5"/>
        <v>bright tan</v>
      </c>
      <c r="W212" s="3" t="str">
        <f t="shared" si="6"/>
        <v/>
      </c>
      <c r="X212" s="3" t="str">
        <f t="shared" si="7"/>
        <v/>
      </c>
      <c r="Y212" s="3" t="str">
        <f t="shared" si="8"/>
        <v/>
      </c>
      <c r="Z212" s="3" t="str">
        <f t="shared" si="9"/>
        <v/>
      </c>
      <c r="AA212" s="13">
        <f t="shared" si="10"/>
        <v>2184676</v>
      </c>
      <c r="AB212" s="3">
        <f t="shared" si="11"/>
        <v>2184675</v>
      </c>
      <c r="AC212" s="3">
        <f t="shared" si="12"/>
        <v>1</v>
      </c>
      <c r="AD212" s="3">
        <f t="shared" si="13"/>
        <v>216745</v>
      </c>
      <c r="AE212" s="3">
        <f t="shared" si="14"/>
        <v>5</v>
      </c>
      <c r="AF212" s="3">
        <f t="shared" si="15"/>
        <v>393586</v>
      </c>
      <c r="AG212" s="3" t="str">
        <f t="shared" si="16"/>
        <v/>
      </c>
      <c r="AH212" s="3">
        <f t="shared" si="17"/>
        <v>0</v>
      </c>
      <c r="AI212" s="3" t="str">
        <f t="shared" si="18"/>
        <v/>
      </c>
      <c r="AJ212" s="3">
        <f t="shared" si="19"/>
        <v>0</v>
      </c>
    </row>
    <row r="213">
      <c r="C213" s="6" t="s">
        <v>213</v>
      </c>
      <c r="D213" s="3">
        <f t="shared" si="1"/>
        <v>1</v>
      </c>
      <c r="E213" s="3" t="str">
        <f>IFERROR(__xludf.DUMMYFUNCTION("REGEXEXTRACT(C213,""[^ ]* [^ ]*"")"),"wavy gold")</f>
        <v>wavy gold</v>
      </c>
      <c r="F213" s="3" t="str">
        <f>IFERROR(__xludf.DUMMYFUNCTION("MID(REGEXEXTRACT(C213,""contain.*$""),9,300)"),"2 dark brown bags, 1 dull yellow bag.")</f>
        <v>2 dark brown bags, 1 dull yellow bag.</v>
      </c>
      <c r="G213" s="3" t="str">
        <f>IFERROR(__xludf.DUMMYFUNCTION("INDEX(SPLIT($F213,"",""),COLUMN()-6)"),"2 dark brown bags")</f>
        <v>2 dark brown bags</v>
      </c>
      <c r="H213" s="3" t="str">
        <f>IFERROR(__xludf.DUMMYFUNCTION("MID(INDEX(SPLIT($F213,"",""),COLUMN()-6),2,300)"),"1 dull yellow bag.")</f>
        <v>1 dull yellow bag.</v>
      </c>
      <c r="I213" s="3" t="str">
        <f>IFERROR(__xludf.DUMMYFUNCTION("MID(INDEX(SPLIT($F213,"",""),COLUMN()-6),2,300)"),"#REF!")</f>
        <v>#REF!</v>
      </c>
      <c r="J213" s="3" t="str">
        <f>IFERROR(__xludf.DUMMYFUNCTION("MID(INDEX(SPLIT($F213,"",""),COLUMN()-6),2,300)"),"#REF!")</f>
        <v>#REF!</v>
      </c>
      <c r="K213" s="3">
        <f>IFERROR(__xludf.DUMMYFUNCTION("INDEX(SPLIT(G213,"" ""),1)"),2.0)</f>
        <v>2</v>
      </c>
      <c r="L213" s="3" t="str">
        <f>IFERROR(__xludf.DUMMYFUNCTION("REGEXEXTRACT(G213,"" [^ ]* [^ ]* "")")," dark brown ")</f>
        <v> dark brown </v>
      </c>
      <c r="M213" s="3">
        <f>IFERROR(__xludf.DUMMYFUNCTION("INDEX(SPLIT(H213,"" ""),1)"),1.0)</f>
        <v>1</v>
      </c>
      <c r="N213" s="3" t="str">
        <f>IFERROR(__xludf.DUMMYFUNCTION("MID(REGEXEXTRACT(H213,"" [^ ]* [^ ]*""),2,300)"),"dull yellow")</f>
        <v>dull yellow</v>
      </c>
      <c r="O213" s="3" t="str">
        <f>IFERROR(__xludf.DUMMYFUNCTION("INDEX(SPLIT(I213,"" ""),1)"),"#REF!")</f>
        <v>#REF!</v>
      </c>
      <c r="P213" s="3" t="str">
        <f>IFERROR(__xludf.DUMMYFUNCTION("MID(REGEXEXTRACT(I213,"" [^ ]* [^ ]*""),2,300)"),"#REF!")</f>
        <v>#REF!</v>
      </c>
      <c r="Q213" s="3" t="str">
        <f>IFERROR(__xludf.DUMMYFUNCTION("INDEX(SPLIT(J213,"" ""),1)"),"#REF!")</f>
        <v>#REF!</v>
      </c>
      <c r="R213" s="3" t="str">
        <f>IFERROR(__xludf.DUMMYFUNCTION("MID(REGEXEXTRACT(J213,"" [^ ]* [^ ]*""),2,300)"),"#REF!")</f>
        <v>#REF!</v>
      </c>
      <c r="S213" s="3">
        <f t="shared" si="2"/>
        <v>2</v>
      </c>
      <c r="T213" s="3" t="str">
        <f t="shared" si="3"/>
        <v>dark brown</v>
      </c>
      <c r="U213" s="3">
        <f t="shared" si="4"/>
        <v>1</v>
      </c>
      <c r="V213" s="3" t="str">
        <f t="shared" si="5"/>
        <v>dull yellow</v>
      </c>
      <c r="W213" s="3" t="str">
        <f t="shared" si="6"/>
        <v/>
      </c>
      <c r="X213" s="3" t="str">
        <f t="shared" si="7"/>
        <v/>
      </c>
      <c r="Y213" s="3" t="str">
        <f t="shared" si="8"/>
        <v/>
      </c>
      <c r="Z213" s="3" t="str">
        <f t="shared" si="9"/>
        <v/>
      </c>
      <c r="AA213" s="13">
        <f t="shared" si="10"/>
        <v>459158</v>
      </c>
      <c r="AB213" s="3">
        <f t="shared" si="11"/>
        <v>459157</v>
      </c>
      <c r="AC213" s="3">
        <f t="shared" si="12"/>
        <v>2</v>
      </c>
      <c r="AD213" s="3">
        <f t="shared" si="13"/>
        <v>134569</v>
      </c>
      <c r="AE213" s="3">
        <f t="shared" si="14"/>
        <v>1</v>
      </c>
      <c r="AF213" s="3">
        <f t="shared" si="15"/>
        <v>190019</v>
      </c>
      <c r="AG213" s="3" t="str">
        <f t="shared" si="16"/>
        <v/>
      </c>
      <c r="AH213" s="3">
        <f t="shared" si="17"/>
        <v>0</v>
      </c>
      <c r="AI213" s="3" t="str">
        <f t="shared" si="18"/>
        <v/>
      </c>
      <c r="AJ213" s="3">
        <f t="shared" si="19"/>
        <v>0</v>
      </c>
    </row>
    <row r="214">
      <c r="C214" s="6" t="s">
        <v>214</v>
      </c>
      <c r="D214" s="3">
        <f t="shared" si="1"/>
        <v>3</v>
      </c>
      <c r="E214" s="3" t="str">
        <f>IFERROR(__xludf.DUMMYFUNCTION("REGEXEXTRACT(C214,""[^ ]* [^ ]*"")"),"dark cyan")</f>
        <v>dark cyan</v>
      </c>
      <c r="F214" s="3" t="str">
        <f>IFERROR(__xludf.DUMMYFUNCTION("MID(REGEXEXTRACT(C214,""contain.*$""),9,300)"),"4 dim white bags, 2 mirrored indigo bags, 4 muted white bags, 2 bright white bags.")</f>
        <v>4 dim white bags, 2 mirrored indigo bags, 4 muted white bags, 2 bright white bags.</v>
      </c>
      <c r="G214" s="3" t="str">
        <f>IFERROR(__xludf.DUMMYFUNCTION("INDEX(SPLIT($F214,"",""),COLUMN()-6)"),"4 dim white bags")</f>
        <v>4 dim white bags</v>
      </c>
      <c r="H214" s="3" t="str">
        <f>IFERROR(__xludf.DUMMYFUNCTION("MID(INDEX(SPLIT($F214,"",""),COLUMN()-6),2,300)"),"2 mirrored indigo bags")</f>
        <v>2 mirrored indigo bags</v>
      </c>
      <c r="I214" s="3" t="str">
        <f>IFERROR(__xludf.DUMMYFUNCTION("MID(INDEX(SPLIT($F214,"",""),COLUMN()-6),2,300)"),"4 muted white bags")</f>
        <v>4 muted white bags</v>
      </c>
      <c r="J214" s="3" t="str">
        <f>IFERROR(__xludf.DUMMYFUNCTION("MID(INDEX(SPLIT($F214,"",""),COLUMN()-6),2,300)"),"2 bright white bags.")</f>
        <v>2 bright white bags.</v>
      </c>
      <c r="K214" s="3">
        <f>IFERROR(__xludf.DUMMYFUNCTION("INDEX(SPLIT(G214,"" ""),1)"),4.0)</f>
        <v>4</v>
      </c>
      <c r="L214" s="3" t="str">
        <f>IFERROR(__xludf.DUMMYFUNCTION("REGEXEXTRACT(G214,"" [^ ]* [^ ]* "")")," dim white ")</f>
        <v> dim white </v>
      </c>
      <c r="M214" s="3">
        <f>IFERROR(__xludf.DUMMYFUNCTION("INDEX(SPLIT(H214,"" ""),1)"),2.0)</f>
        <v>2</v>
      </c>
      <c r="N214" s="3" t="str">
        <f>IFERROR(__xludf.DUMMYFUNCTION("MID(REGEXEXTRACT(H214,"" [^ ]* [^ ]*""),2,300)"),"mirrored indigo")</f>
        <v>mirrored indigo</v>
      </c>
      <c r="O214" s="3">
        <f>IFERROR(__xludf.DUMMYFUNCTION("INDEX(SPLIT(I214,"" ""),1)"),4.0)</f>
        <v>4</v>
      </c>
      <c r="P214" s="3" t="str">
        <f>IFERROR(__xludf.DUMMYFUNCTION("MID(REGEXEXTRACT(I214,"" [^ ]* [^ ]*""),2,300)"),"muted white")</f>
        <v>muted white</v>
      </c>
      <c r="Q214" s="3">
        <f>IFERROR(__xludf.DUMMYFUNCTION("INDEX(SPLIT(J214,"" ""),1)"),2.0)</f>
        <v>2</v>
      </c>
      <c r="R214" s="3" t="str">
        <f>IFERROR(__xludf.DUMMYFUNCTION("MID(REGEXEXTRACT(J214,"" [^ ]* [^ ]*""),2,300)"),"bright white")</f>
        <v>bright white</v>
      </c>
      <c r="S214" s="3">
        <f t="shared" si="2"/>
        <v>4</v>
      </c>
      <c r="T214" s="3" t="str">
        <f t="shared" si="3"/>
        <v>dim white</v>
      </c>
      <c r="U214" s="3">
        <f t="shared" si="4"/>
        <v>2</v>
      </c>
      <c r="V214" s="3" t="str">
        <f t="shared" si="5"/>
        <v>mirrored indigo</v>
      </c>
      <c r="W214" s="3">
        <f t="shared" si="6"/>
        <v>4</v>
      </c>
      <c r="X214" s="3" t="str">
        <f t="shared" si="7"/>
        <v>muted white</v>
      </c>
      <c r="Y214" s="3">
        <f t="shared" si="8"/>
        <v>2</v>
      </c>
      <c r="Z214" s="3" t="str">
        <f t="shared" si="9"/>
        <v>bright white</v>
      </c>
      <c r="AA214" s="13">
        <f t="shared" si="10"/>
        <v>61971319</v>
      </c>
      <c r="AB214" s="3">
        <f t="shared" si="11"/>
        <v>61971318</v>
      </c>
      <c r="AC214" s="3">
        <f t="shared" si="12"/>
        <v>4</v>
      </c>
      <c r="AD214" s="3">
        <f t="shared" si="13"/>
        <v>16690</v>
      </c>
      <c r="AE214" s="3">
        <f t="shared" si="14"/>
        <v>2</v>
      </c>
      <c r="AF214" s="3">
        <f t="shared" si="15"/>
        <v>181271</v>
      </c>
      <c r="AG214" s="3">
        <f t="shared" si="16"/>
        <v>4</v>
      </c>
      <c r="AH214" s="3">
        <f t="shared" si="17"/>
        <v>2893450</v>
      </c>
      <c r="AI214" s="3">
        <f t="shared" si="18"/>
        <v>2</v>
      </c>
      <c r="AJ214" s="3">
        <f t="shared" si="19"/>
        <v>24984108</v>
      </c>
    </row>
    <row r="215">
      <c r="C215" s="6" t="s">
        <v>215</v>
      </c>
      <c r="D215" s="3">
        <f t="shared" si="1"/>
        <v>1</v>
      </c>
      <c r="E215" s="3" t="str">
        <f>IFERROR(__xludf.DUMMYFUNCTION("REGEXEXTRACT(C215,""[^ ]* [^ ]*"")"),"posh lime")</f>
        <v>posh lime</v>
      </c>
      <c r="F215" s="3" t="str">
        <f>IFERROR(__xludf.DUMMYFUNCTION("MID(REGEXEXTRACT(C215,""contain.*$""),9,300)"),"4 shiny plum bags, 3 plaid fuchsia bags.")</f>
        <v>4 shiny plum bags, 3 plaid fuchsia bags.</v>
      </c>
      <c r="G215" s="3" t="str">
        <f>IFERROR(__xludf.DUMMYFUNCTION("INDEX(SPLIT($F215,"",""),COLUMN()-6)"),"4 shiny plum bags")</f>
        <v>4 shiny plum bags</v>
      </c>
      <c r="H215" s="3" t="str">
        <f>IFERROR(__xludf.DUMMYFUNCTION("MID(INDEX(SPLIT($F215,"",""),COLUMN()-6),2,300)"),"3 plaid fuchsia bags.")</f>
        <v>3 plaid fuchsia bags.</v>
      </c>
      <c r="I215" s="3" t="str">
        <f>IFERROR(__xludf.DUMMYFUNCTION("MID(INDEX(SPLIT($F215,"",""),COLUMN()-6),2,300)"),"#REF!")</f>
        <v>#REF!</v>
      </c>
      <c r="J215" s="3" t="str">
        <f>IFERROR(__xludf.DUMMYFUNCTION("MID(INDEX(SPLIT($F215,"",""),COLUMN()-6),2,300)"),"#REF!")</f>
        <v>#REF!</v>
      </c>
      <c r="K215" s="3">
        <f>IFERROR(__xludf.DUMMYFUNCTION("INDEX(SPLIT(G215,"" ""),1)"),4.0)</f>
        <v>4</v>
      </c>
      <c r="L215" s="3" t="str">
        <f>IFERROR(__xludf.DUMMYFUNCTION("REGEXEXTRACT(G215,"" [^ ]* [^ ]* "")")," shiny plum ")</f>
        <v> shiny plum </v>
      </c>
      <c r="M215" s="3">
        <f>IFERROR(__xludf.DUMMYFUNCTION("INDEX(SPLIT(H215,"" ""),1)"),3.0)</f>
        <v>3</v>
      </c>
      <c r="N215" s="3" t="str">
        <f>IFERROR(__xludf.DUMMYFUNCTION("MID(REGEXEXTRACT(H215,"" [^ ]* [^ ]*""),2,300)"),"plaid fuchsia")</f>
        <v>plaid fuchsia</v>
      </c>
      <c r="O215" s="3" t="str">
        <f>IFERROR(__xludf.DUMMYFUNCTION("INDEX(SPLIT(I215,"" ""),1)"),"#REF!")</f>
        <v>#REF!</v>
      </c>
      <c r="P215" s="3" t="str">
        <f>IFERROR(__xludf.DUMMYFUNCTION("MID(REGEXEXTRACT(I215,"" [^ ]* [^ ]*""),2,300)"),"#REF!")</f>
        <v>#REF!</v>
      </c>
      <c r="Q215" s="3" t="str">
        <f>IFERROR(__xludf.DUMMYFUNCTION("INDEX(SPLIT(J215,"" ""),1)"),"#REF!")</f>
        <v>#REF!</v>
      </c>
      <c r="R215" s="3" t="str">
        <f>IFERROR(__xludf.DUMMYFUNCTION("MID(REGEXEXTRACT(J215,"" [^ ]* [^ ]*""),2,300)"),"#REF!")</f>
        <v>#REF!</v>
      </c>
      <c r="S215" s="3">
        <f t="shared" si="2"/>
        <v>4</v>
      </c>
      <c r="T215" s="3" t="str">
        <f t="shared" si="3"/>
        <v>shiny plum</v>
      </c>
      <c r="U215" s="3">
        <f t="shared" si="4"/>
        <v>3</v>
      </c>
      <c r="V215" s="3" t="str">
        <f t="shared" si="5"/>
        <v>plaid fuchsia</v>
      </c>
      <c r="W215" s="3" t="str">
        <f t="shared" si="6"/>
        <v/>
      </c>
      <c r="X215" s="3" t="str">
        <f t="shared" si="7"/>
        <v/>
      </c>
      <c r="Y215" s="3" t="str">
        <f t="shared" si="8"/>
        <v/>
      </c>
      <c r="Z215" s="3" t="str">
        <f t="shared" si="9"/>
        <v/>
      </c>
      <c r="AA215" s="13">
        <f t="shared" si="10"/>
        <v>14373618</v>
      </c>
      <c r="AB215" s="3">
        <f t="shared" si="11"/>
        <v>14373617</v>
      </c>
      <c r="AC215" s="3">
        <f t="shared" si="12"/>
        <v>4</v>
      </c>
      <c r="AD215" s="3">
        <f t="shared" si="13"/>
        <v>3593402</v>
      </c>
      <c r="AE215" s="3">
        <f t="shared" si="14"/>
        <v>3</v>
      </c>
      <c r="AF215" s="3">
        <f t="shared" si="15"/>
        <v>3</v>
      </c>
      <c r="AG215" s="3" t="str">
        <f t="shared" si="16"/>
        <v/>
      </c>
      <c r="AH215" s="3">
        <f t="shared" si="17"/>
        <v>0</v>
      </c>
      <c r="AI215" s="3" t="str">
        <f t="shared" si="18"/>
        <v/>
      </c>
      <c r="AJ215" s="3">
        <f t="shared" si="19"/>
        <v>0</v>
      </c>
    </row>
    <row r="216">
      <c r="C216" s="6" t="s">
        <v>216</v>
      </c>
      <c r="D216" s="3">
        <f t="shared" si="1"/>
        <v>0</v>
      </c>
      <c r="E216" s="3" t="str">
        <f>IFERROR(__xludf.DUMMYFUNCTION("REGEXEXTRACT(C216,""[^ ]* [^ ]*"")"),"posh purple")</f>
        <v>posh purple</v>
      </c>
      <c r="F216" s="3" t="str">
        <f>IFERROR(__xludf.DUMMYFUNCTION("MID(REGEXEXTRACT(C216,""contain.*$""),9,300)"),"3 muted salmon bags.")</f>
        <v>3 muted salmon bags.</v>
      </c>
      <c r="G216" s="3" t="str">
        <f>IFERROR(__xludf.DUMMYFUNCTION("INDEX(SPLIT($F216,"",""),COLUMN()-6)"),"3 muted salmon bags.")</f>
        <v>3 muted salmon bags.</v>
      </c>
      <c r="H216" s="3" t="str">
        <f>IFERROR(__xludf.DUMMYFUNCTION("MID(INDEX(SPLIT($F216,"",""),COLUMN()-6),2,300)"),"#REF!")</f>
        <v>#REF!</v>
      </c>
      <c r="I216" s="3" t="str">
        <f>IFERROR(__xludf.DUMMYFUNCTION("MID(INDEX(SPLIT($F216,"",""),COLUMN()-6),2,300)"),"#REF!")</f>
        <v>#REF!</v>
      </c>
      <c r="J216" s="3" t="str">
        <f>IFERROR(__xludf.DUMMYFUNCTION("MID(INDEX(SPLIT($F216,"",""),COLUMN()-6),2,300)"),"#REF!")</f>
        <v>#REF!</v>
      </c>
      <c r="K216" s="3">
        <f>IFERROR(__xludf.DUMMYFUNCTION("INDEX(SPLIT(G216,"" ""),1)"),3.0)</f>
        <v>3</v>
      </c>
      <c r="L216" s="3" t="str">
        <f>IFERROR(__xludf.DUMMYFUNCTION("REGEXEXTRACT(G216,"" [^ ]* [^ ]* "")")," muted salmon ")</f>
        <v> muted salmon </v>
      </c>
      <c r="M216" s="3" t="str">
        <f>IFERROR(__xludf.DUMMYFUNCTION("INDEX(SPLIT(H216,"" ""),1)"),"#REF!")</f>
        <v>#REF!</v>
      </c>
      <c r="N216" s="3" t="str">
        <f>IFERROR(__xludf.DUMMYFUNCTION("MID(REGEXEXTRACT(H216,"" [^ ]* [^ ]*""),2,300)"),"#REF!")</f>
        <v>#REF!</v>
      </c>
      <c r="O216" s="3" t="str">
        <f>IFERROR(__xludf.DUMMYFUNCTION("INDEX(SPLIT(I216,"" ""),1)"),"#REF!")</f>
        <v>#REF!</v>
      </c>
      <c r="P216" s="3" t="str">
        <f>IFERROR(__xludf.DUMMYFUNCTION("MID(REGEXEXTRACT(I216,"" [^ ]* [^ ]*""),2,300)"),"#REF!")</f>
        <v>#REF!</v>
      </c>
      <c r="Q216" s="3" t="str">
        <f>IFERROR(__xludf.DUMMYFUNCTION("INDEX(SPLIT(J216,"" ""),1)"),"#REF!")</f>
        <v>#REF!</v>
      </c>
      <c r="R216" s="3" t="str">
        <f>IFERROR(__xludf.DUMMYFUNCTION("MID(REGEXEXTRACT(J216,"" [^ ]* [^ ]*""),2,300)"),"#REF!")</f>
        <v>#REF!</v>
      </c>
      <c r="S216" s="3">
        <f t="shared" si="2"/>
        <v>3</v>
      </c>
      <c r="T216" s="3" t="str">
        <f t="shared" si="3"/>
        <v>muted salmon</v>
      </c>
      <c r="U216" s="3" t="str">
        <f t="shared" si="4"/>
        <v/>
      </c>
      <c r="V216" s="3" t="str">
        <f t="shared" si="5"/>
        <v/>
      </c>
      <c r="W216" s="3" t="str">
        <f t="shared" si="6"/>
        <v/>
      </c>
      <c r="X216" s="3" t="str">
        <f t="shared" si="7"/>
        <v/>
      </c>
      <c r="Y216" s="3" t="str">
        <f t="shared" si="8"/>
        <v/>
      </c>
      <c r="Z216" s="3" t="str">
        <f t="shared" si="9"/>
        <v/>
      </c>
      <c r="AA216" s="13">
        <f t="shared" si="10"/>
        <v>9037</v>
      </c>
      <c r="AB216" s="3">
        <f t="shared" si="11"/>
        <v>9036</v>
      </c>
      <c r="AC216" s="3">
        <f t="shared" si="12"/>
        <v>3</v>
      </c>
      <c r="AD216" s="3">
        <f t="shared" si="13"/>
        <v>3012</v>
      </c>
      <c r="AE216" s="3" t="str">
        <f t="shared" si="14"/>
        <v/>
      </c>
      <c r="AF216" s="3">
        <f t="shared" si="15"/>
        <v>0</v>
      </c>
      <c r="AG216" s="3" t="str">
        <f t="shared" si="16"/>
        <v/>
      </c>
      <c r="AH216" s="3">
        <f t="shared" si="17"/>
        <v>0</v>
      </c>
      <c r="AI216" s="3" t="str">
        <f t="shared" si="18"/>
        <v/>
      </c>
      <c r="AJ216" s="3">
        <f t="shared" si="19"/>
        <v>0</v>
      </c>
    </row>
    <row r="217">
      <c r="C217" s="6" t="s">
        <v>217</v>
      </c>
      <c r="D217" s="3">
        <f t="shared" si="1"/>
        <v>2</v>
      </c>
      <c r="E217" s="3" t="str">
        <f>IFERROR(__xludf.DUMMYFUNCTION("REGEXEXTRACT(C217,""[^ ]* [^ ]*"")"),"pale magenta")</f>
        <v>pale magenta</v>
      </c>
      <c r="F217" s="3" t="str">
        <f>IFERROR(__xludf.DUMMYFUNCTION("MID(REGEXEXTRACT(C217,""contain.*$""),9,300)"),"1 drab gold bag, 1 dark white bag, 3 posh silver bags.")</f>
        <v>1 drab gold bag, 1 dark white bag, 3 posh silver bags.</v>
      </c>
      <c r="G217" s="3" t="str">
        <f>IFERROR(__xludf.DUMMYFUNCTION("INDEX(SPLIT($F217,"",""),COLUMN()-6)"),"1 drab gold bag")</f>
        <v>1 drab gold bag</v>
      </c>
      <c r="H217" s="3" t="str">
        <f>IFERROR(__xludf.DUMMYFUNCTION("MID(INDEX(SPLIT($F217,"",""),COLUMN()-6),2,300)"),"1 dark white bag")</f>
        <v>1 dark white bag</v>
      </c>
      <c r="I217" s="3" t="str">
        <f>IFERROR(__xludf.DUMMYFUNCTION("MID(INDEX(SPLIT($F217,"",""),COLUMN()-6),2,300)"),"3 posh silver bags.")</f>
        <v>3 posh silver bags.</v>
      </c>
      <c r="J217" s="3" t="str">
        <f>IFERROR(__xludf.DUMMYFUNCTION("MID(INDEX(SPLIT($F217,"",""),COLUMN()-6),2,300)"),"#REF!")</f>
        <v>#REF!</v>
      </c>
      <c r="K217" s="3">
        <f>IFERROR(__xludf.DUMMYFUNCTION("INDEX(SPLIT(G217,"" ""),1)"),1.0)</f>
        <v>1</v>
      </c>
      <c r="L217" s="3" t="str">
        <f>IFERROR(__xludf.DUMMYFUNCTION("REGEXEXTRACT(G217,"" [^ ]* [^ ]* "")")," drab gold ")</f>
        <v> drab gold </v>
      </c>
      <c r="M217" s="3">
        <f>IFERROR(__xludf.DUMMYFUNCTION("INDEX(SPLIT(H217,"" ""),1)"),1.0)</f>
        <v>1</v>
      </c>
      <c r="N217" s="3" t="str">
        <f>IFERROR(__xludf.DUMMYFUNCTION("MID(REGEXEXTRACT(H217,"" [^ ]* [^ ]*""),2,300)"),"dark white")</f>
        <v>dark white</v>
      </c>
      <c r="O217" s="3">
        <f>IFERROR(__xludf.DUMMYFUNCTION("INDEX(SPLIT(I217,"" ""),1)"),3.0)</f>
        <v>3</v>
      </c>
      <c r="P217" s="3" t="str">
        <f>IFERROR(__xludf.DUMMYFUNCTION("MID(REGEXEXTRACT(I217,"" [^ ]* [^ ]*""),2,300)"),"posh silver")</f>
        <v>posh silver</v>
      </c>
      <c r="Q217" s="3" t="str">
        <f>IFERROR(__xludf.DUMMYFUNCTION("INDEX(SPLIT(J217,"" ""),1)"),"#REF!")</f>
        <v>#REF!</v>
      </c>
      <c r="R217" s="3" t="str">
        <f>IFERROR(__xludf.DUMMYFUNCTION("MID(REGEXEXTRACT(J217,"" [^ ]* [^ ]*""),2,300)"),"#REF!")</f>
        <v>#REF!</v>
      </c>
      <c r="S217" s="3">
        <f t="shared" si="2"/>
        <v>1</v>
      </c>
      <c r="T217" s="3" t="str">
        <f t="shared" si="3"/>
        <v>drab gold</v>
      </c>
      <c r="U217" s="3">
        <f t="shared" si="4"/>
        <v>1</v>
      </c>
      <c r="V217" s="3" t="str">
        <f t="shared" si="5"/>
        <v>dark white</v>
      </c>
      <c r="W217" s="3">
        <f t="shared" si="6"/>
        <v>3</v>
      </c>
      <c r="X217" s="3" t="str">
        <f t="shared" si="7"/>
        <v>posh silver</v>
      </c>
      <c r="Y217" s="3" t="str">
        <f t="shared" si="8"/>
        <v/>
      </c>
      <c r="Z217" s="3" t="str">
        <f t="shared" si="9"/>
        <v/>
      </c>
      <c r="AA217" s="13">
        <f t="shared" si="10"/>
        <v>909289041</v>
      </c>
      <c r="AB217" s="3">
        <f t="shared" si="11"/>
        <v>909289040</v>
      </c>
      <c r="AC217" s="3">
        <f t="shared" si="12"/>
        <v>1</v>
      </c>
      <c r="AD217" s="3">
        <f t="shared" si="13"/>
        <v>4743886</v>
      </c>
      <c r="AE217" s="3">
        <f t="shared" si="14"/>
        <v>1</v>
      </c>
      <c r="AF217" s="3">
        <f t="shared" si="15"/>
        <v>799970875</v>
      </c>
      <c r="AG217" s="3">
        <f t="shared" si="16"/>
        <v>3</v>
      </c>
      <c r="AH217" s="3">
        <f t="shared" si="17"/>
        <v>34858093</v>
      </c>
      <c r="AI217" s="3" t="str">
        <f t="shared" si="18"/>
        <v/>
      </c>
      <c r="AJ217" s="3">
        <f t="shared" si="19"/>
        <v>0</v>
      </c>
    </row>
    <row r="218">
      <c r="C218" s="6" t="s">
        <v>218</v>
      </c>
      <c r="D218" s="3">
        <f t="shared" si="1"/>
        <v>1</v>
      </c>
      <c r="E218" s="3" t="str">
        <f>IFERROR(__xludf.DUMMYFUNCTION("REGEXEXTRACT(C218,""[^ ]* [^ ]*"")"),"dim plum")</f>
        <v>dim plum</v>
      </c>
      <c r="F218" s="3" t="str">
        <f>IFERROR(__xludf.DUMMYFUNCTION("MID(REGEXEXTRACT(C218,""contain.*$""),9,300)"),"4 dark chartreuse bags, 4 mirrored lavender bags.")</f>
        <v>4 dark chartreuse bags, 4 mirrored lavender bags.</v>
      </c>
      <c r="G218" s="3" t="str">
        <f>IFERROR(__xludf.DUMMYFUNCTION("INDEX(SPLIT($F218,"",""),COLUMN()-6)"),"4 dark chartreuse bags")</f>
        <v>4 dark chartreuse bags</v>
      </c>
      <c r="H218" s="3" t="str">
        <f>IFERROR(__xludf.DUMMYFUNCTION("MID(INDEX(SPLIT($F218,"",""),COLUMN()-6),2,300)"),"4 mirrored lavender bags.")</f>
        <v>4 mirrored lavender bags.</v>
      </c>
      <c r="I218" s="3" t="str">
        <f>IFERROR(__xludf.DUMMYFUNCTION("MID(INDEX(SPLIT($F218,"",""),COLUMN()-6),2,300)"),"#REF!")</f>
        <v>#REF!</v>
      </c>
      <c r="J218" s="3" t="str">
        <f>IFERROR(__xludf.DUMMYFUNCTION("MID(INDEX(SPLIT($F218,"",""),COLUMN()-6),2,300)"),"#REF!")</f>
        <v>#REF!</v>
      </c>
      <c r="K218" s="3">
        <f>IFERROR(__xludf.DUMMYFUNCTION("INDEX(SPLIT(G218,"" ""),1)"),4.0)</f>
        <v>4</v>
      </c>
      <c r="L218" s="3" t="str">
        <f>IFERROR(__xludf.DUMMYFUNCTION("REGEXEXTRACT(G218,"" [^ ]* [^ ]* "")")," dark chartreuse ")</f>
        <v> dark chartreuse </v>
      </c>
      <c r="M218" s="3">
        <f>IFERROR(__xludf.DUMMYFUNCTION("INDEX(SPLIT(H218,"" ""),1)"),4.0)</f>
        <v>4</v>
      </c>
      <c r="N218" s="3" t="str">
        <f>IFERROR(__xludf.DUMMYFUNCTION("MID(REGEXEXTRACT(H218,"" [^ ]* [^ ]*""),2,300)"),"mirrored lavender")</f>
        <v>mirrored lavender</v>
      </c>
      <c r="O218" s="3" t="str">
        <f>IFERROR(__xludf.DUMMYFUNCTION("INDEX(SPLIT(I218,"" ""),1)"),"#REF!")</f>
        <v>#REF!</v>
      </c>
      <c r="P218" s="3" t="str">
        <f>IFERROR(__xludf.DUMMYFUNCTION("MID(REGEXEXTRACT(I218,"" [^ ]* [^ ]*""),2,300)"),"#REF!")</f>
        <v>#REF!</v>
      </c>
      <c r="Q218" s="3" t="str">
        <f>IFERROR(__xludf.DUMMYFUNCTION("INDEX(SPLIT(J218,"" ""),1)"),"#REF!")</f>
        <v>#REF!</v>
      </c>
      <c r="R218" s="3" t="str">
        <f>IFERROR(__xludf.DUMMYFUNCTION("MID(REGEXEXTRACT(J218,"" [^ ]* [^ ]*""),2,300)"),"#REF!")</f>
        <v>#REF!</v>
      </c>
      <c r="S218" s="3">
        <f t="shared" si="2"/>
        <v>4</v>
      </c>
      <c r="T218" s="3" t="str">
        <f t="shared" si="3"/>
        <v>dark chartreuse</v>
      </c>
      <c r="U218" s="3">
        <f t="shared" si="4"/>
        <v>4</v>
      </c>
      <c r="V218" s="3" t="str">
        <f t="shared" si="5"/>
        <v>mirrored lavender</v>
      </c>
      <c r="W218" s="3" t="str">
        <f t="shared" si="6"/>
        <v/>
      </c>
      <c r="X218" s="3" t="str">
        <f t="shared" si="7"/>
        <v/>
      </c>
      <c r="Y218" s="3" t="str">
        <f t="shared" si="8"/>
        <v/>
      </c>
      <c r="Z218" s="3" t="str">
        <f t="shared" si="9"/>
        <v/>
      </c>
      <c r="AA218" s="13">
        <f t="shared" si="10"/>
        <v>356873825</v>
      </c>
      <c r="AB218" s="3">
        <f t="shared" si="11"/>
        <v>356873824</v>
      </c>
      <c r="AC218" s="3">
        <f t="shared" si="12"/>
        <v>4</v>
      </c>
      <c r="AD218" s="3">
        <f t="shared" si="13"/>
        <v>89212893</v>
      </c>
      <c r="AE218" s="3">
        <f t="shared" si="14"/>
        <v>4</v>
      </c>
      <c r="AF218" s="3">
        <f t="shared" si="15"/>
        <v>5563</v>
      </c>
      <c r="AG218" s="3" t="str">
        <f t="shared" si="16"/>
        <v/>
      </c>
      <c r="AH218" s="3">
        <f t="shared" si="17"/>
        <v>0</v>
      </c>
      <c r="AI218" s="3" t="str">
        <f t="shared" si="18"/>
        <v/>
      </c>
      <c r="AJ218" s="3">
        <f t="shared" si="19"/>
        <v>0</v>
      </c>
    </row>
    <row r="219">
      <c r="C219" s="6" t="s">
        <v>219</v>
      </c>
      <c r="D219" s="3">
        <f t="shared" si="1"/>
        <v>1</v>
      </c>
      <c r="E219" s="3" t="str">
        <f>IFERROR(__xludf.DUMMYFUNCTION("REGEXEXTRACT(C219,""[^ ]* [^ ]*"")"),"plaid indigo")</f>
        <v>plaid indigo</v>
      </c>
      <c r="F219" s="3" t="str">
        <f>IFERROR(__xludf.DUMMYFUNCTION("MID(REGEXEXTRACT(C219,""contain.*$""),9,300)"),"2 clear lime bags, 5 dull tomato bags.")</f>
        <v>2 clear lime bags, 5 dull tomato bags.</v>
      </c>
      <c r="G219" s="3" t="str">
        <f>IFERROR(__xludf.DUMMYFUNCTION("INDEX(SPLIT($F219,"",""),COLUMN()-6)"),"2 clear lime bags")</f>
        <v>2 clear lime bags</v>
      </c>
      <c r="H219" s="3" t="str">
        <f>IFERROR(__xludf.DUMMYFUNCTION("MID(INDEX(SPLIT($F219,"",""),COLUMN()-6),2,300)"),"5 dull tomato bags.")</f>
        <v>5 dull tomato bags.</v>
      </c>
      <c r="I219" s="3" t="str">
        <f>IFERROR(__xludf.DUMMYFUNCTION("MID(INDEX(SPLIT($F219,"",""),COLUMN()-6),2,300)"),"#REF!")</f>
        <v>#REF!</v>
      </c>
      <c r="J219" s="3" t="str">
        <f>IFERROR(__xludf.DUMMYFUNCTION("MID(INDEX(SPLIT($F219,"",""),COLUMN()-6),2,300)"),"#REF!")</f>
        <v>#REF!</v>
      </c>
      <c r="K219" s="3">
        <f>IFERROR(__xludf.DUMMYFUNCTION("INDEX(SPLIT(G219,"" ""),1)"),2.0)</f>
        <v>2</v>
      </c>
      <c r="L219" s="3" t="str">
        <f>IFERROR(__xludf.DUMMYFUNCTION("REGEXEXTRACT(G219,"" [^ ]* [^ ]* "")")," clear lime ")</f>
        <v> clear lime </v>
      </c>
      <c r="M219" s="3">
        <f>IFERROR(__xludf.DUMMYFUNCTION("INDEX(SPLIT(H219,"" ""),1)"),5.0)</f>
        <v>5</v>
      </c>
      <c r="N219" s="3" t="str">
        <f>IFERROR(__xludf.DUMMYFUNCTION("MID(REGEXEXTRACT(H219,"" [^ ]* [^ ]*""),2,300)"),"dull tomato")</f>
        <v>dull tomato</v>
      </c>
      <c r="O219" s="3" t="str">
        <f>IFERROR(__xludf.DUMMYFUNCTION("INDEX(SPLIT(I219,"" ""),1)"),"#REF!")</f>
        <v>#REF!</v>
      </c>
      <c r="P219" s="3" t="str">
        <f>IFERROR(__xludf.DUMMYFUNCTION("MID(REGEXEXTRACT(I219,"" [^ ]* [^ ]*""),2,300)"),"#REF!")</f>
        <v>#REF!</v>
      </c>
      <c r="Q219" s="3" t="str">
        <f>IFERROR(__xludf.DUMMYFUNCTION("INDEX(SPLIT(J219,"" ""),1)"),"#REF!")</f>
        <v>#REF!</v>
      </c>
      <c r="R219" s="3" t="str">
        <f>IFERROR(__xludf.DUMMYFUNCTION("MID(REGEXEXTRACT(J219,"" [^ ]* [^ ]*""),2,300)"),"#REF!")</f>
        <v>#REF!</v>
      </c>
      <c r="S219" s="3">
        <f t="shared" si="2"/>
        <v>2</v>
      </c>
      <c r="T219" s="3" t="str">
        <f t="shared" si="3"/>
        <v>clear lime</v>
      </c>
      <c r="U219" s="3">
        <f t="shared" si="4"/>
        <v>5</v>
      </c>
      <c r="V219" s="3" t="str">
        <f t="shared" si="5"/>
        <v>dull tomato</v>
      </c>
      <c r="W219" s="3" t="str">
        <f t="shared" si="6"/>
        <v/>
      </c>
      <c r="X219" s="3" t="str">
        <f t="shared" si="7"/>
        <v/>
      </c>
      <c r="Y219" s="3" t="str">
        <f t="shared" si="8"/>
        <v/>
      </c>
      <c r="Z219" s="3" t="str">
        <f t="shared" si="9"/>
        <v/>
      </c>
      <c r="AA219" s="13">
        <f t="shared" si="10"/>
        <v>1545306</v>
      </c>
      <c r="AB219" s="3">
        <f t="shared" si="11"/>
        <v>1545305</v>
      </c>
      <c r="AC219" s="3">
        <f t="shared" si="12"/>
        <v>2</v>
      </c>
      <c r="AD219" s="3">
        <f t="shared" si="13"/>
        <v>772625</v>
      </c>
      <c r="AE219" s="3">
        <f t="shared" si="14"/>
        <v>5</v>
      </c>
      <c r="AF219" s="3">
        <f t="shared" si="15"/>
        <v>11</v>
      </c>
      <c r="AG219" s="3" t="str">
        <f t="shared" si="16"/>
        <v/>
      </c>
      <c r="AH219" s="3">
        <f t="shared" si="17"/>
        <v>0</v>
      </c>
      <c r="AI219" s="3" t="str">
        <f t="shared" si="18"/>
        <v/>
      </c>
      <c r="AJ219" s="3">
        <f t="shared" si="19"/>
        <v>0</v>
      </c>
    </row>
    <row r="220">
      <c r="C220" s="6" t="s">
        <v>220</v>
      </c>
      <c r="D220" s="3">
        <f t="shared" si="1"/>
        <v>2</v>
      </c>
      <c r="E220" s="3" t="str">
        <f>IFERROR(__xludf.DUMMYFUNCTION("REGEXEXTRACT(C220,""[^ ]* [^ ]*"")"),"dark blue")</f>
        <v>dark blue</v>
      </c>
      <c r="F220" s="3" t="str">
        <f>IFERROR(__xludf.DUMMYFUNCTION("MID(REGEXEXTRACT(C220,""contain.*$""),9,300)"),"1 bright olive bag, 1 dull bronze bag, 1 shiny gold bag.")</f>
        <v>1 bright olive bag, 1 dull bronze bag, 1 shiny gold bag.</v>
      </c>
      <c r="G220" s="3" t="str">
        <f>IFERROR(__xludf.DUMMYFUNCTION("INDEX(SPLIT($F220,"",""),COLUMN()-6)"),"1 bright olive bag")</f>
        <v>1 bright olive bag</v>
      </c>
      <c r="H220" s="3" t="str">
        <f>IFERROR(__xludf.DUMMYFUNCTION("MID(INDEX(SPLIT($F220,"",""),COLUMN()-6),2,300)"),"1 dull bronze bag")</f>
        <v>1 dull bronze bag</v>
      </c>
      <c r="I220" s="3" t="str">
        <f>IFERROR(__xludf.DUMMYFUNCTION("MID(INDEX(SPLIT($F220,"",""),COLUMN()-6),2,300)"),"1 shiny gold bag.")</f>
        <v>1 shiny gold bag.</v>
      </c>
      <c r="J220" s="3" t="str">
        <f>IFERROR(__xludf.DUMMYFUNCTION("MID(INDEX(SPLIT($F220,"",""),COLUMN()-6),2,300)"),"#REF!")</f>
        <v>#REF!</v>
      </c>
      <c r="K220" s="3">
        <f>IFERROR(__xludf.DUMMYFUNCTION("INDEX(SPLIT(G220,"" ""),1)"),1.0)</f>
        <v>1</v>
      </c>
      <c r="L220" s="3" t="str">
        <f>IFERROR(__xludf.DUMMYFUNCTION("REGEXEXTRACT(G220,"" [^ ]* [^ ]* "")")," bright olive ")</f>
        <v> bright olive </v>
      </c>
      <c r="M220" s="3">
        <f>IFERROR(__xludf.DUMMYFUNCTION("INDEX(SPLIT(H220,"" ""),1)"),1.0)</f>
        <v>1</v>
      </c>
      <c r="N220" s="3" t="str">
        <f>IFERROR(__xludf.DUMMYFUNCTION("MID(REGEXEXTRACT(H220,"" [^ ]* [^ ]*""),2,300)"),"dull bronze")</f>
        <v>dull bronze</v>
      </c>
      <c r="O220" s="3">
        <f>IFERROR(__xludf.DUMMYFUNCTION("INDEX(SPLIT(I220,"" ""),1)"),1.0)</f>
        <v>1</v>
      </c>
      <c r="P220" s="3" t="str">
        <f>IFERROR(__xludf.DUMMYFUNCTION("MID(REGEXEXTRACT(I220,"" [^ ]* [^ ]*""),2,300)"),"shiny gold")</f>
        <v>shiny gold</v>
      </c>
      <c r="Q220" s="3" t="str">
        <f>IFERROR(__xludf.DUMMYFUNCTION("INDEX(SPLIT(J220,"" ""),1)"),"#REF!")</f>
        <v>#REF!</v>
      </c>
      <c r="R220" s="3" t="str">
        <f>IFERROR(__xludf.DUMMYFUNCTION("MID(REGEXEXTRACT(J220,"" [^ ]* [^ ]*""),2,300)"),"#REF!")</f>
        <v>#REF!</v>
      </c>
      <c r="S220" s="3">
        <f t="shared" si="2"/>
        <v>1</v>
      </c>
      <c r="T220" s="3" t="str">
        <f t="shared" si="3"/>
        <v>bright olive</v>
      </c>
      <c r="U220" s="3">
        <f t="shared" si="4"/>
        <v>1</v>
      </c>
      <c r="V220" s="3" t="str">
        <f t="shared" si="5"/>
        <v>dull bronze</v>
      </c>
      <c r="W220" s="3">
        <f t="shared" si="6"/>
        <v>1</v>
      </c>
      <c r="X220" s="3" t="str">
        <f t="shared" si="7"/>
        <v>shiny gold</v>
      </c>
      <c r="Y220" s="3" t="str">
        <f t="shared" si="8"/>
        <v/>
      </c>
      <c r="Z220" s="3" t="str">
        <f t="shared" si="9"/>
        <v/>
      </c>
      <c r="AA220" s="13">
        <f t="shared" si="10"/>
        <v>2900802</v>
      </c>
      <c r="AB220" s="3">
        <f t="shared" si="11"/>
        <v>2900801</v>
      </c>
      <c r="AC220" s="3">
        <f t="shared" si="12"/>
        <v>1</v>
      </c>
      <c r="AD220" s="3">
        <f t="shared" si="13"/>
        <v>2852291</v>
      </c>
      <c r="AE220" s="3">
        <f t="shared" si="14"/>
        <v>1</v>
      </c>
      <c r="AF220" s="3">
        <f t="shared" si="15"/>
        <v>36381</v>
      </c>
      <c r="AG220" s="3">
        <f t="shared" si="16"/>
        <v>1</v>
      </c>
      <c r="AH220" s="3">
        <f t="shared" si="17"/>
        <v>12129</v>
      </c>
      <c r="AI220" s="3" t="str">
        <f t="shared" si="18"/>
        <v/>
      </c>
      <c r="AJ220" s="3">
        <f t="shared" si="19"/>
        <v>0</v>
      </c>
    </row>
    <row r="221">
      <c r="C221" s="6" t="s">
        <v>221</v>
      </c>
      <c r="D221" s="3">
        <f t="shared" si="1"/>
        <v>2</v>
      </c>
      <c r="E221" s="3" t="str">
        <f>IFERROR(__xludf.DUMMYFUNCTION("REGEXEXTRACT(C221,""[^ ]* [^ ]*"")"),"dull red")</f>
        <v>dull red</v>
      </c>
      <c r="F221" s="3" t="str">
        <f>IFERROR(__xludf.DUMMYFUNCTION("MID(REGEXEXTRACT(C221,""contain.*$""),9,300)"),"2 wavy teal bags, 3 wavy crimson bags, 1 faded olive bag.")</f>
        <v>2 wavy teal bags, 3 wavy crimson bags, 1 faded olive bag.</v>
      </c>
      <c r="G221" s="3" t="str">
        <f>IFERROR(__xludf.DUMMYFUNCTION("INDEX(SPLIT($F221,"",""),COLUMN()-6)"),"2 wavy teal bags")</f>
        <v>2 wavy teal bags</v>
      </c>
      <c r="H221" s="3" t="str">
        <f>IFERROR(__xludf.DUMMYFUNCTION("MID(INDEX(SPLIT($F221,"",""),COLUMN()-6),2,300)"),"3 wavy crimson bags")</f>
        <v>3 wavy crimson bags</v>
      </c>
      <c r="I221" s="3" t="str">
        <f>IFERROR(__xludf.DUMMYFUNCTION("MID(INDEX(SPLIT($F221,"",""),COLUMN()-6),2,300)"),"1 faded olive bag.")</f>
        <v>1 faded olive bag.</v>
      </c>
      <c r="J221" s="3" t="str">
        <f>IFERROR(__xludf.DUMMYFUNCTION("MID(INDEX(SPLIT($F221,"",""),COLUMN()-6),2,300)"),"#REF!")</f>
        <v>#REF!</v>
      </c>
      <c r="K221" s="3">
        <f>IFERROR(__xludf.DUMMYFUNCTION("INDEX(SPLIT(G221,"" ""),1)"),2.0)</f>
        <v>2</v>
      </c>
      <c r="L221" s="3" t="str">
        <f>IFERROR(__xludf.DUMMYFUNCTION("REGEXEXTRACT(G221,"" [^ ]* [^ ]* "")")," wavy teal ")</f>
        <v> wavy teal </v>
      </c>
      <c r="M221" s="3">
        <f>IFERROR(__xludf.DUMMYFUNCTION("INDEX(SPLIT(H221,"" ""),1)"),3.0)</f>
        <v>3</v>
      </c>
      <c r="N221" s="3" t="str">
        <f>IFERROR(__xludf.DUMMYFUNCTION("MID(REGEXEXTRACT(H221,"" [^ ]* [^ ]*""),2,300)"),"wavy crimson")</f>
        <v>wavy crimson</v>
      </c>
      <c r="O221" s="3">
        <f>IFERROR(__xludf.DUMMYFUNCTION("INDEX(SPLIT(I221,"" ""),1)"),1.0)</f>
        <v>1</v>
      </c>
      <c r="P221" s="3" t="str">
        <f>IFERROR(__xludf.DUMMYFUNCTION("MID(REGEXEXTRACT(I221,"" [^ ]* [^ ]*""),2,300)"),"faded olive")</f>
        <v>faded olive</v>
      </c>
      <c r="Q221" s="3" t="str">
        <f>IFERROR(__xludf.DUMMYFUNCTION("INDEX(SPLIT(J221,"" ""),1)"),"#REF!")</f>
        <v>#REF!</v>
      </c>
      <c r="R221" s="3" t="str">
        <f>IFERROR(__xludf.DUMMYFUNCTION("MID(REGEXEXTRACT(J221,"" [^ ]* [^ ]*""),2,300)"),"#REF!")</f>
        <v>#REF!</v>
      </c>
      <c r="S221" s="3">
        <f t="shared" si="2"/>
        <v>2</v>
      </c>
      <c r="T221" s="3" t="str">
        <f t="shared" si="3"/>
        <v>wavy teal</v>
      </c>
      <c r="U221" s="3">
        <f t="shared" si="4"/>
        <v>3</v>
      </c>
      <c r="V221" s="3" t="str">
        <f t="shared" si="5"/>
        <v>wavy crimson</v>
      </c>
      <c r="W221" s="3">
        <f t="shared" si="6"/>
        <v>1</v>
      </c>
      <c r="X221" s="3" t="str">
        <f t="shared" si="7"/>
        <v>faded olive</v>
      </c>
      <c r="Y221" s="3" t="str">
        <f t="shared" si="8"/>
        <v/>
      </c>
      <c r="Z221" s="3" t="str">
        <f t="shared" si="9"/>
        <v/>
      </c>
      <c r="AA221" s="13">
        <f t="shared" si="10"/>
        <v>439598743</v>
      </c>
      <c r="AB221" s="3">
        <f t="shared" si="11"/>
        <v>439598742</v>
      </c>
      <c r="AC221" s="3">
        <f t="shared" si="12"/>
        <v>2</v>
      </c>
      <c r="AD221" s="3">
        <f t="shared" si="13"/>
        <v>84750</v>
      </c>
      <c r="AE221" s="3">
        <f t="shared" si="14"/>
        <v>3</v>
      </c>
      <c r="AF221" s="3">
        <f t="shared" si="15"/>
        <v>75933549</v>
      </c>
      <c r="AG221" s="3">
        <f t="shared" si="16"/>
        <v>1</v>
      </c>
      <c r="AH221" s="3">
        <f t="shared" si="17"/>
        <v>211628595</v>
      </c>
      <c r="AI221" s="3" t="str">
        <f t="shared" si="18"/>
        <v/>
      </c>
      <c r="AJ221" s="3">
        <f t="shared" si="19"/>
        <v>0</v>
      </c>
    </row>
    <row r="222">
      <c r="C222" s="6" t="s">
        <v>222</v>
      </c>
      <c r="D222" s="3">
        <f t="shared" si="1"/>
        <v>0</v>
      </c>
      <c r="E222" s="3" t="str">
        <f>IFERROR(__xludf.DUMMYFUNCTION("REGEXEXTRACT(C222,""[^ ]* [^ ]*"")"),"striped yellow")</f>
        <v>striped yellow</v>
      </c>
      <c r="F222" s="3" t="str">
        <f>IFERROR(__xludf.DUMMYFUNCTION("MID(REGEXEXTRACT(C222,""contain.*$""),9,300)"),"4 drab salmon bags.")</f>
        <v>4 drab salmon bags.</v>
      </c>
      <c r="G222" s="3" t="str">
        <f>IFERROR(__xludf.DUMMYFUNCTION("INDEX(SPLIT($F222,"",""),COLUMN()-6)"),"4 drab salmon bags.")</f>
        <v>4 drab salmon bags.</v>
      </c>
      <c r="H222" s="3" t="str">
        <f>IFERROR(__xludf.DUMMYFUNCTION("MID(INDEX(SPLIT($F222,"",""),COLUMN()-6),2,300)"),"#REF!")</f>
        <v>#REF!</v>
      </c>
      <c r="I222" s="3" t="str">
        <f>IFERROR(__xludf.DUMMYFUNCTION("MID(INDEX(SPLIT($F222,"",""),COLUMN()-6),2,300)"),"#REF!")</f>
        <v>#REF!</v>
      </c>
      <c r="J222" s="3" t="str">
        <f>IFERROR(__xludf.DUMMYFUNCTION("MID(INDEX(SPLIT($F222,"",""),COLUMN()-6),2,300)"),"#REF!")</f>
        <v>#REF!</v>
      </c>
      <c r="K222" s="3">
        <f>IFERROR(__xludf.DUMMYFUNCTION("INDEX(SPLIT(G222,"" ""),1)"),4.0)</f>
        <v>4</v>
      </c>
      <c r="L222" s="3" t="str">
        <f>IFERROR(__xludf.DUMMYFUNCTION("REGEXEXTRACT(G222,"" [^ ]* [^ ]* "")")," drab salmon ")</f>
        <v> drab salmon </v>
      </c>
      <c r="M222" s="3" t="str">
        <f>IFERROR(__xludf.DUMMYFUNCTION("INDEX(SPLIT(H222,"" ""),1)"),"#REF!")</f>
        <v>#REF!</v>
      </c>
      <c r="N222" s="3" t="str">
        <f>IFERROR(__xludf.DUMMYFUNCTION("MID(REGEXEXTRACT(H222,"" [^ ]* [^ ]*""),2,300)"),"#REF!")</f>
        <v>#REF!</v>
      </c>
      <c r="O222" s="3" t="str">
        <f>IFERROR(__xludf.DUMMYFUNCTION("INDEX(SPLIT(I222,"" ""),1)"),"#REF!")</f>
        <v>#REF!</v>
      </c>
      <c r="P222" s="3" t="str">
        <f>IFERROR(__xludf.DUMMYFUNCTION("MID(REGEXEXTRACT(I222,"" [^ ]* [^ ]*""),2,300)"),"#REF!")</f>
        <v>#REF!</v>
      </c>
      <c r="Q222" s="3" t="str">
        <f>IFERROR(__xludf.DUMMYFUNCTION("INDEX(SPLIT(J222,"" ""),1)"),"#REF!")</f>
        <v>#REF!</v>
      </c>
      <c r="R222" s="3" t="str">
        <f>IFERROR(__xludf.DUMMYFUNCTION("MID(REGEXEXTRACT(J222,"" [^ ]* [^ ]*""),2,300)"),"#REF!")</f>
        <v>#REF!</v>
      </c>
      <c r="S222" s="3">
        <f t="shared" si="2"/>
        <v>4</v>
      </c>
      <c r="T222" s="3" t="str">
        <f t="shared" si="3"/>
        <v>drab salmon</v>
      </c>
      <c r="U222" s="3" t="str">
        <f t="shared" si="4"/>
        <v/>
      </c>
      <c r="V222" s="3" t="str">
        <f t="shared" si="5"/>
        <v/>
      </c>
      <c r="W222" s="3" t="str">
        <f t="shared" si="6"/>
        <v/>
      </c>
      <c r="X222" s="3" t="str">
        <f t="shared" si="7"/>
        <v/>
      </c>
      <c r="Y222" s="3" t="str">
        <f t="shared" si="8"/>
        <v/>
      </c>
      <c r="Z222" s="3" t="str">
        <f t="shared" si="9"/>
        <v/>
      </c>
      <c r="AA222" s="13">
        <f t="shared" si="10"/>
        <v>60181</v>
      </c>
      <c r="AB222" s="3">
        <f t="shared" si="11"/>
        <v>60180</v>
      </c>
      <c r="AC222" s="3">
        <f t="shared" si="12"/>
        <v>4</v>
      </c>
      <c r="AD222" s="3">
        <f t="shared" si="13"/>
        <v>15045</v>
      </c>
      <c r="AE222" s="3" t="str">
        <f t="shared" si="14"/>
        <v/>
      </c>
      <c r="AF222" s="3">
        <f t="shared" si="15"/>
        <v>0</v>
      </c>
      <c r="AG222" s="3" t="str">
        <f t="shared" si="16"/>
        <v/>
      </c>
      <c r="AH222" s="3">
        <f t="shared" si="17"/>
        <v>0</v>
      </c>
      <c r="AI222" s="3" t="str">
        <f t="shared" si="18"/>
        <v/>
      </c>
      <c r="AJ222" s="3">
        <f t="shared" si="19"/>
        <v>0</v>
      </c>
    </row>
    <row r="223">
      <c r="C223" s="6" t="s">
        <v>223</v>
      </c>
      <c r="D223" s="3">
        <f t="shared" si="1"/>
        <v>3</v>
      </c>
      <c r="E223" s="3" t="str">
        <f>IFERROR(__xludf.DUMMYFUNCTION("REGEXEXTRACT(C223,""[^ ]* [^ ]*"")"),"vibrant magenta")</f>
        <v>vibrant magenta</v>
      </c>
      <c r="F223" s="3" t="str">
        <f>IFERROR(__xludf.DUMMYFUNCTION("MID(REGEXEXTRACT(C223,""contain.*$""),9,300)"),"4 light beige bags, 2 dark red bags, 1 plaid magenta bag, 5 dim magenta bags.")</f>
        <v>4 light beige bags, 2 dark red bags, 1 plaid magenta bag, 5 dim magenta bags.</v>
      </c>
      <c r="G223" s="3" t="str">
        <f>IFERROR(__xludf.DUMMYFUNCTION("INDEX(SPLIT($F223,"",""),COLUMN()-6)"),"4 light beige bags")</f>
        <v>4 light beige bags</v>
      </c>
      <c r="H223" s="3" t="str">
        <f>IFERROR(__xludf.DUMMYFUNCTION("MID(INDEX(SPLIT($F223,"",""),COLUMN()-6),2,300)"),"2 dark red bags")</f>
        <v>2 dark red bags</v>
      </c>
      <c r="I223" s="3" t="str">
        <f>IFERROR(__xludf.DUMMYFUNCTION("MID(INDEX(SPLIT($F223,"",""),COLUMN()-6),2,300)"),"1 plaid magenta bag")</f>
        <v>1 plaid magenta bag</v>
      </c>
      <c r="J223" s="3" t="str">
        <f>IFERROR(__xludf.DUMMYFUNCTION("MID(INDEX(SPLIT($F223,"",""),COLUMN()-6),2,300)"),"5 dim magenta bags.")</f>
        <v>5 dim magenta bags.</v>
      </c>
      <c r="K223" s="3">
        <f>IFERROR(__xludf.DUMMYFUNCTION("INDEX(SPLIT(G223,"" ""),1)"),4.0)</f>
        <v>4</v>
      </c>
      <c r="L223" s="3" t="str">
        <f>IFERROR(__xludf.DUMMYFUNCTION("REGEXEXTRACT(G223,"" [^ ]* [^ ]* "")")," light beige ")</f>
        <v> light beige </v>
      </c>
      <c r="M223" s="3">
        <f>IFERROR(__xludf.DUMMYFUNCTION("INDEX(SPLIT(H223,"" ""),1)"),2.0)</f>
        <v>2</v>
      </c>
      <c r="N223" s="3" t="str">
        <f>IFERROR(__xludf.DUMMYFUNCTION("MID(REGEXEXTRACT(H223,"" [^ ]* [^ ]*""),2,300)"),"dark red")</f>
        <v>dark red</v>
      </c>
      <c r="O223" s="3">
        <f>IFERROR(__xludf.DUMMYFUNCTION("INDEX(SPLIT(I223,"" ""),1)"),1.0)</f>
        <v>1</v>
      </c>
      <c r="P223" s="3" t="str">
        <f>IFERROR(__xludf.DUMMYFUNCTION("MID(REGEXEXTRACT(I223,"" [^ ]* [^ ]*""),2,300)"),"plaid magenta")</f>
        <v>plaid magenta</v>
      </c>
      <c r="Q223" s="3">
        <f>IFERROR(__xludf.DUMMYFUNCTION("INDEX(SPLIT(J223,"" ""),1)"),5.0)</f>
        <v>5</v>
      </c>
      <c r="R223" s="3" t="str">
        <f>IFERROR(__xludf.DUMMYFUNCTION("MID(REGEXEXTRACT(J223,"" [^ ]* [^ ]*""),2,300)"),"dim magenta")</f>
        <v>dim magenta</v>
      </c>
      <c r="S223" s="3">
        <f t="shared" si="2"/>
        <v>4</v>
      </c>
      <c r="T223" s="3" t="str">
        <f t="shared" si="3"/>
        <v>light beige</v>
      </c>
      <c r="U223" s="3">
        <f t="shared" si="4"/>
        <v>2</v>
      </c>
      <c r="V223" s="3" t="str">
        <f t="shared" si="5"/>
        <v>dark red</v>
      </c>
      <c r="W223" s="3">
        <f t="shared" si="6"/>
        <v>1</v>
      </c>
      <c r="X223" s="3" t="str">
        <f t="shared" si="7"/>
        <v>plaid magenta</v>
      </c>
      <c r="Y223" s="3">
        <f t="shared" si="8"/>
        <v>5</v>
      </c>
      <c r="Z223" s="3" t="str">
        <f t="shared" si="9"/>
        <v>dim magenta</v>
      </c>
      <c r="AA223" s="13">
        <f t="shared" si="10"/>
        <v>202868230</v>
      </c>
      <c r="AB223" s="3">
        <f t="shared" si="11"/>
        <v>202868229</v>
      </c>
      <c r="AC223" s="3">
        <f t="shared" si="12"/>
        <v>4</v>
      </c>
      <c r="AD223" s="3">
        <f t="shared" si="13"/>
        <v>30775348</v>
      </c>
      <c r="AE223" s="3">
        <f t="shared" si="14"/>
        <v>2</v>
      </c>
      <c r="AF223" s="3">
        <f t="shared" si="15"/>
        <v>44592</v>
      </c>
      <c r="AG223" s="3">
        <f t="shared" si="16"/>
        <v>1</v>
      </c>
      <c r="AH223" s="3">
        <f t="shared" si="17"/>
        <v>68564683</v>
      </c>
      <c r="AI223" s="3">
        <f t="shared" si="18"/>
        <v>5</v>
      </c>
      <c r="AJ223" s="3">
        <f t="shared" si="19"/>
        <v>2222594</v>
      </c>
    </row>
    <row r="224">
      <c r="C224" s="6" t="s">
        <v>224</v>
      </c>
      <c r="D224" s="3">
        <f t="shared" si="1"/>
        <v>2</v>
      </c>
      <c r="E224" s="3" t="str">
        <f>IFERROR(__xludf.DUMMYFUNCTION("REGEXEXTRACT(C224,""[^ ]* [^ ]*"")"),"plaid red")</f>
        <v>plaid red</v>
      </c>
      <c r="F224" s="3" t="str">
        <f>IFERROR(__xludf.DUMMYFUNCTION("MID(REGEXEXTRACT(C224,""contain.*$""),9,300)"),"2 striped red bags, 4 light plum bags, 3 mirrored silver bags.")</f>
        <v>2 striped red bags, 4 light plum bags, 3 mirrored silver bags.</v>
      </c>
      <c r="G224" s="3" t="str">
        <f>IFERROR(__xludf.DUMMYFUNCTION("INDEX(SPLIT($F224,"",""),COLUMN()-6)"),"2 striped red bags")</f>
        <v>2 striped red bags</v>
      </c>
      <c r="H224" s="3" t="str">
        <f>IFERROR(__xludf.DUMMYFUNCTION("MID(INDEX(SPLIT($F224,"",""),COLUMN()-6),2,300)"),"4 light plum bags")</f>
        <v>4 light plum bags</v>
      </c>
      <c r="I224" s="3" t="str">
        <f>IFERROR(__xludf.DUMMYFUNCTION("MID(INDEX(SPLIT($F224,"",""),COLUMN()-6),2,300)"),"3 mirrored silver bags.")</f>
        <v>3 mirrored silver bags.</v>
      </c>
      <c r="J224" s="3" t="str">
        <f>IFERROR(__xludf.DUMMYFUNCTION("MID(INDEX(SPLIT($F224,"",""),COLUMN()-6),2,300)"),"#REF!")</f>
        <v>#REF!</v>
      </c>
      <c r="K224" s="3">
        <f>IFERROR(__xludf.DUMMYFUNCTION("INDEX(SPLIT(G224,"" ""),1)"),2.0)</f>
        <v>2</v>
      </c>
      <c r="L224" s="3" t="str">
        <f>IFERROR(__xludf.DUMMYFUNCTION("REGEXEXTRACT(G224,"" [^ ]* [^ ]* "")")," striped red ")</f>
        <v> striped red </v>
      </c>
      <c r="M224" s="3">
        <f>IFERROR(__xludf.DUMMYFUNCTION("INDEX(SPLIT(H224,"" ""),1)"),4.0)</f>
        <v>4</v>
      </c>
      <c r="N224" s="3" t="str">
        <f>IFERROR(__xludf.DUMMYFUNCTION("MID(REGEXEXTRACT(H224,"" [^ ]* [^ ]*""),2,300)"),"light plum")</f>
        <v>light plum</v>
      </c>
      <c r="O224" s="3">
        <f>IFERROR(__xludf.DUMMYFUNCTION("INDEX(SPLIT(I224,"" ""),1)"),3.0)</f>
        <v>3</v>
      </c>
      <c r="P224" s="3" t="str">
        <f>IFERROR(__xludf.DUMMYFUNCTION("MID(REGEXEXTRACT(I224,"" [^ ]* [^ ]*""),2,300)"),"mirrored silver")</f>
        <v>mirrored silver</v>
      </c>
      <c r="Q224" s="3" t="str">
        <f>IFERROR(__xludf.DUMMYFUNCTION("INDEX(SPLIT(J224,"" ""),1)"),"#REF!")</f>
        <v>#REF!</v>
      </c>
      <c r="R224" s="3" t="str">
        <f>IFERROR(__xludf.DUMMYFUNCTION("MID(REGEXEXTRACT(J224,"" [^ ]* [^ ]*""),2,300)"),"#REF!")</f>
        <v>#REF!</v>
      </c>
      <c r="S224" s="3">
        <f t="shared" si="2"/>
        <v>2</v>
      </c>
      <c r="T224" s="3" t="str">
        <f t="shared" si="3"/>
        <v>striped red</v>
      </c>
      <c r="U224" s="3">
        <f t="shared" si="4"/>
        <v>4</v>
      </c>
      <c r="V224" s="3" t="str">
        <f t="shared" si="5"/>
        <v>light plum</v>
      </c>
      <c r="W224" s="3">
        <f t="shared" si="6"/>
        <v>3</v>
      </c>
      <c r="X224" s="3" t="str">
        <f t="shared" si="7"/>
        <v>mirrored silver</v>
      </c>
      <c r="Y224" s="3" t="str">
        <f t="shared" si="8"/>
        <v/>
      </c>
      <c r="Z224" s="3" t="str">
        <f t="shared" si="9"/>
        <v/>
      </c>
      <c r="AA224" s="13">
        <f t="shared" si="10"/>
        <v>150232603</v>
      </c>
      <c r="AB224" s="3">
        <f t="shared" si="11"/>
        <v>150232602</v>
      </c>
      <c r="AC224" s="3">
        <f t="shared" si="12"/>
        <v>2</v>
      </c>
      <c r="AD224" s="3">
        <f t="shared" si="13"/>
        <v>75115716</v>
      </c>
      <c r="AE224" s="3">
        <f t="shared" si="14"/>
        <v>4</v>
      </c>
      <c r="AF224" s="3">
        <f t="shared" si="15"/>
        <v>3</v>
      </c>
      <c r="AG224" s="3">
        <f t="shared" si="16"/>
        <v>3</v>
      </c>
      <c r="AH224" s="3">
        <f t="shared" si="17"/>
        <v>386</v>
      </c>
      <c r="AI224" s="3" t="str">
        <f t="shared" si="18"/>
        <v/>
      </c>
      <c r="AJ224" s="3">
        <f t="shared" si="19"/>
        <v>0</v>
      </c>
    </row>
    <row r="225">
      <c r="C225" s="6" t="s">
        <v>225</v>
      </c>
      <c r="D225" s="3">
        <f t="shared" si="1"/>
        <v>3</v>
      </c>
      <c r="E225" s="3" t="str">
        <f>IFERROR(__xludf.DUMMYFUNCTION("REGEXEXTRACT(C225,""[^ ]* [^ ]*"")"),"wavy orange")</f>
        <v>wavy orange</v>
      </c>
      <c r="F225" s="3" t="str">
        <f>IFERROR(__xludf.DUMMYFUNCTION("MID(REGEXEXTRACT(C225,""contain.*$""),9,300)"),"5 vibrant white bags, 1 posh coral bag, 5 muted purple bags, 2 light coral bags.")</f>
        <v>5 vibrant white bags, 1 posh coral bag, 5 muted purple bags, 2 light coral bags.</v>
      </c>
      <c r="G225" s="3" t="str">
        <f>IFERROR(__xludf.DUMMYFUNCTION("INDEX(SPLIT($F225,"",""),COLUMN()-6)"),"5 vibrant white bags")</f>
        <v>5 vibrant white bags</v>
      </c>
      <c r="H225" s="3" t="str">
        <f>IFERROR(__xludf.DUMMYFUNCTION("MID(INDEX(SPLIT($F225,"",""),COLUMN()-6),2,300)"),"1 posh coral bag")</f>
        <v>1 posh coral bag</v>
      </c>
      <c r="I225" s="3" t="str">
        <f>IFERROR(__xludf.DUMMYFUNCTION("MID(INDEX(SPLIT($F225,"",""),COLUMN()-6),2,300)"),"5 muted purple bags")</f>
        <v>5 muted purple bags</v>
      </c>
      <c r="J225" s="3" t="str">
        <f>IFERROR(__xludf.DUMMYFUNCTION("MID(INDEX(SPLIT($F225,"",""),COLUMN()-6),2,300)"),"2 light coral bags.")</f>
        <v>2 light coral bags.</v>
      </c>
      <c r="K225" s="3">
        <f>IFERROR(__xludf.DUMMYFUNCTION("INDEX(SPLIT(G225,"" ""),1)"),5.0)</f>
        <v>5</v>
      </c>
      <c r="L225" s="3" t="str">
        <f>IFERROR(__xludf.DUMMYFUNCTION("REGEXEXTRACT(G225,"" [^ ]* [^ ]* "")")," vibrant white ")</f>
        <v> vibrant white </v>
      </c>
      <c r="M225" s="3">
        <f>IFERROR(__xludf.DUMMYFUNCTION("INDEX(SPLIT(H225,"" ""),1)"),1.0)</f>
        <v>1</v>
      </c>
      <c r="N225" s="3" t="str">
        <f>IFERROR(__xludf.DUMMYFUNCTION("MID(REGEXEXTRACT(H225,"" [^ ]* [^ ]*""),2,300)"),"posh coral")</f>
        <v>posh coral</v>
      </c>
      <c r="O225" s="3">
        <f>IFERROR(__xludf.DUMMYFUNCTION("INDEX(SPLIT(I225,"" ""),1)"),5.0)</f>
        <v>5</v>
      </c>
      <c r="P225" s="3" t="str">
        <f>IFERROR(__xludf.DUMMYFUNCTION("MID(REGEXEXTRACT(I225,"" [^ ]* [^ ]*""),2,300)"),"muted purple")</f>
        <v>muted purple</v>
      </c>
      <c r="Q225" s="3">
        <f>IFERROR(__xludf.DUMMYFUNCTION("INDEX(SPLIT(J225,"" ""),1)"),2.0)</f>
        <v>2</v>
      </c>
      <c r="R225" s="3" t="str">
        <f>IFERROR(__xludf.DUMMYFUNCTION("MID(REGEXEXTRACT(J225,"" [^ ]* [^ ]*""),2,300)"),"light coral")</f>
        <v>light coral</v>
      </c>
      <c r="S225" s="3">
        <f t="shared" si="2"/>
        <v>5</v>
      </c>
      <c r="T225" s="3" t="str">
        <f t="shared" si="3"/>
        <v>vibrant white</v>
      </c>
      <c r="U225" s="3">
        <f t="shared" si="4"/>
        <v>1</v>
      </c>
      <c r="V225" s="3" t="str">
        <f t="shared" si="5"/>
        <v>posh coral</v>
      </c>
      <c r="W225" s="3">
        <f t="shared" si="6"/>
        <v>5</v>
      </c>
      <c r="X225" s="3" t="str">
        <f t="shared" si="7"/>
        <v>muted purple</v>
      </c>
      <c r="Y225" s="3">
        <f t="shared" si="8"/>
        <v>2</v>
      </c>
      <c r="Z225" s="3" t="str">
        <f t="shared" si="9"/>
        <v>light coral</v>
      </c>
      <c r="AA225" s="13">
        <f t="shared" si="10"/>
        <v>7433534</v>
      </c>
      <c r="AB225" s="3">
        <f t="shared" si="11"/>
        <v>7433533</v>
      </c>
      <c r="AC225" s="3">
        <f t="shared" si="12"/>
        <v>5</v>
      </c>
      <c r="AD225" s="3">
        <f t="shared" si="13"/>
        <v>1249859</v>
      </c>
      <c r="AE225" s="3">
        <f t="shared" si="14"/>
        <v>1</v>
      </c>
      <c r="AF225" s="3">
        <f t="shared" si="15"/>
        <v>1</v>
      </c>
      <c r="AG225" s="3">
        <f t="shared" si="16"/>
        <v>5</v>
      </c>
      <c r="AH225" s="3">
        <f t="shared" si="17"/>
        <v>13721</v>
      </c>
      <c r="AI225" s="3">
        <f t="shared" si="18"/>
        <v>2</v>
      </c>
      <c r="AJ225" s="3">
        <f t="shared" si="19"/>
        <v>557816</v>
      </c>
    </row>
    <row r="226">
      <c r="C226" s="6" t="s">
        <v>226</v>
      </c>
      <c r="D226" s="3">
        <f t="shared" si="1"/>
        <v>1</v>
      </c>
      <c r="E226" s="3" t="str">
        <f>IFERROR(__xludf.DUMMYFUNCTION("REGEXEXTRACT(C226,""[^ ]* [^ ]*"")"),"pale green")</f>
        <v>pale green</v>
      </c>
      <c r="F226" s="3" t="str">
        <f>IFERROR(__xludf.DUMMYFUNCTION("MID(REGEXEXTRACT(C226,""contain.*$""),9,300)"),"5 pale aqua bags, 1 clear gray bag.")</f>
        <v>5 pale aqua bags, 1 clear gray bag.</v>
      </c>
      <c r="G226" s="3" t="str">
        <f>IFERROR(__xludf.DUMMYFUNCTION("INDEX(SPLIT($F226,"",""),COLUMN()-6)"),"5 pale aqua bags")</f>
        <v>5 pale aqua bags</v>
      </c>
      <c r="H226" s="3" t="str">
        <f>IFERROR(__xludf.DUMMYFUNCTION("MID(INDEX(SPLIT($F226,"",""),COLUMN()-6),2,300)"),"1 clear gray bag.")</f>
        <v>1 clear gray bag.</v>
      </c>
      <c r="I226" s="3" t="str">
        <f>IFERROR(__xludf.DUMMYFUNCTION("MID(INDEX(SPLIT($F226,"",""),COLUMN()-6),2,300)"),"#REF!")</f>
        <v>#REF!</v>
      </c>
      <c r="J226" s="3" t="str">
        <f>IFERROR(__xludf.DUMMYFUNCTION("MID(INDEX(SPLIT($F226,"",""),COLUMN()-6),2,300)"),"#REF!")</f>
        <v>#REF!</v>
      </c>
      <c r="K226" s="3">
        <f>IFERROR(__xludf.DUMMYFUNCTION("INDEX(SPLIT(G226,"" ""),1)"),5.0)</f>
        <v>5</v>
      </c>
      <c r="L226" s="3" t="str">
        <f>IFERROR(__xludf.DUMMYFUNCTION("REGEXEXTRACT(G226,"" [^ ]* [^ ]* "")")," pale aqua ")</f>
        <v> pale aqua </v>
      </c>
      <c r="M226" s="3">
        <f>IFERROR(__xludf.DUMMYFUNCTION("INDEX(SPLIT(H226,"" ""),1)"),1.0)</f>
        <v>1</v>
      </c>
      <c r="N226" s="3" t="str">
        <f>IFERROR(__xludf.DUMMYFUNCTION("MID(REGEXEXTRACT(H226,"" [^ ]* [^ ]*""),2,300)"),"clear gray")</f>
        <v>clear gray</v>
      </c>
      <c r="O226" s="3" t="str">
        <f>IFERROR(__xludf.DUMMYFUNCTION("INDEX(SPLIT(I226,"" ""),1)"),"#REF!")</f>
        <v>#REF!</v>
      </c>
      <c r="P226" s="3" t="str">
        <f>IFERROR(__xludf.DUMMYFUNCTION("MID(REGEXEXTRACT(I226,"" [^ ]* [^ ]*""),2,300)"),"#REF!")</f>
        <v>#REF!</v>
      </c>
      <c r="Q226" s="3" t="str">
        <f>IFERROR(__xludf.DUMMYFUNCTION("INDEX(SPLIT(J226,"" ""),1)"),"#REF!")</f>
        <v>#REF!</v>
      </c>
      <c r="R226" s="3" t="str">
        <f>IFERROR(__xludf.DUMMYFUNCTION("MID(REGEXEXTRACT(J226,"" [^ ]* [^ ]*""),2,300)"),"#REF!")</f>
        <v>#REF!</v>
      </c>
      <c r="S226" s="3">
        <f t="shared" si="2"/>
        <v>5</v>
      </c>
      <c r="T226" s="3" t="str">
        <f t="shared" si="3"/>
        <v>pale aqua</v>
      </c>
      <c r="U226" s="3">
        <f t="shared" si="4"/>
        <v>1</v>
      </c>
      <c r="V226" s="3" t="str">
        <f t="shared" si="5"/>
        <v>clear gray</v>
      </c>
      <c r="W226" s="3" t="str">
        <f t="shared" si="6"/>
        <v/>
      </c>
      <c r="X226" s="3" t="str">
        <f t="shared" si="7"/>
        <v/>
      </c>
      <c r="Y226" s="3" t="str">
        <f t="shared" si="8"/>
        <v/>
      </c>
      <c r="Z226" s="3" t="str">
        <f t="shared" si="9"/>
        <v/>
      </c>
      <c r="AA226" s="13">
        <f t="shared" si="10"/>
        <v>8485185</v>
      </c>
      <c r="AB226" s="3">
        <f t="shared" si="11"/>
        <v>8485184</v>
      </c>
      <c r="AC226" s="3">
        <f t="shared" si="12"/>
        <v>5</v>
      </c>
      <c r="AD226" s="3">
        <f t="shared" si="13"/>
        <v>1578216</v>
      </c>
      <c r="AE226" s="3">
        <f t="shared" si="14"/>
        <v>1</v>
      </c>
      <c r="AF226" s="3">
        <f t="shared" si="15"/>
        <v>594104</v>
      </c>
      <c r="AG226" s="3" t="str">
        <f t="shared" si="16"/>
        <v/>
      </c>
      <c r="AH226" s="3">
        <f t="shared" si="17"/>
        <v>0</v>
      </c>
      <c r="AI226" s="3" t="str">
        <f t="shared" si="18"/>
        <v/>
      </c>
      <c r="AJ226" s="3">
        <f t="shared" si="19"/>
        <v>0</v>
      </c>
    </row>
    <row r="227">
      <c r="C227" s="6" t="s">
        <v>227</v>
      </c>
      <c r="D227" s="3">
        <f t="shared" si="1"/>
        <v>1</v>
      </c>
      <c r="E227" s="3" t="str">
        <f>IFERROR(__xludf.DUMMYFUNCTION("REGEXEXTRACT(C227,""[^ ]* [^ ]*"")"),"dotted chartreuse")</f>
        <v>dotted chartreuse</v>
      </c>
      <c r="F227" s="3" t="str">
        <f>IFERROR(__xludf.DUMMYFUNCTION("MID(REGEXEXTRACT(C227,""contain.*$""),9,300)"),"4 muted violet bags, 5 striped teal bags.")</f>
        <v>4 muted violet bags, 5 striped teal bags.</v>
      </c>
      <c r="G227" s="3" t="str">
        <f>IFERROR(__xludf.DUMMYFUNCTION("INDEX(SPLIT($F227,"",""),COLUMN()-6)"),"4 muted violet bags")</f>
        <v>4 muted violet bags</v>
      </c>
      <c r="H227" s="3" t="str">
        <f>IFERROR(__xludf.DUMMYFUNCTION("MID(INDEX(SPLIT($F227,"",""),COLUMN()-6),2,300)"),"5 striped teal bags.")</f>
        <v>5 striped teal bags.</v>
      </c>
      <c r="I227" s="3" t="str">
        <f>IFERROR(__xludf.DUMMYFUNCTION("MID(INDEX(SPLIT($F227,"",""),COLUMN()-6),2,300)"),"#REF!")</f>
        <v>#REF!</v>
      </c>
      <c r="J227" s="3" t="str">
        <f>IFERROR(__xludf.DUMMYFUNCTION("MID(INDEX(SPLIT($F227,"",""),COLUMN()-6),2,300)"),"#REF!")</f>
        <v>#REF!</v>
      </c>
      <c r="K227" s="3">
        <f>IFERROR(__xludf.DUMMYFUNCTION("INDEX(SPLIT(G227,"" ""),1)"),4.0)</f>
        <v>4</v>
      </c>
      <c r="L227" s="3" t="str">
        <f>IFERROR(__xludf.DUMMYFUNCTION("REGEXEXTRACT(G227,"" [^ ]* [^ ]* "")")," muted violet ")</f>
        <v> muted violet </v>
      </c>
      <c r="M227" s="3">
        <f>IFERROR(__xludf.DUMMYFUNCTION("INDEX(SPLIT(H227,"" ""),1)"),5.0)</f>
        <v>5</v>
      </c>
      <c r="N227" s="3" t="str">
        <f>IFERROR(__xludf.DUMMYFUNCTION("MID(REGEXEXTRACT(H227,"" [^ ]* [^ ]*""),2,300)"),"striped teal")</f>
        <v>striped teal</v>
      </c>
      <c r="O227" s="3" t="str">
        <f>IFERROR(__xludf.DUMMYFUNCTION("INDEX(SPLIT(I227,"" ""),1)"),"#REF!")</f>
        <v>#REF!</v>
      </c>
      <c r="P227" s="3" t="str">
        <f>IFERROR(__xludf.DUMMYFUNCTION("MID(REGEXEXTRACT(I227,"" [^ ]* [^ ]*""),2,300)"),"#REF!")</f>
        <v>#REF!</v>
      </c>
      <c r="Q227" s="3" t="str">
        <f>IFERROR(__xludf.DUMMYFUNCTION("INDEX(SPLIT(J227,"" ""),1)"),"#REF!")</f>
        <v>#REF!</v>
      </c>
      <c r="R227" s="3" t="str">
        <f>IFERROR(__xludf.DUMMYFUNCTION("MID(REGEXEXTRACT(J227,"" [^ ]* [^ ]*""),2,300)"),"#REF!")</f>
        <v>#REF!</v>
      </c>
      <c r="S227" s="3">
        <f t="shared" si="2"/>
        <v>4</v>
      </c>
      <c r="T227" s="3" t="str">
        <f t="shared" si="3"/>
        <v>muted violet</v>
      </c>
      <c r="U227" s="3">
        <f t="shared" si="4"/>
        <v>5</v>
      </c>
      <c r="V227" s="3" t="str">
        <f t="shared" si="5"/>
        <v>striped teal</v>
      </c>
      <c r="W227" s="3" t="str">
        <f t="shared" si="6"/>
        <v/>
      </c>
      <c r="X227" s="3" t="str">
        <f t="shared" si="7"/>
        <v/>
      </c>
      <c r="Y227" s="3" t="str">
        <f t="shared" si="8"/>
        <v/>
      </c>
      <c r="Z227" s="3" t="str">
        <f t="shared" si="9"/>
        <v/>
      </c>
      <c r="AA227" s="13">
        <f t="shared" si="10"/>
        <v>71962</v>
      </c>
      <c r="AB227" s="3">
        <f t="shared" si="11"/>
        <v>71961</v>
      </c>
      <c r="AC227" s="3">
        <f t="shared" si="12"/>
        <v>4</v>
      </c>
      <c r="AD227" s="3">
        <f t="shared" si="13"/>
        <v>4</v>
      </c>
      <c r="AE227" s="3">
        <f t="shared" si="14"/>
        <v>5</v>
      </c>
      <c r="AF227" s="3">
        <f t="shared" si="15"/>
        <v>14389</v>
      </c>
      <c r="AG227" s="3" t="str">
        <f t="shared" si="16"/>
        <v/>
      </c>
      <c r="AH227" s="3">
        <f t="shared" si="17"/>
        <v>0</v>
      </c>
      <c r="AI227" s="3" t="str">
        <f t="shared" si="18"/>
        <v/>
      </c>
      <c r="AJ227" s="3">
        <f t="shared" si="19"/>
        <v>0</v>
      </c>
    </row>
    <row r="228">
      <c r="C228" s="6" t="s">
        <v>228</v>
      </c>
      <c r="D228" s="3">
        <f t="shared" si="1"/>
        <v>2</v>
      </c>
      <c r="E228" s="3" t="str">
        <f>IFERROR(__xludf.DUMMYFUNCTION("REGEXEXTRACT(C228,""[^ ]* [^ ]*"")"),"light turquoise")</f>
        <v>light turquoise</v>
      </c>
      <c r="F228" s="3" t="str">
        <f>IFERROR(__xludf.DUMMYFUNCTION("MID(REGEXEXTRACT(C228,""contain.*$""),9,300)"),"5 dull turquoise bags, 2 dark aqua bags, 1 dull teal bag.")</f>
        <v>5 dull turquoise bags, 2 dark aqua bags, 1 dull teal bag.</v>
      </c>
      <c r="G228" s="3" t="str">
        <f>IFERROR(__xludf.DUMMYFUNCTION("INDEX(SPLIT($F228,"",""),COLUMN()-6)"),"5 dull turquoise bags")</f>
        <v>5 dull turquoise bags</v>
      </c>
      <c r="H228" s="3" t="str">
        <f>IFERROR(__xludf.DUMMYFUNCTION("MID(INDEX(SPLIT($F228,"",""),COLUMN()-6),2,300)"),"2 dark aqua bags")</f>
        <v>2 dark aqua bags</v>
      </c>
      <c r="I228" s="3" t="str">
        <f>IFERROR(__xludf.DUMMYFUNCTION("MID(INDEX(SPLIT($F228,"",""),COLUMN()-6),2,300)"),"1 dull teal bag.")</f>
        <v>1 dull teal bag.</v>
      </c>
      <c r="J228" s="3" t="str">
        <f>IFERROR(__xludf.DUMMYFUNCTION("MID(INDEX(SPLIT($F228,"",""),COLUMN()-6),2,300)"),"#REF!")</f>
        <v>#REF!</v>
      </c>
      <c r="K228" s="3">
        <f>IFERROR(__xludf.DUMMYFUNCTION("INDEX(SPLIT(G228,"" ""),1)"),5.0)</f>
        <v>5</v>
      </c>
      <c r="L228" s="3" t="str">
        <f>IFERROR(__xludf.DUMMYFUNCTION("REGEXEXTRACT(G228,"" [^ ]* [^ ]* "")")," dull turquoise ")</f>
        <v> dull turquoise </v>
      </c>
      <c r="M228" s="3">
        <f>IFERROR(__xludf.DUMMYFUNCTION("INDEX(SPLIT(H228,"" ""),1)"),2.0)</f>
        <v>2</v>
      </c>
      <c r="N228" s="3" t="str">
        <f>IFERROR(__xludf.DUMMYFUNCTION("MID(REGEXEXTRACT(H228,"" [^ ]* [^ ]*""),2,300)"),"dark aqua")</f>
        <v>dark aqua</v>
      </c>
      <c r="O228" s="3">
        <f>IFERROR(__xludf.DUMMYFUNCTION("INDEX(SPLIT(I228,"" ""),1)"),1.0)</f>
        <v>1</v>
      </c>
      <c r="P228" s="3" t="str">
        <f>IFERROR(__xludf.DUMMYFUNCTION("MID(REGEXEXTRACT(I228,"" [^ ]* [^ ]*""),2,300)"),"dull teal")</f>
        <v>dull teal</v>
      </c>
      <c r="Q228" s="3" t="str">
        <f>IFERROR(__xludf.DUMMYFUNCTION("INDEX(SPLIT(J228,"" ""),1)"),"#REF!")</f>
        <v>#REF!</v>
      </c>
      <c r="R228" s="3" t="str">
        <f>IFERROR(__xludf.DUMMYFUNCTION("MID(REGEXEXTRACT(J228,"" [^ ]* [^ ]*""),2,300)"),"#REF!")</f>
        <v>#REF!</v>
      </c>
      <c r="S228" s="3">
        <f t="shared" si="2"/>
        <v>5</v>
      </c>
      <c r="T228" s="3" t="str">
        <f t="shared" si="3"/>
        <v>dull turquoise</v>
      </c>
      <c r="U228" s="3">
        <f t="shared" si="4"/>
        <v>2</v>
      </c>
      <c r="V228" s="3" t="str">
        <f t="shared" si="5"/>
        <v>dark aqua</v>
      </c>
      <c r="W228" s="3">
        <f t="shared" si="6"/>
        <v>1</v>
      </c>
      <c r="X228" s="3" t="str">
        <f t="shared" si="7"/>
        <v>dull teal</v>
      </c>
      <c r="Y228" s="3" t="str">
        <f t="shared" si="8"/>
        <v/>
      </c>
      <c r="Z228" s="3" t="str">
        <f t="shared" si="9"/>
        <v/>
      </c>
      <c r="AA228" s="13">
        <f t="shared" si="10"/>
        <v>6357344423</v>
      </c>
      <c r="AB228" s="3">
        <f t="shared" si="11"/>
        <v>6357344422</v>
      </c>
      <c r="AC228" s="3">
        <f t="shared" si="12"/>
        <v>5</v>
      </c>
      <c r="AD228" s="3">
        <f t="shared" si="13"/>
        <v>346469</v>
      </c>
      <c r="AE228" s="3">
        <f t="shared" si="14"/>
        <v>2</v>
      </c>
      <c r="AF228" s="3">
        <f t="shared" si="15"/>
        <v>85546089</v>
      </c>
      <c r="AG228" s="3">
        <f t="shared" si="16"/>
        <v>1</v>
      </c>
      <c r="AH228" s="3">
        <f t="shared" si="17"/>
        <v>6184519899</v>
      </c>
      <c r="AI228" s="3" t="str">
        <f t="shared" si="18"/>
        <v/>
      </c>
      <c r="AJ228" s="3">
        <f t="shared" si="19"/>
        <v>0</v>
      </c>
    </row>
    <row r="229">
      <c r="C229" s="6" t="s">
        <v>229</v>
      </c>
      <c r="D229" s="3">
        <f t="shared" si="1"/>
        <v>0</v>
      </c>
      <c r="E229" s="3" t="str">
        <f>IFERROR(__xludf.DUMMYFUNCTION("REGEXEXTRACT(C229,""[^ ]* [^ ]*"")"),"shiny violet")</f>
        <v>shiny violet</v>
      </c>
      <c r="F229" s="3" t="str">
        <f>IFERROR(__xludf.DUMMYFUNCTION("MID(REGEXEXTRACT(C229,""contain.*$""),9,300)"),"2 pale indigo bags.")</f>
        <v>2 pale indigo bags.</v>
      </c>
      <c r="G229" s="3" t="str">
        <f>IFERROR(__xludf.DUMMYFUNCTION("INDEX(SPLIT($F229,"",""),COLUMN()-6)"),"2 pale indigo bags.")</f>
        <v>2 pale indigo bags.</v>
      </c>
      <c r="H229" s="3" t="str">
        <f>IFERROR(__xludf.DUMMYFUNCTION("MID(INDEX(SPLIT($F229,"",""),COLUMN()-6),2,300)"),"#REF!")</f>
        <v>#REF!</v>
      </c>
      <c r="I229" s="3" t="str">
        <f>IFERROR(__xludf.DUMMYFUNCTION("MID(INDEX(SPLIT($F229,"",""),COLUMN()-6),2,300)"),"#REF!")</f>
        <v>#REF!</v>
      </c>
      <c r="J229" s="3" t="str">
        <f>IFERROR(__xludf.DUMMYFUNCTION("MID(INDEX(SPLIT($F229,"",""),COLUMN()-6),2,300)"),"#REF!")</f>
        <v>#REF!</v>
      </c>
      <c r="K229" s="3">
        <f>IFERROR(__xludf.DUMMYFUNCTION("INDEX(SPLIT(G229,"" ""),1)"),2.0)</f>
        <v>2</v>
      </c>
      <c r="L229" s="3" t="str">
        <f>IFERROR(__xludf.DUMMYFUNCTION("REGEXEXTRACT(G229,"" [^ ]* [^ ]* "")")," pale indigo ")</f>
        <v> pale indigo </v>
      </c>
      <c r="M229" s="3" t="str">
        <f>IFERROR(__xludf.DUMMYFUNCTION("INDEX(SPLIT(H229,"" ""),1)"),"#REF!")</f>
        <v>#REF!</v>
      </c>
      <c r="N229" s="3" t="str">
        <f>IFERROR(__xludf.DUMMYFUNCTION("MID(REGEXEXTRACT(H229,"" [^ ]* [^ ]*""),2,300)"),"#REF!")</f>
        <v>#REF!</v>
      </c>
      <c r="O229" s="3" t="str">
        <f>IFERROR(__xludf.DUMMYFUNCTION("INDEX(SPLIT(I229,"" ""),1)"),"#REF!")</f>
        <v>#REF!</v>
      </c>
      <c r="P229" s="3" t="str">
        <f>IFERROR(__xludf.DUMMYFUNCTION("MID(REGEXEXTRACT(I229,"" [^ ]* [^ ]*""),2,300)"),"#REF!")</f>
        <v>#REF!</v>
      </c>
      <c r="Q229" s="3" t="str">
        <f>IFERROR(__xludf.DUMMYFUNCTION("INDEX(SPLIT(J229,"" ""),1)"),"#REF!")</f>
        <v>#REF!</v>
      </c>
      <c r="R229" s="3" t="str">
        <f>IFERROR(__xludf.DUMMYFUNCTION("MID(REGEXEXTRACT(J229,"" [^ ]* [^ ]*""),2,300)"),"#REF!")</f>
        <v>#REF!</v>
      </c>
      <c r="S229" s="3">
        <f t="shared" si="2"/>
        <v>2</v>
      </c>
      <c r="T229" s="3" t="str">
        <f t="shared" si="3"/>
        <v>pale indigo</v>
      </c>
      <c r="U229" s="3" t="str">
        <f t="shared" si="4"/>
        <v/>
      </c>
      <c r="V229" s="3" t="str">
        <f t="shared" si="5"/>
        <v/>
      </c>
      <c r="W229" s="3" t="str">
        <f t="shared" si="6"/>
        <v/>
      </c>
      <c r="X229" s="3" t="str">
        <f t="shared" si="7"/>
        <v/>
      </c>
      <c r="Y229" s="3" t="str">
        <f t="shared" si="8"/>
        <v/>
      </c>
      <c r="Z229" s="3" t="str">
        <f t="shared" si="9"/>
        <v/>
      </c>
      <c r="AA229" s="13">
        <f t="shared" si="10"/>
        <v>187646005</v>
      </c>
      <c r="AB229" s="3">
        <f t="shared" si="11"/>
        <v>187646004</v>
      </c>
      <c r="AC229" s="3">
        <f t="shared" si="12"/>
        <v>2</v>
      </c>
      <c r="AD229" s="3">
        <f t="shared" si="13"/>
        <v>93823002</v>
      </c>
      <c r="AE229" s="3" t="str">
        <f t="shared" si="14"/>
        <v/>
      </c>
      <c r="AF229" s="3">
        <f t="shared" si="15"/>
        <v>0</v>
      </c>
      <c r="AG229" s="3" t="str">
        <f t="shared" si="16"/>
        <v/>
      </c>
      <c r="AH229" s="3">
        <f t="shared" si="17"/>
        <v>0</v>
      </c>
      <c r="AI229" s="3" t="str">
        <f t="shared" si="18"/>
        <v/>
      </c>
      <c r="AJ229" s="3">
        <f t="shared" si="19"/>
        <v>0</v>
      </c>
    </row>
    <row r="230">
      <c r="C230" s="6" t="s">
        <v>230</v>
      </c>
      <c r="D230" s="3">
        <f t="shared" si="1"/>
        <v>3</v>
      </c>
      <c r="E230" s="3" t="str">
        <f>IFERROR(__xludf.DUMMYFUNCTION("REGEXEXTRACT(C230,""[^ ]* [^ ]*"")"),"light white")</f>
        <v>light white</v>
      </c>
      <c r="F230" s="3" t="str">
        <f>IFERROR(__xludf.DUMMYFUNCTION("MID(REGEXEXTRACT(C230,""contain.*$""),9,300)"),"3 mirrored indigo bags, 1 faded blue bag, 1 plaid white bag, 1 posh plum bag.")</f>
        <v>3 mirrored indigo bags, 1 faded blue bag, 1 plaid white bag, 1 posh plum bag.</v>
      </c>
      <c r="G230" s="3" t="str">
        <f>IFERROR(__xludf.DUMMYFUNCTION("INDEX(SPLIT($F230,"",""),COLUMN()-6)"),"3 mirrored indigo bags")</f>
        <v>3 mirrored indigo bags</v>
      </c>
      <c r="H230" s="3" t="str">
        <f>IFERROR(__xludf.DUMMYFUNCTION("MID(INDEX(SPLIT($F230,"",""),COLUMN()-6),2,300)"),"1 faded blue bag")</f>
        <v>1 faded blue bag</v>
      </c>
      <c r="I230" s="3" t="str">
        <f>IFERROR(__xludf.DUMMYFUNCTION("MID(INDEX(SPLIT($F230,"",""),COLUMN()-6),2,300)"),"1 plaid white bag")</f>
        <v>1 plaid white bag</v>
      </c>
      <c r="J230" s="3" t="str">
        <f>IFERROR(__xludf.DUMMYFUNCTION("MID(INDEX(SPLIT($F230,"",""),COLUMN()-6),2,300)"),"1 posh plum bag.")</f>
        <v>1 posh plum bag.</v>
      </c>
      <c r="K230" s="3">
        <f>IFERROR(__xludf.DUMMYFUNCTION("INDEX(SPLIT(G230,"" ""),1)"),3.0)</f>
        <v>3</v>
      </c>
      <c r="L230" s="3" t="str">
        <f>IFERROR(__xludf.DUMMYFUNCTION("REGEXEXTRACT(G230,"" [^ ]* [^ ]* "")")," mirrored indigo ")</f>
        <v> mirrored indigo </v>
      </c>
      <c r="M230" s="3">
        <f>IFERROR(__xludf.DUMMYFUNCTION("INDEX(SPLIT(H230,"" ""),1)"),1.0)</f>
        <v>1</v>
      </c>
      <c r="N230" s="3" t="str">
        <f>IFERROR(__xludf.DUMMYFUNCTION("MID(REGEXEXTRACT(H230,"" [^ ]* [^ ]*""),2,300)"),"faded blue")</f>
        <v>faded blue</v>
      </c>
      <c r="O230" s="3">
        <f>IFERROR(__xludf.DUMMYFUNCTION("INDEX(SPLIT(I230,"" ""),1)"),1.0)</f>
        <v>1</v>
      </c>
      <c r="P230" s="3" t="str">
        <f>IFERROR(__xludf.DUMMYFUNCTION("MID(REGEXEXTRACT(I230,"" [^ ]* [^ ]*""),2,300)"),"plaid white")</f>
        <v>plaid white</v>
      </c>
      <c r="Q230" s="3">
        <f>IFERROR(__xludf.DUMMYFUNCTION("INDEX(SPLIT(J230,"" ""),1)"),1.0)</f>
        <v>1</v>
      </c>
      <c r="R230" s="3" t="str">
        <f>IFERROR(__xludf.DUMMYFUNCTION("MID(REGEXEXTRACT(J230,"" [^ ]* [^ ]*""),2,300)"),"posh plum")</f>
        <v>posh plum</v>
      </c>
      <c r="S230" s="3">
        <f t="shared" si="2"/>
        <v>3</v>
      </c>
      <c r="T230" s="3" t="str">
        <f t="shared" si="3"/>
        <v>mirrored indigo</v>
      </c>
      <c r="U230" s="3">
        <f t="shared" si="4"/>
        <v>1</v>
      </c>
      <c r="V230" s="3" t="str">
        <f t="shared" si="5"/>
        <v>faded blue</v>
      </c>
      <c r="W230" s="3">
        <f t="shared" si="6"/>
        <v>1</v>
      </c>
      <c r="X230" s="3" t="str">
        <f t="shared" si="7"/>
        <v>plaid white</v>
      </c>
      <c r="Y230" s="3">
        <f t="shared" si="8"/>
        <v>1</v>
      </c>
      <c r="Z230" s="3" t="str">
        <f t="shared" si="9"/>
        <v>posh plum</v>
      </c>
      <c r="AA230" s="13">
        <f t="shared" si="10"/>
        <v>14006761</v>
      </c>
      <c r="AB230" s="3">
        <f t="shared" si="11"/>
        <v>14006760</v>
      </c>
      <c r="AC230" s="3">
        <f t="shared" si="12"/>
        <v>3</v>
      </c>
      <c r="AD230" s="3">
        <f t="shared" si="13"/>
        <v>181271</v>
      </c>
      <c r="AE230" s="3">
        <f t="shared" si="14"/>
        <v>1</v>
      </c>
      <c r="AF230" s="3">
        <f t="shared" si="15"/>
        <v>12631028</v>
      </c>
      <c r="AG230" s="3">
        <f t="shared" si="16"/>
        <v>1</v>
      </c>
      <c r="AH230" s="3">
        <f t="shared" si="17"/>
        <v>825737</v>
      </c>
      <c r="AI230" s="3">
        <f t="shared" si="18"/>
        <v>1</v>
      </c>
      <c r="AJ230" s="3">
        <f t="shared" si="19"/>
        <v>6182</v>
      </c>
    </row>
    <row r="231">
      <c r="C231" s="6" t="s">
        <v>231</v>
      </c>
      <c r="D231" s="3">
        <f t="shared" si="1"/>
        <v>0</v>
      </c>
      <c r="E231" s="3" t="str">
        <f>IFERROR(__xludf.DUMMYFUNCTION("REGEXEXTRACT(C231,""[^ ]* [^ ]*"")"),"muted beige")</f>
        <v>muted beige</v>
      </c>
      <c r="F231" s="3" t="str">
        <f>IFERROR(__xludf.DUMMYFUNCTION("MID(REGEXEXTRACT(C231,""contain.*$""),9,300)"),"4 drab gold bags.")</f>
        <v>4 drab gold bags.</v>
      </c>
      <c r="G231" s="3" t="str">
        <f>IFERROR(__xludf.DUMMYFUNCTION("INDEX(SPLIT($F231,"",""),COLUMN()-6)"),"4 drab gold bags.")</f>
        <v>4 drab gold bags.</v>
      </c>
      <c r="H231" s="3" t="str">
        <f>IFERROR(__xludf.DUMMYFUNCTION("MID(INDEX(SPLIT($F231,"",""),COLUMN()-6),2,300)"),"#REF!")</f>
        <v>#REF!</v>
      </c>
      <c r="I231" s="3" t="str">
        <f>IFERROR(__xludf.DUMMYFUNCTION("MID(INDEX(SPLIT($F231,"",""),COLUMN()-6),2,300)"),"#REF!")</f>
        <v>#REF!</v>
      </c>
      <c r="J231" s="3" t="str">
        <f>IFERROR(__xludf.DUMMYFUNCTION("MID(INDEX(SPLIT($F231,"",""),COLUMN()-6),2,300)"),"#REF!")</f>
        <v>#REF!</v>
      </c>
      <c r="K231" s="3">
        <f>IFERROR(__xludf.DUMMYFUNCTION("INDEX(SPLIT(G231,"" ""),1)"),4.0)</f>
        <v>4</v>
      </c>
      <c r="L231" s="3" t="str">
        <f>IFERROR(__xludf.DUMMYFUNCTION("REGEXEXTRACT(G231,"" [^ ]* [^ ]* "")")," drab gold ")</f>
        <v> drab gold </v>
      </c>
      <c r="M231" s="3" t="str">
        <f>IFERROR(__xludf.DUMMYFUNCTION("INDEX(SPLIT(H231,"" ""),1)"),"#REF!")</f>
        <v>#REF!</v>
      </c>
      <c r="N231" s="3" t="str">
        <f>IFERROR(__xludf.DUMMYFUNCTION("MID(REGEXEXTRACT(H231,"" [^ ]* [^ ]*""),2,300)"),"#REF!")</f>
        <v>#REF!</v>
      </c>
      <c r="O231" s="3" t="str">
        <f>IFERROR(__xludf.DUMMYFUNCTION("INDEX(SPLIT(I231,"" ""),1)"),"#REF!")</f>
        <v>#REF!</v>
      </c>
      <c r="P231" s="3" t="str">
        <f>IFERROR(__xludf.DUMMYFUNCTION("MID(REGEXEXTRACT(I231,"" [^ ]* [^ ]*""),2,300)"),"#REF!")</f>
        <v>#REF!</v>
      </c>
      <c r="Q231" s="3" t="str">
        <f>IFERROR(__xludf.DUMMYFUNCTION("INDEX(SPLIT(J231,"" ""),1)"),"#REF!")</f>
        <v>#REF!</v>
      </c>
      <c r="R231" s="3" t="str">
        <f>IFERROR(__xludf.DUMMYFUNCTION("MID(REGEXEXTRACT(J231,"" [^ ]* [^ ]*""),2,300)"),"#REF!")</f>
        <v>#REF!</v>
      </c>
      <c r="S231" s="3">
        <f t="shared" si="2"/>
        <v>4</v>
      </c>
      <c r="T231" s="3" t="str">
        <f t="shared" si="3"/>
        <v>drab gold</v>
      </c>
      <c r="U231" s="3" t="str">
        <f t="shared" si="4"/>
        <v/>
      </c>
      <c r="V231" s="3" t="str">
        <f t="shared" si="5"/>
        <v/>
      </c>
      <c r="W231" s="3" t="str">
        <f t="shared" si="6"/>
        <v/>
      </c>
      <c r="X231" s="3" t="str">
        <f t="shared" si="7"/>
        <v/>
      </c>
      <c r="Y231" s="3" t="str">
        <f t="shared" si="8"/>
        <v/>
      </c>
      <c r="Z231" s="3" t="str">
        <f t="shared" si="9"/>
        <v/>
      </c>
      <c r="AA231" s="13">
        <f t="shared" si="10"/>
        <v>18975545</v>
      </c>
      <c r="AB231" s="3">
        <f t="shared" si="11"/>
        <v>18975544</v>
      </c>
      <c r="AC231" s="3">
        <f t="shared" si="12"/>
        <v>4</v>
      </c>
      <c r="AD231" s="3">
        <f t="shared" si="13"/>
        <v>4743886</v>
      </c>
      <c r="AE231" s="3" t="str">
        <f t="shared" si="14"/>
        <v/>
      </c>
      <c r="AF231" s="3">
        <f t="shared" si="15"/>
        <v>0</v>
      </c>
      <c r="AG231" s="3" t="str">
        <f t="shared" si="16"/>
        <v/>
      </c>
      <c r="AH231" s="3">
        <f t="shared" si="17"/>
        <v>0</v>
      </c>
      <c r="AI231" s="3" t="str">
        <f t="shared" si="18"/>
        <v/>
      </c>
      <c r="AJ231" s="3">
        <f t="shared" si="19"/>
        <v>0</v>
      </c>
    </row>
    <row r="232">
      <c r="C232" s="6" t="s">
        <v>232</v>
      </c>
      <c r="D232" s="3">
        <f t="shared" si="1"/>
        <v>2</v>
      </c>
      <c r="E232" s="3" t="str">
        <f>IFERROR(__xludf.DUMMYFUNCTION("REGEXEXTRACT(C232,""[^ ]* [^ ]*"")"),"faded silver")</f>
        <v>faded silver</v>
      </c>
      <c r="F232" s="3" t="str">
        <f>IFERROR(__xludf.DUMMYFUNCTION("MID(REGEXEXTRACT(C232,""contain.*$""),9,300)"),"2 drab white bags, 5 pale white bags, 3 clear lime bags.")</f>
        <v>2 drab white bags, 5 pale white bags, 3 clear lime bags.</v>
      </c>
      <c r="G232" s="3" t="str">
        <f>IFERROR(__xludf.DUMMYFUNCTION("INDEX(SPLIT($F232,"",""),COLUMN()-6)"),"2 drab white bags")</f>
        <v>2 drab white bags</v>
      </c>
      <c r="H232" s="3" t="str">
        <f>IFERROR(__xludf.DUMMYFUNCTION("MID(INDEX(SPLIT($F232,"",""),COLUMN()-6),2,300)"),"5 pale white bags")</f>
        <v>5 pale white bags</v>
      </c>
      <c r="I232" s="3" t="str">
        <f>IFERROR(__xludf.DUMMYFUNCTION("MID(INDEX(SPLIT($F232,"",""),COLUMN()-6),2,300)"),"3 clear lime bags.")</f>
        <v>3 clear lime bags.</v>
      </c>
      <c r="J232" s="3" t="str">
        <f>IFERROR(__xludf.DUMMYFUNCTION("MID(INDEX(SPLIT($F232,"",""),COLUMN()-6),2,300)"),"#REF!")</f>
        <v>#REF!</v>
      </c>
      <c r="K232" s="3">
        <f>IFERROR(__xludf.DUMMYFUNCTION("INDEX(SPLIT(G232,"" ""),1)"),2.0)</f>
        <v>2</v>
      </c>
      <c r="L232" s="3" t="str">
        <f>IFERROR(__xludf.DUMMYFUNCTION("REGEXEXTRACT(G232,"" [^ ]* [^ ]* "")")," drab white ")</f>
        <v> drab white </v>
      </c>
      <c r="M232" s="3">
        <f>IFERROR(__xludf.DUMMYFUNCTION("INDEX(SPLIT(H232,"" ""),1)"),5.0)</f>
        <v>5</v>
      </c>
      <c r="N232" s="3" t="str">
        <f>IFERROR(__xludf.DUMMYFUNCTION("MID(REGEXEXTRACT(H232,"" [^ ]* [^ ]*""),2,300)"),"pale white")</f>
        <v>pale white</v>
      </c>
      <c r="O232" s="3">
        <f>IFERROR(__xludf.DUMMYFUNCTION("INDEX(SPLIT(I232,"" ""),1)"),3.0)</f>
        <v>3</v>
      </c>
      <c r="P232" s="3" t="str">
        <f>IFERROR(__xludf.DUMMYFUNCTION("MID(REGEXEXTRACT(I232,"" [^ ]* [^ ]*""),2,300)"),"clear lime")</f>
        <v>clear lime</v>
      </c>
      <c r="Q232" s="3" t="str">
        <f>IFERROR(__xludf.DUMMYFUNCTION("INDEX(SPLIT(J232,"" ""),1)"),"#REF!")</f>
        <v>#REF!</v>
      </c>
      <c r="R232" s="3" t="str">
        <f>IFERROR(__xludf.DUMMYFUNCTION("MID(REGEXEXTRACT(J232,"" [^ ]* [^ ]*""),2,300)"),"#REF!")</f>
        <v>#REF!</v>
      </c>
      <c r="S232" s="3">
        <f t="shared" si="2"/>
        <v>2</v>
      </c>
      <c r="T232" s="3" t="str">
        <f t="shared" si="3"/>
        <v>drab white</v>
      </c>
      <c r="U232" s="3">
        <f t="shared" si="4"/>
        <v>5</v>
      </c>
      <c r="V232" s="3" t="str">
        <f t="shared" si="5"/>
        <v>pale white</v>
      </c>
      <c r="W232" s="3">
        <f t="shared" si="6"/>
        <v>3</v>
      </c>
      <c r="X232" s="3" t="str">
        <f t="shared" si="7"/>
        <v>clear lime</v>
      </c>
      <c r="Y232" s="3" t="str">
        <f t="shared" si="8"/>
        <v/>
      </c>
      <c r="Z232" s="3" t="str">
        <f t="shared" si="9"/>
        <v/>
      </c>
      <c r="AA232" s="13">
        <f t="shared" si="10"/>
        <v>2729963</v>
      </c>
      <c r="AB232" s="3">
        <f t="shared" si="11"/>
        <v>2729962</v>
      </c>
      <c r="AC232" s="3">
        <f t="shared" si="12"/>
        <v>2</v>
      </c>
      <c r="AD232" s="3">
        <f t="shared" si="13"/>
        <v>14961</v>
      </c>
      <c r="AE232" s="3">
        <f t="shared" si="14"/>
        <v>5</v>
      </c>
      <c r="AF232" s="3">
        <f t="shared" si="15"/>
        <v>76433</v>
      </c>
      <c r="AG232" s="3">
        <f t="shared" si="16"/>
        <v>3</v>
      </c>
      <c r="AH232" s="3">
        <f t="shared" si="17"/>
        <v>772625</v>
      </c>
      <c r="AI232" s="3" t="str">
        <f t="shared" si="18"/>
        <v/>
      </c>
      <c r="AJ232" s="3">
        <f t="shared" si="19"/>
        <v>0</v>
      </c>
    </row>
    <row r="233">
      <c r="C233" s="6" t="s">
        <v>233</v>
      </c>
      <c r="D233" s="3">
        <f t="shared" si="1"/>
        <v>3</v>
      </c>
      <c r="E233" s="3" t="str">
        <f>IFERROR(__xludf.DUMMYFUNCTION("REGEXEXTRACT(C233,""[^ ]* [^ ]*"")"),"faded red")</f>
        <v>faded red</v>
      </c>
      <c r="F233" s="3" t="str">
        <f>IFERROR(__xludf.DUMMYFUNCTION("MID(REGEXEXTRACT(C233,""contain.*$""),9,300)"),"1 bright turquoise bag, 5 faded coral bags, 2 drab purple bags, 5 bright olive bags.")</f>
        <v>1 bright turquoise bag, 5 faded coral bags, 2 drab purple bags, 5 bright olive bags.</v>
      </c>
      <c r="G233" s="3" t="str">
        <f>IFERROR(__xludf.DUMMYFUNCTION("INDEX(SPLIT($F233,"",""),COLUMN()-6)"),"1 bright turquoise bag")</f>
        <v>1 bright turquoise bag</v>
      </c>
      <c r="H233" s="3" t="str">
        <f>IFERROR(__xludf.DUMMYFUNCTION("MID(INDEX(SPLIT($F233,"",""),COLUMN()-6),2,300)"),"5 faded coral bags")</f>
        <v>5 faded coral bags</v>
      </c>
      <c r="I233" s="3" t="str">
        <f>IFERROR(__xludf.DUMMYFUNCTION("MID(INDEX(SPLIT($F233,"",""),COLUMN()-6),2,300)"),"2 drab purple bags")</f>
        <v>2 drab purple bags</v>
      </c>
      <c r="J233" s="3" t="str">
        <f>IFERROR(__xludf.DUMMYFUNCTION("MID(INDEX(SPLIT($F233,"",""),COLUMN()-6),2,300)"),"5 bright olive bags.")</f>
        <v>5 bright olive bags.</v>
      </c>
      <c r="K233" s="3">
        <f>IFERROR(__xludf.DUMMYFUNCTION("INDEX(SPLIT(G233,"" ""),1)"),1.0)</f>
        <v>1</v>
      </c>
      <c r="L233" s="3" t="str">
        <f>IFERROR(__xludf.DUMMYFUNCTION("REGEXEXTRACT(G233,"" [^ ]* [^ ]* "")")," bright turquoise ")</f>
        <v> bright turquoise </v>
      </c>
      <c r="M233" s="3">
        <f>IFERROR(__xludf.DUMMYFUNCTION("INDEX(SPLIT(H233,"" ""),1)"),5.0)</f>
        <v>5</v>
      </c>
      <c r="N233" s="3" t="str">
        <f>IFERROR(__xludf.DUMMYFUNCTION("MID(REGEXEXTRACT(H233,"" [^ ]* [^ ]*""),2,300)"),"faded coral")</f>
        <v>faded coral</v>
      </c>
      <c r="O233" s="3">
        <f>IFERROR(__xludf.DUMMYFUNCTION("INDEX(SPLIT(I233,"" ""),1)"),2.0)</f>
        <v>2</v>
      </c>
      <c r="P233" s="3" t="str">
        <f>IFERROR(__xludf.DUMMYFUNCTION("MID(REGEXEXTRACT(I233,"" [^ ]* [^ ]*""),2,300)"),"drab purple")</f>
        <v>drab purple</v>
      </c>
      <c r="Q233" s="3">
        <f>IFERROR(__xludf.DUMMYFUNCTION("INDEX(SPLIT(J233,"" ""),1)"),5.0)</f>
        <v>5</v>
      </c>
      <c r="R233" s="3" t="str">
        <f>IFERROR(__xludf.DUMMYFUNCTION("MID(REGEXEXTRACT(J233,"" [^ ]* [^ ]*""),2,300)"),"bright olive")</f>
        <v>bright olive</v>
      </c>
      <c r="S233" s="3">
        <f t="shared" si="2"/>
        <v>1</v>
      </c>
      <c r="T233" s="3" t="str">
        <f t="shared" si="3"/>
        <v>bright turquoise</v>
      </c>
      <c r="U233" s="3">
        <f t="shared" si="4"/>
        <v>5</v>
      </c>
      <c r="V233" s="3" t="str">
        <f t="shared" si="5"/>
        <v>faded coral</v>
      </c>
      <c r="W233" s="3">
        <f t="shared" si="6"/>
        <v>2</v>
      </c>
      <c r="X233" s="3" t="str">
        <f t="shared" si="7"/>
        <v>drab purple</v>
      </c>
      <c r="Y233" s="3">
        <f t="shared" si="8"/>
        <v>5</v>
      </c>
      <c r="Z233" s="3" t="str">
        <f t="shared" si="9"/>
        <v>bright olive</v>
      </c>
      <c r="AA233" s="13">
        <f t="shared" si="10"/>
        <v>277215887</v>
      </c>
      <c r="AB233" s="3">
        <f t="shared" si="11"/>
        <v>277215886</v>
      </c>
      <c r="AC233" s="3">
        <f t="shared" si="12"/>
        <v>1</v>
      </c>
      <c r="AD233" s="3">
        <f t="shared" si="13"/>
        <v>12227506</v>
      </c>
      <c r="AE233" s="3">
        <f t="shared" si="14"/>
        <v>5</v>
      </c>
      <c r="AF233" s="3">
        <f t="shared" si="15"/>
        <v>50143651</v>
      </c>
      <c r="AG233" s="3">
        <f t="shared" si="16"/>
        <v>2</v>
      </c>
      <c r="AH233" s="3">
        <f t="shared" si="17"/>
        <v>4335</v>
      </c>
      <c r="AI233" s="3">
        <f t="shared" si="18"/>
        <v>5</v>
      </c>
      <c r="AJ233" s="3">
        <f t="shared" si="19"/>
        <v>2852291</v>
      </c>
    </row>
    <row r="234">
      <c r="C234" s="6" t="s">
        <v>234</v>
      </c>
      <c r="D234" s="3">
        <f t="shared" si="1"/>
        <v>3</v>
      </c>
      <c r="E234" s="3" t="str">
        <f>IFERROR(__xludf.DUMMYFUNCTION("REGEXEXTRACT(C234,""[^ ]* [^ ]*"")"),"shiny bronze")</f>
        <v>shiny bronze</v>
      </c>
      <c r="F234" s="3" t="str">
        <f>IFERROR(__xludf.DUMMYFUNCTION("MID(REGEXEXTRACT(C234,""contain.*$""),9,300)"),"4 plaid purple bags, 5 bright red bags, 1 muted white bag, 2 dull fuchsia bags.")</f>
        <v>4 plaid purple bags, 5 bright red bags, 1 muted white bag, 2 dull fuchsia bags.</v>
      </c>
      <c r="G234" s="3" t="str">
        <f>IFERROR(__xludf.DUMMYFUNCTION("INDEX(SPLIT($F234,"",""),COLUMN()-6)"),"4 plaid purple bags")</f>
        <v>4 plaid purple bags</v>
      </c>
      <c r="H234" s="3" t="str">
        <f>IFERROR(__xludf.DUMMYFUNCTION("MID(INDEX(SPLIT($F234,"",""),COLUMN()-6),2,300)"),"5 bright red bags")</f>
        <v>5 bright red bags</v>
      </c>
      <c r="I234" s="3" t="str">
        <f>IFERROR(__xludf.DUMMYFUNCTION("MID(INDEX(SPLIT($F234,"",""),COLUMN()-6),2,300)"),"1 muted white bag")</f>
        <v>1 muted white bag</v>
      </c>
      <c r="J234" s="3" t="str">
        <f>IFERROR(__xludf.DUMMYFUNCTION("MID(INDEX(SPLIT($F234,"",""),COLUMN()-6),2,300)"),"2 dull fuchsia bags.")</f>
        <v>2 dull fuchsia bags.</v>
      </c>
      <c r="K234" s="3">
        <f>IFERROR(__xludf.DUMMYFUNCTION("INDEX(SPLIT(G234,"" ""),1)"),4.0)</f>
        <v>4</v>
      </c>
      <c r="L234" s="3" t="str">
        <f>IFERROR(__xludf.DUMMYFUNCTION("REGEXEXTRACT(G234,"" [^ ]* [^ ]* "")")," plaid purple ")</f>
        <v> plaid purple </v>
      </c>
      <c r="M234" s="3">
        <f>IFERROR(__xludf.DUMMYFUNCTION("INDEX(SPLIT(H234,"" ""),1)"),5.0)</f>
        <v>5</v>
      </c>
      <c r="N234" s="3" t="str">
        <f>IFERROR(__xludf.DUMMYFUNCTION("MID(REGEXEXTRACT(H234,"" [^ ]* [^ ]*""),2,300)"),"bright red")</f>
        <v>bright red</v>
      </c>
      <c r="O234" s="3">
        <f>IFERROR(__xludf.DUMMYFUNCTION("INDEX(SPLIT(I234,"" ""),1)"),1.0)</f>
        <v>1</v>
      </c>
      <c r="P234" s="3" t="str">
        <f>IFERROR(__xludf.DUMMYFUNCTION("MID(REGEXEXTRACT(I234,"" [^ ]* [^ ]*""),2,300)"),"muted white")</f>
        <v>muted white</v>
      </c>
      <c r="Q234" s="3">
        <f>IFERROR(__xludf.DUMMYFUNCTION("INDEX(SPLIT(J234,"" ""),1)"),2.0)</f>
        <v>2</v>
      </c>
      <c r="R234" s="3" t="str">
        <f>IFERROR(__xludf.DUMMYFUNCTION("MID(REGEXEXTRACT(J234,"" [^ ]* [^ ]*""),2,300)"),"dull fuchsia")</f>
        <v>dull fuchsia</v>
      </c>
      <c r="S234" s="3">
        <f t="shared" si="2"/>
        <v>4</v>
      </c>
      <c r="T234" s="3" t="str">
        <f t="shared" si="3"/>
        <v>plaid purple</v>
      </c>
      <c r="U234" s="3">
        <f t="shared" si="4"/>
        <v>5</v>
      </c>
      <c r="V234" s="3" t="str">
        <f t="shared" si="5"/>
        <v>bright red</v>
      </c>
      <c r="W234" s="3">
        <f t="shared" si="6"/>
        <v>1</v>
      </c>
      <c r="X234" s="3" t="str">
        <f t="shared" si="7"/>
        <v>muted white</v>
      </c>
      <c r="Y234" s="3">
        <f t="shared" si="8"/>
        <v>2</v>
      </c>
      <c r="Z234" s="3" t="str">
        <f t="shared" si="9"/>
        <v>dull fuchsia</v>
      </c>
      <c r="AA234" s="13">
        <f t="shared" si="10"/>
        <v>809885371</v>
      </c>
      <c r="AB234" s="3">
        <f t="shared" si="11"/>
        <v>809885370</v>
      </c>
      <c r="AC234" s="3">
        <f t="shared" si="12"/>
        <v>4</v>
      </c>
      <c r="AD234" s="3">
        <f t="shared" si="13"/>
        <v>27231</v>
      </c>
      <c r="AE234" s="3">
        <f t="shared" si="14"/>
        <v>5</v>
      </c>
      <c r="AF234" s="3">
        <f t="shared" si="15"/>
        <v>3162614</v>
      </c>
      <c r="AG234" s="3">
        <f t="shared" si="16"/>
        <v>1</v>
      </c>
      <c r="AH234" s="3">
        <f t="shared" si="17"/>
        <v>2893450</v>
      </c>
      <c r="AI234" s="3">
        <f t="shared" si="18"/>
        <v>2</v>
      </c>
      <c r="AJ234" s="3">
        <f t="shared" si="19"/>
        <v>395534963</v>
      </c>
    </row>
    <row r="235">
      <c r="C235" s="6" t="s">
        <v>235</v>
      </c>
      <c r="D235" s="3">
        <f t="shared" si="1"/>
        <v>0</v>
      </c>
      <c r="E235" s="3" t="str">
        <f>IFERROR(__xludf.DUMMYFUNCTION("REGEXEXTRACT(C235,""[^ ]* [^ ]*"")"),"dull gold")</f>
        <v>dull gold</v>
      </c>
      <c r="F235" s="3" t="str">
        <f>IFERROR(__xludf.DUMMYFUNCTION("MID(REGEXEXTRACT(C235,""contain.*$""),9,300)"),"1 dotted orange bag.")</f>
        <v>1 dotted orange bag.</v>
      </c>
      <c r="G235" s="3" t="str">
        <f>IFERROR(__xludf.DUMMYFUNCTION("INDEX(SPLIT($F235,"",""),COLUMN()-6)"),"1 dotted orange bag.")</f>
        <v>1 dotted orange bag.</v>
      </c>
      <c r="H235" s="3" t="str">
        <f>IFERROR(__xludf.DUMMYFUNCTION("MID(INDEX(SPLIT($F235,"",""),COLUMN()-6),2,300)"),"#REF!")</f>
        <v>#REF!</v>
      </c>
      <c r="I235" s="3" t="str">
        <f>IFERROR(__xludf.DUMMYFUNCTION("MID(INDEX(SPLIT($F235,"",""),COLUMN()-6),2,300)"),"#REF!")</f>
        <v>#REF!</v>
      </c>
      <c r="J235" s="3" t="str">
        <f>IFERROR(__xludf.DUMMYFUNCTION("MID(INDEX(SPLIT($F235,"",""),COLUMN()-6),2,300)"),"#REF!")</f>
        <v>#REF!</v>
      </c>
      <c r="K235" s="3">
        <f>IFERROR(__xludf.DUMMYFUNCTION("INDEX(SPLIT(G235,"" ""),1)"),1.0)</f>
        <v>1</v>
      </c>
      <c r="L235" s="3" t="str">
        <f>IFERROR(__xludf.DUMMYFUNCTION("REGEXEXTRACT(G235,"" [^ ]* [^ ]* "")")," dotted orange ")</f>
        <v> dotted orange </v>
      </c>
      <c r="M235" s="3" t="str">
        <f>IFERROR(__xludf.DUMMYFUNCTION("INDEX(SPLIT(H235,"" ""),1)"),"#REF!")</f>
        <v>#REF!</v>
      </c>
      <c r="N235" s="3" t="str">
        <f>IFERROR(__xludf.DUMMYFUNCTION("MID(REGEXEXTRACT(H235,"" [^ ]* [^ ]*""),2,300)"),"#REF!")</f>
        <v>#REF!</v>
      </c>
      <c r="O235" s="3" t="str">
        <f>IFERROR(__xludf.DUMMYFUNCTION("INDEX(SPLIT(I235,"" ""),1)"),"#REF!")</f>
        <v>#REF!</v>
      </c>
      <c r="P235" s="3" t="str">
        <f>IFERROR(__xludf.DUMMYFUNCTION("MID(REGEXEXTRACT(I235,"" [^ ]* [^ ]*""),2,300)"),"#REF!")</f>
        <v>#REF!</v>
      </c>
      <c r="Q235" s="3" t="str">
        <f>IFERROR(__xludf.DUMMYFUNCTION("INDEX(SPLIT(J235,"" ""),1)"),"#REF!")</f>
        <v>#REF!</v>
      </c>
      <c r="R235" s="3" t="str">
        <f>IFERROR(__xludf.DUMMYFUNCTION("MID(REGEXEXTRACT(J235,"" [^ ]* [^ ]*""),2,300)"),"#REF!")</f>
        <v>#REF!</v>
      </c>
      <c r="S235" s="3">
        <f t="shared" si="2"/>
        <v>1</v>
      </c>
      <c r="T235" s="3" t="str">
        <f t="shared" si="3"/>
        <v>dotted orange</v>
      </c>
      <c r="U235" s="3" t="str">
        <f t="shared" si="4"/>
        <v/>
      </c>
      <c r="V235" s="3" t="str">
        <f t="shared" si="5"/>
        <v/>
      </c>
      <c r="W235" s="3" t="str">
        <f t="shared" si="6"/>
        <v/>
      </c>
      <c r="X235" s="3" t="str">
        <f t="shared" si="7"/>
        <v/>
      </c>
      <c r="Y235" s="3" t="str">
        <f t="shared" si="8"/>
        <v/>
      </c>
      <c r="Z235" s="3" t="str">
        <f t="shared" si="9"/>
        <v/>
      </c>
      <c r="AA235" s="13">
        <f t="shared" si="10"/>
        <v>1781</v>
      </c>
      <c r="AB235" s="3">
        <f t="shared" si="11"/>
        <v>1780</v>
      </c>
      <c r="AC235" s="3">
        <f t="shared" si="12"/>
        <v>1</v>
      </c>
      <c r="AD235" s="3">
        <f t="shared" si="13"/>
        <v>1780</v>
      </c>
      <c r="AE235" s="3" t="str">
        <f t="shared" si="14"/>
        <v/>
      </c>
      <c r="AF235" s="3">
        <f t="shared" si="15"/>
        <v>0</v>
      </c>
      <c r="AG235" s="3" t="str">
        <f t="shared" si="16"/>
        <v/>
      </c>
      <c r="AH235" s="3">
        <f t="shared" si="17"/>
        <v>0</v>
      </c>
      <c r="AI235" s="3" t="str">
        <f t="shared" si="18"/>
        <v/>
      </c>
      <c r="AJ235" s="3">
        <f t="shared" si="19"/>
        <v>0</v>
      </c>
    </row>
    <row r="236">
      <c r="C236" s="6" t="s">
        <v>236</v>
      </c>
      <c r="D236" s="3">
        <f t="shared" si="1"/>
        <v>3</v>
      </c>
      <c r="E236" s="3" t="str">
        <f>IFERROR(__xludf.DUMMYFUNCTION("REGEXEXTRACT(C236,""[^ ]* [^ ]*"")"),"muted olive")</f>
        <v>muted olive</v>
      </c>
      <c r="F236" s="3" t="str">
        <f>IFERROR(__xludf.DUMMYFUNCTION("MID(REGEXEXTRACT(C236,""contain.*$""),9,300)"),"1 clear coral bag, 1 posh magenta bag, 2 bright violet bags, 1 wavy chartreuse bag.")</f>
        <v>1 clear coral bag, 1 posh magenta bag, 2 bright violet bags, 1 wavy chartreuse bag.</v>
      </c>
      <c r="G236" s="3" t="str">
        <f>IFERROR(__xludf.DUMMYFUNCTION("INDEX(SPLIT($F236,"",""),COLUMN()-6)"),"1 clear coral bag")</f>
        <v>1 clear coral bag</v>
      </c>
      <c r="H236" s="3" t="str">
        <f>IFERROR(__xludf.DUMMYFUNCTION("MID(INDEX(SPLIT($F236,"",""),COLUMN()-6),2,300)"),"1 posh magenta bag")</f>
        <v>1 posh magenta bag</v>
      </c>
      <c r="I236" s="3" t="str">
        <f>IFERROR(__xludf.DUMMYFUNCTION("MID(INDEX(SPLIT($F236,"",""),COLUMN()-6),2,300)"),"2 bright violet bags")</f>
        <v>2 bright violet bags</v>
      </c>
      <c r="J236" s="3" t="str">
        <f>IFERROR(__xludf.DUMMYFUNCTION("MID(INDEX(SPLIT($F236,"",""),COLUMN()-6),2,300)"),"1 wavy chartreuse bag.")</f>
        <v>1 wavy chartreuse bag.</v>
      </c>
      <c r="K236" s="3">
        <f>IFERROR(__xludf.DUMMYFUNCTION("INDEX(SPLIT(G236,"" ""),1)"),1.0)</f>
        <v>1</v>
      </c>
      <c r="L236" s="3" t="str">
        <f>IFERROR(__xludf.DUMMYFUNCTION("REGEXEXTRACT(G236,"" [^ ]* [^ ]* "")")," clear coral ")</f>
        <v> clear coral </v>
      </c>
      <c r="M236" s="3">
        <f>IFERROR(__xludf.DUMMYFUNCTION("INDEX(SPLIT(H236,"" ""),1)"),1.0)</f>
        <v>1</v>
      </c>
      <c r="N236" s="3" t="str">
        <f>IFERROR(__xludf.DUMMYFUNCTION("MID(REGEXEXTRACT(H236,"" [^ ]* [^ ]*""),2,300)"),"posh magenta")</f>
        <v>posh magenta</v>
      </c>
      <c r="O236" s="3">
        <f>IFERROR(__xludf.DUMMYFUNCTION("INDEX(SPLIT(I236,"" ""),1)"),2.0)</f>
        <v>2</v>
      </c>
      <c r="P236" s="3" t="str">
        <f>IFERROR(__xludf.DUMMYFUNCTION("MID(REGEXEXTRACT(I236,"" [^ ]* [^ ]*""),2,300)"),"bright violet")</f>
        <v>bright violet</v>
      </c>
      <c r="Q236" s="3">
        <f>IFERROR(__xludf.DUMMYFUNCTION("INDEX(SPLIT(J236,"" ""),1)"),1.0)</f>
        <v>1</v>
      </c>
      <c r="R236" s="3" t="str">
        <f>IFERROR(__xludf.DUMMYFUNCTION("MID(REGEXEXTRACT(J236,"" [^ ]* [^ ]*""),2,300)"),"wavy chartreuse")</f>
        <v>wavy chartreuse</v>
      </c>
      <c r="S236" s="3">
        <f t="shared" si="2"/>
        <v>1</v>
      </c>
      <c r="T236" s="3" t="str">
        <f t="shared" si="3"/>
        <v>clear coral</v>
      </c>
      <c r="U236" s="3">
        <f t="shared" si="4"/>
        <v>1</v>
      </c>
      <c r="V236" s="3" t="str">
        <f t="shared" si="5"/>
        <v>posh magenta</v>
      </c>
      <c r="W236" s="3">
        <f t="shared" si="6"/>
        <v>2</v>
      </c>
      <c r="X236" s="3" t="str">
        <f t="shared" si="7"/>
        <v>bright violet</v>
      </c>
      <c r="Y236" s="3">
        <f t="shared" si="8"/>
        <v>1</v>
      </c>
      <c r="Z236" s="3" t="str">
        <f t="shared" si="9"/>
        <v>wavy chartreuse</v>
      </c>
      <c r="AA236" s="13">
        <f t="shared" si="10"/>
        <v>6</v>
      </c>
      <c r="AB236" s="3">
        <f t="shared" si="11"/>
        <v>5</v>
      </c>
      <c r="AC236" s="3">
        <f t="shared" si="12"/>
        <v>1</v>
      </c>
      <c r="AD236" s="3">
        <f t="shared" si="13"/>
        <v>1</v>
      </c>
      <c r="AE236" s="3">
        <f t="shared" si="14"/>
        <v>1</v>
      </c>
      <c r="AF236" s="3">
        <f t="shared" si="15"/>
        <v>1</v>
      </c>
      <c r="AG236" s="3">
        <f t="shared" si="16"/>
        <v>2</v>
      </c>
      <c r="AH236" s="3">
        <f t="shared" si="17"/>
        <v>1</v>
      </c>
      <c r="AI236" s="3">
        <f t="shared" si="18"/>
        <v>1</v>
      </c>
      <c r="AJ236" s="3">
        <f t="shared" si="19"/>
        <v>1</v>
      </c>
    </row>
    <row r="237">
      <c r="C237" s="6" t="s">
        <v>237</v>
      </c>
      <c r="D237" s="3">
        <f t="shared" si="1"/>
        <v>3</v>
      </c>
      <c r="E237" s="3" t="str">
        <f>IFERROR(__xludf.DUMMYFUNCTION("REGEXEXTRACT(C237,""[^ ]* [^ ]*"")"),"dotted bronze")</f>
        <v>dotted bronze</v>
      </c>
      <c r="F237" s="3" t="str">
        <f>IFERROR(__xludf.DUMMYFUNCTION("MID(REGEXEXTRACT(C237,""contain.*$""),9,300)"),"1 plaid beige bag, 3 clear olive bags, 2 light lime bags, 5 dull beige bags.")</f>
        <v>1 plaid beige bag, 3 clear olive bags, 2 light lime bags, 5 dull beige bags.</v>
      </c>
      <c r="G237" s="3" t="str">
        <f>IFERROR(__xludf.DUMMYFUNCTION("INDEX(SPLIT($F237,"",""),COLUMN()-6)"),"1 plaid beige bag")</f>
        <v>1 plaid beige bag</v>
      </c>
      <c r="H237" s="3" t="str">
        <f>IFERROR(__xludf.DUMMYFUNCTION("MID(INDEX(SPLIT($F237,"",""),COLUMN()-6),2,300)"),"3 clear olive bags")</f>
        <v>3 clear olive bags</v>
      </c>
      <c r="I237" s="3" t="str">
        <f>IFERROR(__xludf.DUMMYFUNCTION("MID(INDEX(SPLIT($F237,"",""),COLUMN()-6),2,300)"),"2 light lime bags")</f>
        <v>2 light lime bags</v>
      </c>
      <c r="J237" s="3" t="str">
        <f>IFERROR(__xludf.DUMMYFUNCTION("MID(INDEX(SPLIT($F237,"",""),COLUMN()-6),2,300)"),"5 dull beige bags.")</f>
        <v>5 dull beige bags.</v>
      </c>
      <c r="K237" s="3">
        <f>IFERROR(__xludf.DUMMYFUNCTION("INDEX(SPLIT(G237,"" ""),1)"),1.0)</f>
        <v>1</v>
      </c>
      <c r="L237" s="3" t="str">
        <f>IFERROR(__xludf.DUMMYFUNCTION("REGEXEXTRACT(G237,"" [^ ]* [^ ]* "")")," plaid beige ")</f>
        <v> plaid beige </v>
      </c>
      <c r="M237" s="3">
        <f>IFERROR(__xludf.DUMMYFUNCTION("INDEX(SPLIT(H237,"" ""),1)"),3.0)</f>
        <v>3</v>
      </c>
      <c r="N237" s="3" t="str">
        <f>IFERROR(__xludf.DUMMYFUNCTION("MID(REGEXEXTRACT(H237,"" [^ ]* [^ ]*""),2,300)"),"clear olive")</f>
        <v>clear olive</v>
      </c>
      <c r="O237" s="3">
        <f>IFERROR(__xludf.DUMMYFUNCTION("INDEX(SPLIT(I237,"" ""),1)"),2.0)</f>
        <v>2</v>
      </c>
      <c r="P237" s="3" t="str">
        <f>IFERROR(__xludf.DUMMYFUNCTION("MID(REGEXEXTRACT(I237,"" [^ ]* [^ ]*""),2,300)"),"light lime")</f>
        <v>light lime</v>
      </c>
      <c r="Q237" s="3">
        <f>IFERROR(__xludf.DUMMYFUNCTION("INDEX(SPLIT(J237,"" ""),1)"),5.0)</f>
        <v>5</v>
      </c>
      <c r="R237" s="3" t="str">
        <f>IFERROR(__xludf.DUMMYFUNCTION("MID(REGEXEXTRACT(J237,"" [^ ]* [^ ]*""),2,300)"),"dull beige")</f>
        <v>dull beige</v>
      </c>
      <c r="S237" s="3">
        <f t="shared" si="2"/>
        <v>1</v>
      </c>
      <c r="T237" s="3" t="str">
        <f t="shared" si="3"/>
        <v>plaid beige</v>
      </c>
      <c r="U237" s="3">
        <f t="shared" si="4"/>
        <v>3</v>
      </c>
      <c r="V237" s="3" t="str">
        <f t="shared" si="5"/>
        <v>clear olive</v>
      </c>
      <c r="W237" s="3">
        <f t="shared" si="6"/>
        <v>2</v>
      </c>
      <c r="X237" s="3" t="str">
        <f t="shared" si="7"/>
        <v>light lime</v>
      </c>
      <c r="Y237" s="3">
        <f t="shared" si="8"/>
        <v>5</v>
      </c>
      <c r="Z237" s="3" t="str">
        <f t="shared" si="9"/>
        <v>dull beige</v>
      </c>
      <c r="AA237" s="13">
        <f t="shared" si="10"/>
        <v>368487937</v>
      </c>
      <c r="AB237" s="3">
        <f t="shared" si="11"/>
        <v>368487936</v>
      </c>
      <c r="AC237" s="3">
        <f t="shared" si="12"/>
        <v>1</v>
      </c>
      <c r="AD237" s="3">
        <f t="shared" si="13"/>
        <v>47706683</v>
      </c>
      <c r="AE237" s="3">
        <f t="shared" si="14"/>
        <v>3</v>
      </c>
      <c r="AF237" s="3">
        <f t="shared" si="15"/>
        <v>2697220</v>
      </c>
      <c r="AG237" s="3">
        <f t="shared" si="16"/>
        <v>2</v>
      </c>
      <c r="AH237" s="3">
        <f t="shared" si="17"/>
        <v>147338859</v>
      </c>
      <c r="AI237" s="3">
        <f t="shared" si="18"/>
        <v>5</v>
      </c>
      <c r="AJ237" s="3">
        <f t="shared" si="19"/>
        <v>3602375</v>
      </c>
    </row>
    <row r="238">
      <c r="C238" s="6" t="s">
        <v>238</v>
      </c>
      <c r="D238" s="3">
        <f t="shared" si="1"/>
        <v>1</v>
      </c>
      <c r="E238" s="3" t="str">
        <f>IFERROR(__xludf.DUMMYFUNCTION("REGEXEXTRACT(C238,""[^ ]* [^ ]*"")"),"shiny orange")</f>
        <v>shiny orange</v>
      </c>
      <c r="F238" s="3" t="str">
        <f>IFERROR(__xludf.DUMMYFUNCTION("MID(REGEXEXTRACT(C238,""contain.*$""),9,300)"),"5 pale brown bags, 5 clear tomato bags.")</f>
        <v>5 pale brown bags, 5 clear tomato bags.</v>
      </c>
      <c r="G238" s="3" t="str">
        <f>IFERROR(__xludf.DUMMYFUNCTION("INDEX(SPLIT($F238,"",""),COLUMN()-6)"),"5 pale brown bags")</f>
        <v>5 pale brown bags</v>
      </c>
      <c r="H238" s="3" t="str">
        <f>IFERROR(__xludf.DUMMYFUNCTION("MID(INDEX(SPLIT($F238,"",""),COLUMN()-6),2,300)"),"5 clear tomato bags.")</f>
        <v>5 clear tomato bags.</v>
      </c>
      <c r="I238" s="3" t="str">
        <f>IFERROR(__xludf.DUMMYFUNCTION("MID(INDEX(SPLIT($F238,"",""),COLUMN()-6),2,300)"),"#REF!")</f>
        <v>#REF!</v>
      </c>
      <c r="J238" s="3" t="str">
        <f>IFERROR(__xludf.DUMMYFUNCTION("MID(INDEX(SPLIT($F238,"",""),COLUMN()-6),2,300)"),"#REF!")</f>
        <v>#REF!</v>
      </c>
      <c r="K238" s="3">
        <f>IFERROR(__xludf.DUMMYFUNCTION("INDEX(SPLIT(G238,"" ""),1)"),5.0)</f>
        <v>5</v>
      </c>
      <c r="L238" s="3" t="str">
        <f>IFERROR(__xludf.DUMMYFUNCTION("REGEXEXTRACT(G238,"" [^ ]* [^ ]* "")")," pale brown ")</f>
        <v> pale brown </v>
      </c>
      <c r="M238" s="3">
        <f>IFERROR(__xludf.DUMMYFUNCTION("INDEX(SPLIT(H238,"" ""),1)"),5.0)</f>
        <v>5</v>
      </c>
      <c r="N238" s="3" t="str">
        <f>IFERROR(__xludf.DUMMYFUNCTION("MID(REGEXEXTRACT(H238,"" [^ ]* [^ ]*""),2,300)"),"clear tomato")</f>
        <v>clear tomato</v>
      </c>
      <c r="O238" s="3" t="str">
        <f>IFERROR(__xludf.DUMMYFUNCTION("INDEX(SPLIT(I238,"" ""),1)"),"#REF!")</f>
        <v>#REF!</v>
      </c>
      <c r="P238" s="3" t="str">
        <f>IFERROR(__xludf.DUMMYFUNCTION("MID(REGEXEXTRACT(I238,"" [^ ]* [^ ]*""),2,300)"),"#REF!")</f>
        <v>#REF!</v>
      </c>
      <c r="Q238" s="3" t="str">
        <f>IFERROR(__xludf.DUMMYFUNCTION("INDEX(SPLIT(J238,"" ""),1)"),"#REF!")</f>
        <v>#REF!</v>
      </c>
      <c r="R238" s="3" t="str">
        <f>IFERROR(__xludf.DUMMYFUNCTION("MID(REGEXEXTRACT(J238,"" [^ ]* [^ ]*""),2,300)"),"#REF!")</f>
        <v>#REF!</v>
      </c>
      <c r="S238" s="3">
        <f t="shared" si="2"/>
        <v>5</v>
      </c>
      <c r="T238" s="3" t="str">
        <f t="shared" si="3"/>
        <v>pale brown</v>
      </c>
      <c r="U238" s="3">
        <f t="shared" si="4"/>
        <v>5</v>
      </c>
      <c r="V238" s="3" t="str">
        <f t="shared" si="5"/>
        <v>clear tomato</v>
      </c>
      <c r="W238" s="3" t="str">
        <f t="shared" si="6"/>
        <v/>
      </c>
      <c r="X238" s="3" t="str">
        <f t="shared" si="7"/>
        <v/>
      </c>
      <c r="Y238" s="3" t="str">
        <f t="shared" si="8"/>
        <v/>
      </c>
      <c r="Z238" s="3" t="str">
        <f t="shared" si="9"/>
        <v/>
      </c>
      <c r="AA238" s="13">
        <f t="shared" si="10"/>
        <v>7514134121</v>
      </c>
      <c r="AB238" s="3">
        <f t="shared" si="11"/>
        <v>7514134120</v>
      </c>
      <c r="AC238" s="3">
        <f t="shared" si="12"/>
        <v>5</v>
      </c>
      <c r="AD238" s="3">
        <f t="shared" si="13"/>
        <v>944486316</v>
      </c>
      <c r="AE238" s="3">
        <f t="shared" si="14"/>
        <v>5</v>
      </c>
      <c r="AF238" s="3">
        <f t="shared" si="15"/>
        <v>558340508</v>
      </c>
      <c r="AG238" s="3" t="str">
        <f t="shared" si="16"/>
        <v/>
      </c>
      <c r="AH238" s="3">
        <f t="shared" si="17"/>
        <v>0</v>
      </c>
      <c r="AI238" s="3" t="str">
        <f t="shared" si="18"/>
        <v/>
      </c>
      <c r="AJ238" s="3">
        <f t="shared" si="19"/>
        <v>0</v>
      </c>
    </row>
    <row r="239">
      <c r="C239" s="6" t="s">
        <v>239</v>
      </c>
      <c r="D239" s="3">
        <f t="shared" si="1"/>
        <v>0</v>
      </c>
      <c r="E239" s="3" t="str">
        <f>IFERROR(__xludf.DUMMYFUNCTION("REGEXEXTRACT(C239,""[^ ]* [^ ]*"")"),"wavy salmon")</f>
        <v>wavy salmon</v>
      </c>
      <c r="F239" s="3" t="str">
        <f>IFERROR(__xludf.DUMMYFUNCTION("MID(REGEXEXTRACT(C239,""contain.*$""),9,300)"),"2 shiny maroon bags.")</f>
        <v>2 shiny maroon bags.</v>
      </c>
      <c r="G239" s="3" t="str">
        <f>IFERROR(__xludf.DUMMYFUNCTION("INDEX(SPLIT($F239,"",""),COLUMN()-6)"),"2 shiny maroon bags.")</f>
        <v>2 shiny maroon bags.</v>
      </c>
      <c r="H239" s="3" t="str">
        <f>IFERROR(__xludf.DUMMYFUNCTION("MID(INDEX(SPLIT($F239,"",""),COLUMN()-6),2,300)"),"#REF!")</f>
        <v>#REF!</v>
      </c>
      <c r="I239" s="3" t="str">
        <f>IFERROR(__xludf.DUMMYFUNCTION("MID(INDEX(SPLIT($F239,"",""),COLUMN()-6),2,300)"),"#REF!")</f>
        <v>#REF!</v>
      </c>
      <c r="J239" s="3" t="str">
        <f>IFERROR(__xludf.DUMMYFUNCTION("MID(INDEX(SPLIT($F239,"",""),COLUMN()-6),2,300)"),"#REF!")</f>
        <v>#REF!</v>
      </c>
      <c r="K239" s="3">
        <f>IFERROR(__xludf.DUMMYFUNCTION("INDEX(SPLIT(G239,"" ""),1)"),2.0)</f>
        <v>2</v>
      </c>
      <c r="L239" s="3" t="str">
        <f>IFERROR(__xludf.DUMMYFUNCTION("REGEXEXTRACT(G239,"" [^ ]* [^ ]* "")")," shiny maroon ")</f>
        <v> shiny maroon </v>
      </c>
      <c r="M239" s="3" t="str">
        <f>IFERROR(__xludf.DUMMYFUNCTION("INDEX(SPLIT(H239,"" ""),1)"),"#REF!")</f>
        <v>#REF!</v>
      </c>
      <c r="N239" s="3" t="str">
        <f>IFERROR(__xludf.DUMMYFUNCTION("MID(REGEXEXTRACT(H239,"" [^ ]* [^ ]*""),2,300)"),"#REF!")</f>
        <v>#REF!</v>
      </c>
      <c r="O239" s="3" t="str">
        <f>IFERROR(__xludf.DUMMYFUNCTION("INDEX(SPLIT(I239,"" ""),1)"),"#REF!")</f>
        <v>#REF!</v>
      </c>
      <c r="P239" s="3" t="str">
        <f>IFERROR(__xludf.DUMMYFUNCTION("MID(REGEXEXTRACT(I239,"" [^ ]* [^ ]*""),2,300)"),"#REF!")</f>
        <v>#REF!</v>
      </c>
      <c r="Q239" s="3" t="str">
        <f>IFERROR(__xludf.DUMMYFUNCTION("INDEX(SPLIT(J239,"" ""),1)"),"#REF!")</f>
        <v>#REF!</v>
      </c>
      <c r="R239" s="3" t="str">
        <f>IFERROR(__xludf.DUMMYFUNCTION("MID(REGEXEXTRACT(J239,"" [^ ]* [^ ]*""),2,300)"),"#REF!")</f>
        <v>#REF!</v>
      </c>
      <c r="S239" s="3">
        <f t="shared" si="2"/>
        <v>2</v>
      </c>
      <c r="T239" s="3" t="str">
        <f t="shared" si="3"/>
        <v>shiny maroon</v>
      </c>
      <c r="U239" s="3" t="str">
        <f t="shared" si="4"/>
        <v/>
      </c>
      <c r="V239" s="3" t="str">
        <f t="shared" si="5"/>
        <v/>
      </c>
      <c r="W239" s="3" t="str">
        <f t="shared" si="6"/>
        <v/>
      </c>
      <c r="X239" s="3" t="str">
        <f t="shared" si="7"/>
        <v/>
      </c>
      <c r="Y239" s="3" t="str">
        <f t="shared" si="8"/>
        <v/>
      </c>
      <c r="Z239" s="3" t="str">
        <f t="shared" si="9"/>
        <v/>
      </c>
      <c r="AA239" s="13">
        <f t="shared" si="10"/>
        <v>1114045</v>
      </c>
      <c r="AB239" s="3">
        <f t="shared" si="11"/>
        <v>1114044</v>
      </c>
      <c r="AC239" s="3">
        <f t="shared" si="12"/>
        <v>2</v>
      </c>
      <c r="AD239" s="3">
        <f t="shared" si="13"/>
        <v>557022</v>
      </c>
      <c r="AE239" s="3" t="str">
        <f t="shared" si="14"/>
        <v/>
      </c>
      <c r="AF239" s="3">
        <f t="shared" si="15"/>
        <v>0</v>
      </c>
      <c r="AG239" s="3" t="str">
        <f t="shared" si="16"/>
        <v/>
      </c>
      <c r="AH239" s="3">
        <f t="shared" si="17"/>
        <v>0</v>
      </c>
      <c r="AI239" s="3" t="str">
        <f t="shared" si="18"/>
        <v/>
      </c>
      <c r="AJ239" s="3">
        <f t="shared" si="19"/>
        <v>0</v>
      </c>
    </row>
    <row r="240">
      <c r="C240" s="6" t="s">
        <v>240</v>
      </c>
      <c r="D240" s="3">
        <f t="shared" si="1"/>
        <v>1</v>
      </c>
      <c r="E240" s="3" t="str">
        <f>IFERROR(__xludf.DUMMYFUNCTION("REGEXEXTRACT(C240,""[^ ]* [^ ]*"")"),"wavy crimson")</f>
        <v>wavy crimson</v>
      </c>
      <c r="F240" s="3" t="str">
        <f>IFERROR(__xludf.DUMMYFUNCTION("MID(REGEXEXTRACT(C240,""contain.*$""),9,300)"),"5 bright violet bags, 3 plaid violet bags.")</f>
        <v>5 bright violet bags, 3 plaid violet bags.</v>
      </c>
      <c r="G240" s="3" t="str">
        <f>IFERROR(__xludf.DUMMYFUNCTION("INDEX(SPLIT($F240,"",""),COLUMN()-6)"),"5 bright violet bags")</f>
        <v>5 bright violet bags</v>
      </c>
      <c r="H240" s="3" t="str">
        <f>IFERROR(__xludf.DUMMYFUNCTION("MID(INDEX(SPLIT($F240,"",""),COLUMN()-6),2,300)"),"3 plaid violet bags.")</f>
        <v>3 plaid violet bags.</v>
      </c>
      <c r="I240" s="3" t="str">
        <f>IFERROR(__xludf.DUMMYFUNCTION("MID(INDEX(SPLIT($F240,"",""),COLUMN()-6),2,300)"),"#REF!")</f>
        <v>#REF!</v>
      </c>
      <c r="J240" s="3" t="str">
        <f>IFERROR(__xludf.DUMMYFUNCTION("MID(INDEX(SPLIT($F240,"",""),COLUMN()-6),2,300)"),"#REF!")</f>
        <v>#REF!</v>
      </c>
      <c r="K240" s="3">
        <f>IFERROR(__xludf.DUMMYFUNCTION("INDEX(SPLIT(G240,"" ""),1)"),5.0)</f>
        <v>5</v>
      </c>
      <c r="L240" s="3" t="str">
        <f>IFERROR(__xludf.DUMMYFUNCTION("REGEXEXTRACT(G240,"" [^ ]* [^ ]* "")")," bright violet ")</f>
        <v> bright violet </v>
      </c>
      <c r="M240" s="3">
        <f>IFERROR(__xludf.DUMMYFUNCTION("INDEX(SPLIT(H240,"" ""),1)"),3.0)</f>
        <v>3</v>
      </c>
      <c r="N240" s="3" t="str">
        <f>IFERROR(__xludf.DUMMYFUNCTION("MID(REGEXEXTRACT(H240,"" [^ ]* [^ ]*""),2,300)"),"plaid violet")</f>
        <v>plaid violet</v>
      </c>
      <c r="O240" s="3" t="str">
        <f>IFERROR(__xludf.DUMMYFUNCTION("INDEX(SPLIT(I240,"" ""),1)"),"#REF!")</f>
        <v>#REF!</v>
      </c>
      <c r="P240" s="3" t="str">
        <f>IFERROR(__xludf.DUMMYFUNCTION("MID(REGEXEXTRACT(I240,"" [^ ]* [^ ]*""),2,300)"),"#REF!")</f>
        <v>#REF!</v>
      </c>
      <c r="Q240" s="3" t="str">
        <f>IFERROR(__xludf.DUMMYFUNCTION("INDEX(SPLIT(J240,"" ""),1)"),"#REF!")</f>
        <v>#REF!</v>
      </c>
      <c r="R240" s="3" t="str">
        <f>IFERROR(__xludf.DUMMYFUNCTION("MID(REGEXEXTRACT(J240,"" [^ ]* [^ ]*""),2,300)"),"#REF!")</f>
        <v>#REF!</v>
      </c>
      <c r="S240" s="3">
        <f t="shared" si="2"/>
        <v>5</v>
      </c>
      <c r="T240" s="3" t="str">
        <f t="shared" si="3"/>
        <v>bright violet</v>
      </c>
      <c r="U240" s="3">
        <f t="shared" si="4"/>
        <v>3</v>
      </c>
      <c r="V240" s="3" t="str">
        <f t="shared" si="5"/>
        <v>plaid violet</v>
      </c>
      <c r="W240" s="3" t="str">
        <f t="shared" si="6"/>
        <v/>
      </c>
      <c r="X240" s="3" t="str">
        <f t="shared" si="7"/>
        <v/>
      </c>
      <c r="Y240" s="3" t="str">
        <f t="shared" si="8"/>
        <v/>
      </c>
      <c r="Z240" s="3" t="str">
        <f t="shared" si="9"/>
        <v/>
      </c>
      <c r="AA240" s="13">
        <f t="shared" si="10"/>
        <v>75933549</v>
      </c>
      <c r="AB240" s="3">
        <f t="shared" si="11"/>
        <v>75933548</v>
      </c>
      <c r="AC240" s="3">
        <f t="shared" si="12"/>
        <v>5</v>
      </c>
      <c r="AD240" s="3">
        <f t="shared" si="13"/>
        <v>1</v>
      </c>
      <c r="AE240" s="3">
        <f t="shared" si="14"/>
        <v>3</v>
      </c>
      <c r="AF240" s="3">
        <f t="shared" si="15"/>
        <v>25311181</v>
      </c>
      <c r="AG240" s="3" t="str">
        <f t="shared" si="16"/>
        <v/>
      </c>
      <c r="AH240" s="3">
        <f t="shared" si="17"/>
        <v>0</v>
      </c>
      <c r="AI240" s="3" t="str">
        <f t="shared" si="18"/>
        <v/>
      </c>
      <c r="AJ240" s="3">
        <f t="shared" si="19"/>
        <v>0</v>
      </c>
    </row>
    <row r="241">
      <c r="C241" s="6" t="s">
        <v>241</v>
      </c>
      <c r="D241" s="3">
        <f t="shared" si="1"/>
        <v>2</v>
      </c>
      <c r="E241" s="3" t="str">
        <f>IFERROR(__xludf.DUMMYFUNCTION("REGEXEXTRACT(C241,""[^ ]* [^ ]*"")"),"bright coral")</f>
        <v>bright coral</v>
      </c>
      <c r="F241" s="3" t="str">
        <f>IFERROR(__xludf.DUMMYFUNCTION("MID(REGEXEXTRACT(C241,""contain.*$""),9,300)"),"1 dull bronze bag, 5 dotted gold bags, 1 posh gray bag.")</f>
        <v>1 dull bronze bag, 5 dotted gold bags, 1 posh gray bag.</v>
      </c>
      <c r="G241" s="3" t="str">
        <f>IFERROR(__xludf.DUMMYFUNCTION("INDEX(SPLIT($F241,"",""),COLUMN()-6)"),"1 dull bronze bag")</f>
        <v>1 dull bronze bag</v>
      </c>
      <c r="H241" s="3" t="str">
        <f>IFERROR(__xludf.DUMMYFUNCTION("MID(INDEX(SPLIT($F241,"",""),COLUMN()-6),2,300)"),"5 dotted gold bags")</f>
        <v>5 dotted gold bags</v>
      </c>
      <c r="I241" s="3" t="str">
        <f>IFERROR(__xludf.DUMMYFUNCTION("MID(INDEX(SPLIT($F241,"",""),COLUMN()-6),2,300)"),"1 posh gray bag.")</f>
        <v>1 posh gray bag.</v>
      </c>
      <c r="J241" s="3" t="str">
        <f>IFERROR(__xludf.DUMMYFUNCTION("MID(INDEX(SPLIT($F241,"",""),COLUMN()-6),2,300)"),"#REF!")</f>
        <v>#REF!</v>
      </c>
      <c r="K241" s="3">
        <f>IFERROR(__xludf.DUMMYFUNCTION("INDEX(SPLIT(G241,"" ""),1)"),1.0)</f>
        <v>1</v>
      </c>
      <c r="L241" s="3" t="str">
        <f>IFERROR(__xludf.DUMMYFUNCTION("REGEXEXTRACT(G241,"" [^ ]* [^ ]* "")")," dull bronze ")</f>
        <v> dull bronze </v>
      </c>
      <c r="M241" s="3">
        <f>IFERROR(__xludf.DUMMYFUNCTION("INDEX(SPLIT(H241,"" ""),1)"),5.0)</f>
        <v>5</v>
      </c>
      <c r="N241" s="3" t="str">
        <f>IFERROR(__xludf.DUMMYFUNCTION("MID(REGEXEXTRACT(H241,"" [^ ]* [^ ]*""),2,300)"),"dotted gold")</f>
        <v>dotted gold</v>
      </c>
      <c r="O241" s="3">
        <f>IFERROR(__xludf.DUMMYFUNCTION("INDEX(SPLIT(I241,"" ""),1)"),1.0)</f>
        <v>1</v>
      </c>
      <c r="P241" s="3" t="str">
        <f>IFERROR(__xludf.DUMMYFUNCTION("MID(REGEXEXTRACT(I241,"" [^ ]* [^ ]*""),2,300)"),"posh gray")</f>
        <v>posh gray</v>
      </c>
      <c r="Q241" s="3" t="str">
        <f>IFERROR(__xludf.DUMMYFUNCTION("INDEX(SPLIT(J241,"" ""),1)"),"#REF!")</f>
        <v>#REF!</v>
      </c>
      <c r="R241" s="3" t="str">
        <f>IFERROR(__xludf.DUMMYFUNCTION("MID(REGEXEXTRACT(J241,"" [^ ]* [^ ]*""),2,300)"),"#REF!")</f>
        <v>#REF!</v>
      </c>
      <c r="S241" s="3">
        <f t="shared" si="2"/>
        <v>1</v>
      </c>
      <c r="T241" s="3" t="str">
        <f t="shared" si="3"/>
        <v>dull bronze</v>
      </c>
      <c r="U241" s="3">
        <f t="shared" si="4"/>
        <v>5</v>
      </c>
      <c r="V241" s="3" t="str">
        <f t="shared" si="5"/>
        <v>dotted gold</v>
      </c>
      <c r="W241" s="3">
        <f t="shared" si="6"/>
        <v>1</v>
      </c>
      <c r="X241" s="3" t="str">
        <f t="shared" si="7"/>
        <v>posh gray</v>
      </c>
      <c r="Y241" s="3" t="str">
        <f t="shared" si="8"/>
        <v/>
      </c>
      <c r="Z241" s="3" t="str">
        <f t="shared" si="9"/>
        <v/>
      </c>
      <c r="AA241" s="13">
        <f t="shared" si="10"/>
        <v>61909</v>
      </c>
      <c r="AB241" s="3">
        <f t="shared" si="11"/>
        <v>61908</v>
      </c>
      <c r="AC241" s="3">
        <f t="shared" si="12"/>
        <v>1</v>
      </c>
      <c r="AD241" s="3">
        <f t="shared" si="13"/>
        <v>36381</v>
      </c>
      <c r="AE241" s="3">
        <f t="shared" si="14"/>
        <v>5</v>
      </c>
      <c r="AF241" s="3">
        <f t="shared" si="15"/>
        <v>10</v>
      </c>
      <c r="AG241" s="3">
        <f t="shared" si="16"/>
        <v>1</v>
      </c>
      <c r="AH241" s="3">
        <f t="shared" si="17"/>
        <v>25477</v>
      </c>
      <c r="AI241" s="3" t="str">
        <f t="shared" si="18"/>
        <v/>
      </c>
      <c r="AJ241" s="3">
        <f t="shared" si="19"/>
        <v>0</v>
      </c>
    </row>
    <row r="242">
      <c r="C242" s="6" t="s">
        <v>242</v>
      </c>
      <c r="D242" s="3">
        <f t="shared" si="1"/>
        <v>1</v>
      </c>
      <c r="E242" s="3" t="str">
        <f>IFERROR(__xludf.DUMMYFUNCTION("REGEXEXTRACT(C242,""[^ ]* [^ ]*"")"),"dotted crimson")</f>
        <v>dotted crimson</v>
      </c>
      <c r="F242" s="3" t="str">
        <f>IFERROR(__xludf.DUMMYFUNCTION("MID(REGEXEXTRACT(C242,""contain.*$""),9,300)"),"2 posh magenta bags, 4 mirrored white bags.")</f>
        <v>2 posh magenta bags, 4 mirrored white bags.</v>
      </c>
      <c r="G242" s="3" t="str">
        <f>IFERROR(__xludf.DUMMYFUNCTION("INDEX(SPLIT($F242,"",""),COLUMN()-6)"),"2 posh magenta bags")</f>
        <v>2 posh magenta bags</v>
      </c>
      <c r="H242" s="3" t="str">
        <f>IFERROR(__xludf.DUMMYFUNCTION("MID(INDEX(SPLIT($F242,"",""),COLUMN()-6),2,300)"),"4 mirrored white bags.")</f>
        <v>4 mirrored white bags.</v>
      </c>
      <c r="I242" s="3" t="str">
        <f>IFERROR(__xludf.DUMMYFUNCTION("MID(INDEX(SPLIT($F242,"",""),COLUMN()-6),2,300)"),"#REF!")</f>
        <v>#REF!</v>
      </c>
      <c r="J242" s="3" t="str">
        <f>IFERROR(__xludf.DUMMYFUNCTION("MID(INDEX(SPLIT($F242,"",""),COLUMN()-6),2,300)"),"#REF!")</f>
        <v>#REF!</v>
      </c>
      <c r="K242" s="3">
        <f>IFERROR(__xludf.DUMMYFUNCTION("INDEX(SPLIT(G242,"" ""),1)"),2.0)</f>
        <v>2</v>
      </c>
      <c r="L242" s="3" t="str">
        <f>IFERROR(__xludf.DUMMYFUNCTION("REGEXEXTRACT(G242,"" [^ ]* [^ ]* "")")," posh magenta ")</f>
        <v> posh magenta </v>
      </c>
      <c r="M242" s="3">
        <f>IFERROR(__xludf.DUMMYFUNCTION("INDEX(SPLIT(H242,"" ""),1)"),4.0)</f>
        <v>4</v>
      </c>
      <c r="N242" s="3" t="str">
        <f>IFERROR(__xludf.DUMMYFUNCTION("MID(REGEXEXTRACT(H242,"" [^ ]* [^ ]*""),2,300)"),"mirrored white")</f>
        <v>mirrored white</v>
      </c>
      <c r="O242" s="3" t="str">
        <f>IFERROR(__xludf.DUMMYFUNCTION("INDEX(SPLIT(I242,"" ""),1)"),"#REF!")</f>
        <v>#REF!</v>
      </c>
      <c r="P242" s="3" t="str">
        <f>IFERROR(__xludf.DUMMYFUNCTION("MID(REGEXEXTRACT(I242,"" [^ ]* [^ ]*""),2,300)"),"#REF!")</f>
        <v>#REF!</v>
      </c>
      <c r="Q242" s="3" t="str">
        <f>IFERROR(__xludf.DUMMYFUNCTION("INDEX(SPLIT(J242,"" ""),1)"),"#REF!")</f>
        <v>#REF!</v>
      </c>
      <c r="R242" s="3" t="str">
        <f>IFERROR(__xludf.DUMMYFUNCTION("MID(REGEXEXTRACT(J242,"" [^ ]* [^ ]*""),2,300)"),"#REF!")</f>
        <v>#REF!</v>
      </c>
      <c r="S242" s="3">
        <f t="shared" si="2"/>
        <v>2</v>
      </c>
      <c r="T242" s="3" t="str">
        <f t="shared" si="3"/>
        <v>posh magenta</v>
      </c>
      <c r="U242" s="3">
        <f t="shared" si="4"/>
        <v>4</v>
      </c>
      <c r="V242" s="3" t="str">
        <f t="shared" si="5"/>
        <v>mirrored white</v>
      </c>
      <c r="W242" s="3" t="str">
        <f t="shared" si="6"/>
        <v/>
      </c>
      <c r="X242" s="3" t="str">
        <f t="shared" si="7"/>
        <v/>
      </c>
      <c r="Y242" s="3" t="str">
        <f t="shared" si="8"/>
        <v/>
      </c>
      <c r="Z242" s="3" t="str">
        <f t="shared" si="9"/>
        <v/>
      </c>
      <c r="AA242" s="13">
        <f t="shared" si="10"/>
        <v>1279</v>
      </c>
      <c r="AB242" s="3">
        <f t="shared" si="11"/>
        <v>1278</v>
      </c>
      <c r="AC242" s="3">
        <f t="shared" si="12"/>
        <v>2</v>
      </c>
      <c r="AD242" s="3">
        <f t="shared" si="13"/>
        <v>1</v>
      </c>
      <c r="AE242" s="3">
        <f t="shared" si="14"/>
        <v>4</v>
      </c>
      <c r="AF242" s="3">
        <f t="shared" si="15"/>
        <v>319</v>
      </c>
      <c r="AG242" s="3" t="str">
        <f t="shared" si="16"/>
        <v/>
      </c>
      <c r="AH242" s="3">
        <f t="shared" si="17"/>
        <v>0</v>
      </c>
      <c r="AI242" s="3" t="str">
        <f t="shared" si="18"/>
        <v/>
      </c>
      <c r="AJ242" s="3">
        <f t="shared" si="19"/>
        <v>0</v>
      </c>
    </row>
    <row r="243">
      <c r="C243" s="6" t="s">
        <v>243</v>
      </c>
      <c r="D243" s="3">
        <f t="shared" si="1"/>
        <v>0</v>
      </c>
      <c r="E243" s="3" t="str">
        <f>IFERROR(__xludf.DUMMYFUNCTION("REGEXEXTRACT(C243,""[^ ]* [^ ]*"")"),"bright violet")</f>
        <v>bright violet</v>
      </c>
      <c r="F243" s="3" t="str">
        <f>IFERROR(__xludf.DUMMYFUNCTION("MID(REGEXEXTRACT(C243,""contain.*$""),9,300)"),"no other bags.")</f>
        <v>no other bags.</v>
      </c>
      <c r="G243" s="3" t="str">
        <f>IFERROR(__xludf.DUMMYFUNCTION("INDEX(SPLIT($F243,"",""),COLUMN()-6)"),"no other bags.")</f>
        <v>no other bags.</v>
      </c>
      <c r="H243" s="3" t="str">
        <f>IFERROR(__xludf.DUMMYFUNCTION("MID(INDEX(SPLIT($F243,"",""),COLUMN()-6),2,300)"),"#REF!")</f>
        <v>#REF!</v>
      </c>
      <c r="I243" s="3" t="str">
        <f>IFERROR(__xludf.DUMMYFUNCTION("MID(INDEX(SPLIT($F243,"",""),COLUMN()-6),2,300)"),"#REF!")</f>
        <v>#REF!</v>
      </c>
      <c r="J243" s="3" t="str">
        <f>IFERROR(__xludf.DUMMYFUNCTION("MID(INDEX(SPLIT($F243,"",""),COLUMN()-6),2,300)"),"#REF!")</f>
        <v>#REF!</v>
      </c>
      <c r="K243" s="3" t="str">
        <f>IFERROR(__xludf.DUMMYFUNCTION("INDEX(SPLIT(G243,"" ""),1)"),"no")</f>
        <v>no</v>
      </c>
      <c r="L243" s="3" t="str">
        <f>IFERROR(__xludf.DUMMYFUNCTION("REGEXEXTRACT(G243,"" [^ ]* [^ ]* "")"),"#N/A")</f>
        <v>#N/A</v>
      </c>
      <c r="M243" s="3" t="str">
        <f>IFERROR(__xludf.DUMMYFUNCTION("INDEX(SPLIT(H243,"" ""),1)"),"#REF!")</f>
        <v>#REF!</v>
      </c>
      <c r="N243" s="3" t="str">
        <f>IFERROR(__xludf.DUMMYFUNCTION("MID(REGEXEXTRACT(H243,"" [^ ]* [^ ]*""),2,300)"),"#REF!")</f>
        <v>#REF!</v>
      </c>
      <c r="O243" s="3" t="str">
        <f>IFERROR(__xludf.DUMMYFUNCTION("INDEX(SPLIT(I243,"" ""),1)"),"#REF!")</f>
        <v>#REF!</v>
      </c>
      <c r="P243" s="3" t="str">
        <f>IFERROR(__xludf.DUMMYFUNCTION("MID(REGEXEXTRACT(I243,"" [^ ]* [^ ]*""),2,300)"),"#REF!")</f>
        <v>#REF!</v>
      </c>
      <c r="Q243" s="3" t="str">
        <f>IFERROR(__xludf.DUMMYFUNCTION("INDEX(SPLIT(J243,"" ""),1)"),"#REF!")</f>
        <v>#REF!</v>
      </c>
      <c r="R243" s="3" t="str">
        <f>IFERROR(__xludf.DUMMYFUNCTION("MID(REGEXEXTRACT(J243,"" [^ ]* [^ ]*""),2,300)"),"#REF!")</f>
        <v>#REF!</v>
      </c>
      <c r="S243" s="3" t="str">
        <f t="shared" si="2"/>
        <v/>
      </c>
      <c r="T243" s="3" t="str">
        <f t="shared" si="3"/>
        <v/>
      </c>
      <c r="U243" s="3" t="str">
        <f t="shared" si="4"/>
        <v/>
      </c>
      <c r="V243" s="3" t="str">
        <f t="shared" si="5"/>
        <v/>
      </c>
      <c r="W243" s="3" t="str">
        <f t="shared" si="6"/>
        <v/>
      </c>
      <c r="X243" s="3" t="str">
        <f t="shared" si="7"/>
        <v/>
      </c>
      <c r="Y243" s="3" t="str">
        <f t="shared" si="8"/>
        <v/>
      </c>
      <c r="Z243" s="3" t="str">
        <f t="shared" si="9"/>
        <v/>
      </c>
      <c r="AA243" s="13">
        <f t="shared" si="10"/>
        <v>1</v>
      </c>
      <c r="AB243" s="3">
        <f t="shared" si="11"/>
        <v>0</v>
      </c>
      <c r="AC243" s="3" t="str">
        <f t="shared" si="12"/>
        <v/>
      </c>
      <c r="AD243" s="3">
        <f t="shared" si="13"/>
        <v>0</v>
      </c>
      <c r="AE243" s="3" t="str">
        <f t="shared" si="14"/>
        <v/>
      </c>
      <c r="AF243" s="3">
        <f t="shared" si="15"/>
        <v>0</v>
      </c>
      <c r="AG243" s="3" t="str">
        <f t="shared" si="16"/>
        <v/>
      </c>
      <c r="AH243" s="3">
        <f t="shared" si="17"/>
        <v>0</v>
      </c>
      <c r="AI243" s="3" t="str">
        <f t="shared" si="18"/>
        <v/>
      </c>
      <c r="AJ243" s="3">
        <f t="shared" si="19"/>
        <v>0</v>
      </c>
    </row>
    <row r="244">
      <c r="C244" s="6" t="s">
        <v>244</v>
      </c>
      <c r="D244" s="3">
        <f t="shared" si="1"/>
        <v>2</v>
      </c>
      <c r="E244" s="3" t="str">
        <f>IFERROR(__xludf.DUMMYFUNCTION("REGEXEXTRACT(C244,""[^ ]* [^ ]*"")"),"drab blue")</f>
        <v>drab blue</v>
      </c>
      <c r="F244" s="3" t="str">
        <f>IFERROR(__xludf.DUMMYFUNCTION("MID(REGEXEXTRACT(C244,""contain.*$""),9,300)"),"5 shiny gold bags, 1 shiny brown bag, 4 dark silver bags.")</f>
        <v>5 shiny gold bags, 1 shiny brown bag, 4 dark silver bags.</v>
      </c>
      <c r="G244" s="3" t="str">
        <f>IFERROR(__xludf.DUMMYFUNCTION("INDEX(SPLIT($F244,"",""),COLUMN()-6)"),"5 shiny gold bags")</f>
        <v>5 shiny gold bags</v>
      </c>
      <c r="H244" s="3" t="str">
        <f>IFERROR(__xludf.DUMMYFUNCTION("MID(INDEX(SPLIT($F244,"",""),COLUMN()-6),2,300)"),"1 shiny brown bag")</f>
        <v>1 shiny brown bag</v>
      </c>
      <c r="I244" s="3" t="str">
        <f>IFERROR(__xludf.DUMMYFUNCTION("MID(INDEX(SPLIT($F244,"",""),COLUMN()-6),2,300)"),"4 dark silver bags.")</f>
        <v>4 dark silver bags.</v>
      </c>
      <c r="J244" s="3" t="str">
        <f>IFERROR(__xludf.DUMMYFUNCTION("MID(INDEX(SPLIT($F244,"",""),COLUMN()-6),2,300)"),"#REF!")</f>
        <v>#REF!</v>
      </c>
      <c r="K244" s="3">
        <f>IFERROR(__xludf.DUMMYFUNCTION("INDEX(SPLIT(G244,"" ""),1)"),5.0)</f>
        <v>5</v>
      </c>
      <c r="L244" s="3" t="str">
        <f>IFERROR(__xludf.DUMMYFUNCTION("REGEXEXTRACT(G244,"" [^ ]* [^ ]* "")")," shiny gold ")</f>
        <v> shiny gold </v>
      </c>
      <c r="M244" s="3">
        <f>IFERROR(__xludf.DUMMYFUNCTION("INDEX(SPLIT(H244,"" ""),1)"),1.0)</f>
        <v>1</v>
      </c>
      <c r="N244" s="3" t="str">
        <f>IFERROR(__xludf.DUMMYFUNCTION("MID(REGEXEXTRACT(H244,"" [^ ]* [^ ]*""),2,300)"),"shiny brown")</f>
        <v>shiny brown</v>
      </c>
      <c r="O244" s="3">
        <f>IFERROR(__xludf.DUMMYFUNCTION("INDEX(SPLIT(I244,"" ""),1)"),4.0)</f>
        <v>4</v>
      </c>
      <c r="P244" s="3" t="str">
        <f>IFERROR(__xludf.DUMMYFUNCTION("MID(REGEXEXTRACT(I244,"" [^ ]* [^ ]*""),2,300)"),"dark silver")</f>
        <v>dark silver</v>
      </c>
      <c r="Q244" s="3" t="str">
        <f>IFERROR(__xludf.DUMMYFUNCTION("INDEX(SPLIT(J244,"" ""),1)"),"#REF!")</f>
        <v>#REF!</v>
      </c>
      <c r="R244" s="3" t="str">
        <f>IFERROR(__xludf.DUMMYFUNCTION("MID(REGEXEXTRACT(J244,"" [^ ]* [^ ]*""),2,300)"),"#REF!")</f>
        <v>#REF!</v>
      </c>
      <c r="S244" s="3">
        <f t="shared" si="2"/>
        <v>5</v>
      </c>
      <c r="T244" s="3" t="str">
        <f t="shared" si="3"/>
        <v>shiny gold</v>
      </c>
      <c r="U244" s="3">
        <f t="shared" si="4"/>
        <v>1</v>
      </c>
      <c r="V244" s="3" t="str">
        <f t="shared" si="5"/>
        <v>shiny brown</v>
      </c>
      <c r="W244" s="3">
        <f t="shared" si="6"/>
        <v>4</v>
      </c>
      <c r="X244" s="3" t="str">
        <f t="shared" si="7"/>
        <v>dark silver</v>
      </c>
      <c r="Y244" s="3" t="str">
        <f t="shared" si="8"/>
        <v/>
      </c>
      <c r="Z244" s="3" t="str">
        <f t="shared" si="9"/>
        <v/>
      </c>
      <c r="AA244" s="13">
        <f t="shared" si="10"/>
        <v>4063778819</v>
      </c>
      <c r="AB244" s="3">
        <f t="shared" si="11"/>
        <v>4063778818</v>
      </c>
      <c r="AC244" s="3">
        <f t="shared" si="12"/>
        <v>5</v>
      </c>
      <c r="AD244" s="3">
        <f t="shared" si="13"/>
        <v>12129</v>
      </c>
      <c r="AE244" s="3">
        <f t="shared" si="14"/>
        <v>1</v>
      </c>
      <c r="AF244" s="3">
        <f t="shared" si="15"/>
        <v>3479893</v>
      </c>
      <c r="AG244" s="3">
        <f t="shared" si="16"/>
        <v>4</v>
      </c>
      <c r="AH244" s="3">
        <f t="shared" si="17"/>
        <v>1015059570</v>
      </c>
      <c r="AI244" s="3" t="str">
        <f t="shared" si="18"/>
        <v/>
      </c>
      <c r="AJ244" s="3">
        <f t="shared" si="19"/>
        <v>0</v>
      </c>
    </row>
    <row r="245">
      <c r="C245" s="6" t="s">
        <v>245</v>
      </c>
      <c r="D245" s="3">
        <f t="shared" si="1"/>
        <v>3</v>
      </c>
      <c r="E245" s="3" t="str">
        <f>IFERROR(__xludf.DUMMYFUNCTION("REGEXEXTRACT(C245,""[^ ]* [^ ]*"")"),"posh salmon")</f>
        <v>posh salmon</v>
      </c>
      <c r="F245" s="3" t="str">
        <f>IFERROR(__xludf.DUMMYFUNCTION("MID(REGEXEXTRACT(C245,""contain.*$""),9,300)"),"4 dim purple bags, 1 striped lime bag, 1 muted gray bag, 2 drab gold bags.")</f>
        <v>4 dim purple bags, 1 striped lime bag, 1 muted gray bag, 2 drab gold bags.</v>
      </c>
      <c r="G245" s="3" t="str">
        <f>IFERROR(__xludf.DUMMYFUNCTION("INDEX(SPLIT($F245,"",""),COLUMN()-6)"),"4 dim purple bags")</f>
        <v>4 dim purple bags</v>
      </c>
      <c r="H245" s="3" t="str">
        <f>IFERROR(__xludf.DUMMYFUNCTION("MID(INDEX(SPLIT($F245,"",""),COLUMN()-6),2,300)"),"1 striped lime bag")</f>
        <v>1 striped lime bag</v>
      </c>
      <c r="I245" s="3" t="str">
        <f>IFERROR(__xludf.DUMMYFUNCTION("MID(INDEX(SPLIT($F245,"",""),COLUMN()-6),2,300)"),"1 muted gray bag")</f>
        <v>1 muted gray bag</v>
      </c>
      <c r="J245" s="3" t="str">
        <f>IFERROR(__xludf.DUMMYFUNCTION("MID(INDEX(SPLIT($F245,"",""),COLUMN()-6),2,300)"),"2 drab gold bags.")</f>
        <v>2 drab gold bags.</v>
      </c>
      <c r="K245" s="3">
        <f>IFERROR(__xludf.DUMMYFUNCTION("INDEX(SPLIT(G245,"" ""),1)"),4.0)</f>
        <v>4</v>
      </c>
      <c r="L245" s="3" t="str">
        <f>IFERROR(__xludf.DUMMYFUNCTION("REGEXEXTRACT(G245,"" [^ ]* [^ ]* "")")," dim purple ")</f>
        <v> dim purple </v>
      </c>
      <c r="M245" s="3">
        <f>IFERROR(__xludf.DUMMYFUNCTION("INDEX(SPLIT(H245,"" ""),1)"),1.0)</f>
        <v>1</v>
      </c>
      <c r="N245" s="3" t="str">
        <f>IFERROR(__xludf.DUMMYFUNCTION("MID(REGEXEXTRACT(H245,"" [^ ]* [^ ]*""),2,300)"),"striped lime")</f>
        <v>striped lime</v>
      </c>
      <c r="O245" s="3">
        <f>IFERROR(__xludf.DUMMYFUNCTION("INDEX(SPLIT(I245,"" ""),1)"),1.0)</f>
        <v>1</v>
      </c>
      <c r="P245" s="3" t="str">
        <f>IFERROR(__xludf.DUMMYFUNCTION("MID(REGEXEXTRACT(I245,"" [^ ]* [^ ]*""),2,300)"),"muted gray")</f>
        <v>muted gray</v>
      </c>
      <c r="Q245" s="3">
        <f>IFERROR(__xludf.DUMMYFUNCTION("INDEX(SPLIT(J245,"" ""),1)"),2.0)</f>
        <v>2</v>
      </c>
      <c r="R245" s="3" t="str">
        <f>IFERROR(__xludf.DUMMYFUNCTION("MID(REGEXEXTRACT(J245,"" [^ ]* [^ ]*""),2,300)"),"drab gold")</f>
        <v>drab gold</v>
      </c>
      <c r="S245" s="3">
        <f t="shared" si="2"/>
        <v>4</v>
      </c>
      <c r="T245" s="3" t="str">
        <f t="shared" si="3"/>
        <v>dim purple</v>
      </c>
      <c r="U245" s="3">
        <f t="shared" si="4"/>
        <v>1</v>
      </c>
      <c r="V245" s="3" t="str">
        <f t="shared" si="5"/>
        <v>striped lime</v>
      </c>
      <c r="W245" s="3">
        <f t="shared" si="6"/>
        <v>1</v>
      </c>
      <c r="X245" s="3" t="str">
        <f t="shared" si="7"/>
        <v>muted gray</v>
      </c>
      <c r="Y245" s="3">
        <f t="shared" si="8"/>
        <v>2</v>
      </c>
      <c r="Z245" s="3" t="str">
        <f t="shared" si="9"/>
        <v>drab gold</v>
      </c>
      <c r="AA245" s="13">
        <f t="shared" si="10"/>
        <v>22854894</v>
      </c>
      <c r="AB245" s="3">
        <f t="shared" si="11"/>
        <v>22854893</v>
      </c>
      <c r="AC245" s="3">
        <f t="shared" si="12"/>
        <v>4</v>
      </c>
      <c r="AD245" s="3">
        <f t="shared" si="13"/>
        <v>1160117</v>
      </c>
      <c r="AE245" s="3">
        <f t="shared" si="14"/>
        <v>1</v>
      </c>
      <c r="AF245" s="3">
        <f t="shared" si="15"/>
        <v>12130</v>
      </c>
      <c r="AG245" s="3">
        <f t="shared" si="16"/>
        <v>1</v>
      </c>
      <c r="AH245" s="3">
        <f t="shared" si="17"/>
        <v>8714523</v>
      </c>
      <c r="AI245" s="3">
        <f t="shared" si="18"/>
        <v>2</v>
      </c>
      <c r="AJ245" s="3">
        <f t="shared" si="19"/>
        <v>4743886</v>
      </c>
    </row>
    <row r="246">
      <c r="C246" s="6" t="s">
        <v>246</v>
      </c>
      <c r="D246" s="3">
        <f t="shared" si="1"/>
        <v>1</v>
      </c>
      <c r="E246" s="3" t="str">
        <f>IFERROR(__xludf.DUMMYFUNCTION("REGEXEXTRACT(C246,""[^ ]* [^ ]*"")"),"dim coral")</f>
        <v>dim coral</v>
      </c>
      <c r="F246" s="3" t="str">
        <f>IFERROR(__xludf.DUMMYFUNCTION("MID(REGEXEXTRACT(C246,""contain.*$""),9,300)"),"3 dark red bags, 2 faded crimson bags.")</f>
        <v>3 dark red bags, 2 faded crimson bags.</v>
      </c>
      <c r="G246" s="3" t="str">
        <f>IFERROR(__xludf.DUMMYFUNCTION("INDEX(SPLIT($F246,"",""),COLUMN()-6)"),"3 dark red bags")</f>
        <v>3 dark red bags</v>
      </c>
      <c r="H246" s="3" t="str">
        <f>IFERROR(__xludf.DUMMYFUNCTION("MID(INDEX(SPLIT($F246,"",""),COLUMN()-6),2,300)"),"2 faded crimson bags.")</f>
        <v>2 faded crimson bags.</v>
      </c>
      <c r="I246" s="3" t="str">
        <f>IFERROR(__xludf.DUMMYFUNCTION("MID(INDEX(SPLIT($F246,"",""),COLUMN()-6),2,300)"),"#REF!")</f>
        <v>#REF!</v>
      </c>
      <c r="J246" s="3" t="str">
        <f>IFERROR(__xludf.DUMMYFUNCTION("MID(INDEX(SPLIT($F246,"",""),COLUMN()-6),2,300)"),"#REF!")</f>
        <v>#REF!</v>
      </c>
      <c r="K246" s="3">
        <f>IFERROR(__xludf.DUMMYFUNCTION("INDEX(SPLIT(G246,"" ""),1)"),3.0)</f>
        <v>3</v>
      </c>
      <c r="L246" s="3" t="str">
        <f>IFERROR(__xludf.DUMMYFUNCTION("REGEXEXTRACT(G246,"" [^ ]* [^ ]* "")")," dark red ")</f>
        <v> dark red </v>
      </c>
      <c r="M246" s="3">
        <f>IFERROR(__xludf.DUMMYFUNCTION("INDEX(SPLIT(H246,"" ""),1)"),2.0)</f>
        <v>2</v>
      </c>
      <c r="N246" s="3" t="str">
        <f>IFERROR(__xludf.DUMMYFUNCTION("MID(REGEXEXTRACT(H246,"" [^ ]* [^ ]*""),2,300)"),"faded crimson")</f>
        <v>faded crimson</v>
      </c>
      <c r="O246" s="3" t="str">
        <f>IFERROR(__xludf.DUMMYFUNCTION("INDEX(SPLIT(I246,"" ""),1)"),"#REF!")</f>
        <v>#REF!</v>
      </c>
      <c r="P246" s="3" t="str">
        <f>IFERROR(__xludf.DUMMYFUNCTION("MID(REGEXEXTRACT(I246,"" [^ ]* [^ ]*""),2,300)"),"#REF!")</f>
        <v>#REF!</v>
      </c>
      <c r="Q246" s="3" t="str">
        <f>IFERROR(__xludf.DUMMYFUNCTION("INDEX(SPLIT(J246,"" ""),1)"),"#REF!")</f>
        <v>#REF!</v>
      </c>
      <c r="R246" s="3" t="str">
        <f>IFERROR(__xludf.DUMMYFUNCTION("MID(REGEXEXTRACT(J246,"" [^ ]* [^ ]*""),2,300)"),"#REF!")</f>
        <v>#REF!</v>
      </c>
      <c r="S246" s="3">
        <f t="shared" si="2"/>
        <v>3</v>
      </c>
      <c r="T246" s="3" t="str">
        <f t="shared" si="3"/>
        <v>dark red</v>
      </c>
      <c r="U246" s="3">
        <f t="shared" si="4"/>
        <v>2</v>
      </c>
      <c r="V246" s="3" t="str">
        <f t="shared" si="5"/>
        <v>faded crimson</v>
      </c>
      <c r="W246" s="3" t="str">
        <f t="shared" si="6"/>
        <v/>
      </c>
      <c r="X246" s="3" t="str">
        <f t="shared" si="7"/>
        <v/>
      </c>
      <c r="Y246" s="3" t="str">
        <f t="shared" si="8"/>
        <v/>
      </c>
      <c r="Z246" s="3" t="str">
        <f t="shared" si="9"/>
        <v/>
      </c>
      <c r="AA246" s="13">
        <f t="shared" si="10"/>
        <v>901529397</v>
      </c>
      <c r="AB246" s="3">
        <f t="shared" si="11"/>
        <v>901529396</v>
      </c>
      <c r="AC246" s="3">
        <f t="shared" si="12"/>
        <v>3</v>
      </c>
      <c r="AD246" s="3">
        <f t="shared" si="13"/>
        <v>44592</v>
      </c>
      <c r="AE246" s="3">
        <f t="shared" si="14"/>
        <v>2</v>
      </c>
      <c r="AF246" s="3">
        <f t="shared" si="15"/>
        <v>450697810</v>
      </c>
      <c r="AG246" s="3" t="str">
        <f t="shared" si="16"/>
        <v/>
      </c>
      <c r="AH246" s="3">
        <f t="shared" si="17"/>
        <v>0</v>
      </c>
      <c r="AI246" s="3" t="str">
        <f t="shared" si="18"/>
        <v/>
      </c>
      <c r="AJ246" s="3">
        <f t="shared" si="19"/>
        <v>0</v>
      </c>
    </row>
    <row r="247">
      <c r="C247" s="6" t="s">
        <v>247</v>
      </c>
      <c r="D247" s="3">
        <f t="shared" si="1"/>
        <v>3</v>
      </c>
      <c r="E247" s="3" t="str">
        <f>IFERROR(__xludf.DUMMYFUNCTION("REGEXEXTRACT(C247,""[^ ]* [^ ]*"")"),"dark aqua")</f>
        <v>dark aqua</v>
      </c>
      <c r="F247" s="3" t="str">
        <f>IFERROR(__xludf.DUMMYFUNCTION("MID(REGEXEXTRACT(C247,""contain.*$""),9,300)"),"3 dotted salmon bags, 4 pale olive bags, 1 vibrant aqua bag, 5 dull lavender bags.")</f>
        <v>3 dotted salmon bags, 4 pale olive bags, 1 vibrant aqua bag, 5 dull lavender bags.</v>
      </c>
      <c r="G247" s="3" t="str">
        <f>IFERROR(__xludf.DUMMYFUNCTION("INDEX(SPLIT($F247,"",""),COLUMN()-6)"),"3 dotted salmon bags")</f>
        <v>3 dotted salmon bags</v>
      </c>
      <c r="H247" s="3" t="str">
        <f>IFERROR(__xludf.DUMMYFUNCTION("MID(INDEX(SPLIT($F247,"",""),COLUMN()-6),2,300)"),"4 pale olive bags")</f>
        <v>4 pale olive bags</v>
      </c>
      <c r="I247" s="3" t="str">
        <f>IFERROR(__xludf.DUMMYFUNCTION("MID(INDEX(SPLIT($F247,"",""),COLUMN()-6),2,300)"),"1 vibrant aqua bag")</f>
        <v>1 vibrant aqua bag</v>
      </c>
      <c r="J247" s="3" t="str">
        <f>IFERROR(__xludf.DUMMYFUNCTION("MID(INDEX(SPLIT($F247,"",""),COLUMN()-6),2,300)"),"5 dull lavender bags.")</f>
        <v>5 dull lavender bags.</v>
      </c>
      <c r="K247" s="3">
        <f>IFERROR(__xludf.DUMMYFUNCTION("INDEX(SPLIT(G247,"" ""),1)"),3.0)</f>
        <v>3</v>
      </c>
      <c r="L247" s="3" t="str">
        <f>IFERROR(__xludf.DUMMYFUNCTION("REGEXEXTRACT(G247,"" [^ ]* [^ ]* "")")," dotted salmon ")</f>
        <v> dotted salmon </v>
      </c>
      <c r="M247" s="3">
        <f>IFERROR(__xludf.DUMMYFUNCTION("INDEX(SPLIT(H247,"" ""),1)"),4.0)</f>
        <v>4</v>
      </c>
      <c r="N247" s="3" t="str">
        <f>IFERROR(__xludf.DUMMYFUNCTION("MID(REGEXEXTRACT(H247,"" [^ ]* [^ ]*""),2,300)"),"pale olive")</f>
        <v>pale olive</v>
      </c>
      <c r="O247" s="3">
        <f>IFERROR(__xludf.DUMMYFUNCTION("INDEX(SPLIT(I247,"" ""),1)"),1.0)</f>
        <v>1</v>
      </c>
      <c r="P247" s="3" t="str">
        <f>IFERROR(__xludf.DUMMYFUNCTION("MID(REGEXEXTRACT(I247,"" [^ ]* [^ ]*""),2,300)"),"vibrant aqua")</f>
        <v>vibrant aqua</v>
      </c>
      <c r="Q247" s="3">
        <f>IFERROR(__xludf.DUMMYFUNCTION("INDEX(SPLIT(J247,"" ""),1)"),5.0)</f>
        <v>5</v>
      </c>
      <c r="R247" s="3" t="str">
        <f>IFERROR(__xludf.DUMMYFUNCTION("MID(REGEXEXTRACT(J247,"" [^ ]* [^ ]*""),2,300)"),"dull lavender")</f>
        <v>dull lavender</v>
      </c>
      <c r="S247" s="3">
        <f t="shared" si="2"/>
        <v>3</v>
      </c>
      <c r="T247" s="3" t="str">
        <f t="shared" si="3"/>
        <v>dotted salmon</v>
      </c>
      <c r="U247" s="3">
        <f t="shared" si="4"/>
        <v>4</v>
      </c>
      <c r="V247" s="3" t="str">
        <f t="shared" si="5"/>
        <v>pale olive</v>
      </c>
      <c r="W247" s="3">
        <f t="shared" si="6"/>
        <v>1</v>
      </c>
      <c r="X247" s="3" t="str">
        <f t="shared" si="7"/>
        <v>vibrant aqua</v>
      </c>
      <c r="Y247" s="3">
        <f t="shared" si="8"/>
        <v>5</v>
      </c>
      <c r="Z247" s="3" t="str">
        <f t="shared" si="9"/>
        <v>dull lavender</v>
      </c>
      <c r="AA247" s="13">
        <f t="shared" si="10"/>
        <v>85546089</v>
      </c>
      <c r="AB247" s="3">
        <f t="shared" si="11"/>
        <v>85546088</v>
      </c>
      <c r="AC247" s="3">
        <f t="shared" si="12"/>
        <v>3</v>
      </c>
      <c r="AD247" s="3">
        <f t="shared" si="13"/>
        <v>97296</v>
      </c>
      <c r="AE247" s="3">
        <f t="shared" si="14"/>
        <v>4</v>
      </c>
      <c r="AF247" s="3">
        <f t="shared" si="15"/>
        <v>306</v>
      </c>
      <c r="AG247" s="3">
        <f t="shared" si="16"/>
        <v>1</v>
      </c>
      <c r="AH247" s="3">
        <f t="shared" si="17"/>
        <v>1</v>
      </c>
      <c r="AI247" s="3">
        <f t="shared" si="18"/>
        <v>5</v>
      </c>
      <c r="AJ247" s="3">
        <f t="shared" si="19"/>
        <v>17050595</v>
      </c>
    </row>
    <row r="248">
      <c r="C248" s="6" t="s">
        <v>248</v>
      </c>
      <c r="D248" s="3">
        <f t="shared" si="1"/>
        <v>1</v>
      </c>
      <c r="E248" s="3" t="str">
        <f>IFERROR(__xludf.DUMMYFUNCTION("REGEXEXTRACT(C248,""[^ ]* [^ ]*"")"),"dark orange")</f>
        <v>dark orange</v>
      </c>
      <c r="F248" s="3" t="str">
        <f>IFERROR(__xludf.DUMMYFUNCTION("MID(REGEXEXTRACT(C248,""contain.*$""),9,300)"),"4 mirrored teal bags, 5 clear salmon bags.")</f>
        <v>4 mirrored teal bags, 5 clear salmon bags.</v>
      </c>
      <c r="G248" s="3" t="str">
        <f>IFERROR(__xludf.DUMMYFUNCTION("INDEX(SPLIT($F248,"",""),COLUMN()-6)"),"4 mirrored teal bags")</f>
        <v>4 mirrored teal bags</v>
      </c>
      <c r="H248" s="3" t="str">
        <f>IFERROR(__xludf.DUMMYFUNCTION("MID(INDEX(SPLIT($F248,"",""),COLUMN()-6),2,300)"),"5 clear salmon bags.")</f>
        <v>5 clear salmon bags.</v>
      </c>
      <c r="I248" s="3" t="str">
        <f>IFERROR(__xludf.DUMMYFUNCTION("MID(INDEX(SPLIT($F248,"",""),COLUMN()-6),2,300)"),"#REF!")</f>
        <v>#REF!</v>
      </c>
      <c r="J248" s="3" t="str">
        <f>IFERROR(__xludf.DUMMYFUNCTION("MID(INDEX(SPLIT($F248,"",""),COLUMN()-6),2,300)"),"#REF!")</f>
        <v>#REF!</v>
      </c>
      <c r="K248" s="3">
        <f>IFERROR(__xludf.DUMMYFUNCTION("INDEX(SPLIT(G248,"" ""),1)"),4.0)</f>
        <v>4</v>
      </c>
      <c r="L248" s="3" t="str">
        <f>IFERROR(__xludf.DUMMYFUNCTION("REGEXEXTRACT(G248,"" [^ ]* [^ ]* "")")," mirrored teal ")</f>
        <v> mirrored teal </v>
      </c>
      <c r="M248" s="3">
        <f>IFERROR(__xludf.DUMMYFUNCTION("INDEX(SPLIT(H248,"" ""),1)"),5.0)</f>
        <v>5</v>
      </c>
      <c r="N248" s="3" t="str">
        <f>IFERROR(__xludf.DUMMYFUNCTION("MID(REGEXEXTRACT(H248,"" [^ ]* [^ ]*""),2,300)"),"clear salmon")</f>
        <v>clear salmon</v>
      </c>
      <c r="O248" s="3" t="str">
        <f>IFERROR(__xludf.DUMMYFUNCTION("INDEX(SPLIT(I248,"" ""),1)"),"#REF!")</f>
        <v>#REF!</v>
      </c>
      <c r="P248" s="3" t="str">
        <f>IFERROR(__xludf.DUMMYFUNCTION("MID(REGEXEXTRACT(I248,"" [^ ]* [^ ]*""),2,300)"),"#REF!")</f>
        <v>#REF!</v>
      </c>
      <c r="Q248" s="3" t="str">
        <f>IFERROR(__xludf.DUMMYFUNCTION("INDEX(SPLIT(J248,"" ""),1)"),"#REF!")</f>
        <v>#REF!</v>
      </c>
      <c r="R248" s="3" t="str">
        <f>IFERROR(__xludf.DUMMYFUNCTION("MID(REGEXEXTRACT(J248,"" [^ ]* [^ ]*""),2,300)"),"#REF!")</f>
        <v>#REF!</v>
      </c>
      <c r="S248" s="3">
        <f t="shared" si="2"/>
        <v>4</v>
      </c>
      <c r="T248" s="3" t="str">
        <f t="shared" si="3"/>
        <v>mirrored teal</v>
      </c>
      <c r="U248" s="3">
        <f t="shared" si="4"/>
        <v>5</v>
      </c>
      <c r="V248" s="3" t="str">
        <f t="shared" si="5"/>
        <v>clear salmon</v>
      </c>
      <c r="W248" s="3" t="str">
        <f t="shared" si="6"/>
        <v/>
      </c>
      <c r="X248" s="3" t="str">
        <f t="shared" si="7"/>
        <v/>
      </c>
      <c r="Y248" s="3" t="str">
        <f t="shared" si="8"/>
        <v/>
      </c>
      <c r="Z248" s="3" t="str">
        <f t="shared" si="9"/>
        <v/>
      </c>
      <c r="AA248" s="13">
        <f t="shared" si="10"/>
        <v>18683429</v>
      </c>
      <c r="AB248" s="3">
        <f t="shared" si="11"/>
        <v>18683428</v>
      </c>
      <c r="AC248" s="3">
        <f t="shared" si="12"/>
        <v>4</v>
      </c>
      <c r="AD248" s="3">
        <f t="shared" si="13"/>
        <v>725247</v>
      </c>
      <c r="AE248" s="3">
        <f t="shared" si="14"/>
        <v>5</v>
      </c>
      <c r="AF248" s="3">
        <f t="shared" si="15"/>
        <v>3156488</v>
      </c>
      <c r="AG248" s="3" t="str">
        <f t="shared" si="16"/>
        <v/>
      </c>
      <c r="AH248" s="3">
        <f t="shared" si="17"/>
        <v>0</v>
      </c>
      <c r="AI248" s="3" t="str">
        <f t="shared" si="18"/>
        <v/>
      </c>
      <c r="AJ248" s="3">
        <f t="shared" si="19"/>
        <v>0</v>
      </c>
    </row>
    <row r="249">
      <c r="C249" s="6" t="s">
        <v>249</v>
      </c>
      <c r="D249" s="3">
        <f t="shared" si="1"/>
        <v>0</v>
      </c>
      <c r="E249" s="3" t="str">
        <f>IFERROR(__xludf.DUMMYFUNCTION("REGEXEXTRACT(C249,""[^ ]* [^ ]*"")"),"vibrant red")</f>
        <v>vibrant red</v>
      </c>
      <c r="F249" s="3" t="str">
        <f>IFERROR(__xludf.DUMMYFUNCTION("MID(REGEXEXTRACT(C249,""contain.*$""),9,300)"),"3 vibrant blue bags.")</f>
        <v>3 vibrant blue bags.</v>
      </c>
      <c r="G249" s="3" t="str">
        <f>IFERROR(__xludf.DUMMYFUNCTION("INDEX(SPLIT($F249,"",""),COLUMN()-6)"),"3 vibrant blue bags.")</f>
        <v>3 vibrant blue bags.</v>
      </c>
      <c r="H249" s="3" t="str">
        <f>IFERROR(__xludf.DUMMYFUNCTION("MID(INDEX(SPLIT($F249,"",""),COLUMN()-6),2,300)"),"#REF!")</f>
        <v>#REF!</v>
      </c>
      <c r="I249" s="3" t="str">
        <f>IFERROR(__xludf.DUMMYFUNCTION("MID(INDEX(SPLIT($F249,"",""),COLUMN()-6),2,300)"),"#REF!")</f>
        <v>#REF!</v>
      </c>
      <c r="J249" s="3" t="str">
        <f>IFERROR(__xludf.DUMMYFUNCTION("MID(INDEX(SPLIT($F249,"",""),COLUMN()-6),2,300)"),"#REF!")</f>
        <v>#REF!</v>
      </c>
      <c r="K249" s="3">
        <f>IFERROR(__xludf.DUMMYFUNCTION("INDEX(SPLIT(G249,"" ""),1)"),3.0)</f>
        <v>3</v>
      </c>
      <c r="L249" s="3" t="str">
        <f>IFERROR(__xludf.DUMMYFUNCTION("REGEXEXTRACT(G249,"" [^ ]* [^ ]* "")")," vibrant blue ")</f>
        <v> vibrant blue </v>
      </c>
      <c r="M249" s="3" t="str">
        <f>IFERROR(__xludf.DUMMYFUNCTION("INDEX(SPLIT(H249,"" ""),1)"),"#REF!")</f>
        <v>#REF!</v>
      </c>
      <c r="N249" s="3" t="str">
        <f>IFERROR(__xludf.DUMMYFUNCTION("MID(REGEXEXTRACT(H249,"" [^ ]* [^ ]*""),2,300)"),"#REF!")</f>
        <v>#REF!</v>
      </c>
      <c r="O249" s="3" t="str">
        <f>IFERROR(__xludf.DUMMYFUNCTION("INDEX(SPLIT(I249,"" ""),1)"),"#REF!")</f>
        <v>#REF!</v>
      </c>
      <c r="P249" s="3" t="str">
        <f>IFERROR(__xludf.DUMMYFUNCTION("MID(REGEXEXTRACT(I249,"" [^ ]* [^ ]*""),2,300)"),"#REF!")</f>
        <v>#REF!</v>
      </c>
      <c r="Q249" s="3" t="str">
        <f>IFERROR(__xludf.DUMMYFUNCTION("INDEX(SPLIT(J249,"" ""),1)"),"#REF!")</f>
        <v>#REF!</v>
      </c>
      <c r="R249" s="3" t="str">
        <f>IFERROR(__xludf.DUMMYFUNCTION("MID(REGEXEXTRACT(J249,"" [^ ]* [^ ]*""),2,300)"),"#REF!")</f>
        <v>#REF!</v>
      </c>
      <c r="S249" s="3">
        <f t="shared" si="2"/>
        <v>3</v>
      </c>
      <c r="T249" s="3" t="str">
        <f t="shared" si="3"/>
        <v>vibrant blue</v>
      </c>
      <c r="U249" s="3" t="str">
        <f t="shared" si="4"/>
        <v/>
      </c>
      <c r="V249" s="3" t="str">
        <f t="shared" si="5"/>
        <v/>
      </c>
      <c r="W249" s="3" t="str">
        <f t="shared" si="6"/>
        <v/>
      </c>
      <c r="X249" s="3" t="str">
        <f t="shared" si="7"/>
        <v/>
      </c>
      <c r="Y249" s="3" t="str">
        <f t="shared" si="8"/>
        <v/>
      </c>
      <c r="Z249" s="3" t="str">
        <f t="shared" si="9"/>
        <v/>
      </c>
      <c r="AA249" s="13">
        <f t="shared" si="10"/>
        <v>4636</v>
      </c>
      <c r="AB249" s="3">
        <f t="shared" si="11"/>
        <v>4635</v>
      </c>
      <c r="AC249" s="3">
        <f t="shared" si="12"/>
        <v>3</v>
      </c>
      <c r="AD249" s="3">
        <f t="shared" si="13"/>
        <v>1545</v>
      </c>
      <c r="AE249" s="3" t="str">
        <f t="shared" si="14"/>
        <v/>
      </c>
      <c r="AF249" s="3">
        <f t="shared" si="15"/>
        <v>0</v>
      </c>
      <c r="AG249" s="3" t="str">
        <f t="shared" si="16"/>
        <v/>
      </c>
      <c r="AH249" s="3">
        <f t="shared" si="17"/>
        <v>0</v>
      </c>
      <c r="AI249" s="3" t="str">
        <f t="shared" si="18"/>
        <v/>
      </c>
      <c r="AJ249" s="3">
        <f t="shared" si="19"/>
        <v>0</v>
      </c>
    </row>
    <row r="250">
      <c r="C250" s="6" t="s">
        <v>250</v>
      </c>
      <c r="D250" s="3">
        <f t="shared" si="1"/>
        <v>0</v>
      </c>
      <c r="E250" s="3" t="str">
        <f>IFERROR(__xludf.DUMMYFUNCTION("REGEXEXTRACT(C250,""[^ ]* [^ ]*"")"),"muted lime")</f>
        <v>muted lime</v>
      </c>
      <c r="F250" s="3" t="str">
        <f>IFERROR(__xludf.DUMMYFUNCTION("MID(REGEXEXTRACT(C250,""contain.*$""),9,300)"),"1 dull silver bag.")</f>
        <v>1 dull silver bag.</v>
      </c>
      <c r="G250" s="3" t="str">
        <f>IFERROR(__xludf.DUMMYFUNCTION("INDEX(SPLIT($F250,"",""),COLUMN()-6)"),"1 dull silver bag.")</f>
        <v>1 dull silver bag.</v>
      </c>
      <c r="H250" s="3" t="str">
        <f>IFERROR(__xludf.DUMMYFUNCTION("MID(INDEX(SPLIT($F250,"",""),COLUMN()-6),2,300)"),"#REF!")</f>
        <v>#REF!</v>
      </c>
      <c r="I250" s="3" t="str">
        <f>IFERROR(__xludf.DUMMYFUNCTION("MID(INDEX(SPLIT($F250,"",""),COLUMN()-6),2,300)"),"#REF!")</f>
        <v>#REF!</v>
      </c>
      <c r="J250" s="3" t="str">
        <f>IFERROR(__xludf.DUMMYFUNCTION("MID(INDEX(SPLIT($F250,"",""),COLUMN()-6),2,300)"),"#REF!")</f>
        <v>#REF!</v>
      </c>
      <c r="K250" s="3">
        <f>IFERROR(__xludf.DUMMYFUNCTION("INDEX(SPLIT(G250,"" ""),1)"),1.0)</f>
        <v>1</v>
      </c>
      <c r="L250" s="3" t="str">
        <f>IFERROR(__xludf.DUMMYFUNCTION("REGEXEXTRACT(G250,"" [^ ]* [^ ]* "")")," dull silver ")</f>
        <v> dull silver </v>
      </c>
      <c r="M250" s="3" t="str">
        <f>IFERROR(__xludf.DUMMYFUNCTION("INDEX(SPLIT(H250,"" ""),1)"),"#REF!")</f>
        <v>#REF!</v>
      </c>
      <c r="N250" s="3" t="str">
        <f>IFERROR(__xludf.DUMMYFUNCTION("MID(REGEXEXTRACT(H250,"" [^ ]* [^ ]*""),2,300)"),"#REF!")</f>
        <v>#REF!</v>
      </c>
      <c r="O250" s="3" t="str">
        <f>IFERROR(__xludf.DUMMYFUNCTION("INDEX(SPLIT(I250,"" ""),1)"),"#REF!")</f>
        <v>#REF!</v>
      </c>
      <c r="P250" s="3" t="str">
        <f>IFERROR(__xludf.DUMMYFUNCTION("MID(REGEXEXTRACT(I250,"" [^ ]* [^ ]*""),2,300)"),"#REF!")</f>
        <v>#REF!</v>
      </c>
      <c r="Q250" s="3" t="str">
        <f>IFERROR(__xludf.DUMMYFUNCTION("INDEX(SPLIT(J250,"" ""),1)"),"#REF!")</f>
        <v>#REF!</v>
      </c>
      <c r="R250" s="3" t="str">
        <f>IFERROR(__xludf.DUMMYFUNCTION("MID(REGEXEXTRACT(J250,"" [^ ]* [^ ]*""),2,300)"),"#REF!")</f>
        <v>#REF!</v>
      </c>
      <c r="S250" s="3">
        <f t="shared" si="2"/>
        <v>1</v>
      </c>
      <c r="T250" s="3" t="str">
        <f t="shared" si="3"/>
        <v>dull silver</v>
      </c>
      <c r="U250" s="3" t="str">
        <f t="shared" si="4"/>
        <v/>
      </c>
      <c r="V250" s="3" t="str">
        <f t="shared" si="5"/>
        <v/>
      </c>
      <c r="W250" s="3" t="str">
        <f t="shared" si="6"/>
        <v/>
      </c>
      <c r="X250" s="3" t="str">
        <f t="shared" si="7"/>
        <v/>
      </c>
      <c r="Y250" s="3" t="str">
        <f t="shared" si="8"/>
        <v/>
      </c>
      <c r="Z250" s="3" t="str">
        <f t="shared" si="9"/>
        <v/>
      </c>
      <c r="AA250" s="13">
        <f t="shared" si="10"/>
        <v>105095086</v>
      </c>
      <c r="AB250" s="3">
        <f t="shared" si="11"/>
        <v>105095085</v>
      </c>
      <c r="AC250" s="3">
        <f t="shared" si="12"/>
        <v>1</v>
      </c>
      <c r="AD250" s="3">
        <f t="shared" si="13"/>
        <v>105095085</v>
      </c>
      <c r="AE250" s="3" t="str">
        <f t="shared" si="14"/>
        <v/>
      </c>
      <c r="AF250" s="3">
        <f t="shared" si="15"/>
        <v>0</v>
      </c>
      <c r="AG250" s="3" t="str">
        <f t="shared" si="16"/>
        <v/>
      </c>
      <c r="AH250" s="3">
        <f t="shared" si="17"/>
        <v>0</v>
      </c>
      <c r="AI250" s="3" t="str">
        <f t="shared" si="18"/>
        <v/>
      </c>
      <c r="AJ250" s="3">
        <f t="shared" si="19"/>
        <v>0</v>
      </c>
    </row>
    <row r="251">
      <c r="C251" s="6" t="s">
        <v>251</v>
      </c>
      <c r="D251" s="3">
        <f t="shared" si="1"/>
        <v>3</v>
      </c>
      <c r="E251" s="3" t="str">
        <f>IFERROR(__xludf.DUMMYFUNCTION("REGEXEXTRACT(C251,""[^ ]* [^ ]*"")"),"clear tan")</f>
        <v>clear tan</v>
      </c>
      <c r="F251" s="3" t="str">
        <f>IFERROR(__xludf.DUMMYFUNCTION("MID(REGEXEXTRACT(C251,""contain.*$""),9,300)"),"2 striped beige bags, 1 posh coral bag, 1 wavy teal bag, 2 faded plum bags.")</f>
        <v>2 striped beige bags, 1 posh coral bag, 1 wavy teal bag, 2 faded plum bags.</v>
      </c>
      <c r="G251" s="3" t="str">
        <f>IFERROR(__xludf.DUMMYFUNCTION("INDEX(SPLIT($F251,"",""),COLUMN()-6)"),"2 striped beige bags")</f>
        <v>2 striped beige bags</v>
      </c>
      <c r="H251" s="3" t="str">
        <f>IFERROR(__xludf.DUMMYFUNCTION("MID(INDEX(SPLIT($F251,"",""),COLUMN()-6),2,300)"),"1 posh coral bag")</f>
        <v>1 posh coral bag</v>
      </c>
      <c r="I251" s="3" t="str">
        <f>IFERROR(__xludf.DUMMYFUNCTION("MID(INDEX(SPLIT($F251,"",""),COLUMN()-6),2,300)"),"1 wavy teal bag")</f>
        <v>1 wavy teal bag</v>
      </c>
      <c r="J251" s="3" t="str">
        <f>IFERROR(__xludf.DUMMYFUNCTION("MID(INDEX(SPLIT($F251,"",""),COLUMN()-6),2,300)"),"2 faded plum bags.")</f>
        <v>2 faded plum bags.</v>
      </c>
      <c r="K251" s="3">
        <f>IFERROR(__xludf.DUMMYFUNCTION("INDEX(SPLIT(G251,"" ""),1)"),2.0)</f>
        <v>2</v>
      </c>
      <c r="L251" s="3" t="str">
        <f>IFERROR(__xludf.DUMMYFUNCTION("REGEXEXTRACT(G251,"" [^ ]* [^ ]* "")")," striped beige ")</f>
        <v> striped beige </v>
      </c>
      <c r="M251" s="3">
        <f>IFERROR(__xludf.DUMMYFUNCTION("INDEX(SPLIT(H251,"" ""),1)"),1.0)</f>
        <v>1</v>
      </c>
      <c r="N251" s="3" t="str">
        <f>IFERROR(__xludf.DUMMYFUNCTION("MID(REGEXEXTRACT(H251,"" [^ ]* [^ ]*""),2,300)"),"posh coral")</f>
        <v>posh coral</v>
      </c>
      <c r="O251" s="3">
        <f>IFERROR(__xludf.DUMMYFUNCTION("INDEX(SPLIT(I251,"" ""),1)"),1.0)</f>
        <v>1</v>
      </c>
      <c r="P251" s="3" t="str">
        <f>IFERROR(__xludf.DUMMYFUNCTION("MID(REGEXEXTRACT(I251,"" [^ ]* [^ ]*""),2,300)"),"wavy teal")</f>
        <v>wavy teal</v>
      </c>
      <c r="Q251" s="3">
        <f>IFERROR(__xludf.DUMMYFUNCTION("INDEX(SPLIT(J251,"" ""),1)"),2.0)</f>
        <v>2</v>
      </c>
      <c r="R251" s="3" t="str">
        <f>IFERROR(__xludf.DUMMYFUNCTION("MID(REGEXEXTRACT(J251,"" [^ ]* [^ ]*""),2,300)"),"faded plum")</f>
        <v>faded plum</v>
      </c>
      <c r="S251" s="3">
        <f t="shared" si="2"/>
        <v>2</v>
      </c>
      <c r="T251" s="3" t="str">
        <f t="shared" si="3"/>
        <v>striped beige</v>
      </c>
      <c r="U251" s="3">
        <f t="shared" si="4"/>
        <v>1</v>
      </c>
      <c r="V251" s="3" t="str">
        <f t="shared" si="5"/>
        <v>posh coral</v>
      </c>
      <c r="W251" s="3">
        <f t="shared" si="6"/>
        <v>1</v>
      </c>
      <c r="X251" s="3" t="str">
        <f t="shared" si="7"/>
        <v>wavy teal</v>
      </c>
      <c r="Y251" s="3">
        <f t="shared" si="8"/>
        <v>2</v>
      </c>
      <c r="Z251" s="3" t="str">
        <f t="shared" si="9"/>
        <v>faded plum</v>
      </c>
      <c r="AA251" s="13">
        <f t="shared" si="10"/>
        <v>3458330860</v>
      </c>
      <c r="AB251" s="3">
        <f t="shared" si="11"/>
        <v>3458330859</v>
      </c>
      <c r="AC251" s="3">
        <f t="shared" si="12"/>
        <v>2</v>
      </c>
      <c r="AD251" s="3">
        <f t="shared" si="13"/>
        <v>1728590198</v>
      </c>
      <c r="AE251" s="3">
        <f t="shared" si="14"/>
        <v>1</v>
      </c>
      <c r="AF251" s="3">
        <f t="shared" si="15"/>
        <v>1</v>
      </c>
      <c r="AG251" s="3">
        <f t="shared" si="16"/>
        <v>1</v>
      </c>
      <c r="AH251" s="3">
        <f t="shared" si="17"/>
        <v>84750</v>
      </c>
      <c r="AI251" s="3">
        <f t="shared" si="18"/>
        <v>2</v>
      </c>
      <c r="AJ251" s="3">
        <f t="shared" si="19"/>
        <v>532856</v>
      </c>
    </row>
    <row r="252">
      <c r="C252" s="6" t="s">
        <v>252</v>
      </c>
      <c r="D252" s="3">
        <f t="shared" si="1"/>
        <v>1</v>
      </c>
      <c r="E252" s="3" t="str">
        <f>IFERROR(__xludf.DUMMYFUNCTION("REGEXEXTRACT(C252,""[^ ]* [^ ]*"")"),"vibrant coral")</f>
        <v>vibrant coral</v>
      </c>
      <c r="F252" s="3" t="str">
        <f>IFERROR(__xludf.DUMMYFUNCTION("MID(REGEXEXTRACT(C252,""contain.*$""),9,300)"),"2 faded blue bags, 4 bright turquoise bags.")</f>
        <v>2 faded blue bags, 4 bright turquoise bags.</v>
      </c>
      <c r="G252" s="3" t="str">
        <f>IFERROR(__xludf.DUMMYFUNCTION("INDEX(SPLIT($F252,"",""),COLUMN()-6)"),"2 faded blue bags")</f>
        <v>2 faded blue bags</v>
      </c>
      <c r="H252" s="3" t="str">
        <f>IFERROR(__xludf.DUMMYFUNCTION("MID(INDEX(SPLIT($F252,"",""),COLUMN()-6),2,300)"),"4 bright turquoise bags.")</f>
        <v>4 bright turquoise bags.</v>
      </c>
      <c r="I252" s="3" t="str">
        <f>IFERROR(__xludf.DUMMYFUNCTION("MID(INDEX(SPLIT($F252,"",""),COLUMN()-6),2,300)"),"#REF!")</f>
        <v>#REF!</v>
      </c>
      <c r="J252" s="3" t="str">
        <f>IFERROR(__xludf.DUMMYFUNCTION("MID(INDEX(SPLIT($F252,"",""),COLUMN()-6),2,300)"),"#REF!")</f>
        <v>#REF!</v>
      </c>
      <c r="K252" s="3">
        <f>IFERROR(__xludf.DUMMYFUNCTION("INDEX(SPLIT(G252,"" ""),1)"),2.0)</f>
        <v>2</v>
      </c>
      <c r="L252" s="3" t="str">
        <f>IFERROR(__xludf.DUMMYFUNCTION("REGEXEXTRACT(G252,"" [^ ]* [^ ]* "")")," faded blue ")</f>
        <v> faded blue </v>
      </c>
      <c r="M252" s="3">
        <f>IFERROR(__xludf.DUMMYFUNCTION("INDEX(SPLIT(H252,"" ""),1)"),4.0)</f>
        <v>4</v>
      </c>
      <c r="N252" s="3" t="str">
        <f>IFERROR(__xludf.DUMMYFUNCTION("MID(REGEXEXTRACT(H252,"" [^ ]* [^ ]*""),2,300)"),"bright turquoise")</f>
        <v>bright turquoise</v>
      </c>
      <c r="O252" s="3" t="str">
        <f>IFERROR(__xludf.DUMMYFUNCTION("INDEX(SPLIT(I252,"" ""),1)"),"#REF!")</f>
        <v>#REF!</v>
      </c>
      <c r="P252" s="3" t="str">
        <f>IFERROR(__xludf.DUMMYFUNCTION("MID(REGEXEXTRACT(I252,"" [^ ]* [^ ]*""),2,300)"),"#REF!")</f>
        <v>#REF!</v>
      </c>
      <c r="Q252" s="3" t="str">
        <f>IFERROR(__xludf.DUMMYFUNCTION("INDEX(SPLIT(J252,"" ""),1)"),"#REF!")</f>
        <v>#REF!</v>
      </c>
      <c r="R252" s="3" t="str">
        <f>IFERROR(__xludf.DUMMYFUNCTION("MID(REGEXEXTRACT(J252,"" [^ ]* [^ ]*""),2,300)"),"#REF!")</f>
        <v>#REF!</v>
      </c>
      <c r="S252" s="3">
        <f t="shared" si="2"/>
        <v>2</v>
      </c>
      <c r="T252" s="3" t="str">
        <f t="shared" si="3"/>
        <v>faded blue</v>
      </c>
      <c r="U252" s="3">
        <f t="shared" si="4"/>
        <v>4</v>
      </c>
      <c r="V252" s="3" t="str">
        <f t="shared" si="5"/>
        <v>bright turquoise</v>
      </c>
      <c r="W252" s="3" t="str">
        <f t="shared" si="6"/>
        <v/>
      </c>
      <c r="X252" s="3" t="str">
        <f t="shared" si="7"/>
        <v/>
      </c>
      <c r="Y252" s="3" t="str">
        <f t="shared" si="8"/>
        <v/>
      </c>
      <c r="Z252" s="3" t="str">
        <f t="shared" si="9"/>
        <v/>
      </c>
      <c r="AA252" s="13">
        <f t="shared" si="10"/>
        <v>74172081</v>
      </c>
      <c r="AB252" s="3">
        <f t="shared" si="11"/>
        <v>74172080</v>
      </c>
      <c r="AC252" s="3">
        <f t="shared" si="12"/>
        <v>2</v>
      </c>
      <c r="AD252" s="3">
        <f t="shared" si="13"/>
        <v>12631028</v>
      </c>
      <c r="AE252" s="3">
        <f t="shared" si="14"/>
        <v>4</v>
      </c>
      <c r="AF252" s="3">
        <f t="shared" si="15"/>
        <v>12227506</v>
      </c>
      <c r="AG252" s="3" t="str">
        <f t="shared" si="16"/>
        <v/>
      </c>
      <c r="AH252" s="3">
        <f t="shared" si="17"/>
        <v>0</v>
      </c>
      <c r="AI252" s="3" t="str">
        <f t="shared" si="18"/>
        <v/>
      </c>
      <c r="AJ252" s="3">
        <f t="shared" si="19"/>
        <v>0</v>
      </c>
    </row>
    <row r="253">
      <c r="C253" s="6" t="s">
        <v>253</v>
      </c>
      <c r="D253" s="3">
        <f t="shared" si="1"/>
        <v>0</v>
      </c>
      <c r="E253" s="3" t="str">
        <f>IFERROR(__xludf.DUMMYFUNCTION("REGEXEXTRACT(C253,""[^ ]* [^ ]*"")"),"dark olive")</f>
        <v>dark olive</v>
      </c>
      <c r="F253" s="3" t="str">
        <f>IFERROR(__xludf.DUMMYFUNCTION("MID(REGEXEXTRACT(C253,""contain.*$""),9,300)"),"2 dark indigo bags.")</f>
        <v>2 dark indigo bags.</v>
      </c>
      <c r="G253" s="3" t="str">
        <f>IFERROR(__xludf.DUMMYFUNCTION("INDEX(SPLIT($F253,"",""),COLUMN()-6)"),"2 dark indigo bags.")</f>
        <v>2 dark indigo bags.</v>
      </c>
      <c r="H253" s="3" t="str">
        <f>IFERROR(__xludf.DUMMYFUNCTION("MID(INDEX(SPLIT($F253,"",""),COLUMN()-6),2,300)"),"#REF!")</f>
        <v>#REF!</v>
      </c>
      <c r="I253" s="3" t="str">
        <f>IFERROR(__xludf.DUMMYFUNCTION("MID(INDEX(SPLIT($F253,"",""),COLUMN()-6),2,300)"),"#REF!")</f>
        <v>#REF!</v>
      </c>
      <c r="J253" s="3" t="str">
        <f>IFERROR(__xludf.DUMMYFUNCTION("MID(INDEX(SPLIT($F253,"",""),COLUMN()-6),2,300)"),"#REF!")</f>
        <v>#REF!</v>
      </c>
      <c r="K253" s="3">
        <f>IFERROR(__xludf.DUMMYFUNCTION("INDEX(SPLIT(G253,"" ""),1)"),2.0)</f>
        <v>2</v>
      </c>
      <c r="L253" s="3" t="str">
        <f>IFERROR(__xludf.DUMMYFUNCTION("REGEXEXTRACT(G253,"" [^ ]* [^ ]* "")")," dark indigo ")</f>
        <v> dark indigo </v>
      </c>
      <c r="M253" s="3" t="str">
        <f>IFERROR(__xludf.DUMMYFUNCTION("INDEX(SPLIT(H253,"" ""),1)"),"#REF!")</f>
        <v>#REF!</v>
      </c>
      <c r="N253" s="3" t="str">
        <f>IFERROR(__xludf.DUMMYFUNCTION("MID(REGEXEXTRACT(H253,"" [^ ]* [^ ]*""),2,300)"),"#REF!")</f>
        <v>#REF!</v>
      </c>
      <c r="O253" s="3" t="str">
        <f>IFERROR(__xludf.DUMMYFUNCTION("INDEX(SPLIT(I253,"" ""),1)"),"#REF!")</f>
        <v>#REF!</v>
      </c>
      <c r="P253" s="3" t="str">
        <f>IFERROR(__xludf.DUMMYFUNCTION("MID(REGEXEXTRACT(I253,"" [^ ]* [^ ]*""),2,300)"),"#REF!")</f>
        <v>#REF!</v>
      </c>
      <c r="Q253" s="3" t="str">
        <f>IFERROR(__xludf.DUMMYFUNCTION("INDEX(SPLIT(J253,"" ""),1)"),"#REF!")</f>
        <v>#REF!</v>
      </c>
      <c r="R253" s="3" t="str">
        <f>IFERROR(__xludf.DUMMYFUNCTION("MID(REGEXEXTRACT(J253,"" [^ ]* [^ ]*""),2,300)"),"#REF!")</f>
        <v>#REF!</v>
      </c>
      <c r="S253" s="3">
        <f t="shared" si="2"/>
        <v>2</v>
      </c>
      <c r="T253" s="3" t="str">
        <f t="shared" si="3"/>
        <v>dark indigo</v>
      </c>
      <c r="U253" s="3" t="str">
        <f t="shared" si="4"/>
        <v/>
      </c>
      <c r="V253" s="3" t="str">
        <f t="shared" si="5"/>
        <v/>
      </c>
      <c r="W253" s="3" t="str">
        <f t="shared" si="6"/>
        <v/>
      </c>
      <c r="X253" s="3" t="str">
        <f t="shared" si="7"/>
        <v/>
      </c>
      <c r="Y253" s="3" t="str">
        <f t="shared" si="8"/>
        <v/>
      </c>
      <c r="Z253" s="3" t="str">
        <f t="shared" si="9"/>
        <v/>
      </c>
      <c r="AA253" s="13">
        <f t="shared" si="10"/>
        <v>1513927203</v>
      </c>
      <c r="AB253" s="3">
        <f t="shared" si="11"/>
        <v>1513927202</v>
      </c>
      <c r="AC253" s="3">
        <f t="shared" si="12"/>
        <v>2</v>
      </c>
      <c r="AD253" s="3">
        <f t="shared" si="13"/>
        <v>756963601</v>
      </c>
      <c r="AE253" s="3" t="str">
        <f t="shared" si="14"/>
        <v/>
      </c>
      <c r="AF253" s="3">
        <f t="shared" si="15"/>
        <v>0</v>
      </c>
      <c r="AG253" s="3" t="str">
        <f t="shared" si="16"/>
        <v/>
      </c>
      <c r="AH253" s="3">
        <f t="shared" si="17"/>
        <v>0</v>
      </c>
      <c r="AI253" s="3" t="str">
        <f t="shared" si="18"/>
        <v/>
      </c>
      <c r="AJ253" s="3">
        <f t="shared" si="19"/>
        <v>0</v>
      </c>
    </row>
    <row r="254">
      <c r="C254" s="6" t="s">
        <v>254</v>
      </c>
      <c r="D254" s="3">
        <f t="shared" si="1"/>
        <v>2</v>
      </c>
      <c r="E254" s="3" t="str">
        <f>IFERROR(__xludf.DUMMYFUNCTION("REGEXEXTRACT(C254,""[^ ]* [^ ]*"")"),"dotted blue")</f>
        <v>dotted blue</v>
      </c>
      <c r="F254" s="3" t="str">
        <f>IFERROR(__xludf.DUMMYFUNCTION("MID(REGEXEXTRACT(C254,""contain.*$""),9,300)"),"5 faded cyan bags, 4 striped aqua bags, 4 dotted gold bags.")</f>
        <v>5 faded cyan bags, 4 striped aqua bags, 4 dotted gold bags.</v>
      </c>
      <c r="G254" s="3" t="str">
        <f>IFERROR(__xludf.DUMMYFUNCTION("INDEX(SPLIT($F254,"",""),COLUMN()-6)"),"5 faded cyan bags")</f>
        <v>5 faded cyan bags</v>
      </c>
      <c r="H254" s="3" t="str">
        <f>IFERROR(__xludf.DUMMYFUNCTION("MID(INDEX(SPLIT($F254,"",""),COLUMN()-6),2,300)"),"4 striped aqua bags")</f>
        <v>4 striped aqua bags</v>
      </c>
      <c r="I254" s="3" t="str">
        <f>IFERROR(__xludf.DUMMYFUNCTION("MID(INDEX(SPLIT($F254,"",""),COLUMN()-6),2,300)"),"4 dotted gold bags.")</f>
        <v>4 dotted gold bags.</v>
      </c>
      <c r="J254" s="3" t="str">
        <f>IFERROR(__xludf.DUMMYFUNCTION("MID(INDEX(SPLIT($F254,"",""),COLUMN()-6),2,300)"),"#REF!")</f>
        <v>#REF!</v>
      </c>
      <c r="K254" s="3">
        <f>IFERROR(__xludf.DUMMYFUNCTION("INDEX(SPLIT(G254,"" ""),1)"),5.0)</f>
        <v>5</v>
      </c>
      <c r="L254" s="3" t="str">
        <f>IFERROR(__xludf.DUMMYFUNCTION("REGEXEXTRACT(G254,"" [^ ]* [^ ]* "")")," faded cyan ")</f>
        <v> faded cyan </v>
      </c>
      <c r="M254" s="3">
        <f>IFERROR(__xludf.DUMMYFUNCTION("INDEX(SPLIT(H254,"" ""),1)"),4.0)</f>
        <v>4</v>
      </c>
      <c r="N254" s="3" t="str">
        <f>IFERROR(__xludf.DUMMYFUNCTION("MID(REGEXEXTRACT(H254,"" [^ ]* [^ ]*""),2,300)"),"striped aqua")</f>
        <v>striped aqua</v>
      </c>
      <c r="O254" s="3">
        <f>IFERROR(__xludf.DUMMYFUNCTION("INDEX(SPLIT(I254,"" ""),1)"),4.0)</f>
        <v>4</v>
      </c>
      <c r="P254" s="3" t="str">
        <f>IFERROR(__xludf.DUMMYFUNCTION("MID(REGEXEXTRACT(I254,"" [^ ]* [^ ]*""),2,300)"),"dotted gold")</f>
        <v>dotted gold</v>
      </c>
      <c r="Q254" s="3" t="str">
        <f>IFERROR(__xludf.DUMMYFUNCTION("INDEX(SPLIT(J254,"" ""),1)"),"#REF!")</f>
        <v>#REF!</v>
      </c>
      <c r="R254" s="3" t="str">
        <f>IFERROR(__xludf.DUMMYFUNCTION("MID(REGEXEXTRACT(J254,"" [^ ]* [^ ]*""),2,300)"),"#REF!")</f>
        <v>#REF!</v>
      </c>
      <c r="S254" s="3">
        <f t="shared" si="2"/>
        <v>5</v>
      </c>
      <c r="T254" s="3" t="str">
        <f t="shared" si="3"/>
        <v>faded cyan</v>
      </c>
      <c r="U254" s="3">
        <f t="shared" si="4"/>
        <v>4</v>
      </c>
      <c r="V254" s="3" t="str">
        <f t="shared" si="5"/>
        <v>striped aqua</v>
      </c>
      <c r="W254" s="3">
        <f t="shared" si="6"/>
        <v>4</v>
      </c>
      <c r="X254" s="3" t="str">
        <f t="shared" si="7"/>
        <v>dotted gold</v>
      </c>
      <c r="Y254" s="3" t="str">
        <f t="shared" si="8"/>
        <v/>
      </c>
      <c r="Z254" s="3" t="str">
        <f t="shared" si="9"/>
        <v/>
      </c>
      <c r="AA254" s="13">
        <f t="shared" si="10"/>
        <v>5837626</v>
      </c>
      <c r="AB254" s="3">
        <f t="shared" si="11"/>
        <v>5837625</v>
      </c>
      <c r="AC254" s="3">
        <f t="shared" si="12"/>
        <v>5</v>
      </c>
      <c r="AD254" s="3">
        <f t="shared" si="13"/>
        <v>1017501</v>
      </c>
      <c r="AE254" s="3">
        <f t="shared" si="14"/>
        <v>4</v>
      </c>
      <c r="AF254" s="3">
        <f t="shared" si="15"/>
        <v>187520</v>
      </c>
      <c r="AG254" s="3">
        <f t="shared" si="16"/>
        <v>4</v>
      </c>
      <c r="AH254" s="3">
        <f t="shared" si="17"/>
        <v>10</v>
      </c>
      <c r="AI254" s="3" t="str">
        <f t="shared" si="18"/>
        <v/>
      </c>
      <c r="AJ254" s="3">
        <f t="shared" si="19"/>
        <v>0</v>
      </c>
    </row>
    <row r="255">
      <c r="C255" s="6" t="s">
        <v>255</v>
      </c>
      <c r="D255" s="3">
        <f t="shared" si="1"/>
        <v>3</v>
      </c>
      <c r="E255" s="3" t="str">
        <f>IFERROR(__xludf.DUMMYFUNCTION("REGEXEXTRACT(C255,""[^ ]* [^ ]*"")"),"bright maroon")</f>
        <v>bright maroon</v>
      </c>
      <c r="F255" s="3" t="str">
        <f>IFERROR(__xludf.DUMMYFUNCTION("MID(REGEXEXTRACT(C255,""contain.*$""),9,300)"),"1 dark bronze bag, 3 vibrant aqua bags, 4 dim magenta bags, 3 clear crimson bags.")</f>
        <v>1 dark bronze bag, 3 vibrant aqua bags, 4 dim magenta bags, 3 clear crimson bags.</v>
      </c>
      <c r="G255" s="3" t="str">
        <f>IFERROR(__xludf.DUMMYFUNCTION("INDEX(SPLIT($F255,"",""),COLUMN()-6)"),"1 dark bronze bag")</f>
        <v>1 dark bronze bag</v>
      </c>
      <c r="H255" s="3" t="str">
        <f>IFERROR(__xludf.DUMMYFUNCTION("MID(INDEX(SPLIT($F255,"",""),COLUMN()-6),2,300)"),"3 vibrant aqua bags")</f>
        <v>3 vibrant aqua bags</v>
      </c>
      <c r="I255" s="3" t="str">
        <f>IFERROR(__xludf.DUMMYFUNCTION("MID(INDEX(SPLIT($F255,"",""),COLUMN()-6),2,300)"),"4 dim magenta bags")</f>
        <v>4 dim magenta bags</v>
      </c>
      <c r="J255" s="3" t="str">
        <f>IFERROR(__xludf.DUMMYFUNCTION("MID(INDEX(SPLIT($F255,"",""),COLUMN()-6),2,300)"),"3 clear crimson bags.")</f>
        <v>3 clear crimson bags.</v>
      </c>
      <c r="K255" s="3">
        <f>IFERROR(__xludf.DUMMYFUNCTION("INDEX(SPLIT(G255,"" ""),1)"),1.0)</f>
        <v>1</v>
      </c>
      <c r="L255" s="3" t="str">
        <f>IFERROR(__xludf.DUMMYFUNCTION("REGEXEXTRACT(G255,"" [^ ]* [^ ]* "")")," dark bronze ")</f>
        <v> dark bronze </v>
      </c>
      <c r="M255" s="3">
        <f>IFERROR(__xludf.DUMMYFUNCTION("INDEX(SPLIT(H255,"" ""),1)"),3.0)</f>
        <v>3</v>
      </c>
      <c r="N255" s="3" t="str">
        <f>IFERROR(__xludf.DUMMYFUNCTION("MID(REGEXEXTRACT(H255,"" [^ ]* [^ ]*""),2,300)"),"vibrant aqua")</f>
        <v>vibrant aqua</v>
      </c>
      <c r="O255" s="3">
        <f>IFERROR(__xludf.DUMMYFUNCTION("INDEX(SPLIT(I255,"" ""),1)"),4.0)</f>
        <v>4</v>
      </c>
      <c r="P255" s="3" t="str">
        <f>IFERROR(__xludf.DUMMYFUNCTION("MID(REGEXEXTRACT(I255,"" [^ ]* [^ ]*""),2,300)"),"dim magenta")</f>
        <v>dim magenta</v>
      </c>
      <c r="Q255" s="3">
        <f>IFERROR(__xludf.DUMMYFUNCTION("INDEX(SPLIT(J255,"" ""),1)"),3.0)</f>
        <v>3</v>
      </c>
      <c r="R255" s="3" t="str">
        <f>IFERROR(__xludf.DUMMYFUNCTION("MID(REGEXEXTRACT(J255,"" [^ ]* [^ ]*""),2,300)"),"clear crimson")</f>
        <v>clear crimson</v>
      </c>
      <c r="S255" s="3">
        <f t="shared" si="2"/>
        <v>1</v>
      </c>
      <c r="T255" s="3" t="str">
        <f t="shared" si="3"/>
        <v>dark bronze</v>
      </c>
      <c r="U255" s="3">
        <f t="shared" si="4"/>
        <v>3</v>
      </c>
      <c r="V255" s="3" t="str">
        <f t="shared" si="5"/>
        <v>vibrant aqua</v>
      </c>
      <c r="W255" s="3">
        <f t="shared" si="6"/>
        <v>4</v>
      </c>
      <c r="X255" s="3" t="str">
        <f t="shared" si="7"/>
        <v>dim magenta</v>
      </c>
      <c r="Y255" s="3">
        <f t="shared" si="8"/>
        <v>3</v>
      </c>
      <c r="Z255" s="3" t="str">
        <f t="shared" si="9"/>
        <v>clear crimson</v>
      </c>
      <c r="AA255" s="13">
        <f t="shared" si="10"/>
        <v>84925614</v>
      </c>
      <c r="AB255" s="3">
        <f t="shared" si="11"/>
        <v>84925613</v>
      </c>
      <c r="AC255" s="3">
        <f t="shared" si="12"/>
        <v>1</v>
      </c>
      <c r="AD255" s="3">
        <f t="shared" si="13"/>
        <v>14835</v>
      </c>
      <c r="AE255" s="3">
        <f t="shared" si="14"/>
        <v>3</v>
      </c>
      <c r="AF255" s="3">
        <f t="shared" si="15"/>
        <v>1</v>
      </c>
      <c r="AG255" s="3">
        <f t="shared" si="16"/>
        <v>4</v>
      </c>
      <c r="AH255" s="3">
        <f t="shared" si="17"/>
        <v>2222594</v>
      </c>
      <c r="AI255" s="3">
        <f t="shared" si="18"/>
        <v>3</v>
      </c>
      <c r="AJ255" s="3">
        <f t="shared" si="19"/>
        <v>25340133</v>
      </c>
    </row>
    <row r="256">
      <c r="C256" s="6" t="s">
        <v>256</v>
      </c>
      <c r="D256" s="3">
        <f t="shared" si="1"/>
        <v>0</v>
      </c>
      <c r="E256" s="3" t="str">
        <f>IFERROR(__xludf.DUMMYFUNCTION("REGEXEXTRACT(C256,""[^ ]* [^ ]*"")"),"bright cyan")</f>
        <v>bright cyan</v>
      </c>
      <c r="F256" s="3" t="str">
        <f>IFERROR(__xludf.DUMMYFUNCTION("MID(REGEXEXTRACT(C256,""contain.*$""),9,300)"),"2 wavy tomato bags.")</f>
        <v>2 wavy tomato bags.</v>
      </c>
      <c r="G256" s="3" t="str">
        <f>IFERROR(__xludf.DUMMYFUNCTION("INDEX(SPLIT($F256,"",""),COLUMN()-6)"),"2 wavy tomato bags.")</f>
        <v>2 wavy tomato bags.</v>
      </c>
      <c r="H256" s="3" t="str">
        <f>IFERROR(__xludf.DUMMYFUNCTION("MID(INDEX(SPLIT($F256,"",""),COLUMN()-6),2,300)"),"#REF!")</f>
        <v>#REF!</v>
      </c>
      <c r="I256" s="3" t="str">
        <f>IFERROR(__xludf.DUMMYFUNCTION("MID(INDEX(SPLIT($F256,"",""),COLUMN()-6),2,300)"),"#REF!")</f>
        <v>#REF!</v>
      </c>
      <c r="J256" s="3" t="str">
        <f>IFERROR(__xludf.DUMMYFUNCTION("MID(INDEX(SPLIT($F256,"",""),COLUMN()-6),2,300)"),"#REF!")</f>
        <v>#REF!</v>
      </c>
      <c r="K256" s="3">
        <f>IFERROR(__xludf.DUMMYFUNCTION("INDEX(SPLIT(G256,"" ""),1)"),2.0)</f>
        <v>2</v>
      </c>
      <c r="L256" s="3" t="str">
        <f>IFERROR(__xludf.DUMMYFUNCTION("REGEXEXTRACT(G256,"" [^ ]* [^ ]* "")")," wavy tomato ")</f>
        <v> wavy tomato </v>
      </c>
      <c r="M256" s="3" t="str">
        <f>IFERROR(__xludf.DUMMYFUNCTION("INDEX(SPLIT(H256,"" ""),1)"),"#REF!")</f>
        <v>#REF!</v>
      </c>
      <c r="N256" s="3" t="str">
        <f>IFERROR(__xludf.DUMMYFUNCTION("MID(REGEXEXTRACT(H256,"" [^ ]* [^ ]*""),2,300)"),"#REF!")</f>
        <v>#REF!</v>
      </c>
      <c r="O256" s="3" t="str">
        <f>IFERROR(__xludf.DUMMYFUNCTION("INDEX(SPLIT(I256,"" ""),1)"),"#REF!")</f>
        <v>#REF!</v>
      </c>
      <c r="P256" s="3" t="str">
        <f>IFERROR(__xludf.DUMMYFUNCTION("MID(REGEXEXTRACT(I256,"" [^ ]* [^ ]*""),2,300)"),"#REF!")</f>
        <v>#REF!</v>
      </c>
      <c r="Q256" s="3" t="str">
        <f>IFERROR(__xludf.DUMMYFUNCTION("INDEX(SPLIT(J256,"" ""),1)"),"#REF!")</f>
        <v>#REF!</v>
      </c>
      <c r="R256" s="3" t="str">
        <f>IFERROR(__xludf.DUMMYFUNCTION("MID(REGEXEXTRACT(J256,"" [^ ]* [^ ]*""),2,300)"),"#REF!")</f>
        <v>#REF!</v>
      </c>
      <c r="S256" s="3">
        <f t="shared" si="2"/>
        <v>2</v>
      </c>
      <c r="T256" s="3" t="str">
        <f t="shared" si="3"/>
        <v>wavy tomato</v>
      </c>
      <c r="U256" s="3" t="str">
        <f t="shared" si="4"/>
        <v/>
      </c>
      <c r="V256" s="3" t="str">
        <f t="shared" si="5"/>
        <v/>
      </c>
      <c r="W256" s="3" t="str">
        <f t="shared" si="6"/>
        <v/>
      </c>
      <c r="X256" s="3" t="str">
        <f t="shared" si="7"/>
        <v/>
      </c>
      <c r="Y256" s="3" t="str">
        <f t="shared" si="8"/>
        <v/>
      </c>
      <c r="Z256" s="3" t="str">
        <f t="shared" si="9"/>
        <v/>
      </c>
      <c r="AA256" s="13">
        <f t="shared" si="10"/>
        <v>531</v>
      </c>
      <c r="AB256" s="3">
        <f t="shared" si="11"/>
        <v>530</v>
      </c>
      <c r="AC256" s="3">
        <f t="shared" si="12"/>
        <v>2</v>
      </c>
      <c r="AD256" s="3">
        <f t="shared" si="13"/>
        <v>265</v>
      </c>
      <c r="AE256" s="3" t="str">
        <f t="shared" si="14"/>
        <v/>
      </c>
      <c r="AF256" s="3">
        <f t="shared" si="15"/>
        <v>0</v>
      </c>
      <c r="AG256" s="3" t="str">
        <f t="shared" si="16"/>
        <v/>
      </c>
      <c r="AH256" s="3">
        <f t="shared" si="17"/>
        <v>0</v>
      </c>
      <c r="AI256" s="3" t="str">
        <f t="shared" si="18"/>
        <v/>
      </c>
      <c r="AJ256" s="3">
        <f t="shared" si="19"/>
        <v>0</v>
      </c>
    </row>
    <row r="257">
      <c r="C257" s="6" t="s">
        <v>257</v>
      </c>
      <c r="D257" s="3">
        <f t="shared" si="1"/>
        <v>3</v>
      </c>
      <c r="E257" s="3" t="str">
        <f>IFERROR(__xludf.DUMMYFUNCTION("REGEXEXTRACT(C257,""[^ ]* [^ ]*"")"),"plaid olive")</f>
        <v>plaid olive</v>
      </c>
      <c r="F257" s="3" t="str">
        <f>IFERROR(__xludf.DUMMYFUNCTION("MID(REGEXEXTRACT(C257,""contain.*$""),9,300)"),"3 striped indigo bags, 5 dim purple bags, 3 striped bronze bags, 2 light teal bags.")</f>
        <v>3 striped indigo bags, 5 dim purple bags, 3 striped bronze bags, 2 light teal bags.</v>
      </c>
      <c r="G257" s="3" t="str">
        <f>IFERROR(__xludf.DUMMYFUNCTION("INDEX(SPLIT($F257,"",""),COLUMN()-6)"),"3 striped indigo bags")</f>
        <v>3 striped indigo bags</v>
      </c>
      <c r="H257" s="3" t="str">
        <f>IFERROR(__xludf.DUMMYFUNCTION("MID(INDEX(SPLIT($F257,"",""),COLUMN()-6),2,300)"),"5 dim purple bags")</f>
        <v>5 dim purple bags</v>
      </c>
      <c r="I257" s="3" t="str">
        <f>IFERROR(__xludf.DUMMYFUNCTION("MID(INDEX(SPLIT($F257,"",""),COLUMN()-6),2,300)"),"3 striped bronze bags")</f>
        <v>3 striped bronze bags</v>
      </c>
      <c r="J257" s="3" t="str">
        <f>IFERROR(__xludf.DUMMYFUNCTION("MID(INDEX(SPLIT($F257,"",""),COLUMN()-6),2,300)"),"2 light teal bags.")</f>
        <v>2 light teal bags.</v>
      </c>
      <c r="K257" s="3">
        <f>IFERROR(__xludf.DUMMYFUNCTION("INDEX(SPLIT(G257,"" ""),1)"),3.0)</f>
        <v>3</v>
      </c>
      <c r="L257" s="3" t="str">
        <f>IFERROR(__xludf.DUMMYFUNCTION("REGEXEXTRACT(G257,"" [^ ]* [^ ]* "")")," striped indigo ")</f>
        <v> striped indigo </v>
      </c>
      <c r="M257" s="3">
        <f>IFERROR(__xludf.DUMMYFUNCTION("INDEX(SPLIT(H257,"" ""),1)"),5.0)</f>
        <v>5</v>
      </c>
      <c r="N257" s="3" t="str">
        <f>IFERROR(__xludf.DUMMYFUNCTION("MID(REGEXEXTRACT(H257,"" [^ ]* [^ ]*""),2,300)"),"dim purple")</f>
        <v>dim purple</v>
      </c>
      <c r="O257" s="3">
        <f>IFERROR(__xludf.DUMMYFUNCTION("INDEX(SPLIT(I257,"" ""),1)"),3.0)</f>
        <v>3</v>
      </c>
      <c r="P257" s="3" t="str">
        <f>IFERROR(__xludf.DUMMYFUNCTION("MID(REGEXEXTRACT(I257,"" [^ ]* [^ ]*""),2,300)"),"striped bronze")</f>
        <v>striped bronze</v>
      </c>
      <c r="Q257" s="3">
        <f>IFERROR(__xludf.DUMMYFUNCTION("INDEX(SPLIT(J257,"" ""),1)"),2.0)</f>
        <v>2</v>
      </c>
      <c r="R257" s="3" t="str">
        <f>IFERROR(__xludf.DUMMYFUNCTION("MID(REGEXEXTRACT(J257,"" [^ ]* [^ ]*""),2,300)"),"light teal")</f>
        <v>light teal</v>
      </c>
      <c r="S257" s="3">
        <f t="shared" si="2"/>
        <v>3</v>
      </c>
      <c r="T257" s="3" t="str">
        <f t="shared" si="3"/>
        <v>striped indigo</v>
      </c>
      <c r="U257" s="3">
        <f t="shared" si="4"/>
        <v>5</v>
      </c>
      <c r="V257" s="3" t="str">
        <f t="shared" si="5"/>
        <v>dim purple</v>
      </c>
      <c r="W257" s="3">
        <f t="shared" si="6"/>
        <v>3</v>
      </c>
      <c r="X257" s="3" t="str">
        <f t="shared" si="7"/>
        <v>striped bronze</v>
      </c>
      <c r="Y257" s="3">
        <f t="shared" si="8"/>
        <v>2</v>
      </c>
      <c r="Z257" s="3" t="str">
        <f t="shared" si="9"/>
        <v>light teal</v>
      </c>
      <c r="AA257" s="13">
        <f t="shared" si="10"/>
        <v>5659118184</v>
      </c>
      <c r="AB257" s="3">
        <f t="shared" si="11"/>
        <v>5659118183</v>
      </c>
      <c r="AC257" s="3">
        <f t="shared" si="12"/>
        <v>3</v>
      </c>
      <c r="AD257" s="3">
        <f t="shared" si="13"/>
        <v>1881044201</v>
      </c>
      <c r="AE257" s="3">
        <f t="shared" si="14"/>
        <v>5</v>
      </c>
      <c r="AF257" s="3">
        <f t="shared" si="15"/>
        <v>1160117</v>
      </c>
      <c r="AG257" s="3">
        <f t="shared" si="16"/>
        <v>3</v>
      </c>
      <c r="AH257" s="3">
        <f t="shared" si="17"/>
        <v>3362673</v>
      </c>
      <c r="AI257" s="3">
        <f t="shared" si="18"/>
        <v>2</v>
      </c>
      <c r="AJ257" s="3">
        <f t="shared" si="19"/>
        <v>48488</v>
      </c>
    </row>
    <row r="258">
      <c r="C258" s="6" t="s">
        <v>258</v>
      </c>
      <c r="D258" s="3">
        <f t="shared" si="1"/>
        <v>3</v>
      </c>
      <c r="E258" s="3" t="str">
        <f>IFERROR(__xludf.DUMMYFUNCTION("REGEXEXTRACT(C258,""[^ ]* [^ ]*"")"),"plaid chartreuse")</f>
        <v>plaid chartreuse</v>
      </c>
      <c r="F258" s="3" t="str">
        <f>IFERROR(__xludf.DUMMYFUNCTION("MID(REGEXEXTRACT(C258,""contain.*$""),9,300)"),"3 plaid yellow bags, 1 faded brown bag, 1 vibrant tan bag, 4 wavy fuchsia bags.")</f>
        <v>3 plaid yellow bags, 1 faded brown bag, 1 vibrant tan bag, 4 wavy fuchsia bags.</v>
      </c>
      <c r="G258" s="3" t="str">
        <f>IFERROR(__xludf.DUMMYFUNCTION("INDEX(SPLIT($F258,"",""),COLUMN()-6)"),"3 plaid yellow bags")</f>
        <v>3 plaid yellow bags</v>
      </c>
      <c r="H258" s="3" t="str">
        <f>IFERROR(__xludf.DUMMYFUNCTION("MID(INDEX(SPLIT($F258,"",""),COLUMN()-6),2,300)"),"1 faded brown bag")</f>
        <v>1 faded brown bag</v>
      </c>
      <c r="I258" s="3" t="str">
        <f>IFERROR(__xludf.DUMMYFUNCTION("MID(INDEX(SPLIT($F258,"",""),COLUMN()-6),2,300)"),"1 vibrant tan bag")</f>
        <v>1 vibrant tan bag</v>
      </c>
      <c r="J258" s="3" t="str">
        <f>IFERROR(__xludf.DUMMYFUNCTION("MID(INDEX(SPLIT($F258,"",""),COLUMN()-6),2,300)"),"4 wavy fuchsia bags.")</f>
        <v>4 wavy fuchsia bags.</v>
      </c>
      <c r="K258" s="3">
        <f>IFERROR(__xludf.DUMMYFUNCTION("INDEX(SPLIT(G258,"" ""),1)"),3.0)</f>
        <v>3</v>
      </c>
      <c r="L258" s="3" t="str">
        <f>IFERROR(__xludf.DUMMYFUNCTION("REGEXEXTRACT(G258,"" [^ ]* [^ ]* "")")," plaid yellow ")</f>
        <v> plaid yellow </v>
      </c>
      <c r="M258" s="3">
        <f>IFERROR(__xludf.DUMMYFUNCTION("INDEX(SPLIT(H258,"" ""),1)"),1.0)</f>
        <v>1</v>
      </c>
      <c r="N258" s="3" t="str">
        <f>IFERROR(__xludf.DUMMYFUNCTION("MID(REGEXEXTRACT(H258,"" [^ ]* [^ ]*""),2,300)"),"faded brown")</f>
        <v>faded brown</v>
      </c>
      <c r="O258" s="3">
        <f>IFERROR(__xludf.DUMMYFUNCTION("INDEX(SPLIT(I258,"" ""),1)"),1.0)</f>
        <v>1</v>
      </c>
      <c r="P258" s="3" t="str">
        <f>IFERROR(__xludf.DUMMYFUNCTION("MID(REGEXEXTRACT(I258,"" [^ ]* [^ ]*""),2,300)"),"vibrant tan")</f>
        <v>vibrant tan</v>
      </c>
      <c r="Q258" s="3">
        <f>IFERROR(__xludf.DUMMYFUNCTION("INDEX(SPLIT(J258,"" ""),1)"),4.0)</f>
        <v>4</v>
      </c>
      <c r="R258" s="3" t="str">
        <f>IFERROR(__xludf.DUMMYFUNCTION("MID(REGEXEXTRACT(J258,"" [^ ]* [^ ]*""),2,300)"),"wavy fuchsia")</f>
        <v>wavy fuchsia</v>
      </c>
      <c r="S258" s="3">
        <f t="shared" si="2"/>
        <v>3</v>
      </c>
      <c r="T258" s="3" t="str">
        <f t="shared" si="3"/>
        <v>plaid yellow</v>
      </c>
      <c r="U258" s="3">
        <f t="shared" si="4"/>
        <v>1</v>
      </c>
      <c r="V258" s="3" t="str">
        <f t="shared" si="5"/>
        <v>faded brown</v>
      </c>
      <c r="W258" s="3">
        <f t="shared" si="6"/>
        <v>1</v>
      </c>
      <c r="X258" s="3" t="str">
        <f t="shared" si="7"/>
        <v>vibrant tan</v>
      </c>
      <c r="Y258" s="3">
        <f t="shared" si="8"/>
        <v>4</v>
      </c>
      <c r="Z258" s="3" t="str">
        <f t="shared" si="9"/>
        <v>wavy fuchsia</v>
      </c>
      <c r="AA258" s="13">
        <f t="shared" si="10"/>
        <v>199699352</v>
      </c>
      <c r="AB258" s="3">
        <f t="shared" si="11"/>
        <v>199699351</v>
      </c>
      <c r="AC258" s="3">
        <f t="shared" si="12"/>
        <v>3</v>
      </c>
      <c r="AD258" s="3">
        <f t="shared" si="13"/>
        <v>57101279</v>
      </c>
      <c r="AE258" s="3">
        <f t="shared" si="14"/>
        <v>1</v>
      </c>
      <c r="AF258" s="3">
        <f t="shared" si="15"/>
        <v>13780679</v>
      </c>
      <c r="AG258" s="3">
        <f t="shared" si="16"/>
        <v>1</v>
      </c>
      <c r="AH258" s="3">
        <f t="shared" si="17"/>
        <v>229951</v>
      </c>
      <c r="AI258" s="3">
        <f t="shared" si="18"/>
        <v>4</v>
      </c>
      <c r="AJ258" s="3">
        <f t="shared" si="19"/>
        <v>3596221</v>
      </c>
    </row>
    <row r="259">
      <c r="C259" s="6" t="s">
        <v>259</v>
      </c>
      <c r="D259" s="3">
        <f t="shared" si="1"/>
        <v>0</v>
      </c>
      <c r="E259" s="3" t="str">
        <f>IFERROR(__xludf.DUMMYFUNCTION("REGEXEXTRACT(C259,""[^ ]* [^ ]*"")"),"dull maroon")</f>
        <v>dull maroon</v>
      </c>
      <c r="F259" s="3" t="str">
        <f>IFERROR(__xludf.DUMMYFUNCTION("MID(REGEXEXTRACT(C259,""contain.*$""),9,300)"),"3 muted yellow bags.")</f>
        <v>3 muted yellow bags.</v>
      </c>
      <c r="G259" s="3" t="str">
        <f>IFERROR(__xludf.DUMMYFUNCTION("INDEX(SPLIT($F259,"",""),COLUMN()-6)"),"3 muted yellow bags.")</f>
        <v>3 muted yellow bags.</v>
      </c>
      <c r="H259" s="3" t="str">
        <f>IFERROR(__xludf.DUMMYFUNCTION("MID(INDEX(SPLIT($F259,"",""),COLUMN()-6),2,300)"),"#REF!")</f>
        <v>#REF!</v>
      </c>
      <c r="I259" s="3" t="str">
        <f>IFERROR(__xludf.DUMMYFUNCTION("MID(INDEX(SPLIT($F259,"",""),COLUMN()-6),2,300)"),"#REF!")</f>
        <v>#REF!</v>
      </c>
      <c r="J259" s="3" t="str">
        <f>IFERROR(__xludf.DUMMYFUNCTION("MID(INDEX(SPLIT($F259,"",""),COLUMN()-6),2,300)"),"#REF!")</f>
        <v>#REF!</v>
      </c>
      <c r="K259" s="3">
        <f>IFERROR(__xludf.DUMMYFUNCTION("INDEX(SPLIT(G259,"" ""),1)"),3.0)</f>
        <v>3</v>
      </c>
      <c r="L259" s="3" t="str">
        <f>IFERROR(__xludf.DUMMYFUNCTION("REGEXEXTRACT(G259,"" [^ ]* [^ ]* "")")," muted yellow ")</f>
        <v> muted yellow </v>
      </c>
      <c r="M259" s="3" t="str">
        <f>IFERROR(__xludf.DUMMYFUNCTION("INDEX(SPLIT(H259,"" ""),1)"),"#REF!")</f>
        <v>#REF!</v>
      </c>
      <c r="N259" s="3" t="str">
        <f>IFERROR(__xludf.DUMMYFUNCTION("MID(REGEXEXTRACT(H259,"" [^ ]* [^ ]*""),2,300)"),"#REF!")</f>
        <v>#REF!</v>
      </c>
      <c r="O259" s="3" t="str">
        <f>IFERROR(__xludf.DUMMYFUNCTION("INDEX(SPLIT(I259,"" ""),1)"),"#REF!")</f>
        <v>#REF!</v>
      </c>
      <c r="P259" s="3" t="str">
        <f>IFERROR(__xludf.DUMMYFUNCTION("MID(REGEXEXTRACT(I259,"" [^ ]* [^ ]*""),2,300)"),"#REF!")</f>
        <v>#REF!</v>
      </c>
      <c r="Q259" s="3" t="str">
        <f>IFERROR(__xludf.DUMMYFUNCTION("INDEX(SPLIT(J259,"" ""),1)"),"#REF!")</f>
        <v>#REF!</v>
      </c>
      <c r="R259" s="3" t="str">
        <f>IFERROR(__xludf.DUMMYFUNCTION("MID(REGEXEXTRACT(J259,"" [^ ]* [^ ]*""),2,300)"),"#REF!")</f>
        <v>#REF!</v>
      </c>
      <c r="S259" s="3">
        <f t="shared" si="2"/>
        <v>3</v>
      </c>
      <c r="T259" s="3" t="str">
        <f t="shared" si="3"/>
        <v>muted yellow</v>
      </c>
      <c r="U259" s="3" t="str">
        <f t="shared" si="4"/>
        <v/>
      </c>
      <c r="V259" s="3" t="str">
        <f t="shared" si="5"/>
        <v/>
      </c>
      <c r="W259" s="3" t="str">
        <f t="shared" si="6"/>
        <v/>
      </c>
      <c r="X259" s="3" t="str">
        <f t="shared" si="7"/>
        <v/>
      </c>
      <c r="Y259" s="3" t="str">
        <f t="shared" si="8"/>
        <v/>
      </c>
      <c r="Z259" s="3" t="str">
        <f t="shared" si="9"/>
        <v/>
      </c>
      <c r="AA259" s="13">
        <f t="shared" si="10"/>
        <v>11485</v>
      </c>
      <c r="AB259" s="3">
        <f t="shared" si="11"/>
        <v>11484</v>
      </c>
      <c r="AC259" s="3">
        <f t="shared" si="12"/>
        <v>3</v>
      </c>
      <c r="AD259" s="3">
        <f t="shared" si="13"/>
        <v>3828</v>
      </c>
      <c r="AE259" s="3" t="str">
        <f t="shared" si="14"/>
        <v/>
      </c>
      <c r="AF259" s="3">
        <f t="shared" si="15"/>
        <v>0</v>
      </c>
      <c r="AG259" s="3" t="str">
        <f t="shared" si="16"/>
        <v/>
      </c>
      <c r="AH259" s="3">
        <f t="shared" si="17"/>
        <v>0</v>
      </c>
      <c r="AI259" s="3" t="str">
        <f t="shared" si="18"/>
        <v/>
      </c>
      <c r="AJ259" s="3">
        <f t="shared" si="19"/>
        <v>0</v>
      </c>
    </row>
    <row r="260">
      <c r="C260" s="6" t="s">
        <v>260</v>
      </c>
      <c r="D260" s="3">
        <f t="shared" si="1"/>
        <v>1</v>
      </c>
      <c r="E260" s="3" t="str">
        <f>IFERROR(__xludf.DUMMYFUNCTION("REGEXEXTRACT(C260,""[^ ]* [^ ]*"")"),"light fuchsia")</f>
        <v>light fuchsia</v>
      </c>
      <c r="F260" s="3" t="str">
        <f>IFERROR(__xludf.DUMMYFUNCTION("MID(REGEXEXTRACT(C260,""contain.*$""),9,300)"),"5 drab maroon bags, 5 muted silver bags.")</f>
        <v>5 drab maroon bags, 5 muted silver bags.</v>
      </c>
      <c r="G260" s="3" t="str">
        <f>IFERROR(__xludf.DUMMYFUNCTION("INDEX(SPLIT($F260,"",""),COLUMN()-6)"),"5 drab maroon bags")</f>
        <v>5 drab maroon bags</v>
      </c>
      <c r="H260" s="3" t="str">
        <f>IFERROR(__xludf.DUMMYFUNCTION("MID(INDEX(SPLIT($F260,"",""),COLUMN()-6),2,300)"),"5 muted silver bags.")</f>
        <v>5 muted silver bags.</v>
      </c>
      <c r="I260" s="3" t="str">
        <f>IFERROR(__xludf.DUMMYFUNCTION("MID(INDEX(SPLIT($F260,"",""),COLUMN()-6),2,300)"),"#REF!")</f>
        <v>#REF!</v>
      </c>
      <c r="J260" s="3" t="str">
        <f>IFERROR(__xludf.DUMMYFUNCTION("MID(INDEX(SPLIT($F260,"",""),COLUMN()-6),2,300)"),"#REF!")</f>
        <v>#REF!</v>
      </c>
      <c r="K260" s="3">
        <f>IFERROR(__xludf.DUMMYFUNCTION("INDEX(SPLIT(G260,"" ""),1)"),5.0)</f>
        <v>5</v>
      </c>
      <c r="L260" s="3" t="str">
        <f>IFERROR(__xludf.DUMMYFUNCTION("REGEXEXTRACT(G260,"" [^ ]* [^ ]* "")")," drab maroon ")</f>
        <v> drab maroon </v>
      </c>
      <c r="M260" s="3">
        <f>IFERROR(__xludf.DUMMYFUNCTION("INDEX(SPLIT(H260,"" ""),1)"),5.0)</f>
        <v>5</v>
      </c>
      <c r="N260" s="3" t="str">
        <f>IFERROR(__xludf.DUMMYFUNCTION("MID(REGEXEXTRACT(H260,"" [^ ]* [^ ]*""),2,300)"),"muted silver")</f>
        <v>muted silver</v>
      </c>
      <c r="O260" s="3" t="str">
        <f>IFERROR(__xludf.DUMMYFUNCTION("INDEX(SPLIT(I260,"" ""),1)"),"#REF!")</f>
        <v>#REF!</v>
      </c>
      <c r="P260" s="3" t="str">
        <f>IFERROR(__xludf.DUMMYFUNCTION("MID(REGEXEXTRACT(I260,"" [^ ]* [^ ]*""),2,300)"),"#REF!")</f>
        <v>#REF!</v>
      </c>
      <c r="Q260" s="3" t="str">
        <f>IFERROR(__xludf.DUMMYFUNCTION("INDEX(SPLIT(J260,"" ""),1)"),"#REF!")</f>
        <v>#REF!</v>
      </c>
      <c r="R260" s="3" t="str">
        <f>IFERROR(__xludf.DUMMYFUNCTION("MID(REGEXEXTRACT(J260,"" [^ ]* [^ ]*""),2,300)"),"#REF!")</f>
        <v>#REF!</v>
      </c>
      <c r="S260" s="3">
        <f t="shared" si="2"/>
        <v>5</v>
      </c>
      <c r="T260" s="3" t="str">
        <f t="shared" si="3"/>
        <v>drab maroon</v>
      </c>
      <c r="U260" s="3">
        <f t="shared" si="4"/>
        <v>5</v>
      </c>
      <c r="V260" s="3" t="str">
        <f t="shared" si="5"/>
        <v>muted silver</v>
      </c>
      <c r="W260" s="3" t="str">
        <f t="shared" si="6"/>
        <v/>
      </c>
      <c r="X260" s="3" t="str">
        <f t="shared" si="7"/>
        <v/>
      </c>
      <c r="Y260" s="3" t="str">
        <f t="shared" si="8"/>
        <v/>
      </c>
      <c r="Z260" s="3" t="str">
        <f t="shared" si="9"/>
        <v/>
      </c>
      <c r="AA260" s="13">
        <f t="shared" si="10"/>
        <v>26163792106</v>
      </c>
      <c r="AB260" s="3">
        <f t="shared" si="11"/>
        <v>26163792105</v>
      </c>
      <c r="AC260" s="3">
        <f t="shared" si="12"/>
        <v>5</v>
      </c>
      <c r="AD260" s="3">
        <f t="shared" si="13"/>
        <v>3597</v>
      </c>
      <c r="AE260" s="3">
        <f t="shared" si="14"/>
        <v>5</v>
      </c>
      <c r="AF260" s="3">
        <f t="shared" si="15"/>
        <v>5232754824</v>
      </c>
      <c r="AG260" s="3" t="str">
        <f t="shared" si="16"/>
        <v/>
      </c>
      <c r="AH260" s="3">
        <f t="shared" si="17"/>
        <v>0</v>
      </c>
      <c r="AI260" s="3" t="str">
        <f t="shared" si="18"/>
        <v/>
      </c>
      <c r="AJ260" s="3">
        <f t="shared" si="19"/>
        <v>0</v>
      </c>
    </row>
    <row r="261">
      <c r="C261" s="6" t="s">
        <v>261</v>
      </c>
      <c r="D261" s="3">
        <f t="shared" si="1"/>
        <v>2</v>
      </c>
      <c r="E261" s="3" t="str">
        <f>IFERROR(__xludf.DUMMYFUNCTION("REGEXEXTRACT(C261,""[^ ]* [^ ]*"")"),"dull orange")</f>
        <v>dull orange</v>
      </c>
      <c r="F261" s="3" t="str">
        <f>IFERROR(__xludf.DUMMYFUNCTION("MID(REGEXEXTRACT(C261,""contain.*$""),9,300)"),"4 dim indigo bags, 4 posh beige bags, 1 bright red bag.")</f>
        <v>4 dim indigo bags, 4 posh beige bags, 1 bright red bag.</v>
      </c>
      <c r="G261" s="3" t="str">
        <f>IFERROR(__xludf.DUMMYFUNCTION("INDEX(SPLIT($F261,"",""),COLUMN()-6)"),"4 dim indigo bags")</f>
        <v>4 dim indigo bags</v>
      </c>
      <c r="H261" s="3" t="str">
        <f>IFERROR(__xludf.DUMMYFUNCTION("MID(INDEX(SPLIT($F261,"",""),COLUMN()-6),2,300)"),"4 posh beige bags")</f>
        <v>4 posh beige bags</v>
      </c>
      <c r="I261" s="3" t="str">
        <f>IFERROR(__xludf.DUMMYFUNCTION("MID(INDEX(SPLIT($F261,"",""),COLUMN()-6),2,300)"),"1 bright red bag.")</f>
        <v>1 bright red bag.</v>
      </c>
      <c r="J261" s="3" t="str">
        <f>IFERROR(__xludf.DUMMYFUNCTION("MID(INDEX(SPLIT($F261,"",""),COLUMN()-6),2,300)"),"#REF!")</f>
        <v>#REF!</v>
      </c>
      <c r="K261" s="3">
        <f>IFERROR(__xludf.DUMMYFUNCTION("INDEX(SPLIT(G261,"" ""),1)"),4.0)</f>
        <v>4</v>
      </c>
      <c r="L261" s="3" t="str">
        <f>IFERROR(__xludf.DUMMYFUNCTION("REGEXEXTRACT(G261,"" [^ ]* [^ ]* "")")," dim indigo ")</f>
        <v> dim indigo </v>
      </c>
      <c r="M261" s="3">
        <f>IFERROR(__xludf.DUMMYFUNCTION("INDEX(SPLIT(H261,"" ""),1)"),4.0)</f>
        <v>4</v>
      </c>
      <c r="N261" s="3" t="str">
        <f>IFERROR(__xludf.DUMMYFUNCTION("MID(REGEXEXTRACT(H261,"" [^ ]* [^ ]*""),2,300)"),"posh beige")</f>
        <v>posh beige</v>
      </c>
      <c r="O261" s="3">
        <f>IFERROR(__xludf.DUMMYFUNCTION("INDEX(SPLIT(I261,"" ""),1)"),1.0)</f>
        <v>1</v>
      </c>
      <c r="P261" s="3" t="str">
        <f>IFERROR(__xludf.DUMMYFUNCTION("MID(REGEXEXTRACT(I261,"" [^ ]* [^ ]*""),2,300)"),"bright red")</f>
        <v>bright red</v>
      </c>
      <c r="Q261" s="3" t="str">
        <f>IFERROR(__xludf.DUMMYFUNCTION("INDEX(SPLIT(J261,"" ""),1)"),"#REF!")</f>
        <v>#REF!</v>
      </c>
      <c r="R261" s="3" t="str">
        <f>IFERROR(__xludf.DUMMYFUNCTION("MID(REGEXEXTRACT(J261,"" [^ ]* [^ ]*""),2,300)"),"#REF!")</f>
        <v>#REF!</v>
      </c>
      <c r="S261" s="3">
        <f t="shared" si="2"/>
        <v>4</v>
      </c>
      <c r="T261" s="3" t="str">
        <f t="shared" si="3"/>
        <v>dim indigo</v>
      </c>
      <c r="U261" s="3">
        <f t="shared" si="4"/>
        <v>4</v>
      </c>
      <c r="V261" s="3" t="str">
        <f t="shared" si="5"/>
        <v>posh beige</v>
      </c>
      <c r="W261" s="3">
        <f t="shared" si="6"/>
        <v>1</v>
      </c>
      <c r="X261" s="3" t="str">
        <f t="shared" si="7"/>
        <v>bright red</v>
      </c>
      <c r="Y261" s="3" t="str">
        <f t="shared" si="8"/>
        <v/>
      </c>
      <c r="Z261" s="3" t="str">
        <f t="shared" si="9"/>
        <v/>
      </c>
      <c r="AA261" s="13">
        <f t="shared" si="10"/>
        <v>5127959</v>
      </c>
      <c r="AB261" s="3">
        <f t="shared" si="11"/>
        <v>5127958</v>
      </c>
      <c r="AC261" s="3">
        <f t="shared" si="12"/>
        <v>4</v>
      </c>
      <c r="AD261" s="3">
        <f t="shared" si="13"/>
        <v>29637</v>
      </c>
      <c r="AE261" s="3">
        <f t="shared" si="14"/>
        <v>4</v>
      </c>
      <c r="AF261" s="3">
        <f t="shared" si="15"/>
        <v>461699</v>
      </c>
      <c r="AG261" s="3">
        <f t="shared" si="16"/>
        <v>1</v>
      </c>
      <c r="AH261" s="3">
        <f t="shared" si="17"/>
        <v>3162614</v>
      </c>
      <c r="AI261" s="3" t="str">
        <f t="shared" si="18"/>
        <v/>
      </c>
      <c r="AJ261" s="3">
        <f t="shared" si="19"/>
        <v>0</v>
      </c>
    </row>
    <row r="262">
      <c r="C262" s="6" t="s">
        <v>262</v>
      </c>
      <c r="D262" s="3">
        <f t="shared" si="1"/>
        <v>1</v>
      </c>
      <c r="E262" s="3" t="str">
        <f>IFERROR(__xludf.DUMMYFUNCTION("REGEXEXTRACT(C262,""[^ ]* [^ ]*"")"),"dull blue")</f>
        <v>dull blue</v>
      </c>
      <c r="F262" s="3" t="str">
        <f>IFERROR(__xludf.DUMMYFUNCTION("MID(REGEXEXTRACT(C262,""contain.*$""),9,300)"),"5 wavy yellow bags, 4 posh gray bags.")</f>
        <v>5 wavy yellow bags, 4 posh gray bags.</v>
      </c>
      <c r="G262" s="3" t="str">
        <f>IFERROR(__xludf.DUMMYFUNCTION("INDEX(SPLIT($F262,"",""),COLUMN()-6)"),"5 wavy yellow bags")</f>
        <v>5 wavy yellow bags</v>
      </c>
      <c r="H262" s="3" t="str">
        <f>IFERROR(__xludf.DUMMYFUNCTION("MID(INDEX(SPLIT($F262,"",""),COLUMN()-6),2,300)"),"4 posh gray bags.")</f>
        <v>4 posh gray bags.</v>
      </c>
      <c r="I262" s="3" t="str">
        <f>IFERROR(__xludf.DUMMYFUNCTION("MID(INDEX(SPLIT($F262,"",""),COLUMN()-6),2,300)"),"#REF!")</f>
        <v>#REF!</v>
      </c>
      <c r="J262" s="3" t="str">
        <f>IFERROR(__xludf.DUMMYFUNCTION("MID(INDEX(SPLIT($F262,"",""),COLUMN()-6),2,300)"),"#REF!")</f>
        <v>#REF!</v>
      </c>
      <c r="K262" s="3">
        <f>IFERROR(__xludf.DUMMYFUNCTION("INDEX(SPLIT(G262,"" ""),1)"),5.0)</f>
        <v>5</v>
      </c>
      <c r="L262" s="3" t="str">
        <f>IFERROR(__xludf.DUMMYFUNCTION("REGEXEXTRACT(G262,"" [^ ]* [^ ]* "")")," wavy yellow ")</f>
        <v> wavy yellow </v>
      </c>
      <c r="M262" s="3">
        <f>IFERROR(__xludf.DUMMYFUNCTION("INDEX(SPLIT(H262,"" ""),1)"),4.0)</f>
        <v>4</v>
      </c>
      <c r="N262" s="3" t="str">
        <f>IFERROR(__xludf.DUMMYFUNCTION("MID(REGEXEXTRACT(H262,"" [^ ]* [^ ]*""),2,300)"),"posh gray")</f>
        <v>posh gray</v>
      </c>
      <c r="O262" s="3" t="str">
        <f>IFERROR(__xludf.DUMMYFUNCTION("INDEX(SPLIT(I262,"" ""),1)"),"#REF!")</f>
        <v>#REF!</v>
      </c>
      <c r="P262" s="3" t="str">
        <f>IFERROR(__xludf.DUMMYFUNCTION("MID(REGEXEXTRACT(I262,"" [^ ]* [^ ]*""),2,300)"),"#REF!")</f>
        <v>#REF!</v>
      </c>
      <c r="Q262" s="3" t="str">
        <f>IFERROR(__xludf.DUMMYFUNCTION("INDEX(SPLIT(J262,"" ""),1)"),"#REF!")</f>
        <v>#REF!</v>
      </c>
      <c r="R262" s="3" t="str">
        <f>IFERROR(__xludf.DUMMYFUNCTION("MID(REGEXEXTRACT(J262,"" [^ ]* [^ ]*""),2,300)"),"#REF!")</f>
        <v>#REF!</v>
      </c>
      <c r="S262" s="3">
        <f t="shared" si="2"/>
        <v>5</v>
      </c>
      <c r="T262" s="3" t="str">
        <f t="shared" si="3"/>
        <v>wavy yellow</v>
      </c>
      <c r="U262" s="3">
        <f t="shared" si="4"/>
        <v>4</v>
      </c>
      <c r="V262" s="3" t="str">
        <f t="shared" si="5"/>
        <v>posh gray</v>
      </c>
      <c r="W262" s="3" t="str">
        <f t="shared" si="6"/>
        <v/>
      </c>
      <c r="X262" s="3" t="str">
        <f t="shared" si="7"/>
        <v/>
      </c>
      <c r="Y262" s="3" t="str">
        <f t="shared" si="8"/>
        <v/>
      </c>
      <c r="Z262" s="3" t="str">
        <f t="shared" si="9"/>
        <v/>
      </c>
      <c r="AA262" s="13">
        <f t="shared" si="10"/>
        <v>229339</v>
      </c>
      <c r="AB262" s="3">
        <f t="shared" si="11"/>
        <v>229338</v>
      </c>
      <c r="AC262" s="3">
        <f t="shared" si="12"/>
        <v>5</v>
      </c>
      <c r="AD262" s="3">
        <f t="shared" si="13"/>
        <v>25486</v>
      </c>
      <c r="AE262" s="3">
        <f t="shared" si="14"/>
        <v>4</v>
      </c>
      <c r="AF262" s="3">
        <f t="shared" si="15"/>
        <v>25477</v>
      </c>
      <c r="AG262" s="3" t="str">
        <f t="shared" si="16"/>
        <v/>
      </c>
      <c r="AH262" s="3">
        <f t="shared" si="17"/>
        <v>0</v>
      </c>
      <c r="AI262" s="3" t="str">
        <f t="shared" si="18"/>
        <v/>
      </c>
      <c r="AJ262" s="3">
        <f t="shared" si="19"/>
        <v>0</v>
      </c>
    </row>
    <row r="263">
      <c r="C263" s="6" t="s">
        <v>263</v>
      </c>
      <c r="D263" s="3">
        <f t="shared" si="1"/>
        <v>3</v>
      </c>
      <c r="E263" s="3" t="str">
        <f>IFERROR(__xludf.DUMMYFUNCTION("REGEXEXTRACT(C263,""[^ ]* [^ ]*"")"),"plaid yellow")</f>
        <v>plaid yellow</v>
      </c>
      <c r="F263" s="3" t="str">
        <f>IFERROR(__xludf.DUMMYFUNCTION("MID(REGEXEXTRACT(C263,""contain.*$""),9,300)"),"1 bright fuchsia bag, 1 faded beige bag, 1 wavy beige bag, 4 light green bags.")</f>
        <v>1 bright fuchsia bag, 1 faded beige bag, 1 wavy beige bag, 4 light green bags.</v>
      </c>
      <c r="G263" s="3" t="str">
        <f>IFERROR(__xludf.DUMMYFUNCTION("INDEX(SPLIT($F263,"",""),COLUMN()-6)"),"1 bright fuchsia bag")</f>
        <v>1 bright fuchsia bag</v>
      </c>
      <c r="H263" s="3" t="str">
        <f>IFERROR(__xludf.DUMMYFUNCTION("MID(INDEX(SPLIT($F263,"",""),COLUMN()-6),2,300)"),"1 faded beige bag")</f>
        <v>1 faded beige bag</v>
      </c>
      <c r="I263" s="3" t="str">
        <f>IFERROR(__xludf.DUMMYFUNCTION("MID(INDEX(SPLIT($F263,"",""),COLUMN()-6),2,300)"),"1 wavy beige bag")</f>
        <v>1 wavy beige bag</v>
      </c>
      <c r="J263" s="3" t="str">
        <f>IFERROR(__xludf.DUMMYFUNCTION("MID(INDEX(SPLIT($F263,"",""),COLUMN()-6),2,300)"),"4 light green bags.")</f>
        <v>4 light green bags.</v>
      </c>
      <c r="K263" s="3">
        <f>IFERROR(__xludf.DUMMYFUNCTION("INDEX(SPLIT(G263,"" ""),1)"),1.0)</f>
        <v>1</v>
      </c>
      <c r="L263" s="3" t="str">
        <f>IFERROR(__xludf.DUMMYFUNCTION("REGEXEXTRACT(G263,"" [^ ]* [^ ]* "")")," bright fuchsia ")</f>
        <v> bright fuchsia </v>
      </c>
      <c r="M263" s="3">
        <f>IFERROR(__xludf.DUMMYFUNCTION("INDEX(SPLIT(H263,"" ""),1)"),1.0)</f>
        <v>1</v>
      </c>
      <c r="N263" s="3" t="str">
        <f>IFERROR(__xludf.DUMMYFUNCTION("MID(REGEXEXTRACT(H263,"" [^ ]* [^ ]*""),2,300)"),"faded beige")</f>
        <v>faded beige</v>
      </c>
      <c r="O263" s="3">
        <f>IFERROR(__xludf.DUMMYFUNCTION("INDEX(SPLIT(I263,"" ""),1)"),1.0)</f>
        <v>1</v>
      </c>
      <c r="P263" s="3" t="str">
        <f>IFERROR(__xludf.DUMMYFUNCTION("MID(REGEXEXTRACT(I263,"" [^ ]* [^ ]*""),2,300)"),"wavy beige")</f>
        <v>wavy beige</v>
      </c>
      <c r="Q263" s="3">
        <f>IFERROR(__xludf.DUMMYFUNCTION("INDEX(SPLIT(J263,"" ""),1)"),4.0)</f>
        <v>4</v>
      </c>
      <c r="R263" s="3" t="str">
        <f>IFERROR(__xludf.DUMMYFUNCTION("MID(REGEXEXTRACT(J263,"" [^ ]* [^ ]*""),2,300)"),"light green")</f>
        <v>light green</v>
      </c>
      <c r="S263" s="3">
        <f t="shared" si="2"/>
        <v>1</v>
      </c>
      <c r="T263" s="3" t="str">
        <f t="shared" si="3"/>
        <v>bright fuchsia</v>
      </c>
      <c r="U263" s="3">
        <f t="shared" si="4"/>
        <v>1</v>
      </c>
      <c r="V263" s="3" t="str">
        <f t="shared" si="5"/>
        <v>faded beige</v>
      </c>
      <c r="W263" s="3">
        <f t="shared" si="6"/>
        <v>1</v>
      </c>
      <c r="X263" s="3" t="str">
        <f t="shared" si="7"/>
        <v>wavy beige</v>
      </c>
      <c r="Y263" s="3">
        <f t="shared" si="8"/>
        <v>4</v>
      </c>
      <c r="Z263" s="3" t="str">
        <f t="shared" si="9"/>
        <v>light green</v>
      </c>
      <c r="AA263" s="13">
        <f t="shared" si="10"/>
        <v>57101279</v>
      </c>
      <c r="AB263" s="3">
        <f t="shared" si="11"/>
        <v>57101278</v>
      </c>
      <c r="AC263" s="3">
        <f t="shared" si="12"/>
        <v>1</v>
      </c>
      <c r="AD263" s="3">
        <f t="shared" si="13"/>
        <v>12131</v>
      </c>
      <c r="AE263" s="3">
        <f t="shared" si="14"/>
        <v>1</v>
      </c>
      <c r="AF263" s="3">
        <f t="shared" si="15"/>
        <v>6373</v>
      </c>
      <c r="AG263" s="3">
        <f t="shared" si="16"/>
        <v>1</v>
      </c>
      <c r="AH263" s="3">
        <f t="shared" si="17"/>
        <v>44878</v>
      </c>
      <c r="AI263" s="3">
        <f t="shared" si="18"/>
        <v>4</v>
      </c>
      <c r="AJ263" s="3">
        <f t="shared" si="19"/>
        <v>14259474</v>
      </c>
    </row>
    <row r="264">
      <c r="C264" s="6" t="s">
        <v>264</v>
      </c>
      <c r="D264" s="3">
        <f t="shared" si="1"/>
        <v>0</v>
      </c>
      <c r="E264" s="3" t="str">
        <f>IFERROR(__xludf.DUMMYFUNCTION("REGEXEXTRACT(C264,""[^ ]* [^ ]*"")"),"clear black")</f>
        <v>clear black</v>
      </c>
      <c r="F264" s="3" t="str">
        <f>IFERROR(__xludf.DUMMYFUNCTION("MID(REGEXEXTRACT(C264,""contain.*$""),9,300)"),"1 dull tomato bag.")</f>
        <v>1 dull tomato bag.</v>
      </c>
      <c r="G264" s="3" t="str">
        <f>IFERROR(__xludf.DUMMYFUNCTION("INDEX(SPLIT($F264,"",""),COLUMN()-6)"),"1 dull tomato bag.")</f>
        <v>1 dull tomato bag.</v>
      </c>
      <c r="H264" s="3" t="str">
        <f>IFERROR(__xludf.DUMMYFUNCTION("MID(INDEX(SPLIT($F264,"",""),COLUMN()-6),2,300)"),"#REF!")</f>
        <v>#REF!</v>
      </c>
      <c r="I264" s="3" t="str">
        <f>IFERROR(__xludf.DUMMYFUNCTION("MID(INDEX(SPLIT($F264,"",""),COLUMN()-6),2,300)"),"#REF!")</f>
        <v>#REF!</v>
      </c>
      <c r="J264" s="3" t="str">
        <f>IFERROR(__xludf.DUMMYFUNCTION("MID(INDEX(SPLIT($F264,"",""),COLUMN()-6),2,300)"),"#REF!")</f>
        <v>#REF!</v>
      </c>
      <c r="K264" s="3">
        <f>IFERROR(__xludf.DUMMYFUNCTION("INDEX(SPLIT(G264,"" ""),1)"),1.0)</f>
        <v>1</v>
      </c>
      <c r="L264" s="3" t="str">
        <f>IFERROR(__xludf.DUMMYFUNCTION("REGEXEXTRACT(G264,"" [^ ]* [^ ]* "")")," dull tomato ")</f>
        <v> dull tomato </v>
      </c>
      <c r="M264" s="3" t="str">
        <f>IFERROR(__xludf.DUMMYFUNCTION("INDEX(SPLIT(H264,"" ""),1)"),"#REF!")</f>
        <v>#REF!</v>
      </c>
      <c r="N264" s="3" t="str">
        <f>IFERROR(__xludf.DUMMYFUNCTION("MID(REGEXEXTRACT(H264,"" [^ ]* [^ ]*""),2,300)"),"#REF!")</f>
        <v>#REF!</v>
      </c>
      <c r="O264" s="3" t="str">
        <f>IFERROR(__xludf.DUMMYFUNCTION("INDEX(SPLIT(I264,"" ""),1)"),"#REF!")</f>
        <v>#REF!</v>
      </c>
      <c r="P264" s="3" t="str">
        <f>IFERROR(__xludf.DUMMYFUNCTION("MID(REGEXEXTRACT(I264,"" [^ ]* [^ ]*""),2,300)"),"#REF!")</f>
        <v>#REF!</v>
      </c>
      <c r="Q264" s="3" t="str">
        <f>IFERROR(__xludf.DUMMYFUNCTION("INDEX(SPLIT(J264,"" ""),1)"),"#REF!")</f>
        <v>#REF!</v>
      </c>
      <c r="R264" s="3" t="str">
        <f>IFERROR(__xludf.DUMMYFUNCTION("MID(REGEXEXTRACT(J264,"" [^ ]* [^ ]*""),2,300)"),"#REF!")</f>
        <v>#REF!</v>
      </c>
      <c r="S264" s="3">
        <f t="shared" si="2"/>
        <v>1</v>
      </c>
      <c r="T264" s="3" t="str">
        <f t="shared" si="3"/>
        <v>dull tomato</v>
      </c>
      <c r="U264" s="3" t="str">
        <f t="shared" si="4"/>
        <v/>
      </c>
      <c r="V264" s="3" t="str">
        <f t="shared" si="5"/>
        <v/>
      </c>
      <c r="W264" s="3" t="str">
        <f t="shared" si="6"/>
        <v/>
      </c>
      <c r="X264" s="3" t="str">
        <f t="shared" si="7"/>
        <v/>
      </c>
      <c r="Y264" s="3" t="str">
        <f t="shared" si="8"/>
        <v/>
      </c>
      <c r="Z264" s="3" t="str">
        <f t="shared" si="9"/>
        <v/>
      </c>
      <c r="AA264" s="13">
        <f t="shared" si="10"/>
        <v>12</v>
      </c>
      <c r="AB264" s="3">
        <f t="shared" si="11"/>
        <v>11</v>
      </c>
      <c r="AC264" s="3">
        <f t="shared" si="12"/>
        <v>1</v>
      </c>
      <c r="AD264" s="3">
        <f t="shared" si="13"/>
        <v>11</v>
      </c>
      <c r="AE264" s="3" t="str">
        <f t="shared" si="14"/>
        <v/>
      </c>
      <c r="AF264" s="3">
        <f t="shared" si="15"/>
        <v>0</v>
      </c>
      <c r="AG264" s="3" t="str">
        <f t="shared" si="16"/>
        <v/>
      </c>
      <c r="AH264" s="3">
        <f t="shared" si="17"/>
        <v>0</v>
      </c>
      <c r="AI264" s="3" t="str">
        <f t="shared" si="18"/>
        <v/>
      </c>
      <c r="AJ264" s="3">
        <f t="shared" si="19"/>
        <v>0</v>
      </c>
    </row>
    <row r="265">
      <c r="C265" s="6" t="s">
        <v>265</v>
      </c>
      <c r="D265" s="3">
        <f t="shared" si="1"/>
        <v>0</v>
      </c>
      <c r="E265" s="3" t="str">
        <f>IFERROR(__xludf.DUMMYFUNCTION("REGEXEXTRACT(C265,""[^ ]* [^ ]*"")"),"muted coral")</f>
        <v>muted coral</v>
      </c>
      <c r="F265" s="3" t="str">
        <f>IFERROR(__xludf.DUMMYFUNCTION("MID(REGEXEXTRACT(C265,""contain.*$""),9,300)"),"5 drab indigo bags.")</f>
        <v>5 drab indigo bags.</v>
      </c>
      <c r="G265" s="3" t="str">
        <f>IFERROR(__xludf.DUMMYFUNCTION("INDEX(SPLIT($F265,"",""),COLUMN()-6)"),"5 drab indigo bags.")</f>
        <v>5 drab indigo bags.</v>
      </c>
      <c r="H265" s="3" t="str">
        <f>IFERROR(__xludf.DUMMYFUNCTION("MID(INDEX(SPLIT($F265,"",""),COLUMN()-6),2,300)"),"#REF!")</f>
        <v>#REF!</v>
      </c>
      <c r="I265" s="3" t="str">
        <f>IFERROR(__xludf.DUMMYFUNCTION("MID(INDEX(SPLIT($F265,"",""),COLUMN()-6),2,300)"),"#REF!")</f>
        <v>#REF!</v>
      </c>
      <c r="J265" s="3" t="str">
        <f>IFERROR(__xludf.DUMMYFUNCTION("MID(INDEX(SPLIT($F265,"",""),COLUMN()-6),2,300)"),"#REF!")</f>
        <v>#REF!</v>
      </c>
      <c r="K265" s="3">
        <f>IFERROR(__xludf.DUMMYFUNCTION("INDEX(SPLIT(G265,"" ""),1)"),5.0)</f>
        <v>5</v>
      </c>
      <c r="L265" s="3" t="str">
        <f>IFERROR(__xludf.DUMMYFUNCTION("REGEXEXTRACT(G265,"" [^ ]* [^ ]* "")")," drab indigo ")</f>
        <v> drab indigo </v>
      </c>
      <c r="M265" s="3" t="str">
        <f>IFERROR(__xludf.DUMMYFUNCTION("INDEX(SPLIT(H265,"" ""),1)"),"#REF!")</f>
        <v>#REF!</v>
      </c>
      <c r="N265" s="3" t="str">
        <f>IFERROR(__xludf.DUMMYFUNCTION("MID(REGEXEXTRACT(H265,"" [^ ]* [^ ]*""),2,300)"),"#REF!")</f>
        <v>#REF!</v>
      </c>
      <c r="O265" s="3" t="str">
        <f>IFERROR(__xludf.DUMMYFUNCTION("INDEX(SPLIT(I265,"" ""),1)"),"#REF!")</f>
        <v>#REF!</v>
      </c>
      <c r="P265" s="3" t="str">
        <f>IFERROR(__xludf.DUMMYFUNCTION("MID(REGEXEXTRACT(I265,"" [^ ]* [^ ]*""),2,300)"),"#REF!")</f>
        <v>#REF!</v>
      </c>
      <c r="Q265" s="3" t="str">
        <f>IFERROR(__xludf.DUMMYFUNCTION("INDEX(SPLIT(J265,"" ""),1)"),"#REF!")</f>
        <v>#REF!</v>
      </c>
      <c r="R265" s="3" t="str">
        <f>IFERROR(__xludf.DUMMYFUNCTION("MID(REGEXEXTRACT(J265,"" [^ ]* [^ ]*""),2,300)"),"#REF!")</f>
        <v>#REF!</v>
      </c>
      <c r="S265" s="3">
        <f t="shared" si="2"/>
        <v>5</v>
      </c>
      <c r="T265" s="3" t="str">
        <f t="shared" si="3"/>
        <v>drab indigo</v>
      </c>
      <c r="U265" s="3" t="str">
        <f t="shared" si="4"/>
        <v/>
      </c>
      <c r="V265" s="3" t="str">
        <f t="shared" si="5"/>
        <v/>
      </c>
      <c r="W265" s="3" t="str">
        <f t="shared" si="6"/>
        <v/>
      </c>
      <c r="X265" s="3" t="str">
        <f t="shared" si="7"/>
        <v/>
      </c>
      <c r="Y265" s="3" t="str">
        <f t="shared" si="8"/>
        <v/>
      </c>
      <c r="Z265" s="3" t="str">
        <f t="shared" si="9"/>
        <v/>
      </c>
      <c r="AA265" s="13">
        <f t="shared" si="10"/>
        <v>9875186</v>
      </c>
      <c r="AB265" s="3">
        <f t="shared" si="11"/>
        <v>9875185</v>
      </c>
      <c r="AC265" s="3">
        <f t="shared" si="12"/>
        <v>5</v>
      </c>
      <c r="AD265" s="3">
        <f t="shared" si="13"/>
        <v>1975037</v>
      </c>
      <c r="AE265" s="3" t="str">
        <f t="shared" si="14"/>
        <v/>
      </c>
      <c r="AF265" s="3">
        <f t="shared" si="15"/>
        <v>0</v>
      </c>
      <c r="AG265" s="3" t="str">
        <f t="shared" si="16"/>
        <v/>
      </c>
      <c r="AH265" s="3">
        <f t="shared" si="17"/>
        <v>0</v>
      </c>
      <c r="AI265" s="3" t="str">
        <f t="shared" si="18"/>
        <v/>
      </c>
      <c r="AJ265" s="3">
        <f t="shared" si="19"/>
        <v>0</v>
      </c>
    </row>
    <row r="266">
      <c r="C266" s="6" t="s">
        <v>266</v>
      </c>
      <c r="D266" s="3">
        <f t="shared" si="1"/>
        <v>0</v>
      </c>
      <c r="E266" s="3" t="str">
        <f>IFERROR(__xludf.DUMMYFUNCTION("REGEXEXTRACT(C266,""[^ ]* [^ ]*"")"),"plaid magenta")</f>
        <v>plaid magenta</v>
      </c>
      <c r="F266" s="3" t="str">
        <f>IFERROR(__xludf.DUMMYFUNCTION("MID(REGEXEXTRACT(C266,""contain.*$""),9,300)"),"3 posh salmon bags.")</f>
        <v>3 posh salmon bags.</v>
      </c>
      <c r="G266" s="3" t="str">
        <f>IFERROR(__xludf.DUMMYFUNCTION("INDEX(SPLIT($F266,"",""),COLUMN()-6)"),"3 posh salmon bags.")</f>
        <v>3 posh salmon bags.</v>
      </c>
      <c r="H266" s="3" t="str">
        <f>IFERROR(__xludf.DUMMYFUNCTION("MID(INDEX(SPLIT($F266,"",""),COLUMN()-6),2,300)"),"#REF!")</f>
        <v>#REF!</v>
      </c>
      <c r="I266" s="3" t="str">
        <f>IFERROR(__xludf.DUMMYFUNCTION("MID(INDEX(SPLIT($F266,"",""),COLUMN()-6),2,300)"),"#REF!")</f>
        <v>#REF!</v>
      </c>
      <c r="J266" s="3" t="str">
        <f>IFERROR(__xludf.DUMMYFUNCTION("MID(INDEX(SPLIT($F266,"",""),COLUMN()-6),2,300)"),"#REF!")</f>
        <v>#REF!</v>
      </c>
      <c r="K266" s="3">
        <f>IFERROR(__xludf.DUMMYFUNCTION("INDEX(SPLIT(G266,"" ""),1)"),3.0)</f>
        <v>3</v>
      </c>
      <c r="L266" s="3" t="str">
        <f>IFERROR(__xludf.DUMMYFUNCTION("REGEXEXTRACT(G266,"" [^ ]* [^ ]* "")")," posh salmon ")</f>
        <v> posh salmon </v>
      </c>
      <c r="M266" s="3" t="str">
        <f>IFERROR(__xludf.DUMMYFUNCTION("INDEX(SPLIT(H266,"" ""),1)"),"#REF!")</f>
        <v>#REF!</v>
      </c>
      <c r="N266" s="3" t="str">
        <f>IFERROR(__xludf.DUMMYFUNCTION("MID(REGEXEXTRACT(H266,"" [^ ]* [^ ]*""),2,300)"),"#REF!")</f>
        <v>#REF!</v>
      </c>
      <c r="O266" s="3" t="str">
        <f>IFERROR(__xludf.DUMMYFUNCTION("INDEX(SPLIT(I266,"" ""),1)"),"#REF!")</f>
        <v>#REF!</v>
      </c>
      <c r="P266" s="3" t="str">
        <f>IFERROR(__xludf.DUMMYFUNCTION("MID(REGEXEXTRACT(I266,"" [^ ]* [^ ]*""),2,300)"),"#REF!")</f>
        <v>#REF!</v>
      </c>
      <c r="Q266" s="3" t="str">
        <f>IFERROR(__xludf.DUMMYFUNCTION("INDEX(SPLIT(J266,"" ""),1)"),"#REF!")</f>
        <v>#REF!</v>
      </c>
      <c r="R266" s="3" t="str">
        <f>IFERROR(__xludf.DUMMYFUNCTION("MID(REGEXEXTRACT(J266,"" [^ ]* [^ ]*""),2,300)"),"#REF!")</f>
        <v>#REF!</v>
      </c>
      <c r="S266" s="3">
        <f t="shared" si="2"/>
        <v>3</v>
      </c>
      <c r="T266" s="3" t="str">
        <f t="shared" si="3"/>
        <v>posh salmon</v>
      </c>
      <c r="U266" s="3" t="str">
        <f t="shared" si="4"/>
        <v/>
      </c>
      <c r="V266" s="3" t="str">
        <f t="shared" si="5"/>
        <v/>
      </c>
      <c r="W266" s="3" t="str">
        <f t="shared" si="6"/>
        <v/>
      </c>
      <c r="X266" s="3" t="str">
        <f t="shared" si="7"/>
        <v/>
      </c>
      <c r="Y266" s="3" t="str">
        <f t="shared" si="8"/>
        <v/>
      </c>
      <c r="Z266" s="3" t="str">
        <f t="shared" si="9"/>
        <v/>
      </c>
      <c r="AA266" s="13">
        <f t="shared" si="10"/>
        <v>68564683</v>
      </c>
      <c r="AB266" s="3">
        <f t="shared" si="11"/>
        <v>68564682</v>
      </c>
      <c r="AC266" s="3">
        <f t="shared" si="12"/>
        <v>3</v>
      </c>
      <c r="AD266" s="3">
        <f t="shared" si="13"/>
        <v>22854894</v>
      </c>
      <c r="AE266" s="3" t="str">
        <f t="shared" si="14"/>
        <v/>
      </c>
      <c r="AF266" s="3">
        <f t="shared" si="15"/>
        <v>0</v>
      </c>
      <c r="AG266" s="3" t="str">
        <f t="shared" si="16"/>
        <v/>
      </c>
      <c r="AH266" s="3">
        <f t="shared" si="17"/>
        <v>0</v>
      </c>
      <c r="AI266" s="3" t="str">
        <f t="shared" si="18"/>
        <v/>
      </c>
      <c r="AJ266" s="3">
        <f t="shared" si="19"/>
        <v>0</v>
      </c>
    </row>
    <row r="267">
      <c r="C267" s="6" t="s">
        <v>267</v>
      </c>
      <c r="D267" s="3">
        <f t="shared" si="1"/>
        <v>2</v>
      </c>
      <c r="E267" s="3" t="str">
        <f>IFERROR(__xludf.DUMMYFUNCTION("REGEXEXTRACT(C267,""[^ ]* [^ ]*"")"),"clear tomato")</f>
        <v>clear tomato</v>
      </c>
      <c r="F267" s="3" t="str">
        <f>IFERROR(__xludf.DUMMYFUNCTION("MID(REGEXEXTRACT(C267,""contain.*$""),9,300)"),"5 dotted brown bags, 3 dim tomato bags, 3 drab brown bags.")</f>
        <v>5 dotted brown bags, 3 dim tomato bags, 3 drab brown bags.</v>
      </c>
      <c r="G267" s="3" t="str">
        <f>IFERROR(__xludf.DUMMYFUNCTION("INDEX(SPLIT($F267,"",""),COLUMN()-6)"),"5 dotted brown bags")</f>
        <v>5 dotted brown bags</v>
      </c>
      <c r="H267" s="3" t="str">
        <f>IFERROR(__xludf.DUMMYFUNCTION("MID(INDEX(SPLIT($F267,"",""),COLUMN()-6),2,300)"),"3 dim tomato bags")</f>
        <v>3 dim tomato bags</v>
      </c>
      <c r="I267" s="3" t="str">
        <f>IFERROR(__xludf.DUMMYFUNCTION("MID(INDEX(SPLIT($F267,"",""),COLUMN()-6),2,300)"),"3 drab brown bags.")</f>
        <v>3 drab brown bags.</v>
      </c>
      <c r="J267" s="3" t="str">
        <f>IFERROR(__xludf.DUMMYFUNCTION("MID(INDEX(SPLIT($F267,"",""),COLUMN()-6),2,300)"),"#REF!")</f>
        <v>#REF!</v>
      </c>
      <c r="K267" s="3">
        <f>IFERROR(__xludf.DUMMYFUNCTION("INDEX(SPLIT(G267,"" ""),1)"),5.0)</f>
        <v>5</v>
      </c>
      <c r="L267" s="3" t="str">
        <f>IFERROR(__xludf.DUMMYFUNCTION("REGEXEXTRACT(G267,"" [^ ]* [^ ]* "")")," dotted brown ")</f>
        <v> dotted brown </v>
      </c>
      <c r="M267" s="3">
        <f>IFERROR(__xludf.DUMMYFUNCTION("INDEX(SPLIT(H267,"" ""),1)"),3.0)</f>
        <v>3</v>
      </c>
      <c r="N267" s="3" t="str">
        <f>IFERROR(__xludf.DUMMYFUNCTION("MID(REGEXEXTRACT(H267,"" [^ ]* [^ ]*""),2,300)"),"dim tomato")</f>
        <v>dim tomato</v>
      </c>
      <c r="O267" s="3">
        <f>IFERROR(__xludf.DUMMYFUNCTION("INDEX(SPLIT(I267,"" ""),1)"),3.0)</f>
        <v>3</v>
      </c>
      <c r="P267" s="3" t="str">
        <f>IFERROR(__xludf.DUMMYFUNCTION("MID(REGEXEXTRACT(I267,"" [^ ]* [^ ]*""),2,300)"),"drab brown")</f>
        <v>drab brown</v>
      </c>
      <c r="Q267" s="3" t="str">
        <f>IFERROR(__xludf.DUMMYFUNCTION("INDEX(SPLIT(J267,"" ""),1)"),"#REF!")</f>
        <v>#REF!</v>
      </c>
      <c r="R267" s="3" t="str">
        <f>IFERROR(__xludf.DUMMYFUNCTION("MID(REGEXEXTRACT(J267,"" [^ ]* [^ ]*""),2,300)"),"#REF!")</f>
        <v>#REF!</v>
      </c>
      <c r="S267" s="3">
        <f t="shared" si="2"/>
        <v>5</v>
      </c>
      <c r="T267" s="3" t="str">
        <f t="shared" si="3"/>
        <v>dotted brown</v>
      </c>
      <c r="U267" s="3">
        <f t="shared" si="4"/>
        <v>3</v>
      </c>
      <c r="V267" s="3" t="str">
        <f t="shared" si="5"/>
        <v>dim tomato</v>
      </c>
      <c r="W267" s="3">
        <f t="shared" si="6"/>
        <v>3</v>
      </c>
      <c r="X267" s="3" t="str">
        <f t="shared" si="7"/>
        <v>drab brown</v>
      </c>
      <c r="Y267" s="3" t="str">
        <f t="shared" si="8"/>
        <v/>
      </c>
      <c r="Z267" s="3" t="str">
        <f t="shared" si="9"/>
        <v/>
      </c>
      <c r="AA267" s="13">
        <f t="shared" si="10"/>
        <v>558340508</v>
      </c>
      <c r="AB267" s="3">
        <f t="shared" si="11"/>
        <v>558340507</v>
      </c>
      <c r="AC267" s="3">
        <f t="shared" si="12"/>
        <v>5</v>
      </c>
      <c r="AD267" s="3">
        <f t="shared" si="13"/>
        <v>305</v>
      </c>
      <c r="AE267" s="3">
        <f t="shared" si="14"/>
        <v>3</v>
      </c>
      <c r="AF267" s="3">
        <f t="shared" si="15"/>
        <v>186016153</v>
      </c>
      <c r="AG267" s="3">
        <f t="shared" si="16"/>
        <v>3</v>
      </c>
      <c r="AH267" s="3">
        <f t="shared" si="17"/>
        <v>96841</v>
      </c>
      <c r="AI267" s="3" t="str">
        <f t="shared" si="18"/>
        <v/>
      </c>
      <c r="AJ267" s="3">
        <f t="shared" si="19"/>
        <v>0</v>
      </c>
    </row>
    <row r="268">
      <c r="C268" s="6" t="s">
        <v>268</v>
      </c>
      <c r="D268" s="3">
        <f t="shared" si="1"/>
        <v>1</v>
      </c>
      <c r="E268" s="3" t="str">
        <f>IFERROR(__xludf.DUMMYFUNCTION("REGEXEXTRACT(C268,""[^ ]* [^ ]*"")"),"clear yellow")</f>
        <v>clear yellow</v>
      </c>
      <c r="F268" s="3" t="str">
        <f>IFERROR(__xludf.DUMMYFUNCTION("MID(REGEXEXTRACT(C268,""contain.*$""),9,300)"),"3 clear black bags, 2 mirrored black bags.")</f>
        <v>3 clear black bags, 2 mirrored black bags.</v>
      </c>
      <c r="G268" s="3" t="str">
        <f>IFERROR(__xludf.DUMMYFUNCTION("INDEX(SPLIT($F268,"",""),COLUMN()-6)"),"3 clear black bags")</f>
        <v>3 clear black bags</v>
      </c>
      <c r="H268" s="3" t="str">
        <f>IFERROR(__xludf.DUMMYFUNCTION("MID(INDEX(SPLIT($F268,"",""),COLUMN()-6),2,300)"),"2 mirrored black bags.")</f>
        <v>2 mirrored black bags.</v>
      </c>
      <c r="I268" s="3" t="str">
        <f>IFERROR(__xludf.DUMMYFUNCTION("MID(INDEX(SPLIT($F268,"",""),COLUMN()-6),2,300)"),"#REF!")</f>
        <v>#REF!</v>
      </c>
      <c r="J268" s="3" t="str">
        <f>IFERROR(__xludf.DUMMYFUNCTION("MID(INDEX(SPLIT($F268,"",""),COLUMN()-6),2,300)"),"#REF!")</f>
        <v>#REF!</v>
      </c>
      <c r="K268" s="3">
        <f>IFERROR(__xludf.DUMMYFUNCTION("INDEX(SPLIT(G268,"" ""),1)"),3.0)</f>
        <v>3</v>
      </c>
      <c r="L268" s="3" t="str">
        <f>IFERROR(__xludf.DUMMYFUNCTION("REGEXEXTRACT(G268,"" [^ ]* [^ ]* "")")," clear black ")</f>
        <v> clear black </v>
      </c>
      <c r="M268" s="3">
        <f>IFERROR(__xludf.DUMMYFUNCTION("INDEX(SPLIT(H268,"" ""),1)"),2.0)</f>
        <v>2</v>
      </c>
      <c r="N268" s="3" t="str">
        <f>IFERROR(__xludf.DUMMYFUNCTION("MID(REGEXEXTRACT(H268,"" [^ ]* [^ ]*""),2,300)"),"mirrored black")</f>
        <v>mirrored black</v>
      </c>
      <c r="O268" s="3" t="str">
        <f>IFERROR(__xludf.DUMMYFUNCTION("INDEX(SPLIT(I268,"" ""),1)"),"#REF!")</f>
        <v>#REF!</v>
      </c>
      <c r="P268" s="3" t="str">
        <f>IFERROR(__xludf.DUMMYFUNCTION("MID(REGEXEXTRACT(I268,"" [^ ]* [^ ]*""),2,300)"),"#REF!")</f>
        <v>#REF!</v>
      </c>
      <c r="Q268" s="3" t="str">
        <f>IFERROR(__xludf.DUMMYFUNCTION("INDEX(SPLIT(J268,"" ""),1)"),"#REF!")</f>
        <v>#REF!</v>
      </c>
      <c r="R268" s="3" t="str">
        <f>IFERROR(__xludf.DUMMYFUNCTION("MID(REGEXEXTRACT(J268,"" [^ ]* [^ ]*""),2,300)"),"#REF!")</f>
        <v>#REF!</v>
      </c>
      <c r="S268" s="3">
        <f t="shared" si="2"/>
        <v>3</v>
      </c>
      <c r="T268" s="3" t="str">
        <f t="shared" si="3"/>
        <v>clear black</v>
      </c>
      <c r="U268" s="3">
        <f t="shared" si="4"/>
        <v>2</v>
      </c>
      <c r="V268" s="3" t="str">
        <f t="shared" si="5"/>
        <v>mirrored black</v>
      </c>
      <c r="W268" s="3" t="str">
        <f t="shared" si="6"/>
        <v/>
      </c>
      <c r="X268" s="3" t="str">
        <f t="shared" si="7"/>
        <v/>
      </c>
      <c r="Y268" s="3" t="str">
        <f t="shared" si="8"/>
        <v/>
      </c>
      <c r="Z268" s="3" t="str">
        <f t="shared" si="9"/>
        <v/>
      </c>
      <c r="AA268" s="13">
        <f t="shared" si="10"/>
        <v>18111</v>
      </c>
      <c r="AB268" s="3">
        <f t="shared" si="11"/>
        <v>18110</v>
      </c>
      <c r="AC268" s="3">
        <f t="shared" si="12"/>
        <v>3</v>
      </c>
      <c r="AD268" s="3">
        <f t="shared" si="13"/>
        <v>12</v>
      </c>
      <c r="AE268" s="3">
        <f t="shared" si="14"/>
        <v>2</v>
      </c>
      <c r="AF268" s="3">
        <f t="shared" si="15"/>
        <v>9037</v>
      </c>
      <c r="AG268" s="3" t="str">
        <f t="shared" si="16"/>
        <v/>
      </c>
      <c r="AH268" s="3">
        <f t="shared" si="17"/>
        <v>0</v>
      </c>
      <c r="AI268" s="3" t="str">
        <f t="shared" si="18"/>
        <v/>
      </c>
      <c r="AJ268" s="3">
        <f t="shared" si="19"/>
        <v>0</v>
      </c>
    </row>
    <row r="269">
      <c r="C269" s="6" t="s">
        <v>269</v>
      </c>
      <c r="D269" s="3">
        <f t="shared" si="1"/>
        <v>2</v>
      </c>
      <c r="E269" s="3" t="str">
        <f>IFERROR(__xludf.DUMMYFUNCTION("REGEXEXTRACT(C269,""[^ ]* [^ ]*"")"),"dark gray")</f>
        <v>dark gray</v>
      </c>
      <c r="F269" s="3" t="str">
        <f>IFERROR(__xludf.DUMMYFUNCTION("MID(REGEXEXTRACT(C269,""contain.*$""),9,300)"),"5 light bronze bags, 4 dotted coral bags, 4 dim chartreuse bags.")</f>
        <v>5 light bronze bags, 4 dotted coral bags, 4 dim chartreuse bags.</v>
      </c>
      <c r="G269" s="3" t="str">
        <f>IFERROR(__xludf.DUMMYFUNCTION("INDEX(SPLIT($F269,"",""),COLUMN()-6)"),"5 light bronze bags")</f>
        <v>5 light bronze bags</v>
      </c>
      <c r="H269" s="3" t="str">
        <f>IFERROR(__xludf.DUMMYFUNCTION("MID(INDEX(SPLIT($F269,"",""),COLUMN()-6),2,300)"),"4 dotted coral bags")</f>
        <v>4 dotted coral bags</v>
      </c>
      <c r="I269" s="3" t="str">
        <f>IFERROR(__xludf.DUMMYFUNCTION("MID(INDEX(SPLIT($F269,"",""),COLUMN()-6),2,300)"),"4 dim chartreuse bags.")</f>
        <v>4 dim chartreuse bags.</v>
      </c>
      <c r="J269" s="3" t="str">
        <f>IFERROR(__xludf.DUMMYFUNCTION("MID(INDEX(SPLIT($F269,"",""),COLUMN()-6),2,300)"),"#REF!")</f>
        <v>#REF!</v>
      </c>
      <c r="K269" s="3">
        <f>IFERROR(__xludf.DUMMYFUNCTION("INDEX(SPLIT(G269,"" ""),1)"),5.0)</f>
        <v>5</v>
      </c>
      <c r="L269" s="3" t="str">
        <f>IFERROR(__xludf.DUMMYFUNCTION("REGEXEXTRACT(G269,"" [^ ]* [^ ]* "")")," light bronze ")</f>
        <v> light bronze </v>
      </c>
      <c r="M269" s="3">
        <f>IFERROR(__xludf.DUMMYFUNCTION("INDEX(SPLIT(H269,"" ""),1)"),4.0)</f>
        <v>4</v>
      </c>
      <c r="N269" s="3" t="str">
        <f>IFERROR(__xludf.DUMMYFUNCTION("MID(REGEXEXTRACT(H269,"" [^ ]* [^ ]*""),2,300)"),"dotted coral")</f>
        <v>dotted coral</v>
      </c>
      <c r="O269" s="3">
        <f>IFERROR(__xludf.DUMMYFUNCTION("INDEX(SPLIT(I269,"" ""),1)"),4.0)</f>
        <v>4</v>
      </c>
      <c r="P269" s="3" t="str">
        <f>IFERROR(__xludf.DUMMYFUNCTION("MID(REGEXEXTRACT(I269,"" [^ ]* [^ ]*""),2,300)"),"dim chartreuse")</f>
        <v>dim chartreuse</v>
      </c>
      <c r="Q269" s="3" t="str">
        <f>IFERROR(__xludf.DUMMYFUNCTION("INDEX(SPLIT(J269,"" ""),1)"),"#REF!")</f>
        <v>#REF!</v>
      </c>
      <c r="R269" s="3" t="str">
        <f>IFERROR(__xludf.DUMMYFUNCTION("MID(REGEXEXTRACT(J269,"" [^ ]* [^ ]*""),2,300)"),"#REF!")</f>
        <v>#REF!</v>
      </c>
      <c r="S269" s="3">
        <f t="shared" si="2"/>
        <v>5</v>
      </c>
      <c r="T269" s="3" t="str">
        <f t="shared" si="3"/>
        <v>light bronze</v>
      </c>
      <c r="U269" s="3">
        <f t="shared" si="4"/>
        <v>4</v>
      </c>
      <c r="V269" s="3" t="str">
        <f t="shared" si="5"/>
        <v>dotted coral</v>
      </c>
      <c r="W269" s="3">
        <f t="shared" si="6"/>
        <v>4</v>
      </c>
      <c r="X269" s="3" t="str">
        <f t="shared" si="7"/>
        <v>dim chartreuse</v>
      </c>
      <c r="Y269" s="3" t="str">
        <f t="shared" si="8"/>
        <v/>
      </c>
      <c r="Z269" s="3" t="str">
        <f t="shared" si="9"/>
        <v/>
      </c>
      <c r="AA269" s="13">
        <f t="shared" si="10"/>
        <v>4571378507</v>
      </c>
      <c r="AB269" s="3">
        <f t="shared" si="11"/>
        <v>4571378506</v>
      </c>
      <c r="AC269" s="3">
        <f t="shared" si="12"/>
        <v>5</v>
      </c>
      <c r="AD269" s="3">
        <f t="shared" si="13"/>
        <v>32410</v>
      </c>
      <c r="AE269" s="3">
        <f t="shared" si="14"/>
        <v>4</v>
      </c>
      <c r="AF269" s="3">
        <f t="shared" si="15"/>
        <v>10803</v>
      </c>
      <c r="AG269" s="3">
        <f t="shared" si="16"/>
        <v>4</v>
      </c>
      <c r="AH269" s="3">
        <f t="shared" si="17"/>
        <v>1142793311</v>
      </c>
      <c r="AI269" s="3" t="str">
        <f t="shared" si="18"/>
        <v/>
      </c>
      <c r="AJ269" s="3">
        <f t="shared" si="19"/>
        <v>0</v>
      </c>
    </row>
    <row r="270">
      <c r="C270" s="6" t="s">
        <v>270</v>
      </c>
      <c r="D270" s="3">
        <f t="shared" si="1"/>
        <v>2</v>
      </c>
      <c r="E270" s="3" t="str">
        <f>IFERROR(__xludf.DUMMYFUNCTION("REGEXEXTRACT(C270,""[^ ]* [^ ]*"")"),"light magenta")</f>
        <v>light magenta</v>
      </c>
      <c r="F270" s="3" t="str">
        <f>IFERROR(__xludf.DUMMYFUNCTION("MID(REGEXEXTRACT(C270,""contain.*$""),9,300)"),"4 wavy turquoise bags, 1 mirrored green bag, 2 plaid chartreuse bags.")</f>
        <v>4 wavy turquoise bags, 1 mirrored green bag, 2 plaid chartreuse bags.</v>
      </c>
      <c r="G270" s="3" t="str">
        <f>IFERROR(__xludf.DUMMYFUNCTION("INDEX(SPLIT($F270,"",""),COLUMN()-6)"),"4 wavy turquoise bags")</f>
        <v>4 wavy turquoise bags</v>
      </c>
      <c r="H270" s="3" t="str">
        <f>IFERROR(__xludf.DUMMYFUNCTION("MID(INDEX(SPLIT($F270,"",""),COLUMN()-6),2,300)"),"1 mirrored green bag")</f>
        <v>1 mirrored green bag</v>
      </c>
      <c r="I270" s="3" t="str">
        <f>IFERROR(__xludf.DUMMYFUNCTION("MID(INDEX(SPLIT($F270,"",""),COLUMN()-6),2,300)"),"2 plaid chartreuse bags.")</f>
        <v>2 plaid chartreuse bags.</v>
      </c>
      <c r="J270" s="3" t="str">
        <f>IFERROR(__xludf.DUMMYFUNCTION("MID(INDEX(SPLIT($F270,"",""),COLUMN()-6),2,300)"),"#REF!")</f>
        <v>#REF!</v>
      </c>
      <c r="K270" s="3">
        <f>IFERROR(__xludf.DUMMYFUNCTION("INDEX(SPLIT(G270,"" ""),1)"),4.0)</f>
        <v>4</v>
      </c>
      <c r="L270" s="3" t="str">
        <f>IFERROR(__xludf.DUMMYFUNCTION("REGEXEXTRACT(G270,"" [^ ]* [^ ]* "")")," wavy turquoise ")</f>
        <v> wavy turquoise </v>
      </c>
      <c r="M270" s="3">
        <f>IFERROR(__xludf.DUMMYFUNCTION("INDEX(SPLIT(H270,"" ""),1)"),1.0)</f>
        <v>1</v>
      </c>
      <c r="N270" s="3" t="str">
        <f>IFERROR(__xludf.DUMMYFUNCTION("MID(REGEXEXTRACT(H270,"" [^ ]* [^ ]*""),2,300)"),"mirrored green")</f>
        <v>mirrored green</v>
      </c>
      <c r="O270" s="3">
        <f>IFERROR(__xludf.DUMMYFUNCTION("INDEX(SPLIT(I270,"" ""),1)"),2.0)</f>
        <v>2</v>
      </c>
      <c r="P270" s="3" t="str">
        <f>IFERROR(__xludf.DUMMYFUNCTION("MID(REGEXEXTRACT(I270,"" [^ ]* [^ ]*""),2,300)"),"plaid chartreuse")</f>
        <v>plaid chartreuse</v>
      </c>
      <c r="Q270" s="3" t="str">
        <f>IFERROR(__xludf.DUMMYFUNCTION("INDEX(SPLIT(J270,"" ""),1)"),"#REF!")</f>
        <v>#REF!</v>
      </c>
      <c r="R270" s="3" t="str">
        <f>IFERROR(__xludf.DUMMYFUNCTION("MID(REGEXEXTRACT(J270,"" [^ ]* [^ ]*""),2,300)"),"#REF!")</f>
        <v>#REF!</v>
      </c>
      <c r="S270" s="3">
        <f t="shared" si="2"/>
        <v>4</v>
      </c>
      <c r="T270" s="3" t="str">
        <f t="shared" si="3"/>
        <v>wavy turquoise</v>
      </c>
      <c r="U270" s="3">
        <f t="shared" si="4"/>
        <v>1</v>
      </c>
      <c r="V270" s="3" t="str">
        <f t="shared" si="5"/>
        <v>mirrored green</v>
      </c>
      <c r="W270" s="3">
        <f t="shared" si="6"/>
        <v>2</v>
      </c>
      <c r="X270" s="3" t="str">
        <f t="shared" si="7"/>
        <v>plaid chartreuse</v>
      </c>
      <c r="Y270" s="3" t="str">
        <f t="shared" si="8"/>
        <v/>
      </c>
      <c r="Z270" s="3" t="str">
        <f t="shared" si="9"/>
        <v/>
      </c>
      <c r="AA270" s="13">
        <f t="shared" si="10"/>
        <v>399844449</v>
      </c>
      <c r="AB270" s="3">
        <f t="shared" si="11"/>
        <v>399844448</v>
      </c>
      <c r="AC270" s="3">
        <f t="shared" si="12"/>
        <v>4</v>
      </c>
      <c r="AD270" s="3">
        <f t="shared" si="13"/>
        <v>11485</v>
      </c>
      <c r="AE270" s="3">
        <f t="shared" si="14"/>
        <v>1</v>
      </c>
      <c r="AF270" s="3">
        <f t="shared" si="15"/>
        <v>399804</v>
      </c>
      <c r="AG270" s="3">
        <f t="shared" si="16"/>
        <v>2</v>
      </c>
      <c r="AH270" s="3">
        <f t="shared" si="17"/>
        <v>199699352</v>
      </c>
      <c r="AI270" s="3" t="str">
        <f t="shared" si="18"/>
        <v/>
      </c>
      <c r="AJ270" s="3">
        <f t="shared" si="19"/>
        <v>0</v>
      </c>
    </row>
    <row r="271">
      <c r="C271" s="6" t="s">
        <v>271</v>
      </c>
      <c r="D271" s="3">
        <f t="shared" si="1"/>
        <v>3</v>
      </c>
      <c r="E271" s="3" t="str">
        <f>IFERROR(__xludf.DUMMYFUNCTION("REGEXEXTRACT(C271,""[^ ]* [^ ]*"")"),"shiny indigo")</f>
        <v>shiny indigo</v>
      </c>
      <c r="F271" s="3" t="str">
        <f>IFERROR(__xludf.DUMMYFUNCTION("MID(REGEXEXTRACT(C271,""contain.*$""),9,300)"),"1 bright silver bag, 2 pale tomato bags, 4 light teal bags, 4 posh coral bags.")</f>
        <v>1 bright silver bag, 2 pale tomato bags, 4 light teal bags, 4 posh coral bags.</v>
      </c>
      <c r="G271" s="3" t="str">
        <f>IFERROR(__xludf.DUMMYFUNCTION("INDEX(SPLIT($F271,"",""),COLUMN()-6)"),"1 bright silver bag")</f>
        <v>1 bright silver bag</v>
      </c>
      <c r="H271" s="3" t="str">
        <f>IFERROR(__xludf.DUMMYFUNCTION("MID(INDEX(SPLIT($F271,"",""),COLUMN()-6),2,300)"),"2 pale tomato bags")</f>
        <v>2 pale tomato bags</v>
      </c>
      <c r="I271" s="3" t="str">
        <f>IFERROR(__xludf.DUMMYFUNCTION("MID(INDEX(SPLIT($F271,"",""),COLUMN()-6),2,300)"),"4 light teal bags")</f>
        <v>4 light teal bags</v>
      </c>
      <c r="J271" s="3" t="str">
        <f>IFERROR(__xludf.DUMMYFUNCTION("MID(INDEX(SPLIT($F271,"",""),COLUMN()-6),2,300)"),"4 posh coral bags.")</f>
        <v>4 posh coral bags.</v>
      </c>
      <c r="K271" s="3">
        <f>IFERROR(__xludf.DUMMYFUNCTION("INDEX(SPLIT(G271,"" ""),1)"),1.0)</f>
        <v>1</v>
      </c>
      <c r="L271" s="3" t="str">
        <f>IFERROR(__xludf.DUMMYFUNCTION("REGEXEXTRACT(G271,"" [^ ]* [^ ]* "")")," bright silver ")</f>
        <v> bright silver </v>
      </c>
      <c r="M271" s="3">
        <f>IFERROR(__xludf.DUMMYFUNCTION("INDEX(SPLIT(H271,"" ""),1)"),2.0)</f>
        <v>2</v>
      </c>
      <c r="N271" s="3" t="str">
        <f>IFERROR(__xludf.DUMMYFUNCTION("MID(REGEXEXTRACT(H271,"" [^ ]* [^ ]*""),2,300)"),"pale tomato")</f>
        <v>pale tomato</v>
      </c>
      <c r="O271" s="3">
        <f>IFERROR(__xludf.DUMMYFUNCTION("INDEX(SPLIT(I271,"" ""),1)"),4.0)</f>
        <v>4</v>
      </c>
      <c r="P271" s="3" t="str">
        <f>IFERROR(__xludf.DUMMYFUNCTION("MID(REGEXEXTRACT(I271,"" [^ ]* [^ ]*""),2,300)"),"light teal")</f>
        <v>light teal</v>
      </c>
      <c r="Q271" s="3">
        <f>IFERROR(__xludf.DUMMYFUNCTION("INDEX(SPLIT(J271,"" ""),1)"),4.0)</f>
        <v>4</v>
      </c>
      <c r="R271" s="3" t="str">
        <f>IFERROR(__xludf.DUMMYFUNCTION("MID(REGEXEXTRACT(J271,"" [^ ]* [^ ]*""),2,300)"),"posh coral")</f>
        <v>posh coral</v>
      </c>
      <c r="S271" s="3">
        <f t="shared" si="2"/>
        <v>1</v>
      </c>
      <c r="T271" s="3" t="str">
        <f t="shared" si="3"/>
        <v>bright silver</v>
      </c>
      <c r="U271" s="3">
        <f t="shared" si="4"/>
        <v>2</v>
      </c>
      <c r="V271" s="3" t="str">
        <f t="shared" si="5"/>
        <v>pale tomato</v>
      </c>
      <c r="W271" s="3">
        <f t="shared" si="6"/>
        <v>4</v>
      </c>
      <c r="X271" s="3" t="str">
        <f t="shared" si="7"/>
        <v>light teal</v>
      </c>
      <c r="Y271" s="3">
        <f t="shared" si="8"/>
        <v>4</v>
      </c>
      <c r="Z271" s="3" t="str">
        <f t="shared" si="9"/>
        <v>posh coral</v>
      </c>
      <c r="AA271" s="13">
        <f t="shared" si="10"/>
        <v>754536</v>
      </c>
      <c r="AB271" s="3">
        <f t="shared" si="11"/>
        <v>754535</v>
      </c>
      <c r="AC271" s="3">
        <f t="shared" si="12"/>
        <v>1</v>
      </c>
      <c r="AD271" s="3">
        <f t="shared" si="13"/>
        <v>41</v>
      </c>
      <c r="AE271" s="3">
        <f t="shared" si="14"/>
        <v>2</v>
      </c>
      <c r="AF271" s="3">
        <f t="shared" si="15"/>
        <v>280269</v>
      </c>
      <c r="AG271" s="3">
        <f t="shared" si="16"/>
        <v>4</v>
      </c>
      <c r="AH271" s="3">
        <f t="shared" si="17"/>
        <v>48488</v>
      </c>
      <c r="AI271" s="3">
        <f t="shared" si="18"/>
        <v>4</v>
      </c>
      <c r="AJ271" s="3">
        <f t="shared" si="19"/>
        <v>1</v>
      </c>
    </row>
    <row r="272">
      <c r="C272" s="6" t="s">
        <v>272</v>
      </c>
      <c r="D272" s="3">
        <f t="shared" si="1"/>
        <v>3</v>
      </c>
      <c r="E272" s="3" t="str">
        <f>IFERROR(__xludf.DUMMYFUNCTION("REGEXEXTRACT(C272,""[^ ]* [^ ]*"")"),"muted gray")</f>
        <v>muted gray</v>
      </c>
      <c r="F272" s="3" t="str">
        <f>IFERROR(__xludf.DUMMYFUNCTION("MID(REGEXEXTRACT(C272,""contain.*$""),9,300)"),"3 faded beige bags, 1 dark teal bag, 3 muted violet bags, 3 muted white bags.")</f>
        <v>3 faded beige bags, 1 dark teal bag, 3 muted violet bags, 3 muted white bags.</v>
      </c>
      <c r="G272" s="3" t="str">
        <f>IFERROR(__xludf.DUMMYFUNCTION("INDEX(SPLIT($F272,"",""),COLUMN()-6)"),"3 faded beige bags")</f>
        <v>3 faded beige bags</v>
      </c>
      <c r="H272" s="3" t="str">
        <f>IFERROR(__xludf.DUMMYFUNCTION("MID(INDEX(SPLIT($F272,"",""),COLUMN()-6),2,300)"),"1 dark teal bag")</f>
        <v>1 dark teal bag</v>
      </c>
      <c r="I272" s="3" t="str">
        <f>IFERROR(__xludf.DUMMYFUNCTION("MID(INDEX(SPLIT($F272,"",""),COLUMN()-6),2,300)"),"3 muted violet bags")</f>
        <v>3 muted violet bags</v>
      </c>
      <c r="J272" s="3" t="str">
        <f>IFERROR(__xludf.DUMMYFUNCTION("MID(INDEX(SPLIT($F272,"",""),COLUMN()-6),2,300)"),"3 muted white bags.")</f>
        <v>3 muted white bags.</v>
      </c>
      <c r="K272" s="3">
        <f>IFERROR(__xludf.DUMMYFUNCTION("INDEX(SPLIT(G272,"" ""),1)"),3.0)</f>
        <v>3</v>
      </c>
      <c r="L272" s="3" t="str">
        <f>IFERROR(__xludf.DUMMYFUNCTION("REGEXEXTRACT(G272,"" [^ ]* [^ ]* "")")," faded beige ")</f>
        <v> faded beige </v>
      </c>
      <c r="M272" s="3">
        <f>IFERROR(__xludf.DUMMYFUNCTION("INDEX(SPLIT(H272,"" ""),1)"),1.0)</f>
        <v>1</v>
      </c>
      <c r="N272" s="3" t="str">
        <f>IFERROR(__xludf.DUMMYFUNCTION("MID(REGEXEXTRACT(H272,"" [^ ]* [^ ]*""),2,300)"),"dark teal")</f>
        <v>dark teal</v>
      </c>
      <c r="O272" s="3">
        <f>IFERROR(__xludf.DUMMYFUNCTION("INDEX(SPLIT(I272,"" ""),1)"),3.0)</f>
        <v>3</v>
      </c>
      <c r="P272" s="3" t="str">
        <f>IFERROR(__xludf.DUMMYFUNCTION("MID(REGEXEXTRACT(I272,"" [^ ]* [^ ]*""),2,300)"),"muted violet")</f>
        <v>muted violet</v>
      </c>
      <c r="Q272" s="3">
        <f>IFERROR(__xludf.DUMMYFUNCTION("INDEX(SPLIT(J272,"" ""),1)"),3.0)</f>
        <v>3</v>
      </c>
      <c r="R272" s="3" t="str">
        <f>IFERROR(__xludf.DUMMYFUNCTION("MID(REGEXEXTRACT(J272,"" [^ ]* [^ ]*""),2,300)"),"muted white")</f>
        <v>muted white</v>
      </c>
      <c r="S272" s="3">
        <f t="shared" si="2"/>
        <v>3</v>
      </c>
      <c r="T272" s="3" t="str">
        <f t="shared" si="3"/>
        <v>faded beige</v>
      </c>
      <c r="U272" s="3">
        <f t="shared" si="4"/>
        <v>1</v>
      </c>
      <c r="V272" s="3" t="str">
        <f t="shared" si="5"/>
        <v>dark teal</v>
      </c>
      <c r="W272" s="3">
        <f t="shared" si="6"/>
        <v>3</v>
      </c>
      <c r="X272" s="3" t="str">
        <f t="shared" si="7"/>
        <v>muted violet</v>
      </c>
      <c r="Y272" s="3">
        <f t="shared" si="8"/>
        <v>3</v>
      </c>
      <c r="Z272" s="3" t="str">
        <f t="shared" si="9"/>
        <v>muted white</v>
      </c>
      <c r="AA272" s="13">
        <f t="shared" si="10"/>
        <v>8714523</v>
      </c>
      <c r="AB272" s="3">
        <f t="shared" si="11"/>
        <v>8714522</v>
      </c>
      <c r="AC272" s="3">
        <f t="shared" si="12"/>
        <v>3</v>
      </c>
      <c r="AD272" s="3">
        <f t="shared" si="13"/>
        <v>6373</v>
      </c>
      <c r="AE272" s="3">
        <f t="shared" si="14"/>
        <v>1</v>
      </c>
      <c r="AF272" s="3">
        <f t="shared" si="15"/>
        <v>15041</v>
      </c>
      <c r="AG272" s="3">
        <f t="shared" si="16"/>
        <v>3</v>
      </c>
      <c r="AH272" s="3">
        <f t="shared" si="17"/>
        <v>4</v>
      </c>
      <c r="AI272" s="3">
        <f t="shared" si="18"/>
        <v>3</v>
      </c>
      <c r="AJ272" s="3">
        <f t="shared" si="19"/>
        <v>2893450</v>
      </c>
    </row>
    <row r="273">
      <c r="C273" s="6" t="s">
        <v>273</v>
      </c>
      <c r="D273" s="3">
        <f t="shared" si="1"/>
        <v>2</v>
      </c>
      <c r="E273" s="3" t="str">
        <f>IFERROR(__xludf.DUMMYFUNCTION("REGEXEXTRACT(C273,""[^ ]* [^ ]*"")"),"wavy lavender")</f>
        <v>wavy lavender</v>
      </c>
      <c r="F273" s="3" t="str">
        <f>IFERROR(__xludf.DUMMYFUNCTION("MID(REGEXEXTRACT(C273,""contain.*$""),9,300)"),"1 clear chartreuse bag, 2 clear maroon bags, 5 dull plum bags.")</f>
        <v>1 clear chartreuse bag, 2 clear maroon bags, 5 dull plum bags.</v>
      </c>
      <c r="G273" s="3" t="str">
        <f>IFERROR(__xludf.DUMMYFUNCTION("INDEX(SPLIT($F273,"",""),COLUMN()-6)"),"1 clear chartreuse bag")</f>
        <v>1 clear chartreuse bag</v>
      </c>
      <c r="H273" s="3" t="str">
        <f>IFERROR(__xludf.DUMMYFUNCTION("MID(INDEX(SPLIT($F273,"",""),COLUMN()-6),2,300)"),"2 clear maroon bags")</f>
        <v>2 clear maroon bags</v>
      </c>
      <c r="I273" s="3" t="str">
        <f>IFERROR(__xludf.DUMMYFUNCTION("MID(INDEX(SPLIT($F273,"",""),COLUMN()-6),2,300)"),"5 dull plum bags.")</f>
        <v>5 dull plum bags.</v>
      </c>
      <c r="J273" s="3" t="str">
        <f>IFERROR(__xludf.DUMMYFUNCTION("MID(INDEX(SPLIT($F273,"",""),COLUMN()-6),2,300)"),"#REF!")</f>
        <v>#REF!</v>
      </c>
      <c r="K273" s="3">
        <f>IFERROR(__xludf.DUMMYFUNCTION("INDEX(SPLIT(G273,"" ""),1)"),1.0)</f>
        <v>1</v>
      </c>
      <c r="L273" s="3" t="str">
        <f>IFERROR(__xludf.DUMMYFUNCTION("REGEXEXTRACT(G273,"" [^ ]* [^ ]* "")")," clear chartreuse ")</f>
        <v> clear chartreuse </v>
      </c>
      <c r="M273" s="3">
        <f>IFERROR(__xludf.DUMMYFUNCTION("INDEX(SPLIT(H273,"" ""),1)"),2.0)</f>
        <v>2</v>
      </c>
      <c r="N273" s="3" t="str">
        <f>IFERROR(__xludf.DUMMYFUNCTION("MID(REGEXEXTRACT(H273,"" [^ ]* [^ ]*""),2,300)"),"clear maroon")</f>
        <v>clear maroon</v>
      </c>
      <c r="O273" s="3">
        <f>IFERROR(__xludf.DUMMYFUNCTION("INDEX(SPLIT(I273,"" ""),1)"),5.0)</f>
        <v>5</v>
      </c>
      <c r="P273" s="3" t="str">
        <f>IFERROR(__xludf.DUMMYFUNCTION("MID(REGEXEXTRACT(I273,"" [^ ]* [^ ]*""),2,300)"),"dull plum")</f>
        <v>dull plum</v>
      </c>
      <c r="Q273" s="3" t="str">
        <f>IFERROR(__xludf.DUMMYFUNCTION("INDEX(SPLIT(J273,"" ""),1)"),"#REF!")</f>
        <v>#REF!</v>
      </c>
      <c r="R273" s="3" t="str">
        <f>IFERROR(__xludf.DUMMYFUNCTION("MID(REGEXEXTRACT(J273,"" [^ ]* [^ ]*""),2,300)"),"#REF!")</f>
        <v>#REF!</v>
      </c>
      <c r="S273" s="3">
        <f t="shared" si="2"/>
        <v>1</v>
      </c>
      <c r="T273" s="3" t="str">
        <f t="shared" si="3"/>
        <v>clear chartreuse</v>
      </c>
      <c r="U273" s="3">
        <f t="shared" si="4"/>
        <v>2</v>
      </c>
      <c r="V273" s="3" t="str">
        <f t="shared" si="5"/>
        <v>clear maroon</v>
      </c>
      <c r="W273" s="3">
        <f t="shared" si="6"/>
        <v>5</v>
      </c>
      <c r="X273" s="3" t="str">
        <f t="shared" si="7"/>
        <v>dull plum</v>
      </c>
      <c r="Y273" s="3" t="str">
        <f t="shared" si="8"/>
        <v/>
      </c>
      <c r="Z273" s="3" t="str">
        <f t="shared" si="9"/>
        <v/>
      </c>
      <c r="AA273" s="13">
        <f t="shared" si="10"/>
        <v>172871801</v>
      </c>
      <c r="AB273" s="3">
        <f t="shared" si="11"/>
        <v>172871800</v>
      </c>
      <c r="AC273" s="3">
        <f t="shared" si="12"/>
        <v>1</v>
      </c>
      <c r="AD273" s="3">
        <f t="shared" si="13"/>
        <v>52325344</v>
      </c>
      <c r="AE273" s="3">
        <f t="shared" si="14"/>
        <v>2</v>
      </c>
      <c r="AF273" s="3">
        <f t="shared" si="15"/>
        <v>26408808</v>
      </c>
      <c r="AG273" s="3">
        <f t="shared" si="16"/>
        <v>5</v>
      </c>
      <c r="AH273" s="3">
        <f t="shared" si="17"/>
        <v>13545768</v>
      </c>
      <c r="AI273" s="3" t="str">
        <f t="shared" si="18"/>
        <v/>
      </c>
      <c r="AJ273" s="3">
        <f t="shared" si="19"/>
        <v>0</v>
      </c>
    </row>
    <row r="274">
      <c r="C274" s="6" t="s">
        <v>274</v>
      </c>
      <c r="D274" s="3">
        <f t="shared" si="1"/>
        <v>2</v>
      </c>
      <c r="E274" s="3" t="str">
        <f>IFERROR(__xludf.DUMMYFUNCTION("REGEXEXTRACT(C274,""[^ ]* [^ ]*"")"),"faded olive")</f>
        <v>faded olive</v>
      </c>
      <c r="F274" s="3" t="str">
        <f>IFERROR(__xludf.DUMMYFUNCTION("MID(REGEXEXTRACT(C274,""contain.*$""),9,300)"),"4 mirrored yellow bags, 4 vibrant tomato bags, 5 muted olive bags.")</f>
        <v>4 mirrored yellow bags, 4 vibrant tomato bags, 5 muted olive bags.</v>
      </c>
      <c r="G274" s="3" t="str">
        <f>IFERROR(__xludf.DUMMYFUNCTION("INDEX(SPLIT($F274,"",""),COLUMN()-6)"),"4 mirrored yellow bags")</f>
        <v>4 mirrored yellow bags</v>
      </c>
      <c r="H274" s="3" t="str">
        <f>IFERROR(__xludf.DUMMYFUNCTION("MID(INDEX(SPLIT($F274,"",""),COLUMN()-6),2,300)"),"4 vibrant tomato bags")</f>
        <v>4 vibrant tomato bags</v>
      </c>
      <c r="I274" s="3" t="str">
        <f>IFERROR(__xludf.DUMMYFUNCTION("MID(INDEX(SPLIT($F274,"",""),COLUMN()-6),2,300)"),"5 muted olive bags.")</f>
        <v>5 muted olive bags.</v>
      </c>
      <c r="J274" s="3" t="str">
        <f>IFERROR(__xludf.DUMMYFUNCTION("MID(INDEX(SPLIT($F274,"",""),COLUMN()-6),2,300)"),"#REF!")</f>
        <v>#REF!</v>
      </c>
      <c r="K274" s="3">
        <f>IFERROR(__xludf.DUMMYFUNCTION("INDEX(SPLIT(G274,"" ""),1)"),4.0)</f>
        <v>4</v>
      </c>
      <c r="L274" s="3" t="str">
        <f>IFERROR(__xludf.DUMMYFUNCTION("REGEXEXTRACT(G274,"" [^ ]* [^ ]* "")")," mirrored yellow ")</f>
        <v> mirrored yellow </v>
      </c>
      <c r="M274" s="3">
        <f>IFERROR(__xludf.DUMMYFUNCTION("INDEX(SPLIT(H274,"" ""),1)"),4.0)</f>
        <v>4</v>
      </c>
      <c r="N274" s="3" t="str">
        <f>IFERROR(__xludf.DUMMYFUNCTION("MID(REGEXEXTRACT(H274,"" [^ ]* [^ ]*""),2,300)"),"vibrant tomato")</f>
        <v>vibrant tomato</v>
      </c>
      <c r="O274" s="3">
        <f>IFERROR(__xludf.DUMMYFUNCTION("INDEX(SPLIT(I274,"" ""),1)"),5.0)</f>
        <v>5</v>
      </c>
      <c r="P274" s="3" t="str">
        <f>IFERROR(__xludf.DUMMYFUNCTION("MID(REGEXEXTRACT(I274,"" [^ ]* [^ ]*""),2,300)"),"muted olive")</f>
        <v>muted olive</v>
      </c>
      <c r="Q274" s="3" t="str">
        <f>IFERROR(__xludf.DUMMYFUNCTION("INDEX(SPLIT(J274,"" ""),1)"),"#REF!")</f>
        <v>#REF!</v>
      </c>
      <c r="R274" s="3" t="str">
        <f>IFERROR(__xludf.DUMMYFUNCTION("MID(REGEXEXTRACT(J274,"" [^ ]* [^ ]*""),2,300)"),"#REF!")</f>
        <v>#REF!</v>
      </c>
      <c r="S274" s="3">
        <f t="shared" si="2"/>
        <v>4</v>
      </c>
      <c r="T274" s="3" t="str">
        <f t="shared" si="3"/>
        <v>mirrored yellow</v>
      </c>
      <c r="U274" s="3">
        <f t="shared" si="4"/>
        <v>4</v>
      </c>
      <c r="V274" s="3" t="str">
        <f t="shared" si="5"/>
        <v>vibrant tomato</v>
      </c>
      <c r="W274" s="3">
        <f t="shared" si="6"/>
        <v>5</v>
      </c>
      <c r="X274" s="3" t="str">
        <f t="shared" si="7"/>
        <v>muted olive</v>
      </c>
      <c r="Y274" s="3" t="str">
        <f t="shared" si="8"/>
        <v/>
      </c>
      <c r="Z274" s="3" t="str">
        <f t="shared" si="9"/>
        <v/>
      </c>
      <c r="AA274" s="13">
        <f t="shared" si="10"/>
        <v>211628595</v>
      </c>
      <c r="AB274" s="3">
        <f t="shared" si="11"/>
        <v>211628594</v>
      </c>
      <c r="AC274" s="3">
        <f t="shared" si="12"/>
        <v>4</v>
      </c>
      <c r="AD274" s="3">
        <f t="shared" si="13"/>
        <v>52501888</v>
      </c>
      <c r="AE274" s="3">
        <f t="shared" si="14"/>
        <v>4</v>
      </c>
      <c r="AF274" s="3">
        <f t="shared" si="15"/>
        <v>405253</v>
      </c>
      <c r="AG274" s="3">
        <f t="shared" si="16"/>
        <v>5</v>
      </c>
      <c r="AH274" s="3">
        <f t="shared" si="17"/>
        <v>6</v>
      </c>
      <c r="AI274" s="3" t="str">
        <f t="shared" si="18"/>
        <v/>
      </c>
      <c r="AJ274" s="3">
        <f t="shared" si="19"/>
        <v>0</v>
      </c>
    </row>
    <row r="275">
      <c r="C275" s="6" t="s">
        <v>275</v>
      </c>
      <c r="D275" s="3">
        <f t="shared" si="1"/>
        <v>1</v>
      </c>
      <c r="E275" s="3" t="str">
        <f>IFERROR(__xludf.DUMMYFUNCTION("REGEXEXTRACT(C275,""[^ ]* [^ ]*"")"),"muted crimson")</f>
        <v>muted crimson</v>
      </c>
      <c r="F275" s="3" t="str">
        <f>IFERROR(__xludf.DUMMYFUNCTION("MID(REGEXEXTRACT(C275,""contain.*$""),9,300)"),"1 mirrored gray bag, 4 dim violet bags.")</f>
        <v>1 mirrored gray bag, 4 dim violet bags.</v>
      </c>
      <c r="G275" s="3" t="str">
        <f>IFERROR(__xludf.DUMMYFUNCTION("INDEX(SPLIT($F275,"",""),COLUMN()-6)"),"1 mirrored gray bag")</f>
        <v>1 mirrored gray bag</v>
      </c>
      <c r="H275" s="3" t="str">
        <f>IFERROR(__xludf.DUMMYFUNCTION("MID(INDEX(SPLIT($F275,"",""),COLUMN()-6),2,300)"),"4 dim violet bags.")</f>
        <v>4 dim violet bags.</v>
      </c>
      <c r="I275" s="3" t="str">
        <f>IFERROR(__xludf.DUMMYFUNCTION("MID(INDEX(SPLIT($F275,"",""),COLUMN()-6),2,300)"),"#REF!")</f>
        <v>#REF!</v>
      </c>
      <c r="J275" s="3" t="str">
        <f>IFERROR(__xludf.DUMMYFUNCTION("MID(INDEX(SPLIT($F275,"",""),COLUMN()-6),2,300)"),"#REF!")</f>
        <v>#REF!</v>
      </c>
      <c r="K275" s="3">
        <f>IFERROR(__xludf.DUMMYFUNCTION("INDEX(SPLIT(G275,"" ""),1)"),1.0)</f>
        <v>1</v>
      </c>
      <c r="L275" s="3" t="str">
        <f>IFERROR(__xludf.DUMMYFUNCTION("REGEXEXTRACT(G275,"" [^ ]* [^ ]* "")")," mirrored gray ")</f>
        <v> mirrored gray </v>
      </c>
      <c r="M275" s="3">
        <f>IFERROR(__xludf.DUMMYFUNCTION("INDEX(SPLIT(H275,"" ""),1)"),4.0)</f>
        <v>4</v>
      </c>
      <c r="N275" s="3" t="str">
        <f>IFERROR(__xludf.DUMMYFUNCTION("MID(REGEXEXTRACT(H275,"" [^ ]* [^ ]*""),2,300)"),"dim violet")</f>
        <v>dim violet</v>
      </c>
      <c r="O275" s="3" t="str">
        <f>IFERROR(__xludf.DUMMYFUNCTION("INDEX(SPLIT(I275,"" ""),1)"),"#REF!")</f>
        <v>#REF!</v>
      </c>
      <c r="P275" s="3" t="str">
        <f>IFERROR(__xludf.DUMMYFUNCTION("MID(REGEXEXTRACT(I275,"" [^ ]* [^ ]*""),2,300)"),"#REF!")</f>
        <v>#REF!</v>
      </c>
      <c r="Q275" s="3" t="str">
        <f>IFERROR(__xludf.DUMMYFUNCTION("INDEX(SPLIT(J275,"" ""),1)"),"#REF!")</f>
        <v>#REF!</v>
      </c>
      <c r="R275" s="3" t="str">
        <f>IFERROR(__xludf.DUMMYFUNCTION("MID(REGEXEXTRACT(J275,"" [^ ]* [^ ]*""),2,300)"),"#REF!")</f>
        <v>#REF!</v>
      </c>
      <c r="S275" s="3">
        <f t="shared" si="2"/>
        <v>1</v>
      </c>
      <c r="T275" s="3" t="str">
        <f t="shared" si="3"/>
        <v>mirrored gray</v>
      </c>
      <c r="U275" s="3">
        <f t="shared" si="4"/>
        <v>4</v>
      </c>
      <c r="V275" s="3" t="str">
        <f t="shared" si="5"/>
        <v>dim violet</v>
      </c>
      <c r="W275" s="3" t="str">
        <f t="shared" si="6"/>
        <v/>
      </c>
      <c r="X275" s="3" t="str">
        <f t="shared" si="7"/>
        <v/>
      </c>
      <c r="Y275" s="3" t="str">
        <f t="shared" si="8"/>
        <v/>
      </c>
      <c r="Z275" s="3" t="str">
        <f t="shared" si="9"/>
        <v/>
      </c>
      <c r="AA275" s="13">
        <f t="shared" si="10"/>
        <v>621</v>
      </c>
      <c r="AB275" s="3">
        <f t="shared" si="11"/>
        <v>620</v>
      </c>
      <c r="AC275" s="3">
        <f t="shared" si="12"/>
        <v>1</v>
      </c>
      <c r="AD275" s="3">
        <f t="shared" si="13"/>
        <v>8</v>
      </c>
      <c r="AE275" s="3">
        <f t="shared" si="14"/>
        <v>4</v>
      </c>
      <c r="AF275" s="3">
        <f t="shared" si="15"/>
        <v>153</v>
      </c>
      <c r="AG275" s="3" t="str">
        <f t="shared" si="16"/>
        <v/>
      </c>
      <c r="AH275" s="3">
        <f t="shared" si="17"/>
        <v>0</v>
      </c>
      <c r="AI275" s="3" t="str">
        <f t="shared" si="18"/>
        <v/>
      </c>
      <c r="AJ275" s="3">
        <f t="shared" si="19"/>
        <v>0</v>
      </c>
    </row>
    <row r="276">
      <c r="C276" s="6" t="s">
        <v>276</v>
      </c>
      <c r="D276" s="3">
        <f t="shared" si="1"/>
        <v>1</v>
      </c>
      <c r="E276" s="3" t="str">
        <f>IFERROR(__xludf.DUMMYFUNCTION("REGEXEXTRACT(C276,""[^ ]* [^ ]*"")"),"drab chartreuse")</f>
        <v>drab chartreuse</v>
      </c>
      <c r="F276" s="3" t="str">
        <f>IFERROR(__xludf.DUMMYFUNCTION("MID(REGEXEXTRACT(C276,""contain.*$""),9,300)"),"1 pale olive bag, 1 vibrant plum bag.")</f>
        <v>1 pale olive bag, 1 vibrant plum bag.</v>
      </c>
      <c r="G276" s="3" t="str">
        <f>IFERROR(__xludf.DUMMYFUNCTION("INDEX(SPLIT($F276,"",""),COLUMN()-6)"),"1 pale olive bag")</f>
        <v>1 pale olive bag</v>
      </c>
      <c r="H276" s="3" t="str">
        <f>IFERROR(__xludf.DUMMYFUNCTION("MID(INDEX(SPLIT($F276,"",""),COLUMN()-6),2,300)"),"1 vibrant plum bag.")</f>
        <v>1 vibrant plum bag.</v>
      </c>
      <c r="I276" s="3" t="str">
        <f>IFERROR(__xludf.DUMMYFUNCTION("MID(INDEX(SPLIT($F276,"",""),COLUMN()-6),2,300)"),"#REF!")</f>
        <v>#REF!</v>
      </c>
      <c r="J276" s="3" t="str">
        <f>IFERROR(__xludf.DUMMYFUNCTION("MID(INDEX(SPLIT($F276,"",""),COLUMN()-6),2,300)"),"#REF!")</f>
        <v>#REF!</v>
      </c>
      <c r="K276" s="3">
        <f>IFERROR(__xludf.DUMMYFUNCTION("INDEX(SPLIT(G276,"" ""),1)"),1.0)</f>
        <v>1</v>
      </c>
      <c r="L276" s="3" t="str">
        <f>IFERROR(__xludf.DUMMYFUNCTION("REGEXEXTRACT(G276,"" [^ ]* [^ ]* "")")," pale olive ")</f>
        <v> pale olive </v>
      </c>
      <c r="M276" s="3">
        <f>IFERROR(__xludf.DUMMYFUNCTION("INDEX(SPLIT(H276,"" ""),1)"),1.0)</f>
        <v>1</v>
      </c>
      <c r="N276" s="3" t="str">
        <f>IFERROR(__xludf.DUMMYFUNCTION("MID(REGEXEXTRACT(H276,"" [^ ]* [^ ]*""),2,300)"),"vibrant plum")</f>
        <v>vibrant plum</v>
      </c>
      <c r="O276" s="3" t="str">
        <f>IFERROR(__xludf.DUMMYFUNCTION("INDEX(SPLIT(I276,"" ""),1)"),"#REF!")</f>
        <v>#REF!</v>
      </c>
      <c r="P276" s="3" t="str">
        <f>IFERROR(__xludf.DUMMYFUNCTION("MID(REGEXEXTRACT(I276,"" [^ ]* [^ ]*""),2,300)"),"#REF!")</f>
        <v>#REF!</v>
      </c>
      <c r="Q276" s="3" t="str">
        <f>IFERROR(__xludf.DUMMYFUNCTION("INDEX(SPLIT(J276,"" ""),1)"),"#REF!")</f>
        <v>#REF!</v>
      </c>
      <c r="R276" s="3" t="str">
        <f>IFERROR(__xludf.DUMMYFUNCTION("MID(REGEXEXTRACT(J276,"" [^ ]* [^ ]*""),2,300)"),"#REF!")</f>
        <v>#REF!</v>
      </c>
      <c r="S276" s="3">
        <f t="shared" si="2"/>
        <v>1</v>
      </c>
      <c r="T276" s="3" t="str">
        <f t="shared" si="3"/>
        <v>pale olive</v>
      </c>
      <c r="U276" s="3">
        <f t="shared" si="4"/>
        <v>1</v>
      </c>
      <c r="V276" s="3" t="str">
        <f t="shared" si="5"/>
        <v>vibrant plum</v>
      </c>
      <c r="W276" s="3" t="str">
        <f t="shared" si="6"/>
        <v/>
      </c>
      <c r="X276" s="3" t="str">
        <f t="shared" si="7"/>
        <v/>
      </c>
      <c r="Y276" s="3" t="str">
        <f t="shared" si="8"/>
        <v/>
      </c>
      <c r="Z276" s="3" t="str">
        <f t="shared" si="9"/>
        <v/>
      </c>
      <c r="AA276" s="13">
        <f t="shared" si="10"/>
        <v>26949</v>
      </c>
      <c r="AB276" s="3">
        <f t="shared" si="11"/>
        <v>26948</v>
      </c>
      <c r="AC276" s="3">
        <f t="shared" si="12"/>
        <v>1</v>
      </c>
      <c r="AD276" s="3">
        <f t="shared" si="13"/>
        <v>306</v>
      </c>
      <c r="AE276" s="3">
        <f t="shared" si="14"/>
        <v>1</v>
      </c>
      <c r="AF276" s="3">
        <f t="shared" si="15"/>
        <v>26642</v>
      </c>
      <c r="AG276" s="3" t="str">
        <f t="shared" si="16"/>
        <v/>
      </c>
      <c r="AH276" s="3">
        <f t="shared" si="17"/>
        <v>0</v>
      </c>
      <c r="AI276" s="3" t="str">
        <f t="shared" si="18"/>
        <v/>
      </c>
      <c r="AJ276" s="3">
        <f t="shared" si="19"/>
        <v>0</v>
      </c>
    </row>
    <row r="277">
      <c r="C277" s="6" t="s">
        <v>277</v>
      </c>
      <c r="D277" s="3">
        <f t="shared" si="1"/>
        <v>0</v>
      </c>
      <c r="E277" s="3" t="str">
        <f>IFERROR(__xludf.DUMMYFUNCTION("REGEXEXTRACT(C277,""[^ ]* [^ ]*"")"),"wavy cyan")</f>
        <v>wavy cyan</v>
      </c>
      <c r="F277" s="3" t="str">
        <f>IFERROR(__xludf.DUMMYFUNCTION("MID(REGEXEXTRACT(C277,""contain.*$""),9,300)"),"2 mirrored coral bags.")</f>
        <v>2 mirrored coral bags.</v>
      </c>
      <c r="G277" s="3" t="str">
        <f>IFERROR(__xludf.DUMMYFUNCTION("INDEX(SPLIT($F277,"",""),COLUMN()-6)"),"2 mirrored coral bags.")</f>
        <v>2 mirrored coral bags.</v>
      </c>
      <c r="H277" s="3" t="str">
        <f>IFERROR(__xludf.DUMMYFUNCTION("MID(INDEX(SPLIT($F277,"",""),COLUMN()-6),2,300)"),"#REF!")</f>
        <v>#REF!</v>
      </c>
      <c r="I277" s="3" t="str">
        <f>IFERROR(__xludf.DUMMYFUNCTION("MID(INDEX(SPLIT($F277,"",""),COLUMN()-6),2,300)"),"#REF!")</f>
        <v>#REF!</v>
      </c>
      <c r="J277" s="3" t="str">
        <f>IFERROR(__xludf.DUMMYFUNCTION("MID(INDEX(SPLIT($F277,"",""),COLUMN()-6),2,300)"),"#REF!")</f>
        <v>#REF!</v>
      </c>
      <c r="K277" s="3">
        <f>IFERROR(__xludf.DUMMYFUNCTION("INDEX(SPLIT(G277,"" ""),1)"),2.0)</f>
        <v>2</v>
      </c>
      <c r="L277" s="3" t="str">
        <f>IFERROR(__xludf.DUMMYFUNCTION("REGEXEXTRACT(G277,"" [^ ]* [^ ]* "")")," mirrored coral ")</f>
        <v> mirrored coral </v>
      </c>
      <c r="M277" s="3" t="str">
        <f>IFERROR(__xludf.DUMMYFUNCTION("INDEX(SPLIT(H277,"" ""),1)"),"#REF!")</f>
        <v>#REF!</v>
      </c>
      <c r="N277" s="3" t="str">
        <f>IFERROR(__xludf.DUMMYFUNCTION("MID(REGEXEXTRACT(H277,"" [^ ]* [^ ]*""),2,300)"),"#REF!")</f>
        <v>#REF!</v>
      </c>
      <c r="O277" s="3" t="str">
        <f>IFERROR(__xludf.DUMMYFUNCTION("INDEX(SPLIT(I277,"" ""),1)"),"#REF!")</f>
        <v>#REF!</v>
      </c>
      <c r="P277" s="3" t="str">
        <f>IFERROR(__xludf.DUMMYFUNCTION("MID(REGEXEXTRACT(I277,"" [^ ]* [^ ]*""),2,300)"),"#REF!")</f>
        <v>#REF!</v>
      </c>
      <c r="Q277" s="3" t="str">
        <f>IFERROR(__xludf.DUMMYFUNCTION("INDEX(SPLIT(J277,"" ""),1)"),"#REF!")</f>
        <v>#REF!</v>
      </c>
      <c r="R277" s="3" t="str">
        <f>IFERROR(__xludf.DUMMYFUNCTION("MID(REGEXEXTRACT(J277,"" [^ ]* [^ ]*""),2,300)"),"#REF!")</f>
        <v>#REF!</v>
      </c>
      <c r="S277" s="3">
        <f t="shared" si="2"/>
        <v>2</v>
      </c>
      <c r="T277" s="3" t="str">
        <f t="shared" si="3"/>
        <v>mirrored coral</v>
      </c>
      <c r="U277" s="3" t="str">
        <f t="shared" si="4"/>
        <v/>
      </c>
      <c r="V277" s="3" t="str">
        <f t="shared" si="5"/>
        <v/>
      </c>
      <c r="W277" s="3" t="str">
        <f t="shared" si="6"/>
        <v/>
      </c>
      <c r="X277" s="3" t="str">
        <f t="shared" si="7"/>
        <v/>
      </c>
      <c r="Y277" s="3" t="str">
        <f t="shared" si="8"/>
        <v/>
      </c>
      <c r="Z277" s="3" t="str">
        <f t="shared" si="9"/>
        <v/>
      </c>
      <c r="AA277" s="13">
        <f t="shared" si="10"/>
        <v>106571</v>
      </c>
      <c r="AB277" s="3">
        <f t="shared" si="11"/>
        <v>106570</v>
      </c>
      <c r="AC277" s="3">
        <f t="shared" si="12"/>
        <v>2</v>
      </c>
      <c r="AD277" s="3">
        <f t="shared" si="13"/>
        <v>53285</v>
      </c>
      <c r="AE277" s="3" t="str">
        <f t="shared" si="14"/>
        <v/>
      </c>
      <c r="AF277" s="3">
        <f t="shared" si="15"/>
        <v>0</v>
      </c>
      <c r="AG277" s="3" t="str">
        <f t="shared" si="16"/>
        <v/>
      </c>
      <c r="AH277" s="3">
        <f t="shared" si="17"/>
        <v>0</v>
      </c>
      <c r="AI277" s="3" t="str">
        <f t="shared" si="18"/>
        <v/>
      </c>
      <c r="AJ277" s="3">
        <f t="shared" si="19"/>
        <v>0</v>
      </c>
    </row>
    <row r="278">
      <c r="C278" s="6" t="s">
        <v>278</v>
      </c>
      <c r="D278" s="3">
        <f t="shared" si="1"/>
        <v>2</v>
      </c>
      <c r="E278" s="3" t="str">
        <f>IFERROR(__xludf.DUMMYFUNCTION("REGEXEXTRACT(C278,""[^ ]* [^ ]*"")"),"mirrored plum")</f>
        <v>mirrored plum</v>
      </c>
      <c r="F278" s="3" t="str">
        <f>IFERROR(__xludf.DUMMYFUNCTION("MID(REGEXEXTRACT(C278,""contain.*$""),9,300)"),"3 bright turquoise bags, 3 dark beige bags, 4 mirrored beige bags.")</f>
        <v>3 bright turquoise bags, 3 dark beige bags, 4 mirrored beige bags.</v>
      </c>
      <c r="G278" s="3" t="str">
        <f>IFERROR(__xludf.DUMMYFUNCTION("INDEX(SPLIT($F278,"",""),COLUMN()-6)"),"3 bright turquoise bags")</f>
        <v>3 bright turquoise bags</v>
      </c>
      <c r="H278" s="3" t="str">
        <f>IFERROR(__xludf.DUMMYFUNCTION("MID(INDEX(SPLIT($F278,"",""),COLUMN()-6),2,300)"),"3 dark beige bags")</f>
        <v>3 dark beige bags</v>
      </c>
      <c r="I278" s="3" t="str">
        <f>IFERROR(__xludf.DUMMYFUNCTION("MID(INDEX(SPLIT($F278,"",""),COLUMN()-6),2,300)"),"4 mirrored beige bags.")</f>
        <v>4 mirrored beige bags.</v>
      </c>
      <c r="J278" s="3" t="str">
        <f>IFERROR(__xludf.DUMMYFUNCTION("MID(INDEX(SPLIT($F278,"",""),COLUMN()-6),2,300)"),"#REF!")</f>
        <v>#REF!</v>
      </c>
      <c r="K278" s="3">
        <f>IFERROR(__xludf.DUMMYFUNCTION("INDEX(SPLIT(G278,"" ""),1)"),3.0)</f>
        <v>3</v>
      </c>
      <c r="L278" s="3" t="str">
        <f>IFERROR(__xludf.DUMMYFUNCTION("REGEXEXTRACT(G278,"" [^ ]* [^ ]* "")")," bright turquoise ")</f>
        <v> bright turquoise </v>
      </c>
      <c r="M278" s="3">
        <f>IFERROR(__xludf.DUMMYFUNCTION("INDEX(SPLIT(H278,"" ""),1)"),3.0)</f>
        <v>3</v>
      </c>
      <c r="N278" s="3" t="str">
        <f>IFERROR(__xludf.DUMMYFUNCTION("MID(REGEXEXTRACT(H278,"" [^ ]* [^ ]*""),2,300)"),"dark beige")</f>
        <v>dark beige</v>
      </c>
      <c r="O278" s="3">
        <f>IFERROR(__xludf.DUMMYFUNCTION("INDEX(SPLIT(I278,"" ""),1)"),4.0)</f>
        <v>4</v>
      </c>
      <c r="P278" s="3" t="str">
        <f>IFERROR(__xludf.DUMMYFUNCTION("MID(REGEXEXTRACT(I278,"" [^ ]* [^ ]*""),2,300)"),"mirrored beige")</f>
        <v>mirrored beige</v>
      </c>
      <c r="Q278" s="3" t="str">
        <f>IFERROR(__xludf.DUMMYFUNCTION("INDEX(SPLIT(J278,"" ""),1)"),"#REF!")</f>
        <v>#REF!</v>
      </c>
      <c r="R278" s="3" t="str">
        <f>IFERROR(__xludf.DUMMYFUNCTION("MID(REGEXEXTRACT(J278,"" [^ ]* [^ ]*""),2,300)"),"#REF!")</f>
        <v>#REF!</v>
      </c>
      <c r="S278" s="3">
        <f t="shared" si="2"/>
        <v>3</v>
      </c>
      <c r="T278" s="3" t="str">
        <f t="shared" si="3"/>
        <v>bright turquoise</v>
      </c>
      <c r="U278" s="3">
        <f t="shared" si="4"/>
        <v>3</v>
      </c>
      <c r="V278" s="3" t="str">
        <f t="shared" si="5"/>
        <v>dark beige</v>
      </c>
      <c r="W278" s="3">
        <f t="shared" si="6"/>
        <v>4</v>
      </c>
      <c r="X278" s="3" t="str">
        <f t="shared" si="7"/>
        <v>mirrored beige</v>
      </c>
      <c r="Y278" s="3" t="str">
        <f t="shared" si="8"/>
        <v/>
      </c>
      <c r="Z278" s="3" t="str">
        <f t="shared" si="9"/>
        <v/>
      </c>
      <c r="AA278" s="13">
        <f t="shared" si="10"/>
        <v>40818760</v>
      </c>
      <c r="AB278" s="3">
        <f t="shared" si="11"/>
        <v>40818759</v>
      </c>
      <c r="AC278" s="3">
        <f t="shared" si="12"/>
        <v>3</v>
      </c>
      <c r="AD278" s="3">
        <f t="shared" si="13"/>
        <v>12227506</v>
      </c>
      <c r="AE278" s="3">
        <f t="shared" si="14"/>
        <v>3</v>
      </c>
      <c r="AF278" s="3">
        <f t="shared" si="15"/>
        <v>581115</v>
      </c>
      <c r="AG278" s="3">
        <f t="shared" si="16"/>
        <v>4</v>
      </c>
      <c r="AH278" s="3">
        <f t="shared" si="17"/>
        <v>598224</v>
      </c>
      <c r="AI278" s="3" t="str">
        <f t="shared" si="18"/>
        <v/>
      </c>
      <c r="AJ278" s="3">
        <f t="shared" si="19"/>
        <v>0</v>
      </c>
    </row>
    <row r="279">
      <c r="C279" s="6" t="s">
        <v>279</v>
      </c>
      <c r="D279" s="3">
        <f t="shared" si="1"/>
        <v>0</v>
      </c>
      <c r="E279" s="3" t="str">
        <f>IFERROR(__xludf.DUMMYFUNCTION("REGEXEXTRACT(C279,""[^ ]* [^ ]*"")"),"plaid lavender")</f>
        <v>plaid lavender</v>
      </c>
      <c r="F279" s="3" t="str">
        <f>IFERROR(__xludf.DUMMYFUNCTION("MID(REGEXEXTRACT(C279,""contain.*$""),9,300)"),"1 drab white bag.")</f>
        <v>1 drab white bag.</v>
      </c>
      <c r="G279" s="3" t="str">
        <f>IFERROR(__xludf.DUMMYFUNCTION("INDEX(SPLIT($F279,"",""),COLUMN()-6)"),"1 drab white bag.")</f>
        <v>1 drab white bag.</v>
      </c>
      <c r="H279" s="3" t="str">
        <f>IFERROR(__xludf.DUMMYFUNCTION("MID(INDEX(SPLIT($F279,"",""),COLUMN()-6),2,300)"),"#REF!")</f>
        <v>#REF!</v>
      </c>
      <c r="I279" s="3" t="str">
        <f>IFERROR(__xludf.DUMMYFUNCTION("MID(INDEX(SPLIT($F279,"",""),COLUMN()-6),2,300)"),"#REF!")</f>
        <v>#REF!</v>
      </c>
      <c r="J279" s="3" t="str">
        <f>IFERROR(__xludf.DUMMYFUNCTION("MID(INDEX(SPLIT($F279,"",""),COLUMN()-6),2,300)"),"#REF!")</f>
        <v>#REF!</v>
      </c>
      <c r="K279" s="3">
        <f>IFERROR(__xludf.DUMMYFUNCTION("INDEX(SPLIT(G279,"" ""),1)"),1.0)</f>
        <v>1</v>
      </c>
      <c r="L279" s="3" t="str">
        <f>IFERROR(__xludf.DUMMYFUNCTION("REGEXEXTRACT(G279,"" [^ ]* [^ ]* "")")," drab white ")</f>
        <v> drab white </v>
      </c>
      <c r="M279" s="3" t="str">
        <f>IFERROR(__xludf.DUMMYFUNCTION("INDEX(SPLIT(H279,"" ""),1)"),"#REF!")</f>
        <v>#REF!</v>
      </c>
      <c r="N279" s="3" t="str">
        <f>IFERROR(__xludf.DUMMYFUNCTION("MID(REGEXEXTRACT(H279,"" [^ ]* [^ ]*""),2,300)"),"#REF!")</f>
        <v>#REF!</v>
      </c>
      <c r="O279" s="3" t="str">
        <f>IFERROR(__xludf.DUMMYFUNCTION("INDEX(SPLIT(I279,"" ""),1)"),"#REF!")</f>
        <v>#REF!</v>
      </c>
      <c r="P279" s="3" t="str">
        <f>IFERROR(__xludf.DUMMYFUNCTION("MID(REGEXEXTRACT(I279,"" [^ ]* [^ ]*""),2,300)"),"#REF!")</f>
        <v>#REF!</v>
      </c>
      <c r="Q279" s="3" t="str">
        <f>IFERROR(__xludf.DUMMYFUNCTION("INDEX(SPLIT(J279,"" ""),1)"),"#REF!")</f>
        <v>#REF!</v>
      </c>
      <c r="R279" s="3" t="str">
        <f>IFERROR(__xludf.DUMMYFUNCTION("MID(REGEXEXTRACT(J279,"" [^ ]* [^ ]*""),2,300)"),"#REF!")</f>
        <v>#REF!</v>
      </c>
      <c r="S279" s="3">
        <f t="shared" si="2"/>
        <v>1</v>
      </c>
      <c r="T279" s="3" t="str">
        <f t="shared" si="3"/>
        <v>drab white</v>
      </c>
      <c r="U279" s="3" t="str">
        <f t="shared" si="4"/>
        <v/>
      </c>
      <c r="V279" s="3" t="str">
        <f t="shared" si="5"/>
        <v/>
      </c>
      <c r="W279" s="3" t="str">
        <f t="shared" si="6"/>
        <v/>
      </c>
      <c r="X279" s="3" t="str">
        <f t="shared" si="7"/>
        <v/>
      </c>
      <c r="Y279" s="3" t="str">
        <f t="shared" si="8"/>
        <v/>
      </c>
      <c r="Z279" s="3" t="str">
        <f t="shared" si="9"/>
        <v/>
      </c>
      <c r="AA279" s="13">
        <f t="shared" si="10"/>
        <v>14962</v>
      </c>
      <c r="AB279" s="3">
        <f t="shared" si="11"/>
        <v>14961</v>
      </c>
      <c r="AC279" s="3">
        <f t="shared" si="12"/>
        <v>1</v>
      </c>
      <c r="AD279" s="3">
        <f t="shared" si="13"/>
        <v>14961</v>
      </c>
      <c r="AE279" s="3" t="str">
        <f t="shared" si="14"/>
        <v/>
      </c>
      <c r="AF279" s="3">
        <f t="shared" si="15"/>
        <v>0</v>
      </c>
      <c r="AG279" s="3" t="str">
        <f t="shared" si="16"/>
        <v/>
      </c>
      <c r="AH279" s="3">
        <f t="shared" si="17"/>
        <v>0</v>
      </c>
      <c r="AI279" s="3" t="str">
        <f t="shared" si="18"/>
        <v/>
      </c>
      <c r="AJ279" s="3">
        <f t="shared" si="19"/>
        <v>0</v>
      </c>
    </row>
    <row r="280">
      <c r="C280" s="6" t="s">
        <v>280</v>
      </c>
      <c r="D280" s="3">
        <f t="shared" si="1"/>
        <v>3</v>
      </c>
      <c r="E280" s="3" t="str">
        <f>IFERROR(__xludf.DUMMYFUNCTION("REGEXEXTRACT(C280,""[^ ]* [^ ]*"")"),"muted gold")</f>
        <v>muted gold</v>
      </c>
      <c r="F280" s="3" t="str">
        <f>IFERROR(__xludf.DUMMYFUNCTION("MID(REGEXEXTRACT(C280,""contain.*$""),9,300)"),"1 clear black bag, 2 light orange bags, 4 dotted red bags, 4 dull silver bags.")</f>
        <v>1 clear black bag, 2 light orange bags, 4 dotted red bags, 4 dull silver bags.</v>
      </c>
      <c r="G280" s="3" t="str">
        <f>IFERROR(__xludf.DUMMYFUNCTION("INDEX(SPLIT($F280,"",""),COLUMN()-6)"),"1 clear black bag")</f>
        <v>1 clear black bag</v>
      </c>
      <c r="H280" s="3" t="str">
        <f>IFERROR(__xludf.DUMMYFUNCTION("MID(INDEX(SPLIT($F280,"",""),COLUMN()-6),2,300)"),"2 light orange bags")</f>
        <v>2 light orange bags</v>
      </c>
      <c r="I280" s="3" t="str">
        <f>IFERROR(__xludf.DUMMYFUNCTION("MID(INDEX(SPLIT($F280,"",""),COLUMN()-6),2,300)"),"4 dotted red bags")</f>
        <v>4 dotted red bags</v>
      </c>
      <c r="J280" s="3" t="str">
        <f>IFERROR(__xludf.DUMMYFUNCTION("MID(INDEX(SPLIT($F280,"",""),COLUMN()-6),2,300)"),"4 dull silver bags.")</f>
        <v>4 dull silver bags.</v>
      </c>
      <c r="K280" s="3">
        <f>IFERROR(__xludf.DUMMYFUNCTION("INDEX(SPLIT(G280,"" ""),1)"),1.0)</f>
        <v>1</v>
      </c>
      <c r="L280" s="3" t="str">
        <f>IFERROR(__xludf.DUMMYFUNCTION("REGEXEXTRACT(G280,"" [^ ]* [^ ]* "")")," clear black ")</f>
        <v> clear black </v>
      </c>
      <c r="M280" s="3">
        <f>IFERROR(__xludf.DUMMYFUNCTION("INDEX(SPLIT(H280,"" ""),1)"),2.0)</f>
        <v>2</v>
      </c>
      <c r="N280" s="3" t="str">
        <f>IFERROR(__xludf.DUMMYFUNCTION("MID(REGEXEXTRACT(H280,"" [^ ]* [^ ]*""),2,300)"),"light orange")</f>
        <v>light orange</v>
      </c>
      <c r="O280" s="3">
        <f>IFERROR(__xludf.DUMMYFUNCTION("INDEX(SPLIT(I280,"" ""),1)"),4.0)</f>
        <v>4</v>
      </c>
      <c r="P280" s="3" t="str">
        <f>IFERROR(__xludf.DUMMYFUNCTION("MID(REGEXEXTRACT(I280,"" [^ ]* [^ ]*""),2,300)"),"dotted red")</f>
        <v>dotted red</v>
      </c>
      <c r="Q280" s="3">
        <f>IFERROR(__xludf.DUMMYFUNCTION("INDEX(SPLIT(J280,"" ""),1)"),4.0)</f>
        <v>4</v>
      </c>
      <c r="R280" s="3" t="str">
        <f>IFERROR(__xludf.DUMMYFUNCTION("MID(REGEXEXTRACT(J280,"" [^ ]* [^ ]*""),2,300)"),"dull silver")</f>
        <v>dull silver</v>
      </c>
      <c r="S280" s="3">
        <f t="shared" si="2"/>
        <v>1</v>
      </c>
      <c r="T280" s="3" t="str">
        <f t="shared" si="3"/>
        <v>clear black</v>
      </c>
      <c r="U280" s="3">
        <f t="shared" si="4"/>
        <v>2</v>
      </c>
      <c r="V280" s="3" t="str">
        <f t="shared" si="5"/>
        <v>light orange</v>
      </c>
      <c r="W280" s="3">
        <f t="shared" si="6"/>
        <v>4</v>
      </c>
      <c r="X280" s="3" t="str">
        <f t="shared" si="7"/>
        <v>dotted red</v>
      </c>
      <c r="Y280" s="3">
        <f t="shared" si="8"/>
        <v>4</v>
      </c>
      <c r="Z280" s="3" t="str">
        <f t="shared" si="9"/>
        <v>dull silver</v>
      </c>
      <c r="AA280" s="13">
        <f t="shared" si="10"/>
        <v>5405600651</v>
      </c>
      <c r="AB280" s="3">
        <f t="shared" si="11"/>
        <v>5405600650</v>
      </c>
      <c r="AC280" s="3">
        <f t="shared" si="12"/>
        <v>1</v>
      </c>
      <c r="AD280" s="3">
        <f t="shared" si="13"/>
        <v>12</v>
      </c>
      <c r="AE280" s="3">
        <f t="shared" si="14"/>
        <v>2</v>
      </c>
      <c r="AF280" s="3">
        <f t="shared" si="15"/>
        <v>4507599</v>
      </c>
      <c r="AG280" s="3">
        <f t="shared" si="16"/>
        <v>4</v>
      </c>
      <c r="AH280" s="3">
        <f t="shared" si="17"/>
        <v>1244051275</v>
      </c>
      <c r="AI280" s="3">
        <f t="shared" si="18"/>
        <v>4</v>
      </c>
      <c r="AJ280" s="3">
        <f t="shared" si="19"/>
        <v>105095085</v>
      </c>
    </row>
    <row r="281">
      <c r="C281" s="6" t="s">
        <v>281</v>
      </c>
      <c r="D281" s="3">
        <f t="shared" si="1"/>
        <v>0</v>
      </c>
      <c r="E281" s="3" t="str">
        <f>IFERROR(__xludf.DUMMYFUNCTION("REGEXEXTRACT(C281,""[^ ]* [^ ]*"")"),"faded bronze")</f>
        <v>faded bronze</v>
      </c>
      <c r="F281" s="3" t="str">
        <f>IFERROR(__xludf.DUMMYFUNCTION("MID(REGEXEXTRACT(C281,""contain.*$""),9,300)"),"4 posh plum bags.")</f>
        <v>4 posh plum bags.</v>
      </c>
      <c r="G281" s="3" t="str">
        <f>IFERROR(__xludf.DUMMYFUNCTION("INDEX(SPLIT($F281,"",""),COLUMN()-6)"),"4 posh plum bags.")</f>
        <v>4 posh plum bags.</v>
      </c>
      <c r="H281" s="3" t="str">
        <f>IFERROR(__xludf.DUMMYFUNCTION("MID(INDEX(SPLIT($F281,"",""),COLUMN()-6),2,300)"),"#REF!")</f>
        <v>#REF!</v>
      </c>
      <c r="I281" s="3" t="str">
        <f>IFERROR(__xludf.DUMMYFUNCTION("MID(INDEX(SPLIT($F281,"",""),COLUMN()-6),2,300)"),"#REF!")</f>
        <v>#REF!</v>
      </c>
      <c r="J281" s="3" t="str">
        <f>IFERROR(__xludf.DUMMYFUNCTION("MID(INDEX(SPLIT($F281,"",""),COLUMN()-6),2,300)"),"#REF!")</f>
        <v>#REF!</v>
      </c>
      <c r="K281" s="3">
        <f>IFERROR(__xludf.DUMMYFUNCTION("INDEX(SPLIT(G281,"" ""),1)"),4.0)</f>
        <v>4</v>
      </c>
      <c r="L281" s="3" t="str">
        <f>IFERROR(__xludf.DUMMYFUNCTION("REGEXEXTRACT(G281,"" [^ ]* [^ ]* "")")," posh plum ")</f>
        <v> posh plum </v>
      </c>
      <c r="M281" s="3" t="str">
        <f>IFERROR(__xludf.DUMMYFUNCTION("INDEX(SPLIT(H281,"" ""),1)"),"#REF!")</f>
        <v>#REF!</v>
      </c>
      <c r="N281" s="3" t="str">
        <f>IFERROR(__xludf.DUMMYFUNCTION("MID(REGEXEXTRACT(H281,"" [^ ]* [^ ]*""),2,300)"),"#REF!")</f>
        <v>#REF!</v>
      </c>
      <c r="O281" s="3" t="str">
        <f>IFERROR(__xludf.DUMMYFUNCTION("INDEX(SPLIT(I281,"" ""),1)"),"#REF!")</f>
        <v>#REF!</v>
      </c>
      <c r="P281" s="3" t="str">
        <f>IFERROR(__xludf.DUMMYFUNCTION("MID(REGEXEXTRACT(I281,"" [^ ]* [^ ]*""),2,300)"),"#REF!")</f>
        <v>#REF!</v>
      </c>
      <c r="Q281" s="3" t="str">
        <f>IFERROR(__xludf.DUMMYFUNCTION("INDEX(SPLIT(J281,"" ""),1)"),"#REF!")</f>
        <v>#REF!</v>
      </c>
      <c r="R281" s="3" t="str">
        <f>IFERROR(__xludf.DUMMYFUNCTION("MID(REGEXEXTRACT(J281,"" [^ ]* [^ ]*""),2,300)"),"#REF!")</f>
        <v>#REF!</v>
      </c>
      <c r="S281" s="3">
        <f t="shared" si="2"/>
        <v>4</v>
      </c>
      <c r="T281" s="3" t="str">
        <f t="shared" si="3"/>
        <v>posh plum</v>
      </c>
      <c r="U281" s="3" t="str">
        <f t="shared" si="4"/>
        <v/>
      </c>
      <c r="V281" s="3" t="str">
        <f t="shared" si="5"/>
        <v/>
      </c>
      <c r="W281" s="3" t="str">
        <f t="shared" si="6"/>
        <v/>
      </c>
      <c r="X281" s="3" t="str">
        <f t="shared" si="7"/>
        <v/>
      </c>
      <c r="Y281" s="3" t="str">
        <f t="shared" si="8"/>
        <v/>
      </c>
      <c r="Z281" s="3" t="str">
        <f t="shared" si="9"/>
        <v/>
      </c>
      <c r="AA281" s="13">
        <f t="shared" si="10"/>
        <v>24729</v>
      </c>
      <c r="AB281" s="3">
        <f t="shared" si="11"/>
        <v>24728</v>
      </c>
      <c r="AC281" s="3">
        <f t="shared" si="12"/>
        <v>4</v>
      </c>
      <c r="AD281" s="3">
        <f t="shared" si="13"/>
        <v>6182</v>
      </c>
      <c r="AE281" s="3" t="str">
        <f t="shared" si="14"/>
        <v/>
      </c>
      <c r="AF281" s="3">
        <f t="shared" si="15"/>
        <v>0</v>
      </c>
      <c r="AG281" s="3" t="str">
        <f t="shared" si="16"/>
        <v/>
      </c>
      <c r="AH281" s="3">
        <f t="shared" si="17"/>
        <v>0</v>
      </c>
      <c r="AI281" s="3" t="str">
        <f t="shared" si="18"/>
        <v/>
      </c>
      <c r="AJ281" s="3">
        <f t="shared" si="19"/>
        <v>0</v>
      </c>
    </row>
    <row r="282">
      <c r="C282" s="6" t="s">
        <v>282</v>
      </c>
      <c r="D282" s="3">
        <f t="shared" si="1"/>
        <v>2</v>
      </c>
      <c r="E282" s="3" t="str">
        <f>IFERROR(__xludf.DUMMYFUNCTION("REGEXEXTRACT(C282,""[^ ]* [^ ]*"")"),"clear turquoise")</f>
        <v>clear turquoise</v>
      </c>
      <c r="F282" s="3" t="str">
        <f>IFERROR(__xludf.DUMMYFUNCTION("MID(REGEXEXTRACT(C282,""contain.*$""),9,300)"),"1 light gold bag, 1 clear beige bag, 2 striped chartreuse bags.")</f>
        <v>1 light gold bag, 1 clear beige bag, 2 striped chartreuse bags.</v>
      </c>
      <c r="G282" s="3" t="str">
        <f>IFERROR(__xludf.DUMMYFUNCTION("INDEX(SPLIT($F282,"",""),COLUMN()-6)"),"1 light gold bag")</f>
        <v>1 light gold bag</v>
      </c>
      <c r="H282" s="3" t="str">
        <f>IFERROR(__xludf.DUMMYFUNCTION("MID(INDEX(SPLIT($F282,"",""),COLUMN()-6),2,300)"),"1 clear beige bag")</f>
        <v>1 clear beige bag</v>
      </c>
      <c r="I282" s="3" t="str">
        <f>IFERROR(__xludf.DUMMYFUNCTION("MID(INDEX(SPLIT($F282,"",""),COLUMN()-6),2,300)"),"2 striped chartreuse bags.")</f>
        <v>2 striped chartreuse bags.</v>
      </c>
      <c r="J282" s="3" t="str">
        <f>IFERROR(__xludf.DUMMYFUNCTION("MID(INDEX(SPLIT($F282,"",""),COLUMN()-6),2,300)"),"#REF!")</f>
        <v>#REF!</v>
      </c>
      <c r="K282" s="3">
        <f>IFERROR(__xludf.DUMMYFUNCTION("INDEX(SPLIT(G282,"" ""),1)"),1.0)</f>
        <v>1</v>
      </c>
      <c r="L282" s="3" t="str">
        <f>IFERROR(__xludf.DUMMYFUNCTION("REGEXEXTRACT(G282,"" [^ ]* [^ ]* "")")," light gold ")</f>
        <v> light gold </v>
      </c>
      <c r="M282" s="3">
        <f>IFERROR(__xludf.DUMMYFUNCTION("INDEX(SPLIT(H282,"" ""),1)"),1.0)</f>
        <v>1</v>
      </c>
      <c r="N282" s="3" t="str">
        <f>IFERROR(__xludf.DUMMYFUNCTION("MID(REGEXEXTRACT(H282,"" [^ ]* [^ ]*""),2,300)"),"clear beige")</f>
        <v>clear beige</v>
      </c>
      <c r="O282" s="3">
        <f>IFERROR(__xludf.DUMMYFUNCTION("INDEX(SPLIT(I282,"" ""),1)"),2.0)</f>
        <v>2</v>
      </c>
      <c r="P282" s="3" t="str">
        <f>IFERROR(__xludf.DUMMYFUNCTION("MID(REGEXEXTRACT(I282,"" [^ ]* [^ ]*""),2,300)"),"striped chartreuse")</f>
        <v>striped chartreuse</v>
      </c>
      <c r="Q282" s="3" t="str">
        <f>IFERROR(__xludf.DUMMYFUNCTION("INDEX(SPLIT(J282,"" ""),1)"),"#REF!")</f>
        <v>#REF!</v>
      </c>
      <c r="R282" s="3" t="str">
        <f>IFERROR(__xludf.DUMMYFUNCTION("MID(REGEXEXTRACT(J282,"" [^ ]* [^ ]*""),2,300)"),"#REF!")</f>
        <v>#REF!</v>
      </c>
      <c r="S282" s="3">
        <f t="shared" si="2"/>
        <v>1</v>
      </c>
      <c r="T282" s="3" t="str">
        <f t="shared" si="3"/>
        <v>light gold</v>
      </c>
      <c r="U282" s="3">
        <f t="shared" si="4"/>
        <v>1</v>
      </c>
      <c r="V282" s="3" t="str">
        <f t="shared" si="5"/>
        <v>clear beige</v>
      </c>
      <c r="W282" s="3">
        <f t="shared" si="6"/>
        <v>2</v>
      </c>
      <c r="X282" s="3" t="str">
        <f t="shared" si="7"/>
        <v>striped chartreuse</v>
      </c>
      <c r="Y282" s="3" t="str">
        <f t="shared" si="8"/>
        <v/>
      </c>
      <c r="Z282" s="3" t="str">
        <f t="shared" si="9"/>
        <v/>
      </c>
      <c r="AA282" s="13">
        <f t="shared" si="10"/>
        <v>269888361</v>
      </c>
      <c r="AB282" s="3">
        <f t="shared" si="11"/>
        <v>269888360</v>
      </c>
      <c r="AC282" s="3">
        <f t="shared" si="12"/>
        <v>1</v>
      </c>
      <c r="AD282" s="3">
        <f t="shared" si="13"/>
        <v>112904201</v>
      </c>
      <c r="AE282" s="3">
        <f t="shared" si="14"/>
        <v>1</v>
      </c>
      <c r="AF282" s="3">
        <f t="shared" si="15"/>
        <v>156976053</v>
      </c>
      <c r="AG282" s="3">
        <f t="shared" si="16"/>
        <v>2</v>
      </c>
      <c r="AH282" s="3">
        <f t="shared" si="17"/>
        <v>4053</v>
      </c>
      <c r="AI282" s="3" t="str">
        <f t="shared" si="18"/>
        <v/>
      </c>
      <c r="AJ282" s="3">
        <f t="shared" si="19"/>
        <v>0</v>
      </c>
    </row>
    <row r="283">
      <c r="C283" s="6" t="s">
        <v>283</v>
      </c>
      <c r="D283" s="3">
        <f t="shared" si="1"/>
        <v>0</v>
      </c>
      <c r="E283" s="3" t="str">
        <f>IFERROR(__xludf.DUMMYFUNCTION("REGEXEXTRACT(C283,""[^ ]* [^ ]*"")"),"vibrant gray")</f>
        <v>vibrant gray</v>
      </c>
      <c r="F283" s="3" t="str">
        <f>IFERROR(__xludf.DUMMYFUNCTION("MID(REGEXEXTRACT(C283,""contain.*$""),9,300)"),"1 plaid white bag.")</f>
        <v>1 plaid white bag.</v>
      </c>
      <c r="G283" s="3" t="str">
        <f>IFERROR(__xludf.DUMMYFUNCTION("INDEX(SPLIT($F283,"",""),COLUMN()-6)"),"1 plaid white bag.")</f>
        <v>1 plaid white bag.</v>
      </c>
      <c r="H283" s="3" t="str">
        <f>IFERROR(__xludf.DUMMYFUNCTION("MID(INDEX(SPLIT($F283,"",""),COLUMN()-6),2,300)"),"#REF!")</f>
        <v>#REF!</v>
      </c>
      <c r="I283" s="3" t="str">
        <f>IFERROR(__xludf.DUMMYFUNCTION("MID(INDEX(SPLIT($F283,"",""),COLUMN()-6),2,300)"),"#REF!")</f>
        <v>#REF!</v>
      </c>
      <c r="J283" s="3" t="str">
        <f>IFERROR(__xludf.DUMMYFUNCTION("MID(INDEX(SPLIT($F283,"",""),COLUMN()-6),2,300)"),"#REF!")</f>
        <v>#REF!</v>
      </c>
      <c r="K283" s="3">
        <f>IFERROR(__xludf.DUMMYFUNCTION("INDEX(SPLIT(G283,"" ""),1)"),1.0)</f>
        <v>1</v>
      </c>
      <c r="L283" s="3" t="str">
        <f>IFERROR(__xludf.DUMMYFUNCTION("REGEXEXTRACT(G283,"" [^ ]* [^ ]* "")")," plaid white ")</f>
        <v> plaid white </v>
      </c>
      <c r="M283" s="3" t="str">
        <f>IFERROR(__xludf.DUMMYFUNCTION("INDEX(SPLIT(H283,"" ""),1)"),"#REF!")</f>
        <v>#REF!</v>
      </c>
      <c r="N283" s="3" t="str">
        <f>IFERROR(__xludf.DUMMYFUNCTION("MID(REGEXEXTRACT(H283,"" [^ ]* [^ ]*""),2,300)"),"#REF!")</f>
        <v>#REF!</v>
      </c>
      <c r="O283" s="3" t="str">
        <f>IFERROR(__xludf.DUMMYFUNCTION("INDEX(SPLIT(I283,"" ""),1)"),"#REF!")</f>
        <v>#REF!</v>
      </c>
      <c r="P283" s="3" t="str">
        <f>IFERROR(__xludf.DUMMYFUNCTION("MID(REGEXEXTRACT(I283,"" [^ ]* [^ ]*""),2,300)"),"#REF!")</f>
        <v>#REF!</v>
      </c>
      <c r="Q283" s="3" t="str">
        <f>IFERROR(__xludf.DUMMYFUNCTION("INDEX(SPLIT(J283,"" ""),1)"),"#REF!")</f>
        <v>#REF!</v>
      </c>
      <c r="R283" s="3" t="str">
        <f>IFERROR(__xludf.DUMMYFUNCTION("MID(REGEXEXTRACT(J283,"" [^ ]* [^ ]*""),2,300)"),"#REF!")</f>
        <v>#REF!</v>
      </c>
      <c r="S283" s="3">
        <f t="shared" si="2"/>
        <v>1</v>
      </c>
      <c r="T283" s="3" t="str">
        <f t="shared" si="3"/>
        <v>plaid white</v>
      </c>
      <c r="U283" s="3" t="str">
        <f t="shared" si="4"/>
        <v/>
      </c>
      <c r="V283" s="3" t="str">
        <f t="shared" si="5"/>
        <v/>
      </c>
      <c r="W283" s="3" t="str">
        <f t="shared" si="6"/>
        <v/>
      </c>
      <c r="X283" s="3" t="str">
        <f t="shared" si="7"/>
        <v/>
      </c>
      <c r="Y283" s="3" t="str">
        <f t="shared" si="8"/>
        <v/>
      </c>
      <c r="Z283" s="3" t="str">
        <f t="shared" si="9"/>
        <v/>
      </c>
      <c r="AA283" s="13">
        <f t="shared" si="10"/>
        <v>825738</v>
      </c>
      <c r="AB283" s="3">
        <f t="shared" si="11"/>
        <v>825737</v>
      </c>
      <c r="AC283" s="3">
        <f t="shared" si="12"/>
        <v>1</v>
      </c>
      <c r="AD283" s="3">
        <f t="shared" si="13"/>
        <v>825737</v>
      </c>
      <c r="AE283" s="3" t="str">
        <f t="shared" si="14"/>
        <v/>
      </c>
      <c r="AF283" s="3">
        <f t="shared" si="15"/>
        <v>0</v>
      </c>
      <c r="AG283" s="3" t="str">
        <f t="shared" si="16"/>
        <v/>
      </c>
      <c r="AH283" s="3">
        <f t="shared" si="17"/>
        <v>0</v>
      </c>
      <c r="AI283" s="3" t="str">
        <f t="shared" si="18"/>
        <v/>
      </c>
      <c r="AJ283" s="3">
        <f t="shared" si="19"/>
        <v>0</v>
      </c>
    </row>
    <row r="284">
      <c r="C284" s="6" t="s">
        <v>284</v>
      </c>
      <c r="D284" s="3">
        <f t="shared" si="1"/>
        <v>2</v>
      </c>
      <c r="E284" s="3" t="str">
        <f>IFERROR(__xludf.DUMMYFUNCTION("REGEXEXTRACT(C284,""[^ ]* [^ ]*"")"),"bright tan")</f>
        <v>bright tan</v>
      </c>
      <c r="F284" s="3" t="str">
        <f>IFERROR(__xludf.DUMMYFUNCTION("MID(REGEXEXTRACT(C284,""contain.*$""),9,300)"),"3 drab silver bags, 2 faded yellow bags, 2 bright green bags.")</f>
        <v>3 drab silver bags, 2 faded yellow bags, 2 bright green bags.</v>
      </c>
      <c r="G284" s="3" t="str">
        <f>IFERROR(__xludf.DUMMYFUNCTION("INDEX(SPLIT($F284,"",""),COLUMN()-6)"),"3 drab silver bags")</f>
        <v>3 drab silver bags</v>
      </c>
      <c r="H284" s="3" t="str">
        <f>IFERROR(__xludf.DUMMYFUNCTION("MID(INDEX(SPLIT($F284,"",""),COLUMN()-6),2,300)"),"2 faded yellow bags")</f>
        <v>2 faded yellow bags</v>
      </c>
      <c r="I284" s="3" t="str">
        <f>IFERROR(__xludf.DUMMYFUNCTION("MID(INDEX(SPLIT($F284,"",""),COLUMN()-6),2,300)"),"2 bright green bags.")</f>
        <v>2 bright green bags.</v>
      </c>
      <c r="J284" s="3" t="str">
        <f>IFERROR(__xludf.DUMMYFUNCTION("MID(INDEX(SPLIT($F284,"",""),COLUMN()-6),2,300)"),"#REF!")</f>
        <v>#REF!</v>
      </c>
      <c r="K284" s="3">
        <f>IFERROR(__xludf.DUMMYFUNCTION("INDEX(SPLIT(G284,"" ""),1)"),3.0)</f>
        <v>3</v>
      </c>
      <c r="L284" s="3" t="str">
        <f>IFERROR(__xludf.DUMMYFUNCTION("REGEXEXTRACT(G284,"" [^ ]* [^ ]* "")")," drab silver ")</f>
        <v> drab silver </v>
      </c>
      <c r="M284" s="3">
        <f>IFERROR(__xludf.DUMMYFUNCTION("INDEX(SPLIT(H284,"" ""),1)"),2.0)</f>
        <v>2</v>
      </c>
      <c r="N284" s="3" t="str">
        <f>IFERROR(__xludf.DUMMYFUNCTION("MID(REGEXEXTRACT(H284,"" [^ ]* [^ ]*""),2,300)"),"faded yellow")</f>
        <v>faded yellow</v>
      </c>
      <c r="O284" s="3">
        <f>IFERROR(__xludf.DUMMYFUNCTION("INDEX(SPLIT(I284,"" ""),1)"),2.0)</f>
        <v>2</v>
      </c>
      <c r="P284" s="3" t="str">
        <f>IFERROR(__xludf.DUMMYFUNCTION("MID(REGEXEXTRACT(I284,"" [^ ]* [^ ]*""),2,300)"),"bright green")</f>
        <v>bright green</v>
      </c>
      <c r="Q284" s="3" t="str">
        <f>IFERROR(__xludf.DUMMYFUNCTION("INDEX(SPLIT(J284,"" ""),1)"),"#REF!")</f>
        <v>#REF!</v>
      </c>
      <c r="R284" s="3" t="str">
        <f>IFERROR(__xludf.DUMMYFUNCTION("MID(REGEXEXTRACT(J284,"" [^ ]* [^ ]*""),2,300)"),"#REF!")</f>
        <v>#REF!</v>
      </c>
      <c r="S284" s="3">
        <f t="shared" si="2"/>
        <v>3</v>
      </c>
      <c r="T284" s="3" t="str">
        <f t="shared" si="3"/>
        <v>drab silver</v>
      </c>
      <c r="U284" s="3">
        <f t="shared" si="4"/>
        <v>2</v>
      </c>
      <c r="V284" s="3" t="str">
        <f t="shared" si="5"/>
        <v>faded yellow</v>
      </c>
      <c r="W284" s="3">
        <f t="shared" si="6"/>
        <v>2</v>
      </c>
      <c r="X284" s="3" t="str">
        <f t="shared" si="7"/>
        <v>bright green</v>
      </c>
      <c r="Y284" s="3" t="str">
        <f t="shared" si="8"/>
        <v/>
      </c>
      <c r="Z284" s="3" t="str">
        <f t="shared" si="9"/>
        <v/>
      </c>
      <c r="AA284" s="13">
        <f t="shared" si="10"/>
        <v>393586</v>
      </c>
      <c r="AB284" s="3">
        <f t="shared" si="11"/>
        <v>393585</v>
      </c>
      <c r="AC284" s="3">
        <f t="shared" si="12"/>
        <v>3</v>
      </c>
      <c r="AD284" s="3">
        <f t="shared" si="13"/>
        <v>7557</v>
      </c>
      <c r="AE284" s="3">
        <f t="shared" si="14"/>
        <v>2</v>
      </c>
      <c r="AF284" s="3">
        <f t="shared" si="15"/>
        <v>50963</v>
      </c>
      <c r="AG284" s="3">
        <f t="shared" si="16"/>
        <v>2</v>
      </c>
      <c r="AH284" s="3">
        <f t="shared" si="17"/>
        <v>134494</v>
      </c>
      <c r="AI284" s="3" t="str">
        <f t="shared" si="18"/>
        <v/>
      </c>
      <c r="AJ284" s="3">
        <f t="shared" si="19"/>
        <v>0</v>
      </c>
    </row>
    <row r="285">
      <c r="C285" s="6" t="s">
        <v>285</v>
      </c>
      <c r="D285" s="3">
        <f t="shared" si="1"/>
        <v>3</v>
      </c>
      <c r="E285" s="3" t="str">
        <f>IFERROR(__xludf.DUMMYFUNCTION("REGEXEXTRACT(C285,""[^ ]* [^ ]*"")"),"pale bronze")</f>
        <v>pale bronze</v>
      </c>
      <c r="F285" s="3" t="str">
        <f>IFERROR(__xludf.DUMMYFUNCTION("MID(REGEXEXTRACT(C285,""contain.*$""),9,300)"),"5 posh coral bags, 4 clear coral bags, 1 dotted orange bag, 4 wavy chartreuse bags.")</f>
        <v>5 posh coral bags, 4 clear coral bags, 1 dotted orange bag, 4 wavy chartreuse bags.</v>
      </c>
      <c r="G285" s="3" t="str">
        <f>IFERROR(__xludf.DUMMYFUNCTION("INDEX(SPLIT($F285,"",""),COLUMN()-6)"),"5 posh coral bags")</f>
        <v>5 posh coral bags</v>
      </c>
      <c r="H285" s="3" t="str">
        <f>IFERROR(__xludf.DUMMYFUNCTION("MID(INDEX(SPLIT($F285,"",""),COLUMN()-6),2,300)"),"4 clear coral bags")</f>
        <v>4 clear coral bags</v>
      </c>
      <c r="I285" s="3" t="str">
        <f>IFERROR(__xludf.DUMMYFUNCTION("MID(INDEX(SPLIT($F285,"",""),COLUMN()-6),2,300)"),"1 dotted orange bag")</f>
        <v>1 dotted orange bag</v>
      </c>
      <c r="J285" s="3" t="str">
        <f>IFERROR(__xludf.DUMMYFUNCTION("MID(INDEX(SPLIT($F285,"",""),COLUMN()-6),2,300)"),"4 wavy chartreuse bags.")</f>
        <v>4 wavy chartreuse bags.</v>
      </c>
      <c r="K285" s="3">
        <f>IFERROR(__xludf.DUMMYFUNCTION("INDEX(SPLIT(G285,"" ""),1)"),5.0)</f>
        <v>5</v>
      </c>
      <c r="L285" s="3" t="str">
        <f>IFERROR(__xludf.DUMMYFUNCTION("REGEXEXTRACT(G285,"" [^ ]* [^ ]* "")")," posh coral ")</f>
        <v> posh coral </v>
      </c>
      <c r="M285" s="3">
        <f>IFERROR(__xludf.DUMMYFUNCTION("INDEX(SPLIT(H285,"" ""),1)"),4.0)</f>
        <v>4</v>
      </c>
      <c r="N285" s="3" t="str">
        <f>IFERROR(__xludf.DUMMYFUNCTION("MID(REGEXEXTRACT(H285,"" [^ ]* [^ ]*""),2,300)"),"clear coral")</f>
        <v>clear coral</v>
      </c>
      <c r="O285" s="3">
        <f>IFERROR(__xludf.DUMMYFUNCTION("INDEX(SPLIT(I285,"" ""),1)"),1.0)</f>
        <v>1</v>
      </c>
      <c r="P285" s="3" t="str">
        <f>IFERROR(__xludf.DUMMYFUNCTION("MID(REGEXEXTRACT(I285,"" [^ ]* [^ ]*""),2,300)"),"dotted orange")</f>
        <v>dotted orange</v>
      </c>
      <c r="Q285" s="3">
        <f>IFERROR(__xludf.DUMMYFUNCTION("INDEX(SPLIT(J285,"" ""),1)"),4.0)</f>
        <v>4</v>
      </c>
      <c r="R285" s="3" t="str">
        <f>IFERROR(__xludf.DUMMYFUNCTION("MID(REGEXEXTRACT(J285,"" [^ ]* [^ ]*""),2,300)"),"wavy chartreuse")</f>
        <v>wavy chartreuse</v>
      </c>
      <c r="S285" s="3">
        <f t="shared" si="2"/>
        <v>5</v>
      </c>
      <c r="T285" s="3" t="str">
        <f t="shared" si="3"/>
        <v>posh coral</v>
      </c>
      <c r="U285" s="3">
        <f t="shared" si="4"/>
        <v>4</v>
      </c>
      <c r="V285" s="3" t="str">
        <f t="shared" si="5"/>
        <v>clear coral</v>
      </c>
      <c r="W285" s="3">
        <f t="shared" si="6"/>
        <v>1</v>
      </c>
      <c r="X285" s="3" t="str">
        <f t="shared" si="7"/>
        <v>dotted orange</v>
      </c>
      <c r="Y285" s="3">
        <f t="shared" si="8"/>
        <v>4</v>
      </c>
      <c r="Z285" s="3" t="str">
        <f t="shared" si="9"/>
        <v>wavy chartreuse</v>
      </c>
      <c r="AA285" s="13">
        <f t="shared" si="10"/>
        <v>1794</v>
      </c>
      <c r="AB285" s="3">
        <f t="shared" si="11"/>
        <v>1793</v>
      </c>
      <c r="AC285" s="3">
        <f t="shared" si="12"/>
        <v>5</v>
      </c>
      <c r="AD285" s="3">
        <f t="shared" si="13"/>
        <v>1</v>
      </c>
      <c r="AE285" s="3">
        <f t="shared" si="14"/>
        <v>4</v>
      </c>
      <c r="AF285" s="3">
        <f t="shared" si="15"/>
        <v>1</v>
      </c>
      <c r="AG285" s="3">
        <f t="shared" si="16"/>
        <v>1</v>
      </c>
      <c r="AH285" s="3">
        <f t="shared" si="17"/>
        <v>1780</v>
      </c>
      <c r="AI285" s="3">
        <f t="shared" si="18"/>
        <v>4</v>
      </c>
      <c r="AJ285" s="3">
        <f t="shared" si="19"/>
        <v>1</v>
      </c>
    </row>
    <row r="286">
      <c r="C286" s="6" t="s">
        <v>286</v>
      </c>
      <c r="D286" s="3">
        <f t="shared" si="1"/>
        <v>1</v>
      </c>
      <c r="E286" s="3" t="str">
        <f>IFERROR(__xludf.DUMMYFUNCTION("REGEXEXTRACT(C286,""[^ ]* [^ ]*"")"),"clear plum")</f>
        <v>clear plum</v>
      </c>
      <c r="F286" s="3" t="str">
        <f>IFERROR(__xludf.DUMMYFUNCTION("MID(REGEXEXTRACT(C286,""contain.*$""),9,300)"),"1 dim plum bag, 4 light gold bags.")</f>
        <v>1 dim plum bag, 4 light gold bags.</v>
      </c>
      <c r="G286" s="3" t="str">
        <f>IFERROR(__xludf.DUMMYFUNCTION("INDEX(SPLIT($F286,"",""),COLUMN()-6)"),"1 dim plum bag")</f>
        <v>1 dim plum bag</v>
      </c>
      <c r="H286" s="3" t="str">
        <f>IFERROR(__xludf.DUMMYFUNCTION("MID(INDEX(SPLIT($F286,"",""),COLUMN()-6),2,300)"),"4 light gold bags.")</f>
        <v>4 light gold bags.</v>
      </c>
      <c r="I286" s="3" t="str">
        <f>IFERROR(__xludf.DUMMYFUNCTION("MID(INDEX(SPLIT($F286,"",""),COLUMN()-6),2,300)"),"#REF!")</f>
        <v>#REF!</v>
      </c>
      <c r="J286" s="3" t="str">
        <f>IFERROR(__xludf.DUMMYFUNCTION("MID(INDEX(SPLIT($F286,"",""),COLUMN()-6),2,300)"),"#REF!")</f>
        <v>#REF!</v>
      </c>
      <c r="K286" s="3">
        <f>IFERROR(__xludf.DUMMYFUNCTION("INDEX(SPLIT(G286,"" ""),1)"),1.0)</f>
        <v>1</v>
      </c>
      <c r="L286" s="3" t="str">
        <f>IFERROR(__xludf.DUMMYFUNCTION("REGEXEXTRACT(G286,"" [^ ]* [^ ]* "")")," dim plum ")</f>
        <v> dim plum </v>
      </c>
      <c r="M286" s="3">
        <f>IFERROR(__xludf.DUMMYFUNCTION("INDEX(SPLIT(H286,"" ""),1)"),4.0)</f>
        <v>4</v>
      </c>
      <c r="N286" s="3" t="str">
        <f>IFERROR(__xludf.DUMMYFUNCTION("MID(REGEXEXTRACT(H286,"" [^ ]* [^ ]*""),2,300)"),"light gold")</f>
        <v>light gold</v>
      </c>
      <c r="O286" s="3" t="str">
        <f>IFERROR(__xludf.DUMMYFUNCTION("INDEX(SPLIT(I286,"" ""),1)"),"#REF!")</f>
        <v>#REF!</v>
      </c>
      <c r="P286" s="3" t="str">
        <f>IFERROR(__xludf.DUMMYFUNCTION("MID(REGEXEXTRACT(I286,"" [^ ]* [^ ]*""),2,300)"),"#REF!")</f>
        <v>#REF!</v>
      </c>
      <c r="Q286" s="3" t="str">
        <f>IFERROR(__xludf.DUMMYFUNCTION("INDEX(SPLIT(J286,"" ""),1)"),"#REF!")</f>
        <v>#REF!</v>
      </c>
      <c r="R286" s="3" t="str">
        <f>IFERROR(__xludf.DUMMYFUNCTION("MID(REGEXEXTRACT(J286,"" [^ ]* [^ ]*""),2,300)"),"#REF!")</f>
        <v>#REF!</v>
      </c>
      <c r="S286" s="3">
        <f t="shared" si="2"/>
        <v>1</v>
      </c>
      <c r="T286" s="3" t="str">
        <f t="shared" si="3"/>
        <v>dim plum</v>
      </c>
      <c r="U286" s="3">
        <f t="shared" si="4"/>
        <v>4</v>
      </c>
      <c r="V286" s="3" t="str">
        <f t="shared" si="5"/>
        <v>light gold</v>
      </c>
      <c r="W286" s="3" t="str">
        <f t="shared" si="6"/>
        <v/>
      </c>
      <c r="X286" s="3" t="str">
        <f t="shared" si="7"/>
        <v/>
      </c>
      <c r="Y286" s="3" t="str">
        <f t="shared" si="8"/>
        <v/>
      </c>
      <c r="Z286" s="3" t="str">
        <f t="shared" si="9"/>
        <v/>
      </c>
      <c r="AA286" s="13">
        <f t="shared" si="10"/>
        <v>808490630</v>
      </c>
      <c r="AB286" s="3">
        <f t="shared" si="11"/>
        <v>808490629</v>
      </c>
      <c r="AC286" s="3">
        <f t="shared" si="12"/>
        <v>1</v>
      </c>
      <c r="AD286" s="3">
        <f t="shared" si="13"/>
        <v>356873825</v>
      </c>
      <c r="AE286" s="3">
        <f t="shared" si="14"/>
        <v>4</v>
      </c>
      <c r="AF286" s="3">
        <f t="shared" si="15"/>
        <v>112904201</v>
      </c>
      <c r="AG286" s="3" t="str">
        <f t="shared" si="16"/>
        <v/>
      </c>
      <c r="AH286" s="3">
        <f t="shared" si="17"/>
        <v>0</v>
      </c>
      <c r="AI286" s="3" t="str">
        <f t="shared" si="18"/>
        <v/>
      </c>
      <c r="AJ286" s="3">
        <f t="shared" si="19"/>
        <v>0</v>
      </c>
    </row>
    <row r="287">
      <c r="C287" s="6" t="s">
        <v>287</v>
      </c>
      <c r="D287" s="3">
        <f t="shared" si="1"/>
        <v>1</v>
      </c>
      <c r="E287" s="3" t="str">
        <f>IFERROR(__xludf.DUMMYFUNCTION("REGEXEXTRACT(C287,""[^ ]* [^ ]*"")"),"posh turquoise")</f>
        <v>posh turquoise</v>
      </c>
      <c r="F287" s="3" t="str">
        <f>IFERROR(__xludf.DUMMYFUNCTION("MID(REGEXEXTRACT(C287,""contain.*$""),9,300)"),"3 wavy bronze bags, 4 shiny purple bags.")</f>
        <v>3 wavy bronze bags, 4 shiny purple bags.</v>
      </c>
      <c r="G287" s="3" t="str">
        <f>IFERROR(__xludf.DUMMYFUNCTION("INDEX(SPLIT($F287,"",""),COLUMN()-6)"),"3 wavy bronze bags")</f>
        <v>3 wavy bronze bags</v>
      </c>
      <c r="H287" s="3" t="str">
        <f>IFERROR(__xludf.DUMMYFUNCTION("MID(INDEX(SPLIT($F287,"",""),COLUMN()-6),2,300)"),"4 shiny purple bags.")</f>
        <v>4 shiny purple bags.</v>
      </c>
      <c r="I287" s="3" t="str">
        <f>IFERROR(__xludf.DUMMYFUNCTION("MID(INDEX(SPLIT($F287,"",""),COLUMN()-6),2,300)"),"#REF!")</f>
        <v>#REF!</v>
      </c>
      <c r="J287" s="3" t="str">
        <f>IFERROR(__xludf.DUMMYFUNCTION("MID(INDEX(SPLIT($F287,"",""),COLUMN()-6),2,300)"),"#REF!")</f>
        <v>#REF!</v>
      </c>
      <c r="K287" s="3">
        <f>IFERROR(__xludf.DUMMYFUNCTION("INDEX(SPLIT(G287,"" ""),1)"),3.0)</f>
        <v>3</v>
      </c>
      <c r="L287" s="3" t="str">
        <f>IFERROR(__xludf.DUMMYFUNCTION("REGEXEXTRACT(G287,"" [^ ]* [^ ]* "")")," wavy bronze ")</f>
        <v> wavy bronze </v>
      </c>
      <c r="M287" s="3">
        <f>IFERROR(__xludf.DUMMYFUNCTION("INDEX(SPLIT(H287,"" ""),1)"),4.0)</f>
        <v>4</v>
      </c>
      <c r="N287" s="3" t="str">
        <f>IFERROR(__xludf.DUMMYFUNCTION("MID(REGEXEXTRACT(H287,"" [^ ]* [^ ]*""),2,300)"),"shiny purple")</f>
        <v>shiny purple</v>
      </c>
      <c r="O287" s="3" t="str">
        <f>IFERROR(__xludf.DUMMYFUNCTION("INDEX(SPLIT(I287,"" ""),1)"),"#REF!")</f>
        <v>#REF!</v>
      </c>
      <c r="P287" s="3" t="str">
        <f>IFERROR(__xludf.DUMMYFUNCTION("MID(REGEXEXTRACT(I287,"" [^ ]* [^ ]*""),2,300)"),"#REF!")</f>
        <v>#REF!</v>
      </c>
      <c r="Q287" s="3" t="str">
        <f>IFERROR(__xludf.DUMMYFUNCTION("INDEX(SPLIT(J287,"" ""),1)"),"#REF!")</f>
        <v>#REF!</v>
      </c>
      <c r="R287" s="3" t="str">
        <f>IFERROR(__xludf.DUMMYFUNCTION("MID(REGEXEXTRACT(J287,"" [^ ]* [^ ]*""),2,300)"),"#REF!")</f>
        <v>#REF!</v>
      </c>
      <c r="S287" s="3">
        <f t="shared" si="2"/>
        <v>3</v>
      </c>
      <c r="T287" s="3" t="str">
        <f t="shared" si="3"/>
        <v>wavy bronze</v>
      </c>
      <c r="U287" s="3">
        <f t="shared" si="4"/>
        <v>4</v>
      </c>
      <c r="V287" s="3" t="str">
        <f t="shared" si="5"/>
        <v>shiny purple</v>
      </c>
      <c r="W287" s="3" t="str">
        <f t="shared" si="6"/>
        <v/>
      </c>
      <c r="X287" s="3" t="str">
        <f t="shared" si="7"/>
        <v/>
      </c>
      <c r="Y287" s="3" t="str">
        <f t="shared" si="8"/>
        <v/>
      </c>
      <c r="Z287" s="3" t="str">
        <f t="shared" si="9"/>
        <v/>
      </c>
      <c r="AA287" s="13">
        <f t="shared" si="10"/>
        <v>35458689</v>
      </c>
      <c r="AB287" s="3">
        <f t="shared" si="11"/>
        <v>35458688</v>
      </c>
      <c r="AC287" s="3">
        <f t="shared" si="12"/>
        <v>3</v>
      </c>
      <c r="AD287" s="3">
        <f t="shared" si="13"/>
        <v>795360</v>
      </c>
      <c r="AE287" s="3">
        <f t="shared" si="14"/>
        <v>4</v>
      </c>
      <c r="AF287" s="3">
        <f t="shared" si="15"/>
        <v>8268152</v>
      </c>
      <c r="AG287" s="3" t="str">
        <f t="shared" si="16"/>
        <v/>
      </c>
      <c r="AH287" s="3">
        <f t="shared" si="17"/>
        <v>0</v>
      </c>
      <c r="AI287" s="3" t="str">
        <f t="shared" si="18"/>
        <v/>
      </c>
      <c r="AJ287" s="3">
        <f t="shared" si="19"/>
        <v>0</v>
      </c>
    </row>
    <row r="288">
      <c r="C288" s="6" t="s">
        <v>288</v>
      </c>
      <c r="D288" s="3">
        <f t="shared" si="1"/>
        <v>3</v>
      </c>
      <c r="E288" s="3" t="str">
        <f>IFERROR(__xludf.DUMMYFUNCTION("REGEXEXTRACT(C288,""[^ ]* [^ ]*"")"),"posh teal")</f>
        <v>posh teal</v>
      </c>
      <c r="F288" s="3" t="str">
        <f>IFERROR(__xludf.DUMMYFUNCTION("MID(REGEXEXTRACT(C288,""contain.*$""),9,300)"),"2 striped magenta bags, 3 dark magenta bags, 5 faded silver bags, 5 mirrored chartreuse bags.")</f>
        <v>2 striped magenta bags, 3 dark magenta bags, 5 faded silver bags, 5 mirrored chartreuse bags.</v>
      </c>
      <c r="G288" s="3" t="str">
        <f>IFERROR(__xludf.DUMMYFUNCTION("INDEX(SPLIT($F288,"",""),COLUMN()-6)"),"2 striped magenta bags")</f>
        <v>2 striped magenta bags</v>
      </c>
      <c r="H288" s="3" t="str">
        <f>IFERROR(__xludf.DUMMYFUNCTION("MID(INDEX(SPLIT($F288,"",""),COLUMN()-6),2,300)"),"3 dark magenta bags")</f>
        <v>3 dark magenta bags</v>
      </c>
      <c r="I288" s="3" t="str">
        <f>IFERROR(__xludf.DUMMYFUNCTION("MID(INDEX(SPLIT($F288,"",""),COLUMN()-6),2,300)"),"5 faded silver bags")</f>
        <v>5 faded silver bags</v>
      </c>
      <c r="J288" s="3" t="str">
        <f>IFERROR(__xludf.DUMMYFUNCTION("MID(INDEX(SPLIT($F288,"",""),COLUMN()-6),2,300)"),"5 mirrored chartreuse bags.")</f>
        <v>5 mirrored chartreuse bags.</v>
      </c>
      <c r="K288" s="3">
        <f>IFERROR(__xludf.DUMMYFUNCTION("INDEX(SPLIT(G288,"" ""),1)"),2.0)</f>
        <v>2</v>
      </c>
      <c r="L288" s="3" t="str">
        <f>IFERROR(__xludf.DUMMYFUNCTION("REGEXEXTRACT(G288,"" [^ ]* [^ ]* "")")," striped magenta ")</f>
        <v> striped magenta </v>
      </c>
      <c r="M288" s="3">
        <f>IFERROR(__xludf.DUMMYFUNCTION("INDEX(SPLIT(H288,"" ""),1)"),3.0)</f>
        <v>3</v>
      </c>
      <c r="N288" s="3" t="str">
        <f>IFERROR(__xludf.DUMMYFUNCTION("MID(REGEXEXTRACT(H288,"" [^ ]* [^ ]*""),2,300)"),"dark magenta")</f>
        <v>dark magenta</v>
      </c>
      <c r="O288" s="3">
        <f>IFERROR(__xludf.DUMMYFUNCTION("INDEX(SPLIT(I288,"" ""),1)"),5.0)</f>
        <v>5</v>
      </c>
      <c r="P288" s="3" t="str">
        <f>IFERROR(__xludf.DUMMYFUNCTION("MID(REGEXEXTRACT(I288,"" [^ ]* [^ ]*""),2,300)"),"faded silver")</f>
        <v>faded silver</v>
      </c>
      <c r="Q288" s="3">
        <f>IFERROR(__xludf.DUMMYFUNCTION("INDEX(SPLIT(J288,"" ""),1)"),5.0)</f>
        <v>5</v>
      </c>
      <c r="R288" s="3" t="str">
        <f>IFERROR(__xludf.DUMMYFUNCTION("MID(REGEXEXTRACT(J288,"" [^ ]* [^ ]*""),2,300)"),"mirrored chartreuse")</f>
        <v>mirrored chartreuse</v>
      </c>
      <c r="S288" s="3">
        <f t="shared" si="2"/>
        <v>2</v>
      </c>
      <c r="T288" s="3" t="str">
        <f t="shared" si="3"/>
        <v>striped magenta</v>
      </c>
      <c r="U288" s="3">
        <f t="shared" si="4"/>
        <v>3</v>
      </c>
      <c r="V288" s="3" t="str">
        <f t="shared" si="5"/>
        <v>dark magenta</v>
      </c>
      <c r="W288" s="3">
        <f t="shared" si="6"/>
        <v>5</v>
      </c>
      <c r="X288" s="3" t="str">
        <f t="shared" si="7"/>
        <v>faded silver</v>
      </c>
      <c r="Y288" s="3">
        <f t="shared" si="8"/>
        <v>5</v>
      </c>
      <c r="Z288" s="3" t="str">
        <f t="shared" si="9"/>
        <v>mirrored chartreuse</v>
      </c>
      <c r="AA288" s="13">
        <f t="shared" si="10"/>
        <v>701550841</v>
      </c>
      <c r="AB288" s="3">
        <f t="shared" si="11"/>
        <v>701550840</v>
      </c>
      <c r="AC288" s="3">
        <f t="shared" si="12"/>
        <v>2</v>
      </c>
      <c r="AD288" s="3">
        <f t="shared" si="13"/>
        <v>140015</v>
      </c>
      <c r="AE288" s="3">
        <f t="shared" si="14"/>
        <v>3</v>
      </c>
      <c r="AF288" s="3">
        <f t="shared" si="15"/>
        <v>229206490</v>
      </c>
      <c r="AG288" s="3">
        <f t="shared" si="16"/>
        <v>5</v>
      </c>
      <c r="AH288" s="3">
        <f t="shared" si="17"/>
        <v>2729963</v>
      </c>
      <c r="AI288" s="3">
        <f t="shared" si="18"/>
        <v>5</v>
      </c>
      <c r="AJ288" s="3">
        <f t="shared" si="19"/>
        <v>305</v>
      </c>
    </row>
    <row r="289">
      <c r="C289" s="6" t="s">
        <v>289</v>
      </c>
      <c r="D289" s="3">
        <f t="shared" si="1"/>
        <v>1</v>
      </c>
      <c r="E289" s="3" t="str">
        <f>IFERROR(__xludf.DUMMYFUNCTION("REGEXEXTRACT(C289,""[^ ]* [^ ]*"")"),"dim yellow")</f>
        <v>dim yellow</v>
      </c>
      <c r="F289" s="3" t="str">
        <f>IFERROR(__xludf.DUMMYFUNCTION("MID(REGEXEXTRACT(C289,""contain.*$""),9,300)"),"4 pale bronze bags, 3 shiny tan bags.")</f>
        <v>4 pale bronze bags, 3 shiny tan bags.</v>
      </c>
      <c r="G289" s="3" t="str">
        <f>IFERROR(__xludf.DUMMYFUNCTION("INDEX(SPLIT($F289,"",""),COLUMN()-6)"),"4 pale bronze bags")</f>
        <v>4 pale bronze bags</v>
      </c>
      <c r="H289" s="3" t="str">
        <f>IFERROR(__xludf.DUMMYFUNCTION("MID(INDEX(SPLIT($F289,"",""),COLUMN()-6),2,300)"),"3 shiny tan bags.")</f>
        <v>3 shiny tan bags.</v>
      </c>
      <c r="I289" s="3" t="str">
        <f>IFERROR(__xludf.DUMMYFUNCTION("MID(INDEX(SPLIT($F289,"",""),COLUMN()-6),2,300)"),"#REF!")</f>
        <v>#REF!</v>
      </c>
      <c r="J289" s="3" t="str">
        <f>IFERROR(__xludf.DUMMYFUNCTION("MID(INDEX(SPLIT($F289,"",""),COLUMN()-6),2,300)"),"#REF!")</f>
        <v>#REF!</v>
      </c>
      <c r="K289" s="3">
        <f>IFERROR(__xludf.DUMMYFUNCTION("INDEX(SPLIT(G289,"" ""),1)"),4.0)</f>
        <v>4</v>
      </c>
      <c r="L289" s="3" t="str">
        <f>IFERROR(__xludf.DUMMYFUNCTION("REGEXEXTRACT(G289,"" [^ ]* [^ ]* "")")," pale bronze ")</f>
        <v> pale bronze </v>
      </c>
      <c r="M289" s="3">
        <f>IFERROR(__xludf.DUMMYFUNCTION("INDEX(SPLIT(H289,"" ""),1)"),3.0)</f>
        <v>3</v>
      </c>
      <c r="N289" s="3" t="str">
        <f>IFERROR(__xludf.DUMMYFUNCTION("MID(REGEXEXTRACT(H289,"" [^ ]* [^ ]*""),2,300)"),"shiny tan")</f>
        <v>shiny tan</v>
      </c>
      <c r="O289" s="3" t="str">
        <f>IFERROR(__xludf.DUMMYFUNCTION("INDEX(SPLIT(I289,"" ""),1)"),"#REF!")</f>
        <v>#REF!</v>
      </c>
      <c r="P289" s="3" t="str">
        <f>IFERROR(__xludf.DUMMYFUNCTION("MID(REGEXEXTRACT(I289,"" [^ ]* [^ ]*""),2,300)"),"#REF!")</f>
        <v>#REF!</v>
      </c>
      <c r="Q289" s="3" t="str">
        <f>IFERROR(__xludf.DUMMYFUNCTION("INDEX(SPLIT(J289,"" ""),1)"),"#REF!")</f>
        <v>#REF!</v>
      </c>
      <c r="R289" s="3" t="str">
        <f>IFERROR(__xludf.DUMMYFUNCTION("MID(REGEXEXTRACT(J289,"" [^ ]* [^ ]*""),2,300)"),"#REF!")</f>
        <v>#REF!</v>
      </c>
      <c r="S289" s="3">
        <f t="shared" si="2"/>
        <v>4</v>
      </c>
      <c r="T289" s="3" t="str">
        <f t="shared" si="3"/>
        <v>pale bronze</v>
      </c>
      <c r="U289" s="3">
        <f t="shared" si="4"/>
        <v>3</v>
      </c>
      <c r="V289" s="3" t="str">
        <f t="shared" si="5"/>
        <v>shiny tan</v>
      </c>
      <c r="W289" s="3" t="str">
        <f t="shared" si="6"/>
        <v/>
      </c>
      <c r="X289" s="3" t="str">
        <f t="shared" si="7"/>
        <v/>
      </c>
      <c r="Y289" s="3" t="str">
        <f t="shared" si="8"/>
        <v/>
      </c>
      <c r="Z289" s="3" t="str">
        <f t="shared" si="9"/>
        <v/>
      </c>
      <c r="AA289" s="13">
        <f t="shared" si="10"/>
        <v>216745</v>
      </c>
      <c r="AB289" s="3">
        <f t="shared" si="11"/>
        <v>216744</v>
      </c>
      <c r="AC289" s="3">
        <f t="shared" si="12"/>
        <v>4</v>
      </c>
      <c r="AD289" s="3">
        <f t="shared" si="13"/>
        <v>1794</v>
      </c>
      <c r="AE289" s="3">
        <f t="shared" si="14"/>
        <v>3</v>
      </c>
      <c r="AF289" s="3">
        <f t="shared" si="15"/>
        <v>69856</v>
      </c>
      <c r="AG289" s="3" t="str">
        <f t="shared" si="16"/>
        <v/>
      </c>
      <c r="AH289" s="3">
        <f t="shared" si="17"/>
        <v>0</v>
      </c>
      <c r="AI289" s="3" t="str">
        <f t="shared" si="18"/>
        <v/>
      </c>
      <c r="AJ289" s="3">
        <f t="shared" si="19"/>
        <v>0</v>
      </c>
    </row>
    <row r="290">
      <c r="C290" s="6" t="s">
        <v>290</v>
      </c>
      <c r="D290" s="3">
        <f t="shared" si="1"/>
        <v>1</v>
      </c>
      <c r="E290" s="3" t="str">
        <f>IFERROR(__xludf.DUMMYFUNCTION("REGEXEXTRACT(C290,""[^ ]* [^ ]*"")"),"faded lavender")</f>
        <v>faded lavender</v>
      </c>
      <c r="F290" s="3" t="str">
        <f>IFERROR(__xludf.DUMMYFUNCTION("MID(REGEXEXTRACT(C290,""contain.*$""),9,300)"),"3 dull white bags, 3 striped teal bags.")</f>
        <v>3 dull white bags, 3 striped teal bags.</v>
      </c>
      <c r="G290" s="3" t="str">
        <f>IFERROR(__xludf.DUMMYFUNCTION("INDEX(SPLIT($F290,"",""),COLUMN()-6)"),"3 dull white bags")</f>
        <v>3 dull white bags</v>
      </c>
      <c r="H290" s="3" t="str">
        <f>IFERROR(__xludf.DUMMYFUNCTION("MID(INDEX(SPLIT($F290,"",""),COLUMN()-6),2,300)"),"3 striped teal bags.")</f>
        <v>3 striped teal bags.</v>
      </c>
      <c r="I290" s="3" t="str">
        <f>IFERROR(__xludf.DUMMYFUNCTION("MID(INDEX(SPLIT($F290,"",""),COLUMN()-6),2,300)"),"#REF!")</f>
        <v>#REF!</v>
      </c>
      <c r="J290" s="3" t="str">
        <f>IFERROR(__xludf.DUMMYFUNCTION("MID(INDEX(SPLIT($F290,"",""),COLUMN()-6),2,300)"),"#REF!")</f>
        <v>#REF!</v>
      </c>
      <c r="K290" s="3">
        <f>IFERROR(__xludf.DUMMYFUNCTION("INDEX(SPLIT(G290,"" ""),1)"),3.0)</f>
        <v>3</v>
      </c>
      <c r="L290" s="3" t="str">
        <f>IFERROR(__xludf.DUMMYFUNCTION("REGEXEXTRACT(G290,"" [^ ]* [^ ]* "")")," dull white ")</f>
        <v> dull white </v>
      </c>
      <c r="M290" s="3">
        <f>IFERROR(__xludf.DUMMYFUNCTION("INDEX(SPLIT(H290,"" ""),1)"),3.0)</f>
        <v>3</v>
      </c>
      <c r="N290" s="3" t="str">
        <f>IFERROR(__xludf.DUMMYFUNCTION("MID(REGEXEXTRACT(H290,"" [^ ]* [^ ]*""),2,300)"),"striped teal")</f>
        <v>striped teal</v>
      </c>
      <c r="O290" s="3" t="str">
        <f>IFERROR(__xludf.DUMMYFUNCTION("INDEX(SPLIT(I290,"" ""),1)"),"#REF!")</f>
        <v>#REF!</v>
      </c>
      <c r="P290" s="3" t="str">
        <f>IFERROR(__xludf.DUMMYFUNCTION("MID(REGEXEXTRACT(I290,"" [^ ]* [^ ]*""),2,300)"),"#REF!")</f>
        <v>#REF!</v>
      </c>
      <c r="Q290" s="3" t="str">
        <f>IFERROR(__xludf.DUMMYFUNCTION("INDEX(SPLIT(J290,"" ""),1)"),"#REF!")</f>
        <v>#REF!</v>
      </c>
      <c r="R290" s="3" t="str">
        <f>IFERROR(__xludf.DUMMYFUNCTION("MID(REGEXEXTRACT(J290,"" [^ ]* [^ ]*""),2,300)"),"#REF!")</f>
        <v>#REF!</v>
      </c>
      <c r="S290" s="3">
        <f t="shared" si="2"/>
        <v>3</v>
      </c>
      <c r="T290" s="3" t="str">
        <f t="shared" si="3"/>
        <v>dull white</v>
      </c>
      <c r="U290" s="3">
        <f t="shared" si="4"/>
        <v>3</v>
      </c>
      <c r="V290" s="3" t="str">
        <f t="shared" si="5"/>
        <v>striped teal</v>
      </c>
      <c r="W290" s="3" t="str">
        <f t="shared" si="6"/>
        <v/>
      </c>
      <c r="X290" s="3" t="str">
        <f t="shared" si="7"/>
        <v/>
      </c>
      <c r="Y290" s="3" t="str">
        <f t="shared" si="8"/>
        <v/>
      </c>
      <c r="Z290" s="3" t="str">
        <f t="shared" si="9"/>
        <v/>
      </c>
      <c r="AA290" s="13">
        <f t="shared" si="10"/>
        <v>2392869184</v>
      </c>
      <c r="AB290" s="3">
        <f t="shared" si="11"/>
        <v>2392869183</v>
      </c>
      <c r="AC290" s="3">
        <f t="shared" si="12"/>
        <v>3</v>
      </c>
      <c r="AD290" s="3">
        <f t="shared" si="13"/>
        <v>797608672</v>
      </c>
      <c r="AE290" s="3">
        <f t="shared" si="14"/>
        <v>3</v>
      </c>
      <c r="AF290" s="3">
        <f t="shared" si="15"/>
        <v>14389</v>
      </c>
      <c r="AG290" s="3" t="str">
        <f t="shared" si="16"/>
        <v/>
      </c>
      <c r="AH290" s="3">
        <f t="shared" si="17"/>
        <v>0</v>
      </c>
      <c r="AI290" s="3" t="str">
        <f t="shared" si="18"/>
        <v/>
      </c>
      <c r="AJ290" s="3">
        <f t="shared" si="19"/>
        <v>0</v>
      </c>
    </row>
    <row r="291">
      <c r="C291" s="6" t="s">
        <v>291</v>
      </c>
      <c r="D291" s="3">
        <f t="shared" si="1"/>
        <v>1</v>
      </c>
      <c r="E291" s="3" t="str">
        <f>IFERROR(__xludf.DUMMYFUNCTION("REGEXEXTRACT(C291,""[^ ]* [^ ]*"")"),"wavy magenta")</f>
        <v>wavy magenta</v>
      </c>
      <c r="F291" s="3" t="str">
        <f>IFERROR(__xludf.DUMMYFUNCTION("MID(REGEXEXTRACT(C291,""contain.*$""),9,300)"),"2 pale aqua bags, 4 shiny indigo bags.")</f>
        <v>2 pale aqua bags, 4 shiny indigo bags.</v>
      </c>
      <c r="G291" s="3" t="str">
        <f>IFERROR(__xludf.DUMMYFUNCTION("INDEX(SPLIT($F291,"",""),COLUMN()-6)"),"2 pale aqua bags")</f>
        <v>2 pale aqua bags</v>
      </c>
      <c r="H291" s="3" t="str">
        <f>IFERROR(__xludf.DUMMYFUNCTION("MID(INDEX(SPLIT($F291,"",""),COLUMN()-6),2,300)"),"4 shiny indigo bags.")</f>
        <v>4 shiny indigo bags.</v>
      </c>
      <c r="I291" s="3" t="str">
        <f>IFERROR(__xludf.DUMMYFUNCTION("MID(INDEX(SPLIT($F291,"",""),COLUMN()-6),2,300)"),"#REF!")</f>
        <v>#REF!</v>
      </c>
      <c r="J291" s="3" t="str">
        <f>IFERROR(__xludf.DUMMYFUNCTION("MID(INDEX(SPLIT($F291,"",""),COLUMN()-6),2,300)"),"#REF!")</f>
        <v>#REF!</v>
      </c>
      <c r="K291" s="3">
        <f>IFERROR(__xludf.DUMMYFUNCTION("INDEX(SPLIT(G291,"" ""),1)"),2.0)</f>
        <v>2</v>
      </c>
      <c r="L291" s="3" t="str">
        <f>IFERROR(__xludf.DUMMYFUNCTION("REGEXEXTRACT(G291,"" [^ ]* [^ ]* "")")," pale aqua ")</f>
        <v> pale aqua </v>
      </c>
      <c r="M291" s="3">
        <f>IFERROR(__xludf.DUMMYFUNCTION("INDEX(SPLIT(H291,"" ""),1)"),4.0)</f>
        <v>4</v>
      </c>
      <c r="N291" s="3" t="str">
        <f>IFERROR(__xludf.DUMMYFUNCTION("MID(REGEXEXTRACT(H291,"" [^ ]* [^ ]*""),2,300)"),"shiny indigo")</f>
        <v>shiny indigo</v>
      </c>
      <c r="O291" s="3" t="str">
        <f>IFERROR(__xludf.DUMMYFUNCTION("INDEX(SPLIT(I291,"" ""),1)"),"#REF!")</f>
        <v>#REF!</v>
      </c>
      <c r="P291" s="3" t="str">
        <f>IFERROR(__xludf.DUMMYFUNCTION("MID(REGEXEXTRACT(I291,"" [^ ]* [^ ]*""),2,300)"),"#REF!")</f>
        <v>#REF!</v>
      </c>
      <c r="Q291" s="3" t="str">
        <f>IFERROR(__xludf.DUMMYFUNCTION("INDEX(SPLIT(J291,"" ""),1)"),"#REF!")</f>
        <v>#REF!</v>
      </c>
      <c r="R291" s="3" t="str">
        <f>IFERROR(__xludf.DUMMYFUNCTION("MID(REGEXEXTRACT(J291,"" [^ ]* [^ ]*""),2,300)"),"#REF!")</f>
        <v>#REF!</v>
      </c>
      <c r="S291" s="3">
        <f t="shared" si="2"/>
        <v>2</v>
      </c>
      <c r="T291" s="3" t="str">
        <f t="shared" si="3"/>
        <v>pale aqua</v>
      </c>
      <c r="U291" s="3">
        <f t="shared" si="4"/>
        <v>4</v>
      </c>
      <c r="V291" s="3" t="str">
        <f t="shared" si="5"/>
        <v>shiny indigo</v>
      </c>
      <c r="W291" s="3" t="str">
        <f t="shared" si="6"/>
        <v/>
      </c>
      <c r="X291" s="3" t="str">
        <f t="shared" si="7"/>
        <v/>
      </c>
      <c r="Y291" s="3" t="str">
        <f t="shared" si="8"/>
        <v/>
      </c>
      <c r="Z291" s="3" t="str">
        <f t="shared" si="9"/>
        <v/>
      </c>
      <c r="AA291" s="13">
        <f t="shared" si="10"/>
        <v>6174577</v>
      </c>
      <c r="AB291" s="3">
        <f t="shared" si="11"/>
        <v>6174576</v>
      </c>
      <c r="AC291" s="3">
        <f t="shared" si="12"/>
        <v>2</v>
      </c>
      <c r="AD291" s="3">
        <f t="shared" si="13"/>
        <v>1578216</v>
      </c>
      <c r="AE291" s="3">
        <f t="shared" si="14"/>
        <v>4</v>
      </c>
      <c r="AF291" s="3">
        <f t="shared" si="15"/>
        <v>754536</v>
      </c>
      <c r="AG291" s="3" t="str">
        <f t="shared" si="16"/>
        <v/>
      </c>
      <c r="AH291" s="3">
        <f t="shared" si="17"/>
        <v>0</v>
      </c>
      <c r="AI291" s="3" t="str">
        <f t="shared" si="18"/>
        <v/>
      </c>
      <c r="AJ291" s="3">
        <f t="shared" si="19"/>
        <v>0</v>
      </c>
    </row>
    <row r="292">
      <c r="C292" s="6" t="s">
        <v>292</v>
      </c>
      <c r="D292" s="3">
        <f t="shared" si="1"/>
        <v>3</v>
      </c>
      <c r="E292" s="3" t="str">
        <f>IFERROR(__xludf.DUMMYFUNCTION("REGEXEXTRACT(C292,""[^ ]* [^ ]*"")"),"dim brown")</f>
        <v>dim brown</v>
      </c>
      <c r="F292" s="3" t="str">
        <f>IFERROR(__xludf.DUMMYFUNCTION("MID(REGEXEXTRACT(C292,""contain.*$""),9,300)"),"2 bright brown bags, 3 striped chartreuse bags, 5 dull purple bags, 1 light cyan bag.")</f>
        <v>2 bright brown bags, 3 striped chartreuse bags, 5 dull purple bags, 1 light cyan bag.</v>
      </c>
      <c r="G292" s="3" t="str">
        <f>IFERROR(__xludf.DUMMYFUNCTION("INDEX(SPLIT($F292,"",""),COLUMN()-6)"),"2 bright brown bags")</f>
        <v>2 bright brown bags</v>
      </c>
      <c r="H292" s="3" t="str">
        <f>IFERROR(__xludf.DUMMYFUNCTION("MID(INDEX(SPLIT($F292,"",""),COLUMN()-6),2,300)"),"3 striped chartreuse bags")</f>
        <v>3 striped chartreuse bags</v>
      </c>
      <c r="I292" s="3" t="str">
        <f>IFERROR(__xludf.DUMMYFUNCTION("MID(INDEX(SPLIT($F292,"",""),COLUMN()-6),2,300)"),"5 dull purple bags")</f>
        <v>5 dull purple bags</v>
      </c>
      <c r="J292" s="3" t="str">
        <f>IFERROR(__xludf.DUMMYFUNCTION("MID(INDEX(SPLIT($F292,"",""),COLUMN()-6),2,300)"),"1 light cyan bag.")</f>
        <v>1 light cyan bag.</v>
      </c>
      <c r="K292" s="3">
        <f>IFERROR(__xludf.DUMMYFUNCTION("INDEX(SPLIT(G292,"" ""),1)"),2.0)</f>
        <v>2</v>
      </c>
      <c r="L292" s="3" t="str">
        <f>IFERROR(__xludf.DUMMYFUNCTION("REGEXEXTRACT(G292,"" [^ ]* [^ ]* "")")," bright brown ")</f>
        <v> bright brown </v>
      </c>
      <c r="M292" s="3">
        <f>IFERROR(__xludf.DUMMYFUNCTION("INDEX(SPLIT(H292,"" ""),1)"),3.0)</f>
        <v>3</v>
      </c>
      <c r="N292" s="3" t="str">
        <f>IFERROR(__xludf.DUMMYFUNCTION("MID(REGEXEXTRACT(H292,"" [^ ]* [^ ]*""),2,300)"),"striped chartreuse")</f>
        <v>striped chartreuse</v>
      </c>
      <c r="O292" s="3">
        <f>IFERROR(__xludf.DUMMYFUNCTION("INDEX(SPLIT(I292,"" ""),1)"),5.0)</f>
        <v>5</v>
      </c>
      <c r="P292" s="3" t="str">
        <f>IFERROR(__xludf.DUMMYFUNCTION("MID(REGEXEXTRACT(I292,"" [^ ]* [^ ]*""),2,300)"),"dull purple")</f>
        <v>dull purple</v>
      </c>
      <c r="Q292" s="3">
        <f>IFERROR(__xludf.DUMMYFUNCTION("INDEX(SPLIT(J292,"" ""),1)"),1.0)</f>
        <v>1</v>
      </c>
      <c r="R292" s="3" t="str">
        <f>IFERROR(__xludf.DUMMYFUNCTION("MID(REGEXEXTRACT(J292,"" [^ ]* [^ ]*""),2,300)"),"light cyan")</f>
        <v>light cyan</v>
      </c>
      <c r="S292" s="3">
        <f t="shared" si="2"/>
        <v>2</v>
      </c>
      <c r="T292" s="3" t="str">
        <f t="shared" si="3"/>
        <v>bright brown</v>
      </c>
      <c r="U292" s="3">
        <f t="shared" si="4"/>
        <v>3</v>
      </c>
      <c r="V292" s="3" t="str">
        <f t="shared" si="5"/>
        <v>striped chartreuse</v>
      </c>
      <c r="W292" s="3">
        <f t="shared" si="6"/>
        <v>5</v>
      </c>
      <c r="X292" s="3" t="str">
        <f t="shared" si="7"/>
        <v>dull purple</v>
      </c>
      <c r="Y292" s="3">
        <f t="shared" si="8"/>
        <v>1</v>
      </c>
      <c r="Z292" s="3" t="str">
        <f t="shared" si="9"/>
        <v>light cyan</v>
      </c>
      <c r="AA292" s="13">
        <f t="shared" si="10"/>
        <v>23857</v>
      </c>
      <c r="AB292" s="3">
        <f t="shared" si="11"/>
        <v>23856</v>
      </c>
      <c r="AC292" s="3">
        <f t="shared" si="12"/>
        <v>2</v>
      </c>
      <c r="AD292" s="3">
        <f t="shared" si="13"/>
        <v>1</v>
      </c>
      <c r="AE292" s="3">
        <f t="shared" si="14"/>
        <v>3</v>
      </c>
      <c r="AF292" s="3">
        <f t="shared" si="15"/>
        <v>4053</v>
      </c>
      <c r="AG292" s="3">
        <f t="shared" si="16"/>
        <v>5</v>
      </c>
      <c r="AH292" s="3">
        <f t="shared" si="17"/>
        <v>1589</v>
      </c>
      <c r="AI292" s="3">
        <f t="shared" si="18"/>
        <v>1</v>
      </c>
      <c r="AJ292" s="3">
        <f t="shared" si="19"/>
        <v>3750</v>
      </c>
    </row>
    <row r="293">
      <c r="C293" s="6" t="s">
        <v>293</v>
      </c>
      <c r="D293" s="3">
        <f t="shared" si="1"/>
        <v>2</v>
      </c>
      <c r="E293" s="3" t="str">
        <f>IFERROR(__xludf.DUMMYFUNCTION("REGEXEXTRACT(C293,""[^ ]* [^ ]*"")"),"light lime")</f>
        <v>light lime</v>
      </c>
      <c r="F293" s="3" t="str">
        <f>IFERROR(__xludf.DUMMYFUNCTION("MID(REGEXEXTRACT(C293,""contain.*$""),9,300)"),"5 clear crimson bags, 4 plaid indigo bags, 1 pale silver bag.")</f>
        <v>5 clear crimson bags, 4 plaid indigo bags, 1 pale silver bag.</v>
      </c>
      <c r="G293" s="3" t="str">
        <f>IFERROR(__xludf.DUMMYFUNCTION("INDEX(SPLIT($F293,"",""),COLUMN()-6)"),"5 clear crimson bags")</f>
        <v>5 clear crimson bags</v>
      </c>
      <c r="H293" s="3" t="str">
        <f>IFERROR(__xludf.DUMMYFUNCTION("MID(INDEX(SPLIT($F293,"",""),COLUMN()-6),2,300)"),"4 plaid indigo bags")</f>
        <v>4 plaid indigo bags</v>
      </c>
      <c r="I293" s="3" t="str">
        <f>IFERROR(__xludf.DUMMYFUNCTION("MID(INDEX(SPLIT($F293,"",""),COLUMN()-6),2,300)"),"1 pale silver bag.")</f>
        <v>1 pale silver bag.</v>
      </c>
      <c r="J293" s="3" t="str">
        <f>IFERROR(__xludf.DUMMYFUNCTION("MID(INDEX(SPLIT($F293,"",""),COLUMN()-6),2,300)"),"#REF!")</f>
        <v>#REF!</v>
      </c>
      <c r="K293" s="3">
        <f>IFERROR(__xludf.DUMMYFUNCTION("INDEX(SPLIT(G293,"" ""),1)"),5.0)</f>
        <v>5</v>
      </c>
      <c r="L293" s="3" t="str">
        <f>IFERROR(__xludf.DUMMYFUNCTION("REGEXEXTRACT(G293,"" [^ ]* [^ ]* "")")," clear crimson ")</f>
        <v> clear crimson </v>
      </c>
      <c r="M293" s="3">
        <f>IFERROR(__xludf.DUMMYFUNCTION("INDEX(SPLIT(H293,"" ""),1)"),4.0)</f>
        <v>4</v>
      </c>
      <c r="N293" s="3" t="str">
        <f>IFERROR(__xludf.DUMMYFUNCTION("MID(REGEXEXTRACT(H293,"" [^ ]* [^ ]*""),2,300)"),"plaid indigo")</f>
        <v>plaid indigo</v>
      </c>
      <c r="O293" s="3">
        <f>IFERROR(__xludf.DUMMYFUNCTION("INDEX(SPLIT(I293,"" ""),1)"),1.0)</f>
        <v>1</v>
      </c>
      <c r="P293" s="3" t="str">
        <f>IFERROR(__xludf.DUMMYFUNCTION("MID(REGEXEXTRACT(I293,"" [^ ]* [^ ]*""),2,300)"),"pale silver")</f>
        <v>pale silver</v>
      </c>
      <c r="Q293" s="3" t="str">
        <f>IFERROR(__xludf.DUMMYFUNCTION("INDEX(SPLIT(J293,"" ""),1)"),"#REF!")</f>
        <v>#REF!</v>
      </c>
      <c r="R293" s="3" t="str">
        <f>IFERROR(__xludf.DUMMYFUNCTION("MID(REGEXEXTRACT(J293,"" [^ ]* [^ ]*""),2,300)"),"#REF!")</f>
        <v>#REF!</v>
      </c>
      <c r="S293" s="3">
        <f t="shared" si="2"/>
        <v>5</v>
      </c>
      <c r="T293" s="3" t="str">
        <f t="shared" si="3"/>
        <v>clear crimson</v>
      </c>
      <c r="U293" s="3">
        <f t="shared" si="4"/>
        <v>4</v>
      </c>
      <c r="V293" s="3" t="str">
        <f t="shared" si="5"/>
        <v>plaid indigo</v>
      </c>
      <c r="W293" s="3">
        <f t="shared" si="6"/>
        <v>1</v>
      </c>
      <c r="X293" s="3" t="str">
        <f t="shared" si="7"/>
        <v>pale silver</v>
      </c>
      <c r="Y293" s="3" t="str">
        <f t="shared" si="8"/>
        <v/>
      </c>
      <c r="Z293" s="3" t="str">
        <f t="shared" si="9"/>
        <v/>
      </c>
      <c r="AA293" s="13">
        <f t="shared" si="10"/>
        <v>147338859</v>
      </c>
      <c r="AB293" s="3">
        <f t="shared" si="11"/>
        <v>147338858</v>
      </c>
      <c r="AC293" s="3">
        <f t="shared" si="12"/>
        <v>5</v>
      </c>
      <c r="AD293" s="3">
        <f t="shared" si="13"/>
        <v>25340133</v>
      </c>
      <c r="AE293" s="3">
        <f t="shared" si="14"/>
        <v>4</v>
      </c>
      <c r="AF293" s="3">
        <f t="shared" si="15"/>
        <v>1545306</v>
      </c>
      <c r="AG293" s="3">
        <f t="shared" si="16"/>
        <v>1</v>
      </c>
      <c r="AH293" s="3">
        <f t="shared" si="17"/>
        <v>14456969</v>
      </c>
      <c r="AI293" s="3" t="str">
        <f t="shared" si="18"/>
        <v/>
      </c>
      <c r="AJ293" s="3">
        <f t="shared" si="19"/>
        <v>0</v>
      </c>
    </row>
    <row r="294">
      <c r="C294" s="6" t="s">
        <v>294</v>
      </c>
      <c r="D294" s="3">
        <f t="shared" si="1"/>
        <v>2</v>
      </c>
      <c r="E294" s="3" t="str">
        <f>IFERROR(__xludf.DUMMYFUNCTION("REGEXEXTRACT(C294,""[^ ]* [^ ]*"")"),"striped silver")</f>
        <v>striped silver</v>
      </c>
      <c r="F294" s="3" t="str">
        <f>IFERROR(__xludf.DUMMYFUNCTION("MID(REGEXEXTRACT(C294,""contain.*$""),9,300)"),"3 posh green bags, 3 muted violet bags, 1 drab green bag.")</f>
        <v>3 posh green bags, 3 muted violet bags, 1 drab green bag.</v>
      </c>
      <c r="G294" s="3" t="str">
        <f>IFERROR(__xludf.DUMMYFUNCTION("INDEX(SPLIT($F294,"",""),COLUMN()-6)"),"3 posh green bags")</f>
        <v>3 posh green bags</v>
      </c>
      <c r="H294" s="3" t="str">
        <f>IFERROR(__xludf.DUMMYFUNCTION("MID(INDEX(SPLIT($F294,"",""),COLUMN()-6),2,300)"),"3 muted violet bags")</f>
        <v>3 muted violet bags</v>
      </c>
      <c r="I294" s="3" t="str">
        <f>IFERROR(__xludf.DUMMYFUNCTION("MID(INDEX(SPLIT($F294,"",""),COLUMN()-6),2,300)"),"1 drab green bag.")</f>
        <v>1 drab green bag.</v>
      </c>
      <c r="J294" s="3" t="str">
        <f>IFERROR(__xludf.DUMMYFUNCTION("MID(INDEX(SPLIT($F294,"",""),COLUMN()-6),2,300)"),"#REF!")</f>
        <v>#REF!</v>
      </c>
      <c r="K294" s="3">
        <f>IFERROR(__xludf.DUMMYFUNCTION("INDEX(SPLIT(G294,"" ""),1)"),3.0)</f>
        <v>3</v>
      </c>
      <c r="L294" s="3" t="str">
        <f>IFERROR(__xludf.DUMMYFUNCTION("REGEXEXTRACT(G294,"" [^ ]* [^ ]* "")")," posh green ")</f>
        <v> posh green </v>
      </c>
      <c r="M294" s="3">
        <f>IFERROR(__xludf.DUMMYFUNCTION("INDEX(SPLIT(H294,"" ""),1)"),3.0)</f>
        <v>3</v>
      </c>
      <c r="N294" s="3" t="str">
        <f>IFERROR(__xludf.DUMMYFUNCTION("MID(REGEXEXTRACT(H294,"" [^ ]* [^ ]*""),2,300)"),"muted violet")</f>
        <v>muted violet</v>
      </c>
      <c r="O294" s="3">
        <f>IFERROR(__xludf.DUMMYFUNCTION("INDEX(SPLIT(I294,"" ""),1)"),1.0)</f>
        <v>1</v>
      </c>
      <c r="P294" s="3" t="str">
        <f>IFERROR(__xludf.DUMMYFUNCTION("MID(REGEXEXTRACT(I294,"" [^ ]* [^ ]*""),2,300)"),"drab green")</f>
        <v>drab green</v>
      </c>
      <c r="Q294" s="3" t="str">
        <f>IFERROR(__xludf.DUMMYFUNCTION("INDEX(SPLIT(J294,"" ""),1)"),"#REF!")</f>
        <v>#REF!</v>
      </c>
      <c r="R294" s="3" t="str">
        <f>IFERROR(__xludf.DUMMYFUNCTION("MID(REGEXEXTRACT(J294,"" [^ ]* [^ ]*""),2,300)"),"#REF!")</f>
        <v>#REF!</v>
      </c>
      <c r="S294" s="3">
        <f t="shared" si="2"/>
        <v>3</v>
      </c>
      <c r="T294" s="3" t="str">
        <f t="shared" si="3"/>
        <v>posh green</v>
      </c>
      <c r="U294" s="3">
        <f t="shared" si="4"/>
        <v>3</v>
      </c>
      <c r="V294" s="3" t="str">
        <f t="shared" si="5"/>
        <v>muted violet</v>
      </c>
      <c r="W294" s="3">
        <f t="shared" si="6"/>
        <v>1</v>
      </c>
      <c r="X294" s="3" t="str">
        <f t="shared" si="7"/>
        <v>drab green</v>
      </c>
      <c r="Y294" s="3" t="str">
        <f t="shared" si="8"/>
        <v/>
      </c>
      <c r="Z294" s="3" t="str">
        <f t="shared" si="9"/>
        <v/>
      </c>
      <c r="AA294" s="13">
        <f t="shared" si="10"/>
        <v>19119</v>
      </c>
      <c r="AB294" s="3">
        <f t="shared" si="11"/>
        <v>19118</v>
      </c>
      <c r="AC294" s="3">
        <f t="shared" si="12"/>
        <v>3</v>
      </c>
      <c r="AD294" s="3">
        <f t="shared" si="13"/>
        <v>6367</v>
      </c>
      <c r="AE294" s="3">
        <f t="shared" si="14"/>
        <v>3</v>
      </c>
      <c r="AF294" s="3">
        <f t="shared" si="15"/>
        <v>4</v>
      </c>
      <c r="AG294" s="3">
        <f t="shared" si="16"/>
        <v>1</v>
      </c>
      <c r="AH294" s="3">
        <f t="shared" si="17"/>
        <v>5</v>
      </c>
      <c r="AI294" s="3" t="str">
        <f t="shared" si="18"/>
        <v/>
      </c>
      <c r="AJ294" s="3">
        <f t="shared" si="19"/>
        <v>0</v>
      </c>
    </row>
    <row r="295">
      <c r="C295" s="6" t="s">
        <v>295</v>
      </c>
      <c r="D295" s="3">
        <f t="shared" si="1"/>
        <v>0</v>
      </c>
      <c r="E295" s="3" t="str">
        <f>IFERROR(__xludf.DUMMYFUNCTION("REGEXEXTRACT(C295,""[^ ]* [^ ]*"")"),"bright brown")</f>
        <v>bright brown</v>
      </c>
      <c r="F295" s="3" t="str">
        <f>IFERROR(__xludf.DUMMYFUNCTION("MID(REGEXEXTRACT(C295,""contain.*$""),9,300)"),"no other bags.")</f>
        <v>no other bags.</v>
      </c>
      <c r="G295" s="3" t="str">
        <f>IFERROR(__xludf.DUMMYFUNCTION("INDEX(SPLIT($F295,"",""),COLUMN()-6)"),"no other bags.")</f>
        <v>no other bags.</v>
      </c>
      <c r="H295" s="3" t="str">
        <f>IFERROR(__xludf.DUMMYFUNCTION("MID(INDEX(SPLIT($F295,"",""),COLUMN()-6),2,300)"),"#REF!")</f>
        <v>#REF!</v>
      </c>
      <c r="I295" s="3" t="str">
        <f>IFERROR(__xludf.DUMMYFUNCTION("MID(INDEX(SPLIT($F295,"",""),COLUMN()-6),2,300)"),"#REF!")</f>
        <v>#REF!</v>
      </c>
      <c r="J295" s="3" t="str">
        <f>IFERROR(__xludf.DUMMYFUNCTION("MID(INDEX(SPLIT($F295,"",""),COLUMN()-6),2,300)"),"#REF!")</f>
        <v>#REF!</v>
      </c>
      <c r="K295" s="3" t="str">
        <f>IFERROR(__xludf.DUMMYFUNCTION("INDEX(SPLIT(G295,"" ""),1)"),"no")</f>
        <v>no</v>
      </c>
      <c r="L295" s="3" t="str">
        <f>IFERROR(__xludf.DUMMYFUNCTION("REGEXEXTRACT(G295,"" [^ ]* [^ ]* "")"),"#N/A")</f>
        <v>#N/A</v>
      </c>
      <c r="M295" s="3" t="str">
        <f>IFERROR(__xludf.DUMMYFUNCTION("INDEX(SPLIT(H295,"" ""),1)"),"#REF!")</f>
        <v>#REF!</v>
      </c>
      <c r="N295" s="3" t="str">
        <f>IFERROR(__xludf.DUMMYFUNCTION("MID(REGEXEXTRACT(H295,"" [^ ]* [^ ]*""),2,300)"),"#REF!")</f>
        <v>#REF!</v>
      </c>
      <c r="O295" s="3" t="str">
        <f>IFERROR(__xludf.DUMMYFUNCTION("INDEX(SPLIT(I295,"" ""),1)"),"#REF!")</f>
        <v>#REF!</v>
      </c>
      <c r="P295" s="3" t="str">
        <f>IFERROR(__xludf.DUMMYFUNCTION("MID(REGEXEXTRACT(I295,"" [^ ]* [^ ]*""),2,300)"),"#REF!")</f>
        <v>#REF!</v>
      </c>
      <c r="Q295" s="3" t="str">
        <f>IFERROR(__xludf.DUMMYFUNCTION("INDEX(SPLIT(J295,"" ""),1)"),"#REF!")</f>
        <v>#REF!</v>
      </c>
      <c r="R295" s="3" t="str">
        <f>IFERROR(__xludf.DUMMYFUNCTION("MID(REGEXEXTRACT(J295,"" [^ ]* [^ ]*""),2,300)"),"#REF!")</f>
        <v>#REF!</v>
      </c>
      <c r="S295" s="3" t="str">
        <f t="shared" si="2"/>
        <v/>
      </c>
      <c r="T295" s="3" t="str">
        <f t="shared" si="3"/>
        <v/>
      </c>
      <c r="U295" s="3" t="str">
        <f t="shared" si="4"/>
        <v/>
      </c>
      <c r="V295" s="3" t="str">
        <f t="shared" si="5"/>
        <v/>
      </c>
      <c r="W295" s="3" t="str">
        <f t="shared" si="6"/>
        <v/>
      </c>
      <c r="X295" s="3" t="str">
        <f t="shared" si="7"/>
        <v/>
      </c>
      <c r="Y295" s="3" t="str">
        <f t="shared" si="8"/>
        <v/>
      </c>
      <c r="Z295" s="3" t="str">
        <f t="shared" si="9"/>
        <v/>
      </c>
      <c r="AA295" s="13">
        <f t="shared" si="10"/>
        <v>1</v>
      </c>
      <c r="AB295" s="3">
        <f t="shared" si="11"/>
        <v>0</v>
      </c>
      <c r="AC295" s="3" t="str">
        <f t="shared" si="12"/>
        <v/>
      </c>
      <c r="AD295" s="3">
        <f t="shared" si="13"/>
        <v>0</v>
      </c>
      <c r="AE295" s="3" t="str">
        <f t="shared" si="14"/>
        <v/>
      </c>
      <c r="AF295" s="3">
        <f t="shared" si="15"/>
        <v>0</v>
      </c>
      <c r="AG295" s="3" t="str">
        <f t="shared" si="16"/>
        <v/>
      </c>
      <c r="AH295" s="3">
        <f t="shared" si="17"/>
        <v>0</v>
      </c>
      <c r="AI295" s="3" t="str">
        <f t="shared" si="18"/>
        <v/>
      </c>
      <c r="AJ295" s="3">
        <f t="shared" si="19"/>
        <v>0</v>
      </c>
    </row>
    <row r="296">
      <c r="C296" s="6" t="s">
        <v>296</v>
      </c>
      <c r="D296" s="3">
        <f t="shared" si="1"/>
        <v>3</v>
      </c>
      <c r="E296" s="3" t="str">
        <f>IFERROR(__xludf.DUMMYFUNCTION("REGEXEXTRACT(C296,""[^ ]* [^ ]*"")"),"vibrant fuchsia")</f>
        <v>vibrant fuchsia</v>
      </c>
      <c r="F296" s="3" t="str">
        <f>IFERROR(__xludf.DUMMYFUNCTION("MID(REGEXEXTRACT(C296,""contain.*$""),9,300)"),"4 dull olive bags, 2 mirrored gold bags, 3 mirrored bronze bags, 1 posh crimson bag.")</f>
        <v>4 dull olive bags, 2 mirrored gold bags, 3 mirrored bronze bags, 1 posh crimson bag.</v>
      </c>
      <c r="G296" s="3" t="str">
        <f>IFERROR(__xludf.DUMMYFUNCTION("INDEX(SPLIT($F296,"",""),COLUMN()-6)"),"4 dull olive bags")</f>
        <v>4 dull olive bags</v>
      </c>
      <c r="H296" s="3" t="str">
        <f>IFERROR(__xludf.DUMMYFUNCTION("MID(INDEX(SPLIT($F296,"",""),COLUMN()-6),2,300)"),"2 mirrored gold bags")</f>
        <v>2 mirrored gold bags</v>
      </c>
      <c r="I296" s="3" t="str">
        <f>IFERROR(__xludf.DUMMYFUNCTION("MID(INDEX(SPLIT($F296,"",""),COLUMN()-6),2,300)"),"3 mirrored bronze bags")</f>
        <v>3 mirrored bronze bags</v>
      </c>
      <c r="J296" s="3" t="str">
        <f>IFERROR(__xludf.DUMMYFUNCTION("MID(INDEX(SPLIT($F296,"",""),COLUMN()-6),2,300)"),"1 posh crimson bag.")</f>
        <v>1 posh crimson bag.</v>
      </c>
      <c r="K296" s="3">
        <f>IFERROR(__xludf.DUMMYFUNCTION("INDEX(SPLIT(G296,"" ""),1)"),4.0)</f>
        <v>4</v>
      </c>
      <c r="L296" s="3" t="str">
        <f>IFERROR(__xludf.DUMMYFUNCTION("REGEXEXTRACT(G296,"" [^ ]* [^ ]* "")")," dull olive ")</f>
        <v> dull olive </v>
      </c>
      <c r="M296" s="3">
        <f>IFERROR(__xludf.DUMMYFUNCTION("INDEX(SPLIT(H296,"" ""),1)"),2.0)</f>
        <v>2</v>
      </c>
      <c r="N296" s="3" t="str">
        <f>IFERROR(__xludf.DUMMYFUNCTION("MID(REGEXEXTRACT(H296,"" [^ ]* [^ ]*""),2,300)"),"mirrored gold")</f>
        <v>mirrored gold</v>
      </c>
      <c r="O296" s="3">
        <f>IFERROR(__xludf.DUMMYFUNCTION("INDEX(SPLIT(I296,"" ""),1)"),3.0)</f>
        <v>3</v>
      </c>
      <c r="P296" s="3" t="str">
        <f>IFERROR(__xludf.DUMMYFUNCTION("MID(REGEXEXTRACT(I296,"" [^ ]* [^ ]*""),2,300)"),"mirrored bronze")</f>
        <v>mirrored bronze</v>
      </c>
      <c r="Q296" s="3">
        <f>IFERROR(__xludf.DUMMYFUNCTION("INDEX(SPLIT(J296,"" ""),1)"),1.0)</f>
        <v>1</v>
      </c>
      <c r="R296" s="3" t="str">
        <f>IFERROR(__xludf.DUMMYFUNCTION("MID(REGEXEXTRACT(J296,"" [^ ]* [^ ]*""),2,300)"),"posh crimson")</f>
        <v>posh crimson</v>
      </c>
      <c r="S296" s="3">
        <f t="shared" si="2"/>
        <v>4</v>
      </c>
      <c r="T296" s="3" t="str">
        <f t="shared" si="3"/>
        <v>dull olive</v>
      </c>
      <c r="U296" s="3">
        <f t="shared" si="4"/>
        <v>2</v>
      </c>
      <c r="V296" s="3" t="str">
        <f t="shared" si="5"/>
        <v>mirrored gold</v>
      </c>
      <c r="W296" s="3">
        <f t="shared" si="6"/>
        <v>3</v>
      </c>
      <c r="X296" s="3" t="str">
        <f t="shared" si="7"/>
        <v>mirrored bronze</v>
      </c>
      <c r="Y296" s="3">
        <f t="shared" si="8"/>
        <v>1</v>
      </c>
      <c r="Z296" s="3" t="str">
        <f t="shared" si="9"/>
        <v>posh crimson</v>
      </c>
      <c r="AA296" s="13">
        <f t="shared" si="10"/>
        <v>1425428413</v>
      </c>
      <c r="AB296" s="3">
        <f t="shared" si="11"/>
        <v>1425428412</v>
      </c>
      <c r="AC296" s="3">
        <f t="shared" si="12"/>
        <v>4</v>
      </c>
      <c r="AD296" s="3">
        <f t="shared" si="13"/>
        <v>262509449</v>
      </c>
      <c r="AE296" s="3">
        <f t="shared" si="14"/>
        <v>2</v>
      </c>
      <c r="AF296" s="3">
        <f t="shared" si="15"/>
        <v>821</v>
      </c>
      <c r="AG296" s="3">
        <f t="shared" si="16"/>
        <v>3</v>
      </c>
      <c r="AH296" s="3">
        <f t="shared" si="17"/>
        <v>29923</v>
      </c>
      <c r="AI296" s="3">
        <f t="shared" si="18"/>
        <v>1</v>
      </c>
      <c r="AJ296" s="3">
        <f t="shared" si="19"/>
        <v>375299205</v>
      </c>
    </row>
    <row r="297">
      <c r="C297" s="6" t="s">
        <v>297</v>
      </c>
      <c r="D297" s="3">
        <f t="shared" si="1"/>
        <v>2</v>
      </c>
      <c r="E297" s="3" t="str">
        <f>IFERROR(__xludf.DUMMYFUNCTION("REGEXEXTRACT(C297,""[^ ]* [^ ]*"")"),"plaid purple")</f>
        <v>plaid purple</v>
      </c>
      <c r="F297" s="3" t="str">
        <f>IFERROR(__xludf.DUMMYFUNCTION("MID(REGEXEXTRACT(C297,""contain.*$""),9,300)"),"3 faded beige bags, 1 drab green bag, 2 striped chartreuse bags.")</f>
        <v>3 faded beige bags, 1 drab green bag, 2 striped chartreuse bags.</v>
      </c>
      <c r="G297" s="3" t="str">
        <f>IFERROR(__xludf.DUMMYFUNCTION("INDEX(SPLIT($F297,"",""),COLUMN()-6)"),"3 faded beige bags")</f>
        <v>3 faded beige bags</v>
      </c>
      <c r="H297" s="3" t="str">
        <f>IFERROR(__xludf.DUMMYFUNCTION("MID(INDEX(SPLIT($F297,"",""),COLUMN()-6),2,300)"),"1 drab green bag")</f>
        <v>1 drab green bag</v>
      </c>
      <c r="I297" s="3" t="str">
        <f>IFERROR(__xludf.DUMMYFUNCTION("MID(INDEX(SPLIT($F297,"",""),COLUMN()-6),2,300)"),"2 striped chartreuse bags.")</f>
        <v>2 striped chartreuse bags.</v>
      </c>
      <c r="J297" s="3" t="str">
        <f>IFERROR(__xludf.DUMMYFUNCTION("MID(INDEX(SPLIT($F297,"",""),COLUMN()-6),2,300)"),"#REF!")</f>
        <v>#REF!</v>
      </c>
      <c r="K297" s="3">
        <f>IFERROR(__xludf.DUMMYFUNCTION("INDEX(SPLIT(G297,"" ""),1)"),3.0)</f>
        <v>3</v>
      </c>
      <c r="L297" s="3" t="str">
        <f>IFERROR(__xludf.DUMMYFUNCTION("REGEXEXTRACT(G297,"" [^ ]* [^ ]* "")")," faded beige ")</f>
        <v> faded beige </v>
      </c>
      <c r="M297" s="3">
        <f>IFERROR(__xludf.DUMMYFUNCTION("INDEX(SPLIT(H297,"" ""),1)"),1.0)</f>
        <v>1</v>
      </c>
      <c r="N297" s="3" t="str">
        <f>IFERROR(__xludf.DUMMYFUNCTION("MID(REGEXEXTRACT(H297,"" [^ ]* [^ ]*""),2,300)"),"drab green")</f>
        <v>drab green</v>
      </c>
      <c r="O297" s="3">
        <f>IFERROR(__xludf.DUMMYFUNCTION("INDEX(SPLIT(I297,"" ""),1)"),2.0)</f>
        <v>2</v>
      </c>
      <c r="P297" s="3" t="str">
        <f>IFERROR(__xludf.DUMMYFUNCTION("MID(REGEXEXTRACT(I297,"" [^ ]* [^ ]*""),2,300)"),"striped chartreuse")</f>
        <v>striped chartreuse</v>
      </c>
      <c r="Q297" s="3" t="str">
        <f>IFERROR(__xludf.DUMMYFUNCTION("INDEX(SPLIT(J297,"" ""),1)"),"#REF!")</f>
        <v>#REF!</v>
      </c>
      <c r="R297" s="3" t="str">
        <f>IFERROR(__xludf.DUMMYFUNCTION("MID(REGEXEXTRACT(J297,"" [^ ]* [^ ]*""),2,300)"),"#REF!")</f>
        <v>#REF!</v>
      </c>
      <c r="S297" s="3">
        <f t="shared" si="2"/>
        <v>3</v>
      </c>
      <c r="T297" s="3" t="str">
        <f t="shared" si="3"/>
        <v>faded beige</v>
      </c>
      <c r="U297" s="3">
        <f t="shared" si="4"/>
        <v>1</v>
      </c>
      <c r="V297" s="3" t="str">
        <f t="shared" si="5"/>
        <v>drab green</v>
      </c>
      <c r="W297" s="3">
        <f t="shared" si="6"/>
        <v>2</v>
      </c>
      <c r="X297" s="3" t="str">
        <f t="shared" si="7"/>
        <v>striped chartreuse</v>
      </c>
      <c r="Y297" s="3" t="str">
        <f t="shared" si="8"/>
        <v/>
      </c>
      <c r="Z297" s="3" t="str">
        <f t="shared" si="9"/>
        <v/>
      </c>
      <c r="AA297" s="13">
        <f t="shared" si="10"/>
        <v>27231</v>
      </c>
      <c r="AB297" s="3">
        <f t="shared" si="11"/>
        <v>27230</v>
      </c>
      <c r="AC297" s="3">
        <f t="shared" si="12"/>
        <v>3</v>
      </c>
      <c r="AD297" s="3">
        <f t="shared" si="13"/>
        <v>6373</v>
      </c>
      <c r="AE297" s="3">
        <f t="shared" si="14"/>
        <v>1</v>
      </c>
      <c r="AF297" s="3">
        <f t="shared" si="15"/>
        <v>5</v>
      </c>
      <c r="AG297" s="3">
        <f t="shared" si="16"/>
        <v>2</v>
      </c>
      <c r="AH297" s="3">
        <f t="shared" si="17"/>
        <v>4053</v>
      </c>
      <c r="AI297" s="3" t="str">
        <f t="shared" si="18"/>
        <v/>
      </c>
      <c r="AJ297" s="3">
        <f t="shared" si="19"/>
        <v>0</v>
      </c>
    </row>
    <row r="298">
      <c r="C298" s="6" t="s">
        <v>298</v>
      </c>
      <c r="D298" s="3">
        <f t="shared" si="1"/>
        <v>1</v>
      </c>
      <c r="E298" s="3" t="str">
        <f>IFERROR(__xludf.DUMMYFUNCTION("REGEXEXTRACT(C298,""[^ ]* [^ ]*"")"),"wavy violet")</f>
        <v>wavy violet</v>
      </c>
      <c r="F298" s="3" t="str">
        <f>IFERROR(__xludf.DUMMYFUNCTION("MID(REGEXEXTRACT(C298,""contain.*$""),9,300)"),"2 vibrant gray bags, 5 wavy fuchsia bags.")</f>
        <v>2 vibrant gray bags, 5 wavy fuchsia bags.</v>
      </c>
      <c r="G298" s="3" t="str">
        <f>IFERROR(__xludf.DUMMYFUNCTION("INDEX(SPLIT($F298,"",""),COLUMN()-6)"),"2 vibrant gray bags")</f>
        <v>2 vibrant gray bags</v>
      </c>
      <c r="H298" s="3" t="str">
        <f>IFERROR(__xludf.DUMMYFUNCTION("MID(INDEX(SPLIT($F298,"",""),COLUMN()-6),2,300)"),"5 wavy fuchsia bags.")</f>
        <v>5 wavy fuchsia bags.</v>
      </c>
      <c r="I298" s="3" t="str">
        <f>IFERROR(__xludf.DUMMYFUNCTION("MID(INDEX(SPLIT($F298,"",""),COLUMN()-6),2,300)"),"#REF!")</f>
        <v>#REF!</v>
      </c>
      <c r="J298" s="3" t="str">
        <f>IFERROR(__xludf.DUMMYFUNCTION("MID(INDEX(SPLIT($F298,"",""),COLUMN()-6),2,300)"),"#REF!")</f>
        <v>#REF!</v>
      </c>
      <c r="K298" s="3">
        <f>IFERROR(__xludf.DUMMYFUNCTION("INDEX(SPLIT(G298,"" ""),1)"),2.0)</f>
        <v>2</v>
      </c>
      <c r="L298" s="3" t="str">
        <f>IFERROR(__xludf.DUMMYFUNCTION("REGEXEXTRACT(G298,"" [^ ]* [^ ]* "")")," vibrant gray ")</f>
        <v> vibrant gray </v>
      </c>
      <c r="M298" s="3">
        <f>IFERROR(__xludf.DUMMYFUNCTION("INDEX(SPLIT(H298,"" ""),1)"),5.0)</f>
        <v>5</v>
      </c>
      <c r="N298" s="3" t="str">
        <f>IFERROR(__xludf.DUMMYFUNCTION("MID(REGEXEXTRACT(H298,"" [^ ]* [^ ]*""),2,300)"),"wavy fuchsia")</f>
        <v>wavy fuchsia</v>
      </c>
      <c r="O298" s="3" t="str">
        <f>IFERROR(__xludf.DUMMYFUNCTION("INDEX(SPLIT(I298,"" ""),1)"),"#REF!")</f>
        <v>#REF!</v>
      </c>
      <c r="P298" s="3" t="str">
        <f>IFERROR(__xludf.DUMMYFUNCTION("MID(REGEXEXTRACT(I298,"" [^ ]* [^ ]*""),2,300)"),"#REF!")</f>
        <v>#REF!</v>
      </c>
      <c r="Q298" s="3" t="str">
        <f>IFERROR(__xludf.DUMMYFUNCTION("INDEX(SPLIT(J298,"" ""),1)"),"#REF!")</f>
        <v>#REF!</v>
      </c>
      <c r="R298" s="3" t="str">
        <f>IFERROR(__xludf.DUMMYFUNCTION("MID(REGEXEXTRACT(J298,"" [^ ]* [^ ]*""),2,300)"),"#REF!")</f>
        <v>#REF!</v>
      </c>
      <c r="S298" s="3">
        <f t="shared" si="2"/>
        <v>2</v>
      </c>
      <c r="T298" s="3" t="str">
        <f t="shared" si="3"/>
        <v>vibrant gray</v>
      </c>
      <c r="U298" s="3">
        <f t="shared" si="4"/>
        <v>5</v>
      </c>
      <c r="V298" s="3" t="str">
        <f t="shared" si="5"/>
        <v>wavy fuchsia</v>
      </c>
      <c r="W298" s="3" t="str">
        <f t="shared" si="6"/>
        <v/>
      </c>
      <c r="X298" s="3" t="str">
        <f t="shared" si="7"/>
        <v/>
      </c>
      <c r="Y298" s="3" t="str">
        <f t="shared" si="8"/>
        <v/>
      </c>
      <c r="Z298" s="3" t="str">
        <f t="shared" si="9"/>
        <v/>
      </c>
      <c r="AA298" s="13">
        <f t="shared" si="10"/>
        <v>19632582</v>
      </c>
      <c r="AB298" s="3">
        <f t="shared" si="11"/>
        <v>19632581</v>
      </c>
      <c r="AC298" s="3">
        <f t="shared" si="12"/>
        <v>2</v>
      </c>
      <c r="AD298" s="3">
        <f t="shared" si="13"/>
        <v>825738</v>
      </c>
      <c r="AE298" s="3">
        <f t="shared" si="14"/>
        <v>5</v>
      </c>
      <c r="AF298" s="3">
        <f t="shared" si="15"/>
        <v>3596221</v>
      </c>
      <c r="AG298" s="3" t="str">
        <f t="shared" si="16"/>
        <v/>
      </c>
      <c r="AH298" s="3">
        <f t="shared" si="17"/>
        <v>0</v>
      </c>
      <c r="AI298" s="3" t="str">
        <f t="shared" si="18"/>
        <v/>
      </c>
      <c r="AJ298" s="3">
        <f t="shared" si="19"/>
        <v>0</v>
      </c>
    </row>
    <row r="299">
      <c r="C299" s="6" t="s">
        <v>299</v>
      </c>
      <c r="D299" s="3">
        <f t="shared" si="1"/>
        <v>1</v>
      </c>
      <c r="E299" s="3" t="str">
        <f>IFERROR(__xludf.DUMMYFUNCTION("REGEXEXTRACT(C299,""[^ ]* [^ ]*"")"),"dark maroon")</f>
        <v>dark maroon</v>
      </c>
      <c r="F299" s="3" t="str">
        <f>IFERROR(__xludf.DUMMYFUNCTION("MID(REGEXEXTRACT(C299,""contain.*$""),9,300)"),"5 pale chartreuse bags, 5 striped brown bags.")</f>
        <v>5 pale chartreuse bags, 5 striped brown bags.</v>
      </c>
      <c r="G299" s="3" t="str">
        <f>IFERROR(__xludf.DUMMYFUNCTION("INDEX(SPLIT($F299,"",""),COLUMN()-6)"),"5 pale chartreuse bags")</f>
        <v>5 pale chartreuse bags</v>
      </c>
      <c r="H299" s="3" t="str">
        <f>IFERROR(__xludf.DUMMYFUNCTION("MID(INDEX(SPLIT($F299,"",""),COLUMN()-6),2,300)"),"5 striped brown bags.")</f>
        <v>5 striped brown bags.</v>
      </c>
      <c r="I299" s="3" t="str">
        <f>IFERROR(__xludf.DUMMYFUNCTION("MID(INDEX(SPLIT($F299,"",""),COLUMN()-6),2,300)"),"#REF!")</f>
        <v>#REF!</v>
      </c>
      <c r="J299" s="3" t="str">
        <f>IFERROR(__xludf.DUMMYFUNCTION("MID(INDEX(SPLIT($F299,"",""),COLUMN()-6),2,300)"),"#REF!")</f>
        <v>#REF!</v>
      </c>
      <c r="K299" s="3">
        <f>IFERROR(__xludf.DUMMYFUNCTION("INDEX(SPLIT(G299,"" ""),1)"),5.0)</f>
        <v>5</v>
      </c>
      <c r="L299" s="3" t="str">
        <f>IFERROR(__xludf.DUMMYFUNCTION("REGEXEXTRACT(G299,"" [^ ]* [^ ]* "")")," pale chartreuse ")</f>
        <v> pale chartreuse </v>
      </c>
      <c r="M299" s="3">
        <f>IFERROR(__xludf.DUMMYFUNCTION("INDEX(SPLIT(H299,"" ""),1)"),5.0)</f>
        <v>5</v>
      </c>
      <c r="N299" s="3" t="str">
        <f>IFERROR(__xludf.DUMMYFUNCTION("MID(REGEXEXTRACT(H299,"" [^ ]* [^ ]*""),2,300)"),"striped brown")</f>
        <v>striped brown</v>
      </c>
      <c r="O299" s="3" t="str">
        <f>IFERROR(__xludf.DUMMYFUNCTION("INDEX(SPLIT(I299,"" ""),1)"),"#REF!")</f>
        <v>#REF!</v>
      </c>
      <c r="P299" s="3" t="str">
        <f>IFERROR(__xludf.DUMMYFUNCTION("MID(REGEXEXTRACT(I299,"" [^ ]* [^ ]*""),2,300)"),"#REF!")</f>
        <v>#REF!</v>
      </c>
      <c r="Q299" s="3" t="str">
        <f>IFERROR(__xludf.DUMMYFUNCTION("INDEX(SPLIT(J299,"" ""),1)"),"#REF!")</f>
        <v>#REF!</v>
      </c>
      <c r="R299" s="3" t="str">
        <f>IFERROR(__xludf.DUMMYFUNCTION("MID(REGEXEXTRACT(J299,"" [^ ]* [^ ]*""),2,300)"),"#REF!")</f>
        <v>#REF!</v>
      </c>
      <c r="S299" s="3">
        <f t="shared" si="2"/>
        <v>5</v>
      </c>
      <c r="T299" s="3" t="str">
        <f t="shared" si="3"/>
        <v>pale chartreuse</v>
      </c>
      <c r="U299" s="3">
        <f t="shared" si="4"/>
        <v>5</v>
      </c>
      <c r="V299" s="3" t="str">
        <f t="shared" si="5"/>
        <v>striped brown</v>
      </c>
      <c r="W299" s="3" t="str">
        <f t="shared" si="6"/>
        <v/>
      </c>
      <c r="X299" s="3" t="str">
        <f t="shared" si="7"/>
        <v/>
      </c>
      <c r="Y299" s="3" t="str">
        <f t="shared" si="8"/>
        <v/>
      </c>
      <c r="Z299" s="3" t="str">
        <f t="shared" si="9"/>
        <v/>
      </c>
      <c r="AA299" s="13">
        <f t="shared" si="10"/>
        <v>1572433006</v>
      </c>
      <c r="AB299" s="3">
        <f t="shared" si="11"/>
        <v>1572433005</v>
      </c>
      <c r="AC299" s="3">
        <f t="shared" si="12"/>
        <v>5</v>
      </c>
      <c r="AD299" s="3">
        <f t="shared" si="13"/>
        <v>157505668</v>
      </c>
      <c r="AE299" s="3">
        <f t="shared" si="14"/>
        <v>5</v>
      </c>
      <c r="AF299" s="3">
        <f t="shared" si="15"/>
        <v>156980933</v>
      </c>
      <c r="AG299" s="3" t="str">
        <f t="shared" si="16"/>
        <v/>
      </c>
      <c r="AH299" s="3">
        <f t="shared" si="17"/>
        <v>0</v>
      </c>
      <c r="AI299" s="3" t="str">
        <f t="shared" si="18"/>
        <v/>
      </c>
      <c r="AJ299" s="3">
        <f t="shared" si="19"/>
        <v>0</v>
      </c>
    </row>
    <row r="300">
      <c r="C300" s="6" t="s">
        <v>300</v>
      </c>
      <c r="D300" s="3">
        <f t="shared" si="1"/>
        <v>0</v>
      </c>
      <c r="E300" s="3" t="str">
        <f>IFERROR(__xludf.DUMMYFUNCTION("REGEXEXTRACT(C300,""[^ ]* [^ ]*"")"),"pale coral")</f>
        <v>pale coral</v>
      </c>
      <c r="F300" s="3" t="str">
        <f>IFERROR(__xludf.DUMMYFUNCTION("MID(REGEXEXTRACT(C300,""contain.*$""),9,300)"),"3 vibrant plum bags.")</f>
        <v>3 vibrant plum bags.</v>
      </c>
      <c r="G300" s="3" t="str">
        <f>IFERROR(__xludf.DUMMYFUNCTION("INDEX(SPLIT($F300,"",""),COLUMN()-6)"),"3 vibrant plum bags.")</f>
        <v>3 vibrant plum bags.</v>
      </c>
      <c r="H300" s="3" t="str">
        <f>IFERROR(__xludf.DUMMYFUNCTION("MID(INDEX(SPLIT($F300,"",""),COLUMN()-6),2,300)"),"#REF!")</f>
        <v>#REF!</v>
      </c>
      <c r="I300" s="3" t="str">
        <f>IFERROR(__xludf.DUMMYFUNCTION("MID(INDEX(SPLIT($F300,"",""),COLUMN()-6),2,300)"),"#REF!")</f>
        <v>#REF!</v>
      </c>
      <c r="J300" s="3" t="str">
        <f>IFERROR(__xludf.DUMMYFUNCTION("MID(INDEX(SPLIT($F300,"",""),COLUMN()-6),2,300)"),"#REF!")</f>
        <v>#REF!</v>
      </c>
      <c r="K300" s="3">
        <f>IFERROR(__xludf.DUMMYFUNCTION("INDEX(SPLIT(G300,"" ""),1)"),3.0)</f>
        <v>3</v>
      </c>
      <c r="L300" s="3" t="str">
        <f>IFERROR(__xludf.DUMMYFUNCTION("REGEXEXTRACT(G300,"" [^ ]* [^ ]* "")")," vibrant plum ")</f>
        <v> vibrant plum </v>
      </c>
      <c r="M300" s="3" t="str">
        <f>IFERROR(__xludf.DUMMYFUNCTION("INDEX(SPLIT(H300,"" ""),1)"),"#REF!")</f>
        <v>#REF!</v>
      </c>
      <c r="N300" s="3" t="str">
        <f>IFERROR(__xludf.DUMMYFUNCTION("MID(REGEXEXTRACT(H300,"" [^ ]* [^ ]*""),2,300)"),"#REF!")</f>
        <v>#REF!</v>
      </c>
      <c r="O300" s="3" t="str">
        <f>IFERROR(__xludf.DUMMYFUNCTION("INDEX(SPLIT(I300,"" ""),1)"),"#REF!")</f>
        <v>#REF!</v>
      </c>
      <c r="P300" s="3" t="str">
        <f>IFERROR(__xludf.DUMMYFUNCTION("MID(REGEXEXTRACT(I300,"" [^ ]* [^ ]*""),2,300)"),"#REF!")</f>
        <v>#REF!</v>
      </c>
      <c r="Q300" s="3" t="str">
        <f>IFERROR(__xludf.DUMMYFUNCTION("INDEX(SPLIT(J300,"" ""),1)"),"#REF!")</f>
        <v>#REF!</v>
      </c>
      <c r="R300" s="3" t="str">
        <f>IFERROR(__xludf.DUMMYFUNCTION("MID(REGEXEXTRACT(J300,"" [^ ]* [^ ]*""),2,300)"),"#REF!")</f>
        <v>#REF!</v>
      </c>
      <c r="S300" s="3">
        <f t="shared" si="2"/>
        <v>3</v>
      </c>
      <c r="T300" s="3" t="str">
        <f t="shared" si="3"/>
        <v>vibrant plum</v>
      </c>
      <c r="U300" s="3" t="str">
        <f t="shared" si="4"/>
        <v/>
      </c>
      <c r="V300" s="3" t="str">
        <f t="shared" si="5"/>
        <v/>
      </c>
      <c r="W300" s="3" t="str">
        <f t="shared" si="6"/>
        <v/>
      </c>
      <c r="X300" s="3" t="str">
        <f t="shared" si="7"/>
        <v/>
      </c>
      <c r="Y300" s="3" t="str">
        <f t="shared" si="8"/>
        <v/>
      </c>
      <c r="Z300" s="3" t="str">
        <f t="shared" si="9"/>
        <v/>
      </c>
      <c r="AA300" s="13">
        <f t="shared" si="10"/>
        <v>79927</v>
      </c>
      <c r="AB300" s="3">
        <f t="shared" si="11"/>
        <v>79926</v>
      </c>
      <c r="AC300" s="3">
        <f t="shared" si="12"/>
        <v>3</v>
      </c>
      <c r="AD300" s="3">
        <f t="shared" si="13"/>
        <v>26642</v>
      </c>
      <c r="AE300" s="3" t="str">
        <f t="shared" si="14"/>
        <v/>
      </c>
      <c r="AF300" s="3">
        <f t="shared" si="15"/>
        <v>0</v>
      </c>
      <c r="AG300" s="3" t="str">
        <f t="shared" si="16"/>
        <v/>
      </c>
      <c r="AH300" s="3">
        <f t="shared" si="17"/>
        <v>0</v>
      </c>
      <c r="AI300" s="3" t="str">
        <f t="shared" si="18"/>
        <v/>
      </c>
      <c r="AJ300" s="3">
        <f t="shared" si="19"/>
        <v>0</v>
      </c>
    </row>
    <row r="301">
      <c r="C301" s="6" t="s">
        <v>301</v>
      </c>
      <c r="D301" s="3">
        <f t="shared" si="1"/>
        <v>1</v>
      </c>
      <c r="E301" s="3" t="str">
        <f>IFERROR(__xludf.DUMMYFUNCTION("REGEXEXTRACT(C301,""[^ ]* [^ ]*"")"),"dark black")</f>
        <v>dark black</v>
      </c>
      <c r="F301" s="3" t="str">
        <f>IFERROR(__xludf.DUMMYFUNCTION("MID(REGEXEXTRACT(C301,""contain.*$""),9,300)"),"4 striped salmon bags, 4 dim bronze bags.")</f>
        <v>4 striped salmon bags, 4 dim bronze bags.</v>
      </c>
      <c r="G301" s="3" t="str">
        <f>IFERROR(__xludf.DUMMYFUNCTION("INDEX(SPLIT($F301,"",""),COLUMN()-6)"),"4 striped salmon bags")</f>
        <v>4 striped salmon bags</v>
      </c>
      <c r="H301" s="3" t="str">
        <f>IFERROR(__xludf.DUMMYFUNCTION("MID(INDEX(SPLIT($F301,"",""),COLUMN()-6),2,300)"),"4 dim bronze bags.")</f>
        <v>4 dim bronze bags.</v>
      </c>
      <c r="I301" s="3" t="str">
        <f>IFERROR(__xludf.DUMMYFUNCTION("MID(INDEX(SPLIT($F301,"",""),COLUMN()-6),2,300)"),"#REF!")</f>
        <v>#REF!</v>
      </c>
      <c r="J301" s="3" t="str">
        <f>IFERROR(__xludf.DUMMYFUNCTION("MID(INDEX(SPLIT($F301,"",""),COLUMN()-6),2,300)"),"#REF!")</f>
        <v>#REF!</v>
      </c>
      <c r="K301" s="3">
        <f>IFERROR(__xludf.DUMMYFUNCTION("INDEX(SPLIT(G301,"" ""),1)"),4.0)</f>
        <v>4</v>
      </c>
      <c r="L301" s="3" t="str">
        <f>IFERROR(__xludf.DUMMYFUNCTION("REGEXEXTRACT(G301,"" [^ ]* [^ ]* "")")," striped salmon ")</f>
        <v> striped salmon </v>
      </c>
      <c r="M301" s="3">
        <f>IFERROR(__xludf.DUMMYFUNCTION("INDEX(SPLIT(H301,"" ""),1)"),4.0)</f>
        <v>4</v>
      </c>
      <c r="N301" s="3" t="str">
        <f>IFERROR(__xludf.DUMMYFUNCTION("MID(REGEXEXTRACT(H301,"" [^ ]* [^ ]*""),2,300)"),"dim bronze")</f>
        <v>dim bronze</v>
      </c>
      <c r="O301" s="3" t="str">
        <f>IFERROR(__xludf.DUMMYFUNCTION("INDEX(SPLIT(I301,"" ""),1)"),"#REF!")</f>
        <v>#REF!</v>
      </c>
      <c r="P301" s="3" t="str">
        <f>IFERROR(__xludf.DUMMYFUNCTION("MID(REGEXEXTRACT(I301,"" [^ ]* [^ ]*""),2,300)"),"#REF!")</f>
        <v>#REF!</v>
      </c>
      <c r="Q301" s="3" t="str">
        <f>IFERROR(__xludf.DUMMYFUNCTION("INDEX(SPLIT(J301,"" ""),1)"),"#REF!")</f>
        <v>#REF!</v>
      </c>
      <c r="R301" s="3" t="str">
        <f>IFERROR(__xludf.DUMMYFUNCTION("MID(REGEXEXTRACT(J301,"" [^ ]* [^ ]*""),2,300)"),"#REF!")</f>
        <v>#REF!</v>
      </c>
      <c r="S301" s="3">
        <f t="shared" si="2"/>
        <v>4</v>
      </c>
      <c r="T301" s="3" t="str">
        <f t="shared" si="3"/>
        <v>striped salmon</v>
      </c>
      <c r="U301" s="3">
        <f t="shared" si="4"/>
        <v>4</v>
      </c>
      <c r="V301" s="3" t="str">
        <f t="shared" si="5"/>
        <v>dim bronze</v>
      </c>
      <c r="W301" s="3" t="str">
        <f t="shared" si="6"/>
        <v/>
      </c>
      <c r="X301" s="3" t="str">
        <f t="shared" si="7"/>
        <v/>
      </c>
      <c r="Y301" s="3" t="str">
        <f t="shared" si="8"/>
        <v/>
      </c>
      <c r="Z301" s="3" t="str">
        <f t="shared" si="9"/>
        <v/>
      </c>
      <c r="AA301" s="13">
        <f t="shared" si="10"/>
        <v>80455925</v>
      </c>
      <c r="AB301" s="3">
        <f t="shared" si="11"/>
        <v>80455924</v>
      </c>
      <c r="AC301" s="3">
        <f t="shared" si="12"/>
        <v>4</v>
      </c>
      <c r="AD301" s="3">
        <f t="shared" si="13"/>
        <v>19556960</v>
      </c>
      <c r="AE301" s="3">
        <f t="shared" si="14"/>
        <v>4</v>
      </c>
      <c r="AF301" s="3">
        <f t="shared" si="15"/>
        <v>557021</v>
      </c>
      <c r="AG301" s="3" t="str">
        <f t="shared" si="16"/>
        <v/>
      </c>
      <c r="AH301" s="3">
        <f t="shared" si="17"/>
        <v>0</v>
      </c>
      <c r="AI301" s="3" t="str">
        <f t="shared" si="18"/>
        <v/>
      </c>
      <c r="AJ301" s="3">
        <f t="shared" si="19"/>
        <v>0</v>
      </c>
    </row>
    <row r="302">
      <c r="C302" s="6" t="s">
        <v>302</v>
      </c>
      <c r="D302" s="3">
        <f t="shared" si="1"/>
        <v>3</v>
      </c>
      <c r="E302" s="3" t="str">
        <f>IFERROR(__xludf.DUMMYFUNCTION("REGEXEXTRACT(C302,""[^ ]* [^ ]*"")"),"plaid bronze")</f>
        <v>plaid bronze</v>
      </c>
      <c r="F302" s="3" t="str">
        <f>IFERROR(__xludf.DUMMYFUNCTION("MID(REGEXEXTRACT(C302,""contain.*$""),9,300)"),"2 mirrored black bags, 1 drab bronze bag, 4 plaid purple bags, 5 dull tomato bags.")</f>
        <v>2 mirrored black bags, 1 drab bronze bag, 4 plaid purple bags, 5 dull tomato bags.</v>
      </c>
      <c r="G302" s="3" t="str">
        <f>IFERROR(__xludf.DUMMYFUNCTION("INDEX(SPLIT($F302,"",""),COLUMN()-6)"),"2 mirrored black bags")</f>
        <v>2 mirrored black bags</v>
      </c>
      <c r="H302" s="3" t="str">
        <f>IFERROR(__xludf.DUMMYFUNCTION("MID(INDEX(SPLIT($F302,"",""),COLUMN()-6),2,300)"),"1 drab bronze bag")</f>
        <v>1 drab bronze bag</v>
      </c>
      <c r="I302" s="3" t="str">
        <f>IFERROR(__xludf.DUMMYFUNCTION("MID(INDEX(SPLIT($F302,"",""),COLUMN()-6),2,300)"),"4 plaid purple bags")</f>
        <v>4 plaid purple bags</v>
      </c>
      <c r="J302" s="3" t="str">
        <f>IFERROR(__xludf.DUMMYFUNCTION("MID(INDEX(SPLIT($F302,"",""),COLUMN()-6),2,300)"),"5 dull tomato bags.")</f>
        <v>5 dull tomato bags.</v>
      </c>
      <c r="K302" s="3">
        <f>IFERROR(__xludf.DUMMYFUNCTION("INDEX(SPLIT(G302,"" ""),1)"),2.0)</f>
        <v>2</v>
      </c>
      <c r="L302" s="3" t="str">
        <f>IFERROR(__xludf.DUMMYFUNCTION("REGEXEXTRACT(G302,"" [^ ]* [^ ]* "")")," mirrored black ")</f>
        <v> mirrored black </v>
      </c>
      <c r="M302" s="3">
        <f>IFERROR(__xludf.DUMMYFUNCTION("INDEX(SPLIT(H302,"" ""),1)"),1.0)</f>
        <v>1</v>
      </c>
      <c r="N302" s="3" t="str">
        <f>IFERROR(__xludf.DUMMYFUNCTION("MID(REGEXEXTRACT(H302,"" [^ ]* [^ ]*""),2,300)"),"drab bronze")</f>
        <v>drab bronze</v>
      </c>
      <c r="O302" s="3">
        <f>IFERROR(__xludf.DUMMYFUNCTION("INDEX(SPLIT(I302,"" ""),1)"),4.0)</f>
        <v>4</v>
      </c>
      <c r="P302" s="3" t="str">
        <f>IFERROR(__xludf.DUMMYFUNCTION("MID(REGEXEXTRACT(I302,"" [^ ]* [^ ]*""),2,300)"),"plaid purple")</f>
        <v>plaid purple</v>
      </c>
      <c r="Q302" s="3">
        <f>IFERROR(__xludf.DUMMYFUNCTION("INDEX(SPLIT(J302,"" ""),1)"),5.0)</f>
        <v>5</v>
      </c>
      <c r="R302" s="3" t="str">
        <f>IFERROR(__xludf.DUMMYFUNCTION("MID(REGEXEXTRACT(J302,"" [^ ]* [^ ]*""),2,300)"),"dull tomato")</f>
        <v>dull tomato</v>
      </c>
      <c r="S302" s="3">
        <f t="shared" si="2"/>
        <v>2</v>
      </c>
      <c r="T302" s="3" t="str">
        <f t="shared" si="3"/>
        <v>mirrored black</v>
      </c>
      <c r="U302" s="3">
        <f t="shared" si="4"/>
        <v>1</v>
      </c>
      <c r="V302" s="3" t="str">
        <f t="shared" si="5"/>
        <v>drab bronze</v>
      </c>
      <c r="W302" s="3">
        <f t="shared" si="6"/>
        <v>4</v>
      </c>
      <c r="X302" s="3" t="str">
        <f t="shared" si="7"/>
        <v>plaid purple</v>
      </c>
      <c r="Y302" s="3">
        <f t="shared" si="8"/>
        <v>5</v>
      </c>
      <c r="Z302" s="3" t="str">
        <f t="shared" si="9"/>
        <v>dull tomato</v>
      </c>
      <c r="AA302" s="13">
        <f t="shared" si="10"/>
        <v>206997</v>
      </c>
      <c r="AB302" s="3">
        <f t="shared" si="11"/>
        <v>206996</v>
      </c>
      <c r="AC302" s="3">
        <f t="shared" si="12"/>
        <v>2</v>
      </c>
      <c r="AD302" s="3">
        <f t="shared" si="13"/>
        <v>9037</v>
      </c>
      <c r="AE302" s="3">
        <f t="shared" si="14"/>
        <v>1</v>
      </c>
      <c r="AF302" s="3">
        <f t="shared" si="15"/>
        <v>79943</v>
      </c>
      <c r="AG302" s="3">
        <f t="shared" si="16"/>
        <v>4</v>
      </c>
      <c r="AH302" s="3">
        <f t="shared" si="17"/>
        <v>27231</v>
      </c>
      <c r="AI302" s="3">
        <f t="shared" si="18"/>
        <v>5</v>
      </c>
      <c r="AJ302" s="3">
        <f t="shared" si="19"/>
        <v>11</v>
      </c>
    </row>
    <row r="303">
      <c r="C303" s="6" t="s">
        <v>303</v>
      </c>
      <c r="D303" s="3">
        <f t="shared" si="1"/>
        <v>0</v>
      </c>
      <c r="E303" s="3" t="str">
        <f>IFERROR(__xludf.DUMMYFUNCTION("REGEXEXTRACT(C303,""[^ ]* [^ ]*"")"),"faded orange")</f>
        <v>faded orange</v>
      </c>
      <c r="F303" s="3" t="str">
        <f>IFERROR(__xludf.DUMMYFUNCTION("MID(REGEXEXTRACT(C303,""contain.*$""),9,300)"),"5 plaid indigo bags.")</f>
        <v>5 plaid indigo bags.</v>
      </c>
      <c r="G303" s="3" t="str">
        <f>IFERROR(__xludf.DUMMYFUNCTION("INDEX(SPLIT($F303,"",""),COLUMN()-6)"),"5 plaid indigo bags.")</f>
        <v>5 plaid indigo bags.</v>
      </c>
      <c r="H303" s="3" t="str">
        <f>IFERROR(__xludf.DUMMYFUNCTION("MID(INDEX(SPLIT($F303,"",""),COLUMN()-6),2,300)"),"#REF!")</f>
        <v>#REF!</v>
      </c>
      <c r="I303" s="3" t="str">
        <f>IFERROR(__xludf.DUMMYFUNCTION("MID(INDEX(SPLIT($F303,"",""),COLUMN()-6),2,300)"),"#REF!")</f>
        <v>#REF!</v>
      </c>
      <c r="J303" s="3" t="str">
        <f>IFERROR(__xludf.DUMMYFUNCTION("MID(INDEX(SPLIT($F303,"",""),COLUMN()-6),2,300)"),"#REF!")</f>
        <v>#REF!</v>
      </c>
      <c r="K303" s="3">
        <f>IFERROR(__xludf.DUMMYFUNCTION("INDEX(SPLIT(G303,"" ""),1)"),5.0)</f>
        <v>5</v>
      </c>
      <c r="L303" s="3" t="str">
        <f>IFERROR(__xludf.DUMMYFUNCTION("REGEXEXTRACT(G303,"" [^ ]* [^ ]* "")")," plaid indigo ")</f>
        <v> plaid indigo </v>
      </c>
      <c r="M303" s="3" t="str">
        <f>IFERROR(__xludf.DUMMYFUNCTION("INDEX(SPLIT(H303,"" ""),1)"),"#REF!")</f>
        <v>#REF!</v>
      </c>
      <c r="N303" s="3" t="str">
        <f>IFERROR(__xludf.DUMMYFUNCTION("MID(REGEXEXTRACT(H303,"" [^ ]* [^ ]*""),2,300)"),"#REF!")</f>
        <v>#REF!</v>
      </c>
      <c r="O303" s="3" t="str">
        <f>IFERROR(__xludf.DUMMYFUNCTION("INDEX(SPLIT(I303,"" ""),1)"),"#REF!")</f>
        <v>#REF!</v>
      </c>
      <c r="P303" s="3" t="str">
        <f>IFERROR(__xludf.DUMMYFUNCTION("MID(REGEXEXTRACT(I303,"" [^ ]* [^ ]*""),2,300)"),"#REF!")</f>
        <v>#REF!</v>
      </c>
      <c r="Q303" s="3" t="str">
        <f>IFERROR(__xludf.DUMMYFUNCTION("INDEX(SPLIT(J303,"" ""),1)"),"#REF!")</f>
        <v>#REF!</v>
      </c>
      <c r="R303" s="3" t="str">
        <f>IFERROR(__xludf.DUMMYFUNCTION("MID(REGEXEXTRACT(J303,"" [^ ]* [^ ]*""),2,300)"),"#REF!")</f>
        <v>#REF!</v>
      </c>
      <c r="S303" s="3">
        <f t="shared" si="2"/>
        <v>5</v>
      </c>
      <c r="T303" s="3" t="str">
        <f t="shared" si="3"/>
        <v>plaid indigo</v>
      </c>
      <c r="U303" s="3" t="str">
        <f t="shared" si="4"/>
        <v/>
      </c>
      <c r="V303" s="3" t="str">
        <f t="shared" si="5"/>
        <v/>
      </c>
      <c r="W303" s="3" t="str">
        <f t="shared" si="6"/>
        <v/>
      </c>
      <c r="X303" s="3" t="str">
        <f t="shared" si="7"/>
        <v/>
      </c>
      <c r="Y303" s="3" t="str">
        <f t="shared" si="8"/>
        <v/>
      </c>
      <c r="Z303" s="3" t="str">
        <f t="shared" si="9"/>
        <v/>
      </c>
      <c r="AA303" s="13">
        <f t="shared" si="10"/>
        <v>7726531</v>
      </c>
      <c r="AB303" s="3">
        <f t="shared" si="11"/>
        <v>7726530</v>
      </c>
      <c r="AC303" s="3">
        <f t="shared" si="12"/>
        <v>5</v>
      </c>
      <c r="AD303" s="3">
        <f t="shared" si="13"/>
        <v>1545306</v>
      </c>
      <c r="AE303" s="3" t="str">
        <f t="shared" si="14"/>
        <v/>
      </c>
      <c r="AF303" s="3">
        <f t="shared" si="15"/>
        <v>0</v>
      </c>
      <c r="AG303" s="3" t="str">
        <f t="shared" si="16"/>
        <v/>
      </c>
      <c r="AH303" s="3">
        <f t="shared" si="17"/>
        <v>0</v>
      </c>
      <c r="AI303" s="3" t="str">
        <f t="shared" si="18"/>
        <v/>
      </c>
      <c r="AJ303" s="3">
        <f t="shared" si="19"/>
        <v>0</v>
      </c>
    </row>
    <row r="304">
      <c r="C304" s="6" t="s">
        <v>304</v>
      </c>
      <c r="D304" s="3">
        <f t="shared" si="1"/>
        <v>2</v>
      </c>
      <c r="E304" s="3" t="str">
        <f>IFERROR(__xludf.DUMMYFUNCTION("REGEXEXTRACT(C304,""[^ ]* [^ ]*"")"),"light lavender")</f>
        <v>light lavender</v>
      </c>
      <c r="F304" s="3" t="str">
        <f>IFERROR(__xludf.DUMMYFUNCTION("MID(REGEXEXTRACT(C304,""contain.*$""),9,300)"),"2 shiny magenta bags, 5 dim lavender bags, 1 dotted crimson bag.")</f>
        <v>2 shiny magenta bags, 5 dim lavender bags, 1 dotted crimson bag.</v>
      </c>
      <c r="G304" s="3" t="str">
        <f>IFERROR(__xludf.DUMMYFUNCTION("INDEX(SPLIT($F304,"",""),COLUMN()-6)"),"2 shiny magenta bags")</f>
        <v>2 shiny magenta bags</v>
      </c>
      <c r="H304" s="3" t="str">
        <f>IFERROR(__xludf.DUMMYFUNCTION("MID(INDEX(SPLIT($F304,"",""),COLUMN()-6),2,300)"),"5 dim lavender bags")</f>
        <v>5 dim lavender bags</v>
      </c>
      <c r="I304" s="3" t="str">
        <f>IFERROR(__xludf.DUMMYFUNCTION("MID(INDEX(SPLIT($F304,"",""),COLUMN()-6),2,300)"),"1 dotted crimson bag.")</f>
        <v>1 dotted crimson bag.</v>
      </c>
      <c r="J304" s="3" t="str">
        <f>IFERROR(__xludf.DUMMYFUNCTION("MID(INDEX(SPLIT($F304,"",""),COLUMN()-6),2,300)"),"#REF!")</f>
        <v>#REF!</v>
      </c>
      <c r="K304" s="3">
        <f>IFERROR(__xludf.DUMMYFUNCTION("INDEX(SPLIT(G304,"" ""),1)"),2.0)</f>
        <v>2</v>
      </c>
      <c r="L304" s="3" t="str">
        <f>IFERROR(__xludf.DUMMYFUNCTION("REGEXEXTRACT(G304,"" [^ ]* [^ ]* "")")," shiny magenta ")</f>
        <v> shiny magenta </v>
      </c>
      <c r="M304" s="3">
        <f>IFERROR(__xludf.DUMMYFUNCTION("INDEX(SPLIT(H304,"" ""),1)"),5.0)</f>
        <v>5</v>
      </c>
      <c r="N304" s="3" t="str">
        <f>IFERROR(__xludf.DUMMYFUNCTION("MID(REGEXEXTRACT(H304,"" [^ ]* [^ ]*""),2,300)"),"dim lavender")</f>
        <v>dim lavender</v>
      </c>
      <c r="O304" s="3">
        <f>IFERROR(__xludf.DUMMYFUNCTION("INDEX(SPLIT(I304,"" ""),1)"),1.0)</f>
        <v>1</v>
      </c>
      <c r="P304" s="3" t="str">
        <f>IFERROR(__xludf.DUMMYFUNCTION("MID(REGEXEXTRACT(I304,"" [^ ]* [^ ]*""),2,300)"),"dotted crimson")</f>
        <v>dotted crimson</v>
      </c>
      <c r="Q304" s="3" t="str">
        <f>IFERROR(__xludf.DUMMYFUNCTION("INDEX(SPLIT(J304,"" ""),1)"),"#REF!")</f>
        <v>#REF!</v>
      </c>
      <c r="R304" s="3" t="str">
        <f>IFERROR(__xludf.DUMMYFUNCTION("MID(REGEXEXTRACT(J304,"" [^ ]* [^ ]*""),2,300)"),"#REF!")</f>
        <v>#REF!</v>
      </c>
      <c r="S304" s="3">
        <f t="shared" si="2"/>
        <v>2</v>
      </c>
      <c r="T304" s="3" t="str">
        <f t="shared" si="3"/>
        <v>shiny magenta</v>
      </c>
      <c r="U304" s="3">
        <f t="shared" si="4"/>
        <v>5</v>
      </c>
      <c r="V304" s="3" t="str">
        <f t="shared" si="5"/>
        <v>dim lavender</v>
      </c>
      <c r="W304" s="3">
        <f t="shared" si="6"/>
        <v>1</v>
      </c>
      <c r="X304" s="3" t="str">
        <f t="shared" si="7"/>
        <v>dotted crimson</v>
      </c>
      <c r="Y304" s="3" t="str">
        <f t="shared" si="8"/>
        <v/>
      </c>
      <c r="Z304" s="3" t="str">
        <f t="shared" si="9"/>
        <v/>
      </c>
      <c r="AA304" s="13">
        <f t="shared" si="10"/>
        <v>3872851</v>
      </c>
      <c r="AB304" s="3">
        <f t="shared" si="11"/>
        <v>3872850</v>
      </c>
      <c r="AC304" s="3">
        <f t="shared" si="12"/>
        <v>2</v>
      </c>
      <c r="AD304" s="3">
        <f t="shared" si="13"/>
        <v>7288</v>
      </c>
      <c r="AE304" s="3">
        <f t="shared" si="14"/>
        <v>5</v>
      </c>
      <c r="AF304" s="3">
        <f t="shared" si="15"/>
        <v>771399</v>
      </c>
      <c r="AG304" s="3">
        <f t="shared" si="16"/>
        <v>1</v>
      </c>
      <c r="AH304" s="3">
        <f t="shared" si="17"/>
        <v>1279</v>
      </c>
      <c r="AI304" s="3" t="str">
        <f t="shared" si="18"/>
        <v/>
      </c>
      <c r="AJ304" s="3">
        <f t="shared" si="19"/>
        <v>0</v>
      </c>
    </row>
    <row r="305">
      <c r="C305" s="6" t="s">
        <v>305</v>
      </c>
      <c r="D305" s="3">
        <f t="shared" si="1"/>
        <v>0</v>
      </c>
      <c r="E305" s="3" t="str">
        <f>IFERROR(__xludf.DUMMYFUNCTION("REGEXEXTRACT(C305,""[^ ]* [^ ]*"")"),"dull chartreuse")</f>
        <v>dull chartreuse</v>
      </c>
      <c r="F305" s="3" t="str">
        <f>IFERROR(__xludf.DUMMYFUNCTION("MID(REGEXEXTRACT(C305,""contain.*$""),9,300)"),"4 clear lime bags.")</f>
        <v>4 clear lime bags.</v>
      </c>
      <c r="G305" s="3" t="str">
        <f>IFERROR(__xludf.DUMMYFUNCTION("INDEX(SPLIT($F305,"",""),COLUMN()-6)"),"4 clear lime bags.")</f>
        <v>4 clear lime bags.</v>
      </c>
      <c r="H305" s="3" t="str">
        <f>IFERROR(__xludf.DUMMYFUNCTION("MID(INDEX(SPLIT($F305,"",""),COLUMN()-6),2,300)"),"#REF!")</f>
        <v>#REF!</v>
      </c>
      <c r="I305" s="3" t="str">
        <f>IFERROR(__xludf.DUMMYFUNCTION("MID(INDEX(SPLIT($F305,"",""),COLUMN()-6),2,300)"),"#REF!")</f>
        <v>#REF!</v>
      </c>
      <c r="J305" s="3" t="str">
        <f>IFERROR(__xludf.DUMMYFUNCTION("MID(INDEX(SPLIT($F305,"",""),COLUMN()-6),2,300)"),"#REF!")</f>
        <v>#REF!</v>
      </c>
      <c r="K305" s="3">
        <f>IFERROR(__xludf.DUMMYFUNCTION("INDEX(SPLIT(G305,"" ""),1)"),4.0)</f>
        <v>4</v>
      </c>
      <c r="L305" s="3" t="str">
        <f>IFERROR(__xludf.DUMMYFUNCTION("REGEXEXTRACT(G305,"" [^ ]* [^ ]* "")")," clear lime ")</f>
        <v> clear lime </v>
      </c>
      <c r="M305" s="3" t="str">
        <f>IFERROR(__xludf.DUMMYFUNCTION("INDEX(SPLIT(H305,"" ""),1)"),"#REF!")</f>
        <v>#REF!</v>
      </c>
      <c r="N305" s="3" t="str">
        <f>IFERROR(__xludf.DUMMYFUNCTION("MID(REGEXEXTRACT(H305,"" [^ ]* [^ ]*""),2,300)"),"#REF!")</f>
        <v>#REF!</v>
      </c>
      <c r="O305" s="3" t="str">
        <f>IFERROR(__xludf.DUMMYFUNCTION("INDEX(SPLIT(I305,"" ""),1)"),"#REF!")</f>
        <v>#REF!</v>
      </c>
      <c r="P305" s="3" t="str">
        <f>IFERROR(__xludf.DUMMYFUNCTION("MID(REGEXEXTRACT(I305,"" [^ ]* [^ ]*""),2,300)"),"#REF!")</f>
        <v>#REF!</v>
      </c>
      <c r="Q305" s="3" t="str">
        <f>IFERROR(__xludf.DUMMYFUNCTION("INDEX(SPLIT(J305,"" ""),1)"),"#REF!")</f>
        <v>#REF!</v>
      </c>
      <c r="R305" s="3" t="str">
        <f>IFERROR(__xludf.DUMMYFUNCTION("MID(REGEXEXTRACT(J305,"" [^ ]* [^ ]*""),2,300)"),"#REF!")</f>
        <v>#REF!</v>
      </c>
      <c r="S305" s="3">
        <f t="shared" si="2"/>
        <v>4</v>
      </c>
      <c r="T305" s="3" t="str">
        <f t="shared" si="3"/>
        <v>clear lime</v>
      </c>
      <c r="U305" s="3" t="str">
        <f t="shared" si="4"/>
        <v/>
      </c>
      <c r="V305" s="3" t="str">
        <f t="shared" si="5"/>
        <v/>
      </c>
      <c r="W305" s="3" t="str">
        <f t="shared" si="6"/>
        <v/>
      </c>
      <c r="X305" s="3" t="str">
        <f t="shared" si="7"/>
        <v/>
      </c>
      <c r="Y305" s="3" t="str">
        <f t="shared" si="8"/>
        <v/>
      </c>
      <c r="Z305" s="3" t="str">
        <f t="shared" si="9"/>
        <v/>
      </c>
      <c r="AA305" s="13">
        <f t="shared" si="10"/>
        <v>3090501</v>
      </c>
      <c r="AB305" s="3">
        <f t="shared" si="11"/>
        <v>3090500</v>
      </c>
      <c r="AC305" s="3">
        <f t="shared" si="12"/>
        <v>4</v>
      </c>
      <c r="AD305" s="3">
        <f t="shared" si="13"/>
        <v>772625</v>
      </c>
      <c r="AE305" s="3" t="str">
        <f t="shared" si="14"/>
        <v/>
      </c>
      <c r="AF305" s="3">
        <f t="shared" si="15"/>
        <v>0</v>
      </c>
      <c r="AG305" s="3" t="str">
        <f t="shared" si="16"/>
        <v/>
      </c>
      <c r="AH305" s="3">
        <f t="shared" si="17"/>
        <v>0</v>
      </c>
      <c r="AI305" s="3" t="str">
        <f t="shared" si="18"/>
        <v/>
      </c>
      <c r="AJ305" s="3">
        <f t="shared" si="19"/>
        <v>0</v>
      </c>
    </row>
    <row r="306">
      <c r="C306" s="6" t="s">
        <v>306</v>
      </c>
      <c r="D306" s="3">
        <f t="shared" si="1"/>
        <v>0</v>
      </c>
      <c r="E306" s="3" t="str">
        <f>IFERROR(__xludf.DUMMYFUNCTION("REGEXEXTRACT(C306,""[^ ]* [^ ]*"")"),"dark gold")</f>
        <v>dark gold</v>
      </c>
      <c r="F306" s="3" t="str">
        <f>IFERROR(__xludf.DUMMYFUNCTION("MID(REGEXEXTRACT(C306,""contain.*$""),9,300)"),"4 light magenta bags.")</f>
        <v>4 light magenta bags.</v>
      </c>
      <c r="G306" s="3" t="str">
        <f>IFERROR(__xludf.DUMMYFUNCTION("INDEX(SPLIT($F306,"",""),COLUMN()-6)"),"4 light magenta bags.")</f>
        <v>4 light magenta bags.</v>
      </c>
      <c r="H306" s="3" t="str">
        <f>IFERROR(__xludf.DUMMYFUNCTION("MID(INDEX(SPLIT($F306,"",""),COLUMN()-6),2,300)"),"#REF!")</f>
        <v>#REF!</v>
      </c>
      <c r="I306" s="3" t="str">
        <f>IFERROR(__xludf.DUMMYFUNCTION("MID(INDEX(SPLIT($F306,"",""),COLUMN()-6),2,300)"),"#REF!")</f>
        <v>#REF!</v>
      </c>
      <c r="J306" s="3" t="str">
        <f>IFERROR(__xludf.DUMMYFUNCTION("MID(INDEX(SPLIT($F306,"",""),COLUMN()-6),2,300)"),"#REF!")</f>
        <v>#REF!</v>
      </c>
      <c r="K306" s="3">
        <f>IFERROR(__xludf.DUMMYFUNCTION("INDEX(SPLIT(G306,"" ""),1)"),4.0)</f>
        <v>4</v>
      </c>
      <c r="L306" s="3" t="str">
        <f>IFERROR(__xludf.DUMMYFUNCTION("REGEXEXTRACT(G306,"" [^ ]* [^ ]* "")")," light magenta ")</f>
        <v> light magenta </v>
      </c>
      <c r="M306" s="3" t="str">
        <f>IFERROR(__xludf.DUMMYFUNCTION("INDEX(SPLIT(H306,"" ""),1)"),"#REF!")</f>
        <v>#REF!</v>
      </c>
      <c r="N306" s="3" t="str">
        <f>IFERROR(__xludf.DUMMYFUNCTION("MID(REGEXEXTRACT(H306,"" [^ ]* [^ ]*""),2,300)"),"#REF!")</f>
        <v>#REF!</v>
      </c>
      <c r="O306" s="3" t="str">
        <f>IFERROR(__xludf.DUMMYFUNCTION("INDEX(SPLIT(I306,"" ""),1)"),"#REF!")</f>
        <v>#REF!</v>
      </c>
      <c r="P306" s="3" t="str">
        <f>IFERROR(__xludf.DUMMYFUNCTION("MID(REGEXEXTRACT(I306,"" [^ ]* [^ ]*""),2,300)"),"#REF!")</f>
        <v>#REF!</v>
      </c>
      <c r="Q306" s="3" t="str">
        <f>IFERROR(__xludf.DUMMYFUNCTION("INDEX(SPLIT(J306,"" ""),1)"),"#REF!")</f>
        <v>#REF!</v>
      </c>
      <c r="R306" s="3" t="str">
        <f>IFERROR(__xludf.DUMMYFUNCTION("MID(REGEXEXTRACT(J306,"" [^ ]* [^ ]*""),2,300)"),"#REF!")</f>
        <v>#REF!</v>
      </c>
      <c r="S306" s="3">
        <f t="shared" si="2"/>
        <v>4</v>
      </c>
      <c r="T306" s="3" t="str">
        <f t="shared" si="3"/>
        <v>light magenta</v>
      </c>
      <c r="U306" s="3" t="str">
        <f t="shared" si="4"/>
        <v/>
      </c>
      <c r="V306" s="3" t="str">
        <f t="shared" si="5"/>
        <v/>
      </c>
      <c r="W306" s="3" t="str">
        <f t="shared" si="6"/>
        <v/>
      </c>
      <c r="X306" s="3" t="str">
        <f t="shared" si="7"/>
        <v/>
      </c>
      <c r="Y306" s="3" t="str">
        <f t="shared" si="8"/>
        <v/>
      </c>
      <c r="Z306" s="3" t="str">
        <f t="shared" si="9"/>
        <v/>
      </c>
      <c r="AA306" s="13">
        <f t="shared" si="10"/>
        <v>1599377797</v>
      </c>
      <c r="AB306" s="3">
        <f t="shared" si="11"/>
        <v>1599377796</v>
      </c>
      <c r="AC306" s="3">
        <f t="shared" si="12"/>
        <v>4</v>
      </c>
      <c r="AD306" s="3">
        <f t="shared" si="13"/>
        <v>399844449</v>
      </c>
      <c r="AE306" s="3" t="str">
        <f t="shared" si="14"/>
        <v/>
      </c>
      <c r="AF306" s="3">
        <f t="shared" si="15"/>
        <v>0</v>
      </c>
      <c r="AG306" s="3" t="str">
        <f t="shared" si="16"/>
        <v/>
      </c>
      <c r="AH306" s="3">
        <f t="shared" si="17"/>
        <v>0</v>
      </c>
      <c r="AI306" s="3" t="str">
        <f t="shared" si="18"/>
        <v/>
      </c>
      <c r="AJ306" s="3">
        <f t="shared" si="19"/>
        <v>0</v>
      </c>
    </row>
    <row r="307">
      <c r="C307" s="6" t="s">
        <v>307</v>
      </c>
      <c r="D307" s="3">
        <f t="shared" si="1"/>
        <v>1</v>
      </c>
      <c r="E307" s="3" t="str">
        <f>IFERROR(__xludf.DUMMYFUNCTION("REGEXEXTRACT(C307,""[^ ]* [^ ]*"")"),"dim black")</f>
        <v>dim black</v>
      </c>
      <c r="F307" s="3" t="str">
        <f>IFERROR(__xludf.DUMMYFUNCTION("MID(REGEXEXTRACT(C307,""contain.*$""),9,300)"),"4 shiny silver bags, 1 dull tomato bag.")</f>
        <v>4 shiny silver bags, 1 dull tomato bag.</v>
      </c>
      <c r="G307" s="3" t="str">
        <f>IFERROR(__xludf.DUMMYFUNCTION("INDEX(SPLIT($F307,"",""),COLUMN()-6)"),"4 shiny silver bags")</f>
        <v>4 shiny silver bags</v>
      </c>
      <c r="H307" s="3" t="str">
        <f>IFERROR(__xludf.DUMMYFUNCTION("MID(INDEX(SPLIT($F307,"",""),COLUMN()-6),2,300)"),"1 dull tomato bag.")</f>
        <v>1 dull tomato bag.</v>
      </c>
      <c r="I307" s="3" t="str">
        <f>IFERROR(__xludf.DUMMYFUNCTION("MID(INDEX(SPLIT($F307,"",""),COLUMN()-6),2,300)"),"#REF!")</f>
        <v>#REF!</v>
      </c>
      <c r="J307" s="3" t="str">
        <f>IFERROR(__xludf.DUMMYFUNCTION("MID(INDEX(SPLIT($F307,"",""),COLUMN()-6),2,300)"),"#REF!")</f>
        <v>#REF!</v>
      </c>
      <c r="K307" s="3">
        <f>IFERROR(__xludf.DUMMYFUNCTION("INDEX(SPLIT(G307,"" ""),1)"),4.0)</f>
        <v>4</v>
      </c>
      <c r="L307" s="3" t="str">
        <f>IFERROR(__xludf.DUMMYFUNCTION("REGEXEXTRACT(G307,"" [^ ]* [^ ]* "")")," shiny silver ")</f>
        <v> shiny silver </v>
      </c>
      <c r="M307" s="3">
        <f>IFERROR(__xludf.DUMMYFUNCTION("INDEX(SPLIT(H307,"" ""),1)"),1.0)</f>
        <v>1</v>
      </c>
      <c r="N307" s="3" t="str">
        <f>IFERROR(__xludf.DUMMYFUNCTION("MID(REGEXEXTRACT(H307,"" [^ ]* [^ ]*""),2,300)"),"dull tomato")</f>
        <v>dull tomato</v>
      </c>
      <c r="O307" s="3" t="str">
        <f>IFERROR(__xludf.DUMMYFUNCTION("INDEX(SPLIT(I307,"" ""),1)"),"#REF!")</f>
        <v>#REF!</v>
      </c>
      <c r="P307" s="3" t="str">
        <f>IFERROR(__xludf.DUMMYFUNCTION("MID(REGEXEXTRACT(I307,"" [^ ]* [^ ]*""),2,300)"),"#REF!")</f>
        <v>#REF!</v>
      </c>
      <c r="Q307" s="3" t="str">
        <f>IFERROR(__xludf.DUMMYFUNCTION("INDEX(SPLIT(J307,"" ""),1)"),"#REF!")</f>
        <v>#REF!</v>
      </c>
      <c r="R307" s="3" t="str">
        <f>IFERROR(__xludf.DUMMYFUNCTION("MID(REGEXEXTRACT(J307,"" [^ ]* [^ ]*""),2,300)"),"#REF!")</f>
        <v>#REF!</v>
      </c>
      <c r="S307" s="3">
        <f t="shared" si="2"/>
        <v>4</v>
      </c>
      <c r="T307" s="3" t="str">
        <f t="shared" si="3"/>
        <v>shiny silver</v>
      </c>
      <c r="U307" s="3">
        <f t="shared" si="4"/>
        <v>1</v>
      </c>
      <c r="V307" s="3" t="str">
        <f t="shared" si="5"/>
        <v>dull tomato</v>
      </c>
      <c r="W307" s="3" t="str">
        <f t="shared" si="6"/>
        <v/>
      </c>
      <c r="X307" s="3" t="str">
        <f t="shared" si="7"/>
        <v/>
      </c>
      <c r="Y307" s="3" t="str">
        <f t="shared" si="8"/>
        <v/>
      </c>
      <c r="Z307" s="3" t="str">
        <f t="shared" si="9"/>
        <v/>
      </c>
      <c r="AA307" s="13">
        <f t="shared" si="10"/>
        <v>117480</v>
      </c>
      <c r="AB307" s="3">
        <f t="shared" si="11"/>
        <v>117479</v>
      </c>
      <c r="AC307" s="3">
        <f t="shared" si="12"/>
        <v>4</v>
      </c>
      <c r="AD307" s="3">
        <f t="shared" si="13"/>
        <v>29367</v>
      </c>
      <c r="AE307" s="3">
        <f t="shared" si="14"/>
        <v>1</v>
      </c>
      <c r="AF307" s="3">
        <f t="shared" si="15"/>
        <v>11</v>
      </c>
      <c r="AG307" s="3" t="str">
        <f t="shared" si="16"/>
        <v/>
      </c>
      <c r="AH307" s="3">
        <f t="shared" si="17"/>
        <v>0</v>
      </c>
      <c r="AI307" s="3" t="str">
        <f t="shared" si="18"/>
        <v/>
      </c>
      <c r="AJ307" s="3">
        <f t="shared" si="19"/>
        <v>0</v>
      </c>
    </row>
    <row r="308">
      <c r="C308" s="6" t="s">
        <v>308</v>
      </c>
      <c r="D308" s="3">
        <f t="shared" si="1"/>
        <v>2</v>
      </c>
      <c r="E308" s="3" t="str">
        <f>IFERROR(__xludf.DUMMYFUNCTION("REGEXEXTRACT(C308,""[^ ]* [^ ]*"")"),"plaid salmon")</f>
        <v>plaid salmon</v>
      </c>
      <c r="F308" s="3" t="str">
        <f>IFERROR(__xludf.DUMMYFUNCTION("MID(REGEXEXTRACT(C308,""contain.*$""),9,300)"),"3 light magenta bags, 4 dull fuchsia bags, 2 striped salmon bags.")</f>
        <v>3 light magenta bags, 4 dull fuchsia bags, 2 striped salmon bags.</v>
      </c>
      <c r="G308" s="3" t="str">
        <f>IFERROR(__xludf.DUMMYFUNCTION("INDEX(SPLIT($F308,"",""),COLUMN()-6)"),"3 light magenta bags")</f>
        <v>3 light magenta bags</v>
      </c>
      <c r="H308" s="3" t="str">
        <f>IFERROR(__xludf.DUMMYFUNCTION("MID(INDEX(SPLIT($F308,"",""),COLUMN()-6),2,300)"),"4 dull fuchsia bags")</f>
        <v>4 dull fuchsia bags</v>
      </c>
      <c r="I308" s="3" t="str">
        <f>IFERROR(__xludf.DUMMYFUNCTION("MID(INDEX(SPLIT($F308,"",""),COLUMN()-6),2,300)"),"2 striped salmon bags.")</f>
        <v>2 striped salmon bags.</v>
      </c>
      <c r="J308" s="3" t="str">
        <f>IFERROR(__xludf.DUMMYFUNCTION("MID(INDEX(SPLIT($F308,"",""),COLUMN()-6),2,300)"),"#REF!")</f>
        <v>#REF!</v>
      </c>
      <c r="K308" s="3">
        <f>IFERROR(__xludf.DUMMYFUNCTION("INDEX(SPLIT(G308,"" ""),1)"),3.0)</f>
        <v>3</v>
      </c>
      <c r="L308" s="3" t="str">
        <f>IFERROR(__xludf.DUMMYFUNCTION("REGEXEXTRACT(G308,"" [^ ]* [^ ]* "")")," light magenta ")</f>
        <v> light magenta </v>
      </c>
      <c r="M308" s="3">
        <f>IFERROR(__xludf.DUMMYFUNCTION("INDEX(SPLIT(H308,"" ""),1)"),4.0)</f>
        <v>4</v>
      </c>
      <c r="N308" s="3" t="str">
        <f>IFERROR(__xludf.DUMMYFUNCTION("MID(REGEXEXTRACT(H308,"" [^ ]* [^ ]*""),2,300)"),"dull fuchsia")</f>
        <v>dull fuchsia</v>
      </c>
      <c r="O308" s="3">
        <f>IFERROR(__xludf.DUMMYFUNCTION("INDEX(SPLIT(I308,"" ""),1)"),2.0)</f>
        <v>2</v>
      </c>
      <c r="P308" s="3" t="str">
        <f>IFERROR(__xludf.DUMMYFUNCTION("MID(REGEXEXTRACT(I308,"" [^ ]* [^ ]*""),2,300)"),"striped salmon")</f>
        <v>striped salmon</v>
      </c>
      <c r="Q308" s="3" t="str">
        <f>IFERROR(__xludf.DUMMYFUNCTION("INDEX(SPLIT(J308,"" ""),1)"),"#REF!")</f>
        <v>#REF!</v>
      </c>
      <c r="R308" s="3" t="str">
        <f>IFERROR(__xludf.DUMMYFUNCTION("MID(REGEXEXTRACT(J308,"" [^ ]* [^ ]*""),2,300)"),"#REF!")</f>
        <v>#REF!</v>
      </c>
      <c r="S308" s="3">
        <f t="shared" si="2"/>
        <v>3</v>
      </c>
      <c r="T308" s="3" t="str">
        <f t="shared" si="3"/>
        <v>light magenta</v>
      </c>
      <c r="U308" s="3">
        <f t="shared" si="4"/>
        <v>4</v>
      </c>
      <c r="V308" s="3" t="str">
        <f t="shared" si="5"/>
        <v>dull fuchsia</v>
      </c>
      <c r="W308" s="3">
        <f t="shared" si="6"/>
        <v>2</v>
      </c>
      <c r="X308" s="3" t="str">
        <f t="shared" si="7"/>
        <v>striped salmon</v>
      </c>
      <c r="Y308" s="3" t="str">
        <f t="shared" si="8"/>
        <v/>
      </c>
      <c r="Z308" s="3" t="str">
        <f t="shared" si="9"/>
        <v/>
      </c>
      <c r="AA308" s="13">
        <f t="shared" si="10"/>
        <v>2820787120</v>
      </c>
      <c r="AB308" s="3">
        <f t="shared" si="11"/>
        <v>2820787119</v>
      </c>
      <c r="AC308" s="3">
        <f t="shared" si="12"/>
        <v>3</v>
      </c>
      <c r="AD308" s="3">
        <f t="shared" si="13"/>
        <v>399844449</v>
      </c>
      <c r="AE308" s="3">
        <f t="shared" si="14"/>
        <v>4</v>
      </c>
      <c r="AF308" s="3">
        <f t="shared" si="15"/>
        <v>395534963</v>
      </c>
      <c r="AG308" s="3">
        <f t="shared" si="16"/>
        <v>2</v>
      </c>
      <c r="AH308" s="3">
        <f t="shared" si="17"/>
        <v>19556960</v>
      </c>
      <c r="AI308" s="3" t="str">
        <f t="shared" si="18"/>
        <v/>
      </c>
      <c r="AJ308" s="3">
        <f t="shared" si="19"/>
        <v>0</v>
      </c>
    </row>
    <row r="309">
      <c r="C309" s="6" t="s">
        <v>309</v>
      </c>
      <c r="D309" s="3">
        <f t="shared" si="1"/>
        <v>1</v>
      </c>
      <c r="E309" s="3" t="str">
        <f>IFERROR(__xludf.DUMMYFUNCTION("REGEXEXTRACT(C309,""[^ ]* [^ ]*"")"),"vibrant bronze")</f>
        <v>vibrant bronze</v>
      </c>
      <c r="F309" s="3" t="str">
        <f>IFERROR(__xludf.DUMMYFUNCTION("MID(REGEXEXTRACT(C309,""contain.*$""),9,300)"),"5 mirrored white bags, 1 dull coral bag.")</f>
        <v>5 mirrored white bags, 1 dull coral bag.</v>
      </c>
      <c r="G309" s="3" t="str">
        <f>IFERROR(__xludf.DUMMYFUNCTION("INDEX(SPLIT($F309,"",""),COLUMN()-6)"),"5 mirrored white bags")</f>
        <v>5 mirrored white bags</v>
      </c>
      <c r="H309" s="3" t="str">
        <f>IFERROR(__xludf.DUMMYFUNCTION("MID(INDEX(SPLIT($F309,"",""),COLUMN()-6),2,300)"),"1 dull coral bag.")</f>
        <v>1 dull coral bag.</v>
      </c>
      <c r="I309" s="3" t="str">
        <f>IFERROR(__xludf.DUMMYFUNCTION("MID(INDEX(SPLIT($F309,"",""),COLUMN()-6),2,300)"),"#REF!")</f>
        <v>#REF!</v>
      </c>
      <c r="J309" s="3" t="str">
        <f>IFERROR(__xludf.DUMMYFUNCTION("MID(INDEX(SPLIT($F309,"",""),COLUMN()-6),2,300)"),"#REF!")</f>
        <v>#REF!</v>
      </c>
      <c r="K309" s="3">
        <f>IFERROR(__xludf.DUMMYFUNCTION("INDEX(SPLIT(G309,"" ""),1)"),5.0)</f>
        <v>5</v>
      </c>
      <c r="L309" s="3" t="str">
        <f>IFERROR(__xludf.DUMMYFUNCTION("REGEXEXTRACT(G309,"" [^ ]* [^ ]* "")")," mirrored white ")</f>
        <v> mirrored white </v>
      </c>
      <c r="M309" s="3">
        <f>IFERROR(__xludf.DUMMYFUNCTION("INDEX(SPLIT(H309,"" ""),1)"),1.0)</f>
        <v>1</v>
      </c>
      <c r="N309" s="3" t="str">
        <f>IFERROR(__xludf.DUMMYFUNCTION("MID(REGEXEXTRACT(H309,"" [^ ]* [^ ]*""),2,300)"),"dull coral")</f>
        <v>dull coral</v>
      </c>
      <c r="O309" s="3" t="str">
        <f>IFERROR(__xludf.DUMMYFUNCTION("INDEX(SPLIT(I309,"" ""),1)"),"#REF!")</f>
        <v>#REF!</v>
      </c>
      <c r="P309" s="3" t="str">
        <f>IFERROR(__xludf.DUMMYFUNCTION("MID(REGEXEXTRACT(I309,"" [^ ]* [^ ]*""),2,300)"),"#REF!")</f>
        <v>#REF!</v>
      </c>
      <c r="Q309" s="3" t="str">
        <f>IFERROR(__xludf.DUMMYFUNCTION("INDEX(SPLIT(J309,"" ""),1)"),"#REF!")</f>
        <v>#REF!</v>
      </c>
      <c r="R309" s="3" t="str">
        <f>IFERROR(__xludf.DUMMYFUNCTION("MID(REGEXEXTRACT(J309,"" [^ ]* [^ ]*""),2,300)"),"#REF!")</f>
        <v>#REF!</v>
      </c>
      <c r="S309" s="3">
        <f t="shared" si="2"/>
        <v>5</v>
      </c>
      <c r="T309" s="3" t="str">
        <f t="shared" si="3"/>
        <v>mirrored white</v>
      </c>
      <c r="U309" s="3">
        <f t="shared" si="4"/>
        <v>1</v>
      </c>
      <c r="V309" s="3" t="str">
        <f t="shared" si="5"/>
        <v>dull coral</v>
      </c>
      <c r="W309" s="3" t="str">
        <f t="shared" si="6"/>
        <v/>
      </c>
      <c r="X309" s="3" t="str">
        <f t="shared" si="7"/>
        <v/>
      </c>
      <c r="Y309" s="3" t="str">
        <f t="shared" si="8"/>
        <v/>
      </c>
      <c r="Z309" s="3" t="str">
        <f t="shared" si="9"/>
        <v/>
      </c>
      <c r="AA309" s="13">
        <f t="shared" si="10"/>
        <v>2520</v>
      </c>
      <c r="AB309" s="3">
        <f t="shared" si="11"/>
        <v>2519</v>
      </c>
      <c r="AC309" s="3">
        <f t="shared" si="12"/>
        <v>5</v>
      </c>
      <c r="AD309" s="3">
        <f t="shared" si="13"/>
        <v>319</v>
      </c>
      <c r="AE309" s="3">
        <f t="shared" si="14"/>
        <v>1</v>
      </c>
      <c r="AF309" s="3">
        <f t="shared" si="15"/>
        <v>924</v>
      </c>
      <c r="AG309" s="3" t="str">
        <f t="shared" si="16"/>
        <v/>
      </c>
      <c r="AH309" s="3">
        <f t="shared" si="17"/>
        <v>0</v>
      </c>
      <c r="AI309" s="3" t="str">
        <f t="shared" si="18"/>
        <v/>
      </c>
      <c r="AJ309" s="3">
        <f t="shared" si="19"/>
        <v>0</v>
      </c>
    </row>
    <row r="310">
      <c r="C310" s="6" t="s">
        <v>310</v>
      </c>
      <c r="D310" s="3">
        <f t="shared" si="1"/>
        <v>3</v>
      </c>
      <c r="E310" s="3" t="str">
        <f>IFERROR(__xludf.DUMMYFUNCTION("REGEXEXTRACT(C310,""[^ ]* [^ ]*"")"),"wavy brown")</f>
        <v>wavy brown</v>
      </c>
      <c r="F310" s="3" t="str">
        <f>IFERROR(__xludf.DUMMYFUNCTION("MID(REGEXEXTRACT(C310,""contain.*$""),9,300)"),"1 light gold bag, 4 drab purple bags, 3 muted violet bags, 4 muted fuchsia bags.")</f>
        <v>1 light gold bag, 4 drab purple bags, 3 muted violet bags, 4 muted fuchsia bags.</v>
      </c>
      <c r="G310" s="3" t="str">
        <f>IFERROR(__xludf.DUMMYFUNCTION("INDEX(SPLIT($F310,"",""),COLUMN()-6)"),"1 light gold bag")</f>
        <v>1 light gold bag</v>
      </c>
      <c r="H310" s="3" t="str">
        <f>IFERROR(__xludf.DUMMYFUNCTION("MID(INDEX(SPLIT($F310,"",""),COLUMN()-6),2,300)"),"4 drab purple bags")</f>
        <v>4 drab purple bags</v>
      </c>
      <c r="I310" s="3" t="str">
        <f>IFERROR(__xludf.DUMMYFUNCTION("MID(INDEX(SPLIT($F310,"",""),COLUMN()-6),2,300)"),"3 muted violet bags")</f>
        <v>3 muted violet bags</v>
      </c>
      <c r="J310" s="3" t="str">
        <f>IFERROR(__xludf.DUMMYFUNCTION("MID(INDEX(SPLIT($F310,"",""),COLUMN()-6),2,300)"),"4 muted fuchsia bags.")</f>
        <v>4 muted fuchsia bags.</v>
      </c>
      <c r="K310" s="3">
        <f>IFERROR(__xludf.DUMMYFUNCTION("INDEX(SPLIT(G310,"" ""),1)"),1.0)</f>
        <v>1</v>
      </c>
      <c r="L310" s="3" t="str">
        <f>IFERROR(__xludf.DUMMYFUNCTION("REGEXEXTRACT(G310,"" [^ ]* [^ ]* "")")," light gold ")</f>
        <v> light gold </v>
      </c>
      <c r="M310" s="3">
        <f>IFERROR(__xludf.DUMMYFUNCTION("INDEX(SPLIT(H310,"" ""),1)"),4.0)</f>
        <v>4</v>
      </c>
      <c r="N310" s="3" t="str">
        <f>IFERROR(__xludf.DUMMYFUNCTION("MID(REGEXEXTRACT(H310,"" [^ ]* [^ ]*""),2,300)"),"drab purple")</f>
        <v>drab purple</v>
      </c>
      <c r="O310" s="3">
        <f>IFERROR(__xludf.DUMMYFUNCTION("INDEX(SPLIT(I310,"" ""),1)"),3.0)</f>
        <v>3</v>
      </c>
      <c r="P310" s="3" t="str">
        <f>IFERROR(__xludf.DUMMYFUNCTION("MID(REGEXEXTRACT(I310,"" [^ ]* [^ ]*""),2,300)"),"muted violet")</f>
        <v>muted violet</v>
      </c>
      <c r="Q310" s="3">
        <f>IFERROR(__xludf.DUMMYFUNCTION("INDEX(SPLIT(J310,"" ""),1)"),4.0)</f>
        <v>4</v>
      </c>
      <c r="R310" s="3" t="str">
        <f>IFERROR(__xludf.DUMMYFUNCTION("MID(REGEXEXTRACT(J310,"" [^ ]* [^ ]*""),2,300)"),"muted fuchsia")</f>
        <v>muted fuchsia</v>
      </c>
      <c r="S310" s="3">
        <f t="shared" si="2"/>
        <v>1</v>
      </c>
      <c r="T310" s="3" t="str">
        <f t="shared" si="3"/>
        <v>light gold</v>
      </c>
      <c r="U310" s="3">
        <f t="shared" si="4"/>
        <v>4</v>
      </c>
      <c r="V310" s="3" t="str">
        <f t="shared" si="5"/>
        <v>drab purple</v>
      </c>
      <c r="W310" s="3">
        <f t="shared" si="6"/>
        <v>3</v>
      </c>
      <c r="X310" s="3" t="str">
        <f t="shared" si="7"/>
        <v>muted violet</v>
      </c>
      <c r="Y310" s="3">
        <f t="shared" si="8"/>
        <v>4</v>
      </c>
      <c r="Z310" s="3" t="str">
        <f t="shared" si="9"/>
        <v>muted fuchsia</v>
      </c>
      <c r="AA310" s="13">
        <f t="shared" si="10"/>
        <v>112998622</v>
      </c>
      <c r="AB310" s="3">
        <f t="shared" si="11"/>
        <v>112998621</v>
      </c>
      <c r="AC310" s="3">
        <f t="shared" si="12"/>
        <v>1</v>
      </c>
      <c r="AD310" s="3">
        <f t="shared" si="13"/>
        <v>112904201</v>
      </c>
      <c r="AE310" s="3">
        <f t="shared" si="14"/>
        <v>4</v>
      </c>
      <c r="AF310" s="3">
        <f t="shared" si="15"/>
        <v>4335</v>
      </c>
      <c r="AG310" s="3">
        <f t="shared" si="16"/>
        <v>3</v>
      </c>
      <c r="AH310" s="3">
        <f t="shared" si="17"/>
        <v>4</v>
      </c>
      <c r="AI310" s="3">
        <f t="shared" si="18"/>
        <v>4</v>
      </c>
      <c r="AJ310" s="3">
        <f t="shared" si="19"/>
        <v>19267</v>
      </c>
    </row>
    <row r="311">
      <c r="C311" s="6" t="s">
        <v>311</v>
      </c>
      <c r="D311" s="3">
        <f t="shared" si="1"/>
        <v>1</v>
      </c>
      <c r="E311" s="3" t="str">
        <f>IFERROR(__xludf.DUMMYFUNCTION("REGEXEXTRACT(C311,""[^ ]* [^ ]*"")"),"dotted lavender")</f>
        <v>dotted lavender</v>
      </c>
      <c r="F311" s="3" t="str">
        <f>IFERROR(__xludf.DUMMYFUNCTION("MID(REGEXEXTRACT(C311,""contain.*$""),9,300)"),"4 dotted indigo bags, 2 dull lavender bags.")</f>
        <v>4 dotted indigo bags, 2 dull lavender bags.</v>
      </c>
      <c r="G311" s="3" t="str">
        <f>IFERROR(__xludf.DUMMYFUNCTION("INDEX(SPLIT($F311,"",""),COLUMN()-6)"),"4 dotted indigo bags")</f>
        <v>4 dotted indigo bags</v>
      </c>
      <c r="H311" s="3" t="str">
        <f>IFERROR(__xludf.DUMMYFUNCTION("MID(INDEX(SPLIT($F311,"",""),COLUMN()-6),2,300)"),"2 dull lavender bags.")</f>
        <v>2 dull lavender bags.</v>
      </c>
      <c r="I311" s="3" t="str">
        <f>IFERROR(__xludf.DUMMYFUNCTION("MID(INDEX(SPLIT($F311,"",""),COLUMN()-6),2,300)"),"#REF!")</f>
        <v>#REF!</v>
      </c>
      <c r="J311" s="3" t="str">
        <f>IFERROR(__xludf.DUMMYFUNCTION("MID(INDEX(SPLIT($F311,"",""),COLUMN()-6),2,300)"),"#REF!")</f>
        <v>#REF!</v>
      </c>
      <c r="K311" s="3">
        <f>IFERROR(__xludf.DUMMYFUNCTION("INDEX(SPLIT(G311,"" ""),1)"),4.0)</f>
        <v>4</v>
      </c>
      <c r="L311" s="3" t="str">
        <f>IFERROR(__xludf.DUMMYFUNCTION("REGEXEXTRACT(G311,"" [^ ]* [^ ]* "")")," dotted indigo ")</f>
        <v> dotted indigo </v>
      </c>
      <c r="M311" s="3">
        <f>IFERROR(__xludf.DUMMYFUNCTION("INDEX(SPLIT(H311,"" ""),1)"),2.0)</f>
        <v>2</v>
      </c>
      <c r="N311" s="3" t="str">
        <f>IFERROR(__xludf.DUMMYFUNCTION("MID(REGEXEXTRACT(H311,"" [^ ]* [^ ]*""),2,300)"),"dull lavender")</f>
        <v>dull lavender</v>
      </c>
      <c r="O311" s="3" t="str">
        <f>IFERROR(__xludf.DUMMYFUNCTION("INDEX(SPLIT(I311,"" ""),1)"),"#REF!")</f>
        <v>#REF!</v>
      </c>
      <c r="P311" s="3" t="str">
        <f>IFERROR(__xludf.DUMMYFUNCTION("MID(REGEXEXTRACT(I311,"" [^ ]* [^ ]*""),2,300)"),"#REF!")</f>
        <v>#REF!</v>
      </c>
      <c r="Q311" s="3" t="str">
        <f>IFERROR(__xludf.DUMMYFUNCTION("INDEX(SPLIT(J311,"" ""),1)"),"#REF!")</f>
        <v>#REF!</v>
      </c>
      <c r="R311" s="3" t="str">
        <f>IFERROR(__xludf.DUMMYFUNCTION("MID(REGEXEXTRACT(J311,"" [^ ]* [^ ]*""),2,300)"),"#REF!")</f>
        <v>#REF!</v>
      </c>
      <c r="S311" s="3">
        <f t="shared" si="2"/>
        <v>4</v>
      </c>
      <c r="T311" s="3" t="str">
        <f t="shared" si="3"/>
        <v>dotted indigo</v>
      </c>
      <c r="U311" s="3">
        <f t="shared" si="4"/>
        <v>2</v>
      </c>
      <c r="V311" s="3" t="str">
        <f t="shared" si="5"/>
        <v>dull lavender</v>
      </c>
      <c r="W311" s="3" t="str">
        <f t="shared" si="6"/>
        <v/>
      </c>
      <c r="X311" s="3" t="str">
        <f t="shared" si="7"/>
        <v/>
      </c>
      <c r="Y311" s="3" t="str">
        <f t="shared" si="8"/>
        <v/>
      </c>
      <c r="Z311" s="3" t="str">
        <f t="shared" si="9"/>
        <v/>
      </c>
      <c r="AA311" s="13">
        <f t="shared" si="10"/>
        <v>3014999971</v>
      </c>
      <c r="AB311" s="3">
        <f t="shared" si="11"/>
        <v>3014999970</v>
      </c>
      <c r="AC311" s="3">
        <f t="shared" si="12"/>
        <v>4</v>
      </c>
      <c r="AD311" s="3">
        <f t="shared" si="13"/>
        <v>745224695</v>
      </c>
      <c r="AE311" s="3">
        <f t="shared" si="14"/>
        <v>2</v>
      </c>
      <c r="AF311" s="3">
        <f t="shared" si="15"/>
        <v>17050595</v>
      </c>
      <c r="AG311" s="3" t="str">
        <f t="shared" si="16"/>
        <v/>
      </c>
      <c r="AH311" s="3">
        <f t="shared" si="17"/>
        <v>0</v>
      </c>
      <c r="AI311" s="3" t="str">
        <f t="shared" si="18"/>
        <v/>
      </c>
      <c r="AJ311" s="3">
        <f t="shared" si="19"/>
        <v>0</v>
      </c>
    </row>
    <row r="312">
      <c r="C312" s="6" t="s">
        <v>312</v>
      </c>
      <c r="D312" s="3">
        <f t="shared" si="1"/>
        <v>1</v>
      </c>
      <c r="E312" s="3" t="str">
        <f>IFERROR(__xludf.DUMMYFUNCTION("REGEXEXTRACT(C312,""[^ ]* [^ ]*"")"),"dotted gold")</f>
        <v>dotted gold</v>
      </c>
      <c r="F312" s="3" t="str">
        <f>IFERROR(__xludf.DUMMYFUNCTION("MID(REGEXEXTRACT(C312,""contain.*$""),9,300)"),"1 posh magenta bag, 2 posh yellow bags.")</f>
        <v>1 posh magenta bag, 2 posh yellow bags.</v>
      </c>
      <c r="G312" s="3" t="str">
        <f>IFERROR(__xludf.DUMMYFUNCTION("INDEX(SPLIT($F312,"",""),COLUMN()-6)"),"1 posh magenta bag")</f>
        <v>1 posh magenta bag</v>
      </c>
      <c r="H312" s="3" t="str">
        <f>IFERROR(__xludf.DUMMYFUNCTION("MID(INDEX(SPLIT($F312,"",""),COLUMN()-6),2,300)"),"2 posh yellow bags.")</f>
        <v>2 posh yellow bags.</v>
      </c>
      <c r="I312" s="3" t="str">
        <f>IFERROR(__xludf.DUMMYFUNCTION("MID(INDEX(SPLIT($F312,"",""),COLUMN()-6),2,300)"),"#REF!")</f>
        <v>#REF!</v>
      </c>
      <c r="J312" s="3" t="str">
        <f>IFERROR(__xludf.DUMMYFUNCTION("MID(INDEX(SPLIT($F312,"",""),COLUMN()-6),2,300)"),"#REF!")</f>
        <v>#REF!</v>
      </c>
      <c r="K312" s="3">
        <f>IFERROR(__xludf.DUMMYFUNCTION("INDEX(SPLIT(G312,"" ""),1)"),1.0)</f>
        <v>1</v>
      </c>
      <c r="L312" s="3" t="str">
        <f>IFERROR(__xludf.DUMMYFUNCTION("REGEXEXTRACT(G312,"" [^ ]* [^ ]* "")")," posh magenta ")</f>
        <v> posh magenta </v>
      </c>
      <c r="M312" s="3">
        <f>IFERROR(__xludf.DUMMYFUNCTION("INDEX(SPLIT(H312,"" ""),1)"),2.0)</f>
        <v>2</v>
      </c>
      <c r="N312" s="3" t="str">
        <f>IFERROR(__xludf.DUMMYFUNCTION("MID(REGEXEXTRACT(H312,"" [^ ]* [^ ]*""),2,300)"),"posh yellow")</f>
        <v>posh yellow</v>
      </c>
      <c r="O312" s="3" t="str">
        <f>IFERROR(__xludf.DUMMYFUNCTION("INDEX(SPLIT(I312,"" ""),1)"),"#REF!")</f>
        <v>#REF!</v>
      </c>
      <c r="P312" s="3" t="str">
        <f>IFERROR(__xludf.DUMMYFUNCTION("MID(REGEXEXTRACT(I312,"" [^ ]* [^ ]*""),2,300)"),"#REF!")</f>
        <v>#REF!</v>
      </c>
      <c r="Q312" s="3" t="str">
        <f>IFERROR(__xludf.DUMMYFUNCTION("INDEX(SPLIT(J312,"" ""),1)"),"#REF!")</f>
        <v>#REF!</v>
      </c>
      <c r="R312" s="3" t="str">
        <f>IFERROR(__xludf.DUMMYFUNCTION("MID(REGEXEXTRACT(J312,"" [^ ]* [^ ]*""),2,300)"),"#REF!")</f>
        <v>#REF!</v>
      </c>
      <c r="S312" s="3">
        <f t="shared" si="2"/>
        <v>1</v>
      </c>
      <c r="T312" s="3" t="str">
        <f t="shared" si="3"/>
        <v>posh magenta</v>
      </c>
      <c r="U312" s="3">
        <f t="shared" si="4"/>
        <v>2</v>
      </c>
      <c r="V312" s="3" t="str">
        <f t="shared" si="5"/>
        <v>posh yellow</v>
      </c>
      <c r="W312" s="3" t="str">
        <f t="shared" si="6"/>
        <v/>
      </c>
      <c r="X312" s="3" t="str">
        <f t="shared" si="7"/>
        <v/>
      </c>
      <c r="Y312" s="3" t="str">
        <f t="shared" si="8"/>
        <v/>
      </c>
      <c r="Z312" s="3" t="str">
        <f t="shared" si="9"/>
        <v/>
      </c>
      <c r="AA312" s="13">
        <f t="shared" si="10"/>
        <v>10</v>
      </c>
      <c r="AB312" s="3">
        <f t="shared" si="11"/>
        <v>9</v>
      </c>
      <c r="AC312" s="3">
        <f t="shared" si="12"/>
        <v>1</v>
      </c>
      <c r="AD312" s="3">
        <f t="shared" si="13"/>
        <v>1</v>
      </c>
      <c r="AE312" s="3">
        <f t="shared" si="14"/>
        <v>2</v>
      </c>
      <c r="AF312" s="3">
        <f t="shared" si="15"/>
        <v>4</v>
      </c>
      <c r="AG312" s="3" t="str">
        <f t="shared" si="16"/>
        <v/>
      </c>
      <c r="AH312" s="3">
        <f t="shared" si="17"/>
        <v>0</v>
      </c>
      <c r="AI312" s="3" t="str">
        <f t="shared" si="18"/>
        <v/>
      </c>
      <c r="AJ312" s="3">
        <f t="shared" si="19"/>
        <v>0</v>
      </c>
    </row>
    <row r="313">
      <c r="C313" s="6" t="s">
        <v>313</v>
      </c>
      <c r="D313" s="3">
        <f t="shared" si="1"/>
        <v>1</v>
      </c>
      <c r="E313" s="3" t="str">
        <f>IFERROR(__xludf.DUMMYFUNCTION("REGEXEXTRACT(C313,""[^ ]* [^ ]*"")"),"faded brown")</f>
        <v>faded brown</v>
      </c>
      <c r="F313" s="3" t="str">
        <f>IFERROR(__xludf.DUMMYFUNCTION("MID(REGEXEXTRACT(C313,""contain.*$""),9,300)"),"4 muted blue bags, 3 wavy teal bags.")</f>
        <v>4 muted blue bags, 3 wavy teal bags.</v>
      </c>
      <c r="G313" s="3" t="str">
        <f>IFERROR(__xludf.DUMMYFUNCTION("INDEX(SPLIT($F313,"",""),COLUMN()-6)"),"4 muted blue bags")</f>
        <v>4 muted blue bags</v>
      </c>
      <c r="H313" s="3" t="str">
        <f>IFERROR(__xludf.DUMMYFUNCTION("MID(INDEX(SPLIT($F313,"",""),COLUMN()-6),2,300)"),"3 wavy teal bags.")</f>
        <v>3 wavy teal bags.</v>
      </c>
      <c r="I313" s="3" t="str">
        <f>IFERROR(__xludf.DUMMYFUNCTION("MID(INDEX(SPLIT($F313,"",""),COLUMN()-6),2,300)"),"#REF!")</f>
        <v>#REF!</v>
      </c>
      <c r="J313" s="3" t="str">
        <f>IFERROR(__xludf.DUMMYFUNCTION("MID(INDEX(SPLIT($F313,"",""),COLUMN()-6),2,300)"),"#REF!")</f>
        <v>#REF!</v>
      </c>
      <c r="K313" s="3">
        <f>IFERROR(__xludf.DUMMYFUNCTION("INDEX(SPLIT(G313,"" ""),1)"),4.0)</f>
        <v>4</v>
      </c>
      <c r="L313" s="3" t="str">
        <f>IFERROR(__xludf.DUMMYFUNCTION("REGEXEXTRACT(G313,"" [^ ]* [^ ]* "")")," muted blue ")</f>
        <v> muted blue </v>
      </c>
      <c r="M313" s="3">
        <f>IFERROR(__xludf.DUMMYFUNCTION("INDEX(SPLIT(H313,"" ""),1)"),3.0)</f>
        <v>3</v>
      </c>
      <c r="N313" s="3" t="str">
        <f>IFERROR(__xludf.DUMMYFUNCTION("MID(REGEXEXTRACT(H313,"" [^ ]* [^ ]*""),2,300)"),"wavy teal")</f>
        <v>wavy teal</v>
      </c>
      <c r="O313" s="3" t="str">
        <f>IFERROR(__xludf.DUMMYFUNCTION("INDEX(SPLIT(I313,"" ""),1)"),"#REF!")</f>
        <v>#REF!</v>
      </c>
      <c r="P313" s="3" t="str">
        <f>IFERROR(__xludf.DUMMYFUNCTION("MID(REGEXEXTRACT(I313,"" [^ ]* [^ ]*""),2,300)"),"#REF!")</f>
        <v>#REF!</v>
      </c>
      <c r="Q313" s="3" t="str">
        <f>IFERROR(__xludf.DUMMYFUNCTION("INDEX(SPLIT(J313,"" ""),1)"),"#REF!")</f>
        <v>#REF!</v>
      </c>
      <c r="R313" s="3" t="str">
        <f>IFERROR(__xludf.DUMMYFUNCTION("MID(REGEXEXTRACT(J313,"" [^ ]* [^ ]*""),2,300)"),"#REF!")</f>
        <v>#REF!</v>
      </c>
      <c r="S313" s="3">
        <f t="shared" si="2"/>
        <v>4</v>
      </c>
      <c r="T313" s="3" t="str">
        <f t="shared" si="3"/>
        <v>muted blue</v>
      </c>
      <c r="U313" s="3">
        <f t="shared" si="4"/>
        <v>3</v>
      </c>
      <c r="V313" s="3" t="str">
        <f t="shared" si="5"/>
        <v>wavy teal</v>
      </c>
      <c r="W313" s="3" t="str">
        <f t="shared" si="6"/>
        <v/>
      </c>
      <c r="X313" s="3" t="str">
        <f t="shared" si="7"/>
        <v/>
      </c>
      <c r="Y313" s="3" t="str">
        <f t="shared" si="8"/>
        <v/>
      </c>
      <c r="Z313" s="3" t="str">
        <f t="shared" si="9"/>
        <v/>
      </c>
      <c r="AA313" s="13">
        <f t="shared" si="10"/>
        <v>13780679</v>
      </c>
      <c r="AB313" s="3">
        <f t="shared" si="11"/>
        <v>13780678</v>
      </c>
      <c r="AC313" s="3">
        <f t="shared" si="12"/>
        <v>4</v>
      </c>
      <c r="AD313" s="3">
        <f t="shared" si="13"/>
        <v>3381607</v>
      </c>
      <c r="AE313" s="3">
        <f t="shared" si="14"/>
        <v>3</v>
      </c>
      <c r="AF313" s="3">
        <f t="shared" si="15"/>
        <v>84750</v>
      </c>
      <c r="AG313" s="3" t="str">
        <f t="shared" si="16"/>
        <v/>
      </c>
      <c r="AH313" s="3">
        <f t="shared" si="17"/>
        <v>0</v>
      </c>
      <c r="AI313" s="3" t="str">
        <f t="shared" si="18"/>
        <v/>
      </c>
      <c r="AJ313" s="3">
        <f t="shared" si="19"/>
        <v>0</v>
      </c>
    </row>
    <row r="314">
      <c r="C314" s="6" t="s">
        <v>314</v>
      </c>
      <c r="D314" s="3">
        <f t="shared" si="1"/>
        <v>1</v>
      </c>
      <c r="E314" s="3" t="str">
        <f>IFERROR(__xludf.DUMMYFUNCTION("REGEXEXTRACT(C314,""[^ ]* [^ ]*"")"),"light yellow")</f>
        <v>light yellow</v>
      </c>
      <c r="F314" s="3" t="str">
        <f>IFERROR(__xludf.DUMMYFUNCTION("MID(REGEXEXTRACT(C314,""contain.*$""),9,300)"),"3 clear black bags, 1 dotted crimson bag.")</f>
        <v>3 clear black bags, 1 dotted crimson bag.</v>
      </c>
      <c r="G314" s="3" t="str">
        <f>IFERROR(__xludf.DUMMYFUNCTION("INDEX(SPLIT($F314,"",""),COLUMN()-6)"),"3 clear black bags")</f>
        <v>3 clear black bags</v>
      </c>
      <c r="H314" s="3" t="str">
        <f>IFERROR(__xludf.DUMMYFUNCTION("MID(INDEX(SPLIT($F314,"",""),COLUMN()-6),2,300)"),"1 dotted crimson bag.")</f>
        <v>1 dotted crimson bag.</v>
      </c>
      <c r="I314" s="3" t="str">
        <f>IFERROR(__xludf.DUMMYFUNCTION("MID(INDEX(SPLIT($F314,"",""),COLUMN()-6),2,300)"),"#REF!")</f>
        <v>#REF!</v>
      </c>
      <c r="J314" s="3" t="str">
        <f>IFERROR(__xludf.DUMMYFUNCTION("MID(INDEX(SPLIT($F314,"",""),COLUMN()-6),2,300)"),"#REF!")</f>
        <v>#REF!</v>
      </c>
      <c r="K314" s="3">
        <f>IFERROR(__xludf.DUMMYFUNCTION("INDEX(SPLIT(G314,"" ""),1)"),3.0)</f>
        <v>3</v>
      </c>
      <c r="L314" s="3" t="str">
        <f>IFERROR(__xludf.DUMMYFUNCTION("REGEXEXTRACT(G314,"" [^ ]* [^ ]* "")")," clear black ")</f>
        <v> clear black </v>
      </c>
      <c r="M314" s="3">
        <f>IFERROR(__xludf.DUMMYFUNCTION("INDEX(SPLIT(H314,"" ""),1)"),1.0)</f>
        <v>1</v>
      </c>
      <c r="N314" s="3" t="str">
        <f>IFERROR(__xludf.DUMMYFUNCTION("MID(REGEXEXTRACT(H314,"" [^ ]* [^ ]*""),2,300)"),"dotted crimson")</f>
        <v>dotted crimson</v>
      </c>
      <c r="O314" s="3" t="str">
        <f>IFERROR(__xludf.DUMMYFUNCTION("INDEX(SPLIT(I314,"" ""),1)"),"#REF!")</f>
        <v>#REF!</v>
      </c>
      <c r="P314" s="3" t="str">
        <f>IFERROR(__xludf.DUMMYFUNCTION("MID(REGEXEXTRACT(I314,"" [^ ]* [^ ]*""),2,300)"),"#REF!")</f>
        <v>#REF!</v>
      </c>
      <c r="Q314" s="3" t="str">
        <f>IFERROR(__xludf.DUMMYFUNCTION("INDEX(SPLIT(J314,"" ""),1)"),"#REF!")</f>
        <v>#REF!</v>
      </c>
      <c r="R314" s="3" t="str">
        <f>IFERROR(__xludf.DUMMYFUNCTION("MID(REGEXEXTRACT(J314,"" [^ ]* [^ ]*""),2,300)"),"#REF!")</f>
        <v>#REF!</v>
      </c>
      <c r="S314" s="3">
        <f t="shared" si="2"/>
        <v>3</v>
      </c>
      <c r="T314" s="3" t="str">
        <f t="shared" si="3"/>
        <v>clear black</v>
      </c>
      <c r="U314" s="3">
        <f t="shared" si="4"/>
        <v>1</v>
      </c>
      <c r="V314" s="3" t="str">
        <f t="shared" si="5"/>
        <v>dotted crimson</v>
      </c>
      <c r="W314" s="3" t="str">
        <f t="shared" si="6"/>
        <v/>
      </c>
      <c r="X314" s="3" t="str">
        <f t="shared" si="7"/>
        <v/>
      </c>
      <c r="Y314" s="3" t="str">
        <f t="shared" si="8"/>
        <v/>
      </c>
      <c r="Z314" s="3" t="str">
        <f t="shared" si="9"/>
        <v/>
      </c>
      <c r="AA314" s="13">
        <f t="shared" si="10"/>
        <v>1316</v>
      </c>
      <c r="AB314" s="3">
        <f t="shared" si="11"/>
        <v>1315</v>
      </c>
      <c r="AC314" s="3">
        <f t="shared" si="12"/>
        <v>3</v>
      </c>
      <c r="AD314" s="3">
        <f t="shared" si="13"/>
        <v>12</v>
      </c>
      <c r="AE314" s="3">
        <f t="shared" si="14"/>
        <v>1</v>
      </c>
      <c r="AF314" s="3">
        <f t="shared" si="15"/>
        <v>1279</v>
      </c>
      <c r="AG314" s="3" t="str">
        <f t="shared" si="16"/>
        <v/>
      </c>
      <c r="AH314" s="3">
        <f t="shared" si="17"/>
        <v>0</v>
      </c>
      <c r="AI314" s="3" t="str">
        <f t="shared" si="18"/>
        <v/>
      </c>
      <c r="AJ314" s="3">
        <f t="shared" si="19"/>
        <v>0</v>
      </c>
    </row>
    <row r="315">
      <c r="C315" s="6" t="s">
        <v>315</v>
      </c>
      <c r="D315" s="3">
        <f t="shared" si="1"/>
        <v>3</v>
      </c>
      <c r="E315" s="3" t="str">
        <f>IFERROR(__xludf.DUMMYFUNCTION("REGEXEXTRACT(C315,""[^ ]* [^ ]*"")"),"striped salmon")</f>
        <v>striped salmon</v>
      </c>
      <c r="F315" s="3" t="str">
        <f>IFERROR(__xludf.DUMMYFUNCTION("MID(REGEXEXTRACT(C315,""contain.*$""),9,300)"),"1 dull yellow bag, 5 mirrored gray bags, 5 light lavender bags, 5 mirrored brown bags.")</f>
        <v>1 dull yellow bag, 5 mirrored gray bags, 5 light lavender bags, 5 mirrored brown bags.</v>
      </c>
      <c r="G315" s="3" t="str">
        <f>IFERROR(__xludf.DUMMYFUNCTION("INDEX(SPLIT($F315,"",""),COLUMN()-6)"),"1 dull yellow bag")</f>
        <v>1 dull yellow bag</v>
      </c>
      <c r="H315" s="3" t="str">
        <f>IFERROR(__xludf.DUMMYFUNCTION("MID(INDEX(SPLIT($F315,"",""),COLUMN()-6),2,300)"),"5 mirrored gray bags")</f>
        <v>5 mirrored gray bags</v>
      </c>
      <c r="I315" s="3" t="str">
        <f>IFERROR(__xludf.DUMMYFUNCTION("MID(INDEX(SPLIT($F315,"",""),COLUMN()-6),2,300)"),"5 light lavender bags")</f>
        <v>5 light lavender bags</v>
      </c>
      <c r="J315" s="3" t="str">
        <f>IFERROR(__xludf.DUMMYFUNCTION("MID(INDEX(SPLIT($F315,"",""),COLUMN()-6),2,300)"),"5 mirrored brown bags.")</f>
        <v>5 mirrored brown bags.</v>
      </c>
      <c r="K315" s="3">
        <f>IFERROR(__xludf.DUMMYFUNCTION("INDEX(SPLIT(G315,"" ""),1)"),1.0)</f>
        <v>1</v>
      </c>
      <c r="L315" s="3" t="str">
        <f>IFERROR(__xludf.DUMMYFUNCTION("REGEXEXTRACT(G315,"" [^ ]* [^ ]* "")")," dull yellow ")</f>
        <v> dull yellow </v>
      </c>
      <c r="M315" s="3">
        <f>IFERROR(__xludf.DUMMYFUNCTION("INDEX(SPLIT(H315,"" ""),1)"),5.0)</f>
        <v>5</v>
      </c>
      <c r="N315" s="3" t="str">
        <f>IFERROR(__xludf.DUMMYFUNCTION("MID(REGEXEXTRACT(H315,"" [^ ]* [^ ]*""),2,300)"),"mirrored gray")</f>
        <v>mirrored gray</v>
      </c>
      <c r="O315" s="3">
        <f>IFERROR(__xludf.DUMMYFUNCTION("INDEX(SPLIT(I315,"" ""),1)"),5.0)</f>
        <v>5</v>
      </c>
      <c r="P315" s="3" t="str">
        <f>IFERROR(__xludf.DUMMYFUNCTION("MID(REGEXEXTRACT(I315,"" [^ ]* [^ ]*""),2,300)"),"light lavender")</f>
        <v>light lavender</v>
      </c>
      <c r="Q315" s="3">
        <f>IFERROR(__xludf.DUMMYFUNCTION("INDEX(SPLIT(J315,"" ""),1)"),5.0)</f>
        <v>5</v>
      </c>
      <c r="R315" s="3" t="str">
        <f>IFERROR(__xludf.DUMMYFUNCTION("MID(REGEXEXTRACT(J315,"" [^ ]* [^ ]*""),2,300)"),"mirrored brown")</f>
        <v>mirrored brown</v>
      </c>
      <c r="S315" s="3">
        <f t="shared" si="2"/>
        <v>1</v>
      </c>
      <c r="T315" s="3" t="str">
        <f t="shared" si="3"/>
        <v>dull yellow</v>
      </c>
      <c r="U315" s="3">
        <f t="shared" si="4"/>
        <v>5</v>
      </c>
      <c r="V315" s="3" t="str">
        <f t="shared" si="5"/>
        <v>mirrored gray</v>
      </c>
      <c r="W315" s="3">
        <f t="shared" si="6"/>
        <v>5</v>
      </c>
      <c r="X315" s="3" t="str">
        <f t="shared" si="7"/>
        <v>light lavender</v>
      </c>
      <c r="Y315" s="3">
        <f t="shared" si="8"/>
        <v>5</v>
      </c>
      <c r="Z315" s="3" t="str">
        <f t="shared" si="9"/>
        <v>mirrored brown</v>
      </c>
      <c r="AA315" s="13">
        <f t="shared" si="10"/>
        <v>19556960</v>
      </c>
      <c r="AB315" s="3">
        <f t="shared" si="11"/>
        <v>19556959</v>
      </c>
      <c r="AC315" s="3">
        <f t="shared" si="12"/>
        <v>1</v>
      </c>
      <c r="AD315" s="3">
        <f t="shared" si="13"/>
        <v>190019</v>
      </c>
      <c r="AE315" s="3">
        <f t="shared" si="14"/>
        <v>5</v>
      </c>
      <c r="AF315" s="3">
        <f t="shared" si="15"/>
        <v>8</v>
      </c>
      <c r="AG315" s="3">
        <f t="shared" si="16"/>
        <v>5</v>
      </c>
      <c r="AH315" s="3">
        <f t="shared" si="17"/>
        <v>3872851</v>
      </c>
      <c r="AI315" s="3">
        <f t="shared" si="18"/>
        <v>5</v>
      </c>
      <c r="AJ315" s="3">
        <f t="shared" si="19"/>
        <v>529</v>
      </c>
    </row>
    <row r="316">
      <c r="C316" s="6" t="s">
        <v>316</v>
      </c>
      <c r="D316" s="3">
        <f t="shared" si="1"/>
        <v>2</v>
      </c>
      <c r="E316" s="3" t="str">
        <f>IFERROR(__xludf.DUMMYFUNCTION("REGEXEXTRACT(C316,""[^ ]* [^ ]*"")"),"light blue")</f>
        <v>light blue</v>
      </c>
      <c r="F316" s="3" t="str">
        <f>IFERROR(__xludf.DUMMYFUNCTION("MID(REGEXEXTRACT(C316,""contain.*$""),9,300)"),"5 mirrored purple bags, 3 dim violet bags, 2 pale tomato bags.")</f>
        <v>5 mirrored purple bags, 3 dim violet bags, 2 pale tomato bags.</v>
      </c>
      <c r="G316" s="3" t="str">
        <f>IFERROR(__xludf.DUMMYFUNCTION("INDEX(SPLIT($F316,"",""),COLUMN()-6)"),"5 mirrored purple bags")</f>
        <v>5 mirrored purple bags</v>
      </c>
      <c r="H316" s="3" t="str">
        <f>IFERROR(__xludf.DUMMYFUNCTION("MID(INDEX(SPLIT($F316,"",""),COLUMN()-6),2,300)"),"3 dim violet bags")</f>
        <v>3 dim violet bags</v>
      </c>
      <c r="I316" s="3" t="str">
        <f>IFERROR(__xludf.DUMMYFUNCTION("MID(INDEX(SPLIT($F316,"",""),COLUMN()-6),2,300)"),"2 pale tomato bags.")</f>
        <v>2 pale tomato bags.</v>
      </c>
      <c r="J316" s="3" t="str">
        <f>IFERROR(__xludf.DUMMYFUNCTION("MID(INDEX(SPLIT($F316,"",""),COLUMN()-6),2,300)"),"#REF!")</f>
        <v>#REF!</v>
      </c>
      <c r="K316" s="3">
        <f>IFERROR(__xludf.DUMMYFUNCTION("INDEX(SPLIT(G316,"" ""),1)"),5.0)</f>
        <v>5</v>
      </c>
      <c r="L316" s="3" t="str">
        <f>IFERROR(__xludf.DUMMYFUNCTION("REGEXEXTRACT(G316,"" [^ ]* [^ ]* "")")," mirrored purple ")</f>
        <v> mirrored purple </v>
      </c>
      <c r="M316" s="3">
        <f>IFERROR(__xludf.DUMMYFUNCTION("INDEX(SPLIT(H316,"" ""),1)"),3.0)</f>
        <v>3</v>
      </c>
      <c r="N316" s="3" t="str">
        <f>IFERROR(__xludf.DUMMYFUNCTION("MID(REGEXEXTRACT(H316,"" [^ ]* [^ ]*""),2,300)"),"dim violet")</f>
        <v>dim violet</v>
      </c>
      <c r="O316" s="3">
        <f>IFERROR(__xludf.DUMMYFUNCTION("INDEX(SPLIT(I316,"" ""),1)"),2.0)</f>
        <v>2</v>
      </c>
      <c r="P316" s="3" t="str">
        <f>IFERROR(__xludf.DUMMYFUNCTION("MID(REGEXEXTRACT(I316,"" [^ ]* [^ ]*""),2,300)"),"pale tomato")</f>
        <v>pale tomato</v>
      </c>
      <c r="Q316" s="3" t="str">
        <f>IFERROR(__xludf.DUMMYFUNCTION("INDEX(SPLIT(J316,"" ""),1)"),"#REF!")</f>
        <v>#REF!</v>
      </c>
      <c r="R316" s="3" t="str">
        <f>IFERROR(__xludf.DUMMYFUNCTION("MID(REGEXEXTRACT(J316,"" [^ ]* [^ ]*""),2,300)"),"#REF!")</f>
        <v>#REF!</v>
      </c>
      <c r="S316" s="3">
        <f t="shared" si="2"/>
        <v>5</v>
      </c>
      <c r="T316" s="3" t="str">
        <f t="shared" si="3"/>
        <v>mirrored purple</v>
      </c>
      <c r="U316" s="3">
        <f t="shared" si="4"/>
        <v>3</v>
      </c>
      <c r="V316" s="3" t="str">
        <f t="shared" si="5"/>
        <v>dim violet</v>
      </c>
      <c r="W316" s="3">
        <f t="shared" si="6"/>
        <v>2</v>
      </c>
      <c r="X316" s="3" t="str">
        <f t="shared" si="7"/>
        <v>pale tomato</v>
      </c>
      <c r="Y316" s="3" t="str">
        <f t="shared" si="8"/>
        <v/>
      </c>
      <c r="Z316" s="3" t="str">
        <f t="shared" si="9"/>
        <v/>
      </c>
      <c r="AA316" s="13">
        <f t="shared" si="10"/>
        <v>235778078</v>
      </c>
      <c r="AB316" s="3">
        <f t="shared" si="11"/>
        <v>235778077</v>
      </c>
      <c r="AC316" s="3">
        <f t="shared" si="12"/>
        <v>5</v>
      </c>
      <c r="AD316" s="3">
        <f t="shared" si="13"/>
        <v>47043416</v>
      </c>
      <c r="AE316" s="3">
        <f t="shared" si="14"/>
        <v>3</v>
      </c>
      <c r="AF316" s="3">
        <f t="shared" si="15"/>
        <v>153</v>
      </c>
      <c r="AG316" s="3">
        <f t="shared" si="16"/>
        <v>2</v>
      </c>
      <c r="AH316" s="3">
        <f t="shared" si="17"/>
        <v>280269</v>
      </c>
      <c r="AI316" s="3" t="str">
        <f t="shared" si="18"/>
        <v/>
      </c>
      <c r="AJ316" s="3">
        <f t="shared" si="19"/>
        <v>0</v>
      </c>
    </row>
    <row r="317">
      <c r="C317" s="6" t="s">
        <v>317</v>
      </c>
      <c r="D317" s="3">
        <f t="shared" si="1"/>
        <v>0</v>
      </c>
      <c r="E317" s="3" t="str">
        <f>IFERROR(__xludf.DUMMYFUNCTION("REGEXEXTRACT(C317,""[^ ]* [^ ]*"")"),"faded gold")</f>
        <v>faded gold</v>
      </c>
      <c r="F317" s="3" t="str">
        <f>IFERROR(__xludf.DUMMYFUNCTION("MID(REGEXEXTRACT(C317,""contain.*$""),9,300)"),"3 plaid gray bags.")</f>
        <v>3 plaid gray bags.</v>
      </c>
      <c r="G317" s="3" t="str">
        <f>IFERROR(__xludf.DUMMYFUNCTION("INDEX(SPLIT($F317,"",""),COLUMN()-6)"),"3 plaid gray bags.")</f>
        <v>3 plaid gray bags.</v>
      </c>
      <c r="H317" s="3" t="str">
        <f>IFERROR(__xludf.DUMMYFUNCTION("MID(INDEX(SPLIT($F317,"",""),COLUMN()-6),2,300)"),"#REF!")</f>
        <v>#REF!</v>
      </c>
      <c r="I317" s="3" t="str">
        <f>IFERROR(__xludf.DUMMYFUNCTION("MID(INDEX(SPLIT($F317,"",""),COLUMN()-6),2,300)"),"#REF!")</f>
        <v>#REF!</v>
      </c>
      <c r="J317" s="3" t="str">
        <f>IFERROR(__xludf.DUMMYFUNCTION("MID(INDEX(SPLIT($F317,"",""),COLUMN()-6),2,300)"),"#REF!")</f>
        <v>#REF!</v>
      </c>
      <c r="K317" s="3">
        <f>IFERROR(__xludf.DUMMYFUNCTION("INDEX(SPLIT(G317,"" ""),1)"),3.0)</f>
        <v>3</v>
      </c>
      <c r="L317" s="3" t="str">
        <f>IFERROR(__xludf.DUMMYFUNCTION("REGEXEXTRACT(G317,"" [^ ]* [^ ]* "")")," plaid gray ")</f>
        <v> plaid gray </v>
      </c>
      <c r="M317" s="3" t="str">
        <f>IFERROR(__xludf.DUMMYFUNCTION("INDEX(SPLIT(H317,"" ""),1)"),"#REF!")</f>
        <v>#REF!</v>
      </c>
      <c r="N317" s="3" t="str">
        <f>IFERROR(__xludf.DUMMYFUNCTION("MID(REGEXEXTRACT(H317,"" [^ ]* [^ ]*""),2,300)"),"#REF!")</f>
        <v>#REF!</v>
      </c>
      <c r="O317" s="3" t="str">
        <f>IFERROR(__xludf.DUMMYFUNCTION("INDEX(SPLIT(I317,"" ""),1)"),"#REF!")</f>
        <v>#REF!</v>
      </c>
      <c r="P317" s="3" t="str">
        <f>IFERROR(__xludf.DUMMYFUNCTION("MID(REGEXEXTRACT(I317,"" [^ ]* [^ ]*""),2,300)"),"#REF!")</f>
        <v>#REF!</v>
      </c>
      <c r="Q317" s="3" t="str">
        <f>IFERROR(__xludf.DUMMYFUNCTION("INDEX(SPLIT(J317,"" ""),1)"),"#REF!")</f>
        <v>#REF!</v>
      </c>
      <c r="R317" s="3" t="str">
        <f>IFERROR(__xludf.DUMMYFUNCTION("MID(REGEXEXTRACT(J317,"" [^ ]* [^ ]*""),2,300)"),"#REF!")</f>
        <v>#REF!</v>
      </c>
      <c r="S317" s="3">
        <f t="shared" si="2"/>
        <v>3</v>
      </c>
      <c r="T317" s="3" t="str">
        <f t="shared" si="3"/>
        <v>plaid gray</v>
      </c>
      <c r="U317" s="3" t="str">
        <f t="shared" si="4"/>
        <v/>
      </c>
      <c r="V317" s="3" t="str">
        <f t="shared" si="5"/>
        <v/>
      </c>
      <c r="W317" s="3" t="str">
        <f t="shared" si="6"/>
        <v/>
      </c>
      <c r="X317" s="3" t="str">
        <f t="shared" si="7"/>
        <v/>
      </c>
      <c r="Y317" s="3" t="str">
        <f t="shared" si="8"/>
        <v/>
      </c>
      <c r="Z317" s="3" t="str">
        <f t="shared" si="9"/>
        <v/>
      </c>
      <c r="AA317" s="13">
        <f t="shared" si="10"/>
        <v>163</v>
      </c>
      <c r="AB317" s="3">
        <f t="shared" si="11"/>
        <v>162</v>
      </c>
      <c r="AC317" s="3">
        <f t="shared" si="12"/>
        <v>3</v>
      </c>
      <c r="AD317" s="3">
        <f t="shared" si="13"/>
        <v>54</v>
      </c>
      <c r="AE317" s="3" t="str">
        <f t="shared" si="14"/>
        <v/>
      </c>
      <c r="AF317" s="3">
        <f t="shared" si="15"/>
        <v>0</v>
      </c>
      <c r="AG317" s="3" t="str">
        <f t="shared" si="16"/>
        <v/>
      </c>
      <c r="AH317" s="3">
        <f t="shared" si="17"/>
        <v>0</v>
      </c>
      <c r="AI317" s="3" t="str">
        <f t="shared" si="18"/>
        <v/>
      </c>
      <c r="AJ317" s="3">
        <f t="shared" si="19"/>
        <v>0</v>
      </c>
    </row>
    <row r="318">
      <c r="C318" s="6" t="s">
        <v>318</v>
      </c>
      <c r="D318" s="3">
        <f t="shared" si="1"/>
        <v>1</v>
      </c>
      <c r="E318" s="3" t="str">
        <f>IFERROR(__xludf.DUMMYFUNCTION("REGEXEXTRACT(C318,""[^ ]* [^ ]*"")"),"shiny aqua")</f>
        <v>shiny aqua</v>
      </c>
      <c r="F318" s="3" t="str">
        <f>IFERROR(__xludf.DUMMYFUNCTION("MID(REGEXEXTRACT(C318,""contain.*$""),9,300)"),"1 striped crimson bag, 5 pale black bags.")</f>
        <v>1 striped crimson bag, 5 pale black bags.</v>
      </c>
      <c r="G318" s="3" t="str">
        <f>IFERROR(__xludf.DUMMYFUNCTION("INDEX(SPLIT($F318,"",""),COLUMN()-6)"),"1 striped crimson bag")</f>
        <v>1 striped crimson bag</v>
      </c>
      <c r="H318" s="3" t="str">
        <f>IFERROR(__xludf.DUMMYFUNCTION("MID(INDEX(SPLIT($F318,"",""),COLUMN()-6),2,300)"),"5 pale black bags.")</f>
        <v>5 pale black bags.</v>
      </c>
      <c r="I318" s="3" t="str">
        <f>IFERROR(__xludf.DUMMYFUNCTION("MID(INDEX(SPLIT($F318,"",""),COLUMN()-6),2,300)"),"#REF!")</f>
        <v>#REF!</v>
      </c>
      <c r="J318" s="3" t="str">
        <f>IFERROR(__xludf.DUMMYFUNCTION("MID(INDEX(SPLIT($F318,"",""),COLUMN()-6),2,300)"),"#REF!")</f>
        <v>#REF!</v>
      </c>
      <c r="K318" s="3">
        <f>IFERROR(__xludf.DUMMYFUNCTION("INDEX(SPLIT(G318,"" ""),1)"),1.0)</f>
        <v>1</v>
      </c>
      <c r="L318" s="3" t="str">
        <f>IFERROR(__xludf.DUMMYFUNCTION("REGEXEXTRACT(G318,"" [^ ]* [^ ]* "")")," striped crimson ")</f>
        <v> striped crimson </v>
      </c>
      <c r="M318" s="3">
        <f>IFERROR(__xludf.DUMMYFUNCTION("INDEX(SPLIT(H318,"" ""),1)"),5.0)</f>
        <v>5</v>
      </c>
      <c r="N318" s="3" t="str">
        <f>IFERROR(__xludf.DUMMYFUNCTION("MID(REGEXEXTRACT(H318,"" [^ ]* [^ ]*""),2,300)"),"pale black")</f>
        <v>pale black</v>
      </c>
      <c r="O318" s="3" t="str">
        <f>IFERROR(__xludf.DUMMYFUNCTION("INDEX(SPLIT(I318,"" ""),1)"),"#REF!")</f>
        <v>#REF!</v>
      </c>
      <c r="P318" s="3" t="str">
        <f>IFERROR(__xludf.DUMMYFUNCTION("MID(REGEXEXTRACT(I318,"" [^ ]* [^ ]*""),2,300)"),"#REF!")</f>
        <v>#REF!</v>
      </c>
      <c r="Q318" s="3" t="str">
        <f>IFERROR(__xludf.DUMMYFUNCTION("INDEX(SPLIT(J318,"" ""),1)"),"#REF!")</f>
        <v>#REF!</v>
      </c>
      <c r="R318" s="3" t="str">
        <f>IFERROR(__xludf.DUMMYFUNCTION("MID(REGEXEXTRACT(J318,"" [^ ]* [^ ]*""),2,300)"),"#REF!")</f>
        <v>#REF!</v>
      </c>
      <c r="S318" s="3">
        <f t="shared" si="2"/>
        <v>1</v>
      </c>
      <c r="T318" s="3" t="str">
        <f t="shared" si="3"/>
        <v>striped crimson</v>
      </c>
      <c r="U318" s="3">
        <f t="shared" si="4"/>
        <v>5</v>
      </c>
      <c r="V318" s="3" t="str">
        <f t="shared" si="5"/>
        <v>pale black</v>
      </c>
      <c r="W318" s="3" t="str">
        <f t="shared" si="6"/>
        <v/>
      </c>
      <c r="X318" s="3" t="str">
        <f t="shared" si="7"/>
        <v/>
      </c>
      <c r="Y318" s="3" t="str">
        <f t="shared" si="8"/>
        <v/>
      </c>
      <c r="Z318" s="3" t="str">
        <f t="shared" si="9"/>
        <v/>
      </c>
      <c r="AA318" s="13">
        <f t="shared" si="10"/>
        <v>32451</v>
      </c>
      <c r="AB318" s="3">
        <f t="shared" si="11"/>
        <v>32450</v>
      </c>
      <c r="AC318" s="3">
        <f t="shared" si="12"/>
        <v>1</v>
      </c>
      <c r="AD318" s="3">
        <f t="shared" si="13"/>
        <v>32410</v>
      </c>
      <c r="AE318" s="3">
        <f t="shared" si="14"/>
        <v>5</v>
      </c>
      <c r="AF318" s="3">
        <f t="shared" si="15"/>
        <v>8</v>
      </c>
      <c r="AG318" s="3" t="str">
        <f t="shared" si="16"/>
        <v/>
      </c>
      <c r="AH318" s="3">
        <f t="shared" si="17"/>
        <v>0</v>
      </c>
      <c r="AI318" s="3" t="str">
        <f t="shared" si="18"/>
        <v/>
      </c>
      <c r="AJ318" s="3">
        <f t="shared" si="19"/>
        <v>0</v>
      </c>
    </row>
    <row r="319">
      <c r="C319" s="6" t="s">
        <v>319</v>
      </c>
      <c r="D319" s="3">
        <f t="shared" si="1"/>
        <v>0</v>
      </c>
      <c r="E319" s="3" t="str">
        <f>IFERROR(__xludf.DUMMYFUNCTION("REGEXEXTRACT(C319,""[^ ]* [^ ]*"")"),"shiny lime")</f>
        <v>shiny lime</v>
      </c>
      <c r="F319" s="3" t="str">
        <f>IFERROR(__xludf.DUMMYFUNCTION("MID(REGEXEXTRACT(C319,""contain.*$""),9,300)"),"4 dark green bags.")</f>
        <v>4 dark green bags.</v>
      </c>
      <c r="G319" s="3" t="str">
        <f>IFERROR(__xludf.DUMMYFUNCTION("INDEX(SPLIT($F319,"",""),COLUMN()-6)"),"4 dark green bags.")</f>
        <v>4 dark green bags.</v>
      </c>
      <c r="H319" s="3" t="str">
        <f>IFERROR(__xludf.DUMMYFUNCTION("MID(INDEX(SPLIT($F319,"",""),COLUMN()-6),2,300)"),"#REF!")</f>
        <v>#REF!</v>
      </c>
      <c r="I319" s="3" t="str">
        <f>IFERROR(__xludf.DUMMYFUNCTION("MID(INDEX(SPLIT($F319,"",""),COLUMN()-6),2,300)"),"#REF!")</f>
        <v>#REF!</v>
      </c>
      <c r="J319" s="3" t="str">
        <f>IFERROR(__xludf.DUMMYFUNCTION("MID(INDEX(SPLIT($F319,"",""),COLUMN()-6),2,300)"),"#REF!")</f>
        <v>#REF!</v>
      </c>
      <c r="K319" s="3">
        <f>IFERROR(__xludf.DUMMYFUNCTION("INDEX(SPLIT(G319,"" ""),1)"),4.0)</f>
        <v>4</v>
      </c>
      <c r="L319" s="3" t="str">
        <f>IFERROR(__xludf.DUMMYFUNCTION("REGEXEXTRACT(G319,"" [^ ]* [^ ]* "")")," dark green ")</f>
        <v> dark green </v>
      </c>
      <c r="M319" s="3" t="str">
        <f>IFERROR(__xludf.DUMMYFUNCTION("INDEX(SPLIT(H319,"" ""),1)"),"#REF!")</f>
        <v>#REF!</v>
      </c>
      <c r="N319" s="3" t="str">
        <f>IFERROR(__xludf.DUMMYFUNCTION("MID(REGEXEXTRACT(H319,"" [^ ]* [^ ]*""),2,300)"),"#REF!")</f>
        <v>#REF!</v>
      </c>
      <c r="O319" s="3" t="str">
        <f>IFERROR(__xludf.DUMMYFUNCTION("INDEX(SPLIT(I319,"" ""),1)"),"#REF!")</f>
        <v>#REF!</v>
      </c>
      <c r="P319" s="3" t="str">
        <f>IFERROR(__xludf.DUMMYFUNCTION("MID(REGEXEXTRACT(I319,"" [^ ]* [^ ]*""),2,300)"),"#REF!")</f>
        <v>#REF!</v>
      </c>
      <c r="Q319" s="3" t="str">
        <f>IFERROR(__xludf.DUMMYFUNCTION("INDEX(SPLIT(J319,"" ""),1)"),"#REF!")</f>
        <v>#REF!</v>
      </c>
      <c r="R319" s="3" t="str">
        <f>IFERROR(__xludf.DUMMYFUNCTION("MID(REGEXEXTRACT(J319,"" [^ ]* [^ ]*""),2,300)"),"#REF!")</f>
        <v>#REF!</v>
      </c>
      <c r="S319" s="3">
        <f t="shared" si="2"/>
        <v>4</v>
      </c>
      <c r="T319" s="3" t="str">
        <f t="shared" si="3"/>
        <v>dark green</v>
      </c>
      <c r="U319" s="3" t="str">
        <f t="shared" si="4"/>
        <v/>
      </c>
      <c r="V319" s="3" t="str">
        <f t="shared" si="5"/>
        <v/>
      </c>
      <c r="W319" s="3" t="str">
        <f t="shared" si="6"/>
        <v/>
      </c>
      <c r="X319" s="3" t="str">
        <f t="shared" si="7"/>
        <v/>
      </c>
      <c r="Y319" s="3" t="str">
        <f t="shared" si="8"/>
        <v/>
      </c>
      <c r="Z319" s="3" t="str">
        <f t="shared" si="9"/>
        <v/>
      </c>
      <c r="AA319" s="13">
        <f t="shared" si="10"/>
        <v>23630893</v>
      </c>
      <c r="AB319" s="3">
        <f t="shared" si="11"/>
        <v>23630892</v>
      </c>
      <c r="AC319" s="3">
        <f t="shared" si="12"/>
        <v>4</v>
      </c>
      <c r="AD319" s="3">
        <f t="shared" si="13"/>
        <v>5907723</v>
      </c>
      <c r="AE319" s="3" t="str">
        <f t="shared" si="14"/>
        <v/>
      </c>
      <c r="AF319" s="3">
        <f t="shared" si="15"/>
        <v>0</v>
      </c>
      <c r="AG319" s="3" t="str">
        <f t="shared" si="16"/>
        <v/>
      </c>
      <c r="AH319" s="3">
        <f t="shared" si="17"/>
        <v>0</v>
      </c>
      <c r="AI319" s="3" t="str">
        <f t="shared" si="18"/>
        <v/>
      </c>
      <c r="AJ319" s="3">
        <f t="shared" si="19"/>
        <v>0</v>
      </c>
    </row>
    <row r="320">
      <c r="C320" s="6" t="s">
        <v>320</v>
      </c>
      <c r="D320" s="3">
        <f t="shared" si="1"/>
        <v>1</v>
      </c>
      <c r="E320" s="3" t="str">
        <f>IFERROR(__xludf.DUMMYFUNCTION("REGEXEXTRACT(C320,""[^ ]* [^ ]*"")"),"vibrant tan")</f>
        <v>vibrant tan</v>
      </c>
      <c r="F320" s="3" t="str">
        <f>IFERROR(__xludf.DUMMYFUNCTION("MID(REGEXEXTRACT(C320,""contain.*$""),9,300)"),"3 clear silver bags, 3 pale white bags.")</f>
        <v>3 clear silver bags, 3 pale white bags.</v>
      </c>
      <c r="G320" s="3" t="str">
        <f>IFERROR(__xludf.DUMMYFUNCTION("INDEX(SPLIT($F320,"",""),COLUMN()-6)"),"3 clear silver bags")</f>
        <v>3 clear silver bags</v>
      </c>
      <c r="H320" s="3" t="str">
        <f>IFERROR(__xludf.DUMMYFUNCTION("MID(INDEX(SPLIT($F320,"",""),COLUMN()-6),2,300)"),"3 pale white bags.")</f>
        <v>3 pale white bags.</v>
      </c>
      <c r="I320" s="3" t="str">
        <f>IFERROR(__xludf.DUMMYFUNCTION("MID(INDEX(SPLIT($F320,"",""),COLUMN()-6),2,300)"),"#REF!")</f>
        <v>#REF!</v>
      </c>
      <c r="J320" s="3" t="str">
        <f>IFERROR(__xludf.DUMMYFUNCTION("MID(INDEX(SPLIT($F320,"",""),COLUMN()-6),2,300)"),"#REF!")</f>
        <v>#REF!</v>
      </c>
      <c r="K320" s="3">
        <f>IFERROR(__xludf.DUMMYFUNCTION("INDEX(SPLIT(G320,"" ""),1)"),3.0)</f>
        <v>3</v>
      </c>
      <c r="L320" s="3" t="str">
        <f>IFERROR(__xludf.DUMMYFUNCTION("REGEXEXTRACT(G320,"" [^ ]* [^ ]* "")")," clear silver ")</f>
        <v> clear silver </v>
      </c>
      <c r="M320" s="3">
        <f>IFERROR(__xludf.DUMMYFUNCTION("INDEX(SPLIT(H320,"" ""),1)"),3.0)</f>
        <v>3</v>
      </c>
      <c r="N320" s="3" t="str">
        <f>IFERROR(__xludf.DUMMYFUNCTION("MID(REGEXEXTRACT(H320,"" [^ ]* [^ ]*""),2,300)"),"pale white")</f>
        <v>pale white</v>
      </c>
      <c r="O320" s="3" t="str">
        <f>IFERROR(__xludf.DUMMYFUNCTION("INDEX(SPLIT(I320,"" ""),1)"),"#REF!")</f>
        <v>#REF!</v>
      </c>
      <c r="P320" s="3" t="str">
        <f>IFERROR(__xludf.DUMMYFUNCTION("MID(REGEXEXTRACT(I320,"" [^ ]* [^ ]*""),2,300)"),"#REF!")</f>
        <v>#REF!</v>
      </c>
      <c r="Q320" s="3" t="str">
        <f>IFERROR(__xludf.DUMMYFUNCTION("INDEX(SPLIT(J320,"" ""),1)"),"#REF!")</f>
        <v>#REF!</v>
      </c>
      <c r="R320" s="3" t="str">
        <f>IFERROR(__xludf.DUMMYFUNCTION("MID(REGEXEXTRACT(J320,"" [^ ]* [^ ]*""),2,300)"),"#REF!")</f>
        <v>#REF!</v>
      </c>
      <c r="S320" s="3">
        <f t="shared" si="2"/>
        <v>3</v>
      </c>
      <c r="T320" s="3" t="str">
        <f t="shared" si="3"/>
        <v>clear silver</v>
      </c>
      <c r="U320" s="3">
        <f t="shared" si="4"/>
        <v>3</v>
      </c>
      <c r="V320" s="3" t="str">
        <f t="shared" si="5"/>
        <v>pale white</v>
      </c>
      <c r="W320" s="3" t="str">
        <f t="shared" si="6"/>
        <v/>
      </c>
      <c r="X320" s="3" t="str">
        <f t="shared" si="7"/>
        <v/>
      </c>
      <c r="Y320" s="3" t="str">
        <f t="shared" si="8"/>
        <v/>
      </c>
      <c r="Z320" s="3" t="str">
        <f t="shared" si="9"/>
        <v/>
      </c>
      <c r="AA320" s="13">
        <f t="shared" si="10"/>
        <v>229951</v>
      </c>
      <c r="AB320" s="3">
        <f t="shared" si="11"/>
        <v>229950</v>
      </c>
      <c r="AC320" s="3">
        <f t="shared" si="12"/>
        <v>3</v>
      </c>
      <c r="AD320" s="3">
        <f t="shared" si="13"/>
        <v>217</v>
      </c>
      <c r="AE320" s="3">
        <f t="shared" si="14"/>
        <v>3</v>
      </c>
      <c r="AF320" s="3">
        <f t="shared" si="15"/>
        <v>76433</v>
      </c>
      <c r="AG320" s="3" t="str">
        <f t="shared" si="16"/>
        <v/>
      </c>
      <c r="AH320" s="3">
        <f t="shared" si="17"/>
        <v>0</v>
      </c>
      <c r="AI320" s="3" t="str">
        <f t="shared" si="18"/>
        <v/>
      </c>
      <c r="AJ320" s="3">
        <f t="shared" si="19"/>
        <v>0</v>
      </c>
    </row>
    <row r="321">
      <c r="C321" s="6" t="s">
        <v>321</v>
      </c>
      <c r="D321" s="3">
        <f t="shared" si="1"/>
        <v>0</v>
      </c>
      <c r="E321" s="3" t="str">
        <f>IFERROR(__xludf.DUMMYFUNCTION("REGEXEXTRACT(C321,""[^ ]* [^ ]*"")"),"vibrant aqua")</f>
        <v>vibrant aqua</v>
      </c>
      <c r="F321" s="3" t="str">
        <f>IFERROR(__xludf.DUMMYFUNCTION("MID(REGEXEXTRACT(C321,""contain.*$""),9,300)"),"no other bags.")</f>
        <v>no other bags.</v>
      </c>
      <c r="G321" s="3" t="str">
        <f>IFERROR(__xludf.DUMMYFUNCTION("INDEX(SPLIT($F321,"",""),COLUMN()-6)"),"no other bags.")</f>
        <v>no other bags.</v>
      </c>
      <c r="H321" s="3" t="str">
        <f>IFERROR(__xludf.DUMMYFUNCTION("MID(INDEX(SPLIT($F321,"",""),COLUMN()-6),2,300)"),"#REF!")</f>
        <v>#REF!</v>
      </c>
      <c r="I321" s="3" t="str">
        <f>IFERROR(__xludf.DUMMYFUNCTION("MID(INDEX(SPLIT($F321,"",""),COLUMN()-6),2,300)"),"#REF!")</f>
        <v>#REF!</v>
      </c>
      <c r="J321" s="3" t="str">
        <f>IFERROR(__xludf.DUMMYFUNCTION("MID(INDEX(SPLIT($F321,"",""),COLUMN()-6),2,300)"),"#REF!")</f>
        <v>#REF!</v>
      </c>
      <c r="K321" s="3" t="str">
        <f>IFERROR(__xludf.DUMMYFUNCTION("INDEX(SPLIT(G321,"" ""),1)"),"no")</f>
        <v>no</v>
      </c>
      <c r="L321" s="3" t="str">
        <f>IFERROR(__xludf.DUMMYFUNCTION("REGEXEXTRACT(G321,"" [^ ]* [^ ]* "")"),"#N/A")</f>
        <v>#N/A</v>
      </c>
      <c r="M321" s="3" t="str">
        <f>IFERROR(__xludf.DUMMYFUNCTION("INDEX(SPLIT(H321,"" ""),1)"),"#REF!")</f>
        <v>#REF!</v>
      </c>
      <c r="N321" s="3" t="str">
        <f>IFERROR(__xludf.DUMMYFUNCTION("MID(REGEXEXTRACT(H321,"" [^ ]* [^ ]*""),2,300)"),"#REF!")</f>
        <v>#REF!</v>
      </c>
      <c r="O321" s="3" t="str">
        <f>IFERROR(__xludf.DUMMYFUNCTION("INDEX(SPLIT(I321,"" ""),1)"),"#REF!")</f>
        <v>#REF!</v>
      </c>
      <c r="P321" s="3" t="str">
        <f>IFERROR(__xludf.DUMMYFUNCTION("MID(REGEXEXTRACT(I321,"" [^ ]* [^ ]*""),2,300)"),"#REF!")</f>
        <v>#REF!</v>
      </c>
      <c r="Q321" s="3" t="str">
        <f>IFERROR(__xludf.DUMMYFUNCTION("INDEX(SPLIT(J321,"" ""),1)"),"#REF!")</f>
        <v>#REF!</v>
      </c>
      <c r="R321" s="3" t="str">
        <f>IFERROR(__xludf.DUMMYFUNCTION("MID(REGEXEXTRACT(J321,"" [^ ]* [^ ]*""),2,300)"),"#REF!")</f>
        <v>#REF!</v>
      </c>
      <c r="S321" s="3" t="str">
        <f t="shared" si="2"/>
        <v/>
      </c>
      <c r="T321" s="3" t="str">
        <f t="shared" si="3"/>
        <v/>
      </c>
      <c r="U321" s="3" t="str">
        <f t="shared" si="4"/>
        <v/>
      </c>
      <c r="V321" s="3" t="str">
        <f t="shared" si="5"/>
        <v/>
      </c>
      <c r="W321" s="3" t="str">
        <f t="shared" si="6"/>
        <v/>
      </c>
      <c r="X321" s="3" t="str">
        <f t="shared" si="7"/>
        <v/>
      </c>
      <c r="Y321" s="3" t="str">
        <f t="shared" si="8"/>
        <v/>
      </c>
      <c r="Z321" s="3" t="str">
        <f t="shared" si="9"/>
        <v/>
      </c>
      <c r="AA321" s="13">
        <f t="shared" si="10"/>
        <v>1</v>
      </c>
      <c r="AB321" s="3">
        <f t="shared" si="11"/>
        <v>0</v>
      </c>
      <c r="AC321" s="3" t="str">
        <f t="shared" si="12"/>
        <v/>
      </c>
      <c r="AD321" s="3">
        <f t="shared" si="13"/>
        <v>0</v>
      </c>
      <c r="AE321" s="3" t="str">
        <f t="shared" si="14"/>
        <v/>
      </c>
      <c r="AF321" s="3">
        <f t="shared" si="15"/>
        <v>0</v>
      </c>
      <c r="AG321" s="3" t="str">
        <f t="shared" si="16"/>
        <v/>
      </c>
      <c r="AH321" s="3">
        <f t="shared" si="17"/>
        <v>0</v>
      </c>
      <c r="AI321" s="3" t="str">
        <f t="shared" si="18"/>
        <v/>
      </c>
      <c r="AJ321" s="3">
        <f t="shared" si="19"/>
        <v>0</v>
      </c>
    </row>
    <row r="322">
      <c r="C322" s="6" t="s">
        <v>322</v>
      </c>
      <c r="D322" s="3">
        <f t="shared" si="1"/>
        <v>0</v>
      </c>
      <c r="E322" s="3" t="str">
        <f>IFERROR(__xludf.DUMMYFUNCTION("REGEXEXTRACT(C322,""[^ ]* [^ ]*"")"),"vibrant teal")</f>
        <v>vibrant teal</v>
      </c>
      <c r="F322" s="3" t="str">
        <f>IFERROR(__xludf.DUMMYFUNCTION("MID(REGEXEXTRACT(C322,""contain.*$""),9,300)"),"3 wavy tan bags.")</f>
        <v>3 wavy tan bags.</v>
      </c>
      <c r="G322" s="3" t="str">
        <f>IFERROR(__xludf.DUMMYFUNCTION("INDEX(SPLIT($F322,"",""),COLUMN()-6)"),"3 wavy tan bags.")</f>
        <v>3 wavy tan bags.</v>
      </c>
      <c r="H322" s="3" t="str">
        <f>IFERROR(__xludf.DUMMYFUNCTION("MID(INDEX(SPLIT($F322,"",""),COLUMN()-6),2,300)"),"#REF!")</f>
        <v>#REF!</v>
      </c>
      <c r="I322" s="3" t="str">
        <f>IFERROR(__xludf.DUMMYFUNCTION("MID(INDEX(SPLIT($F322,"",""),COLUMN()-6),2,300)"),"#REF!")</f>
        <v>#REF!</v>
      </c>
      <c r="J322" s="3" t="str">
        <f>IFERROR(__xludf.DUMMYFUNCTION("MID(INDEX(SPLIT($F322,"",""),COLUMN()-6),2,300)"),"#REF!")</f>
        <v>#REF!</v>
      </c>
      <c r="K322" s="3">
        <f>IFERROR(__xludf.DUMMYFUNCTION("INDEX(SPLIT(G322,"" ""),1)"),3.0)</f>
        <v>3</v>
      </c>
      <c r="L322" s="3" t="str">
        <f>IFERROR(__xludf.DUMMYFUNCTION("REGEXEXTRACT(G322,"" [^ ]* [^ ]* "")")," wavy tan ")</f>
        <v> wavy tan </v>
      </c>
      <c r="M322" s="3" t="str">
        <f>IFERROR(__xludf.DUMMYFUNCTION("INDEX(SPLIT(H322,"" ""),1)"),"#REF!")</f>
        <v>#REF!</v>
      </c>
      <c r="N322" s="3" t="str">
        <f>IFERROR(__xludf.DUMMYFUNCTION("MID(REGEXEXTRACT(H322,"" [^ ]* [^ ]*""),2,300)"),"#REF!")</f>
        <v>#REF!</v>
      </c>
      <c r="O322" s="3" t="str">
        <f>IFERROR(__xludf.DUMMYFUNCTION("INDEX(SPLIT(I322,"" ""),1)"),"#REF!")</f>
        <v>#REF!</v>
      </c>
      <c r="P322" s="3" t="str">
        <f>IFERROR(__xludf.DUMMYFUNCTION("MID(REGEXEXTRACT(I322,"" [^ ]* [^ ]*""),2,300)"),"#REF!")</f>
        <v>#REF!</v>
      </c>
      <c r="Q322" s="3" t="str">
        <f>IFERROR(__xludf.DUMMYFUNCTION("INDEX(SPLIT(J322,"" ""),1)"),"#REF!")</f>
        <v>#REF!</v>
      </c>
      <c r="R322" s="3" t="str">
        <f>IFERROR(__xludf.DUMMYFUNCTION("MID(REGEXEXTRACT(J322,"" [^ ]* [^ ]*""),2,300)"),"#REF!")</f>
        <v>#REF!</v>
      </c>
      <c r="S322" s="3">
        <f t="shared" si="2"/>
        <v>3</v>
      </c>
      <c r="T322" s="3" t="str">
        <f t="shared" si="3"/>
        <v>wavy tan</v>
      </c>
      <c r="U322" s="3" t="str">
        <f t="shared" si="4"/>
        <v/>
      </c>
      <c r="V322" s="3" t="str">
        <f t="shared" si="5"/>
        <v/>
      </c>
      <c r="W322" s="3" t="str">
        <f t="shared" si="6"/>
        <v/>
      </c>
      <c r="X322" s="3" t="str">
        <f t="shared" si="7"/>
        <v/>
      </c>
      <c r="Y322" s="3" t="str">
        <f t="shared" si="8"/>
        <v/>
      </c>
      <c r="Z322" s="3" t="str">
        <f t="shared" si="9"/>
        <v/>
      </c>
      <c r="AA322" s="13">
        <f t="shared" si="10"/>
        <v>59785</v>
      </c>
      <c r="AB322" s="3">
        <f t="shared" si="11"/>
        <v>59784</v>
      </c>
      <c r="AC322" s="3">
        <f t="shared" si="12"/>
        <v>3</v>
      </c>
      <c r="AD322" s="3">
        <f t="shared" si="13"/>
        <v>19928</v>
      </c>
      <c r="AE322" s="3" t="str">
        <f t="shared" si="14"/>
        <v/>
      </c>
      <c r="AF322" s="3">
        <f t="shared" si="15"/>
        <v>0</v>
      </c>
      <c r="AG322" s="3" t="str">
        <f t="shared" si="16"/>
        <v/>
      </c>
      <c r="AH322" s="3">
        <f t="shared" si="17"/>
        <v>0</v>
      </c>
      <c r="AI322" s="3" t="str">
        <f t="shared" si="18"/>
        <v/>
      </c>
      <c r="AJ322" s="3">
        <f t="shared" si="19"/>
        <v>0</v>
      </c>
    </row>
    <row r="323">
      <c r="C323" s="6" t="s">
        <v>323</v>
      </c>
      <c r="D323" s="3">
        <f t="shared" si="1"/>
        <v>0</v>
      </c>
      <c r="E323" s="3" t="str">
        <f>IFERROR(__xludf.DUMMYFUNCTION("REGEXEXTRACT(C323,""[^ ]* [^ ]*"")"),"light maroon")</f>
        <v>light maroon</v>
      </c>
      <c r="F323" s="3" t="str">
        <f>IFERROR(__xludf.DUMMYFUNCTION("MID(REGEXEXTRACT(C323,""contain.*$""),9,300)"),"3 vibrant silver bags.")</f>
        <v>3 vibrant silver bags.</v>
      </c>
      <c r="G323" s="3" t="str">
        <f>IFERROR(__xludf.DUMMYFUNCTION("INDEX(SPLIT($F323,"",""),COLUMN()-6)"),"3 vibrant silver bags.")</f>
        <v>3 vibrant silver bags.</v>
      </c>
      <c r="H323" s="3" t="str">
        <f>IFERROR(__xludf.DUMMYFUNCTION("MID(INDEX(SPLIT($F323,"",""),COLUMN()-6),2,300)"),"#REF!")</f>
        <v>#REF!</v>
      </c>
      <c r="I323" s="3" t="str">
        <f>IFERROR(__xludf.DUMMYFUNCTION("MID(INDEX(SPLIT($F323,"",""),COLUMN()-6),2,300)"),"#REF!")</f>
        <v>#REF!</v>
      </c>
      <c r="J323" s="3" t="str">
        <f>IFERROR(__xludf.DUMMYFUNCTION("MID(INDEX(SPLIT($F323,"",""),COLUMN()-6),2,300)"),"#REF!")</f>
        <v>#REF!</v>
      </c>
      <c r="K323" s="3">
        <f>IFERROR(__xludf.DUMMYFUNCTION("INDEX(SPLIT(G323,"" ""),1)"),3.0)</f>
        <v>3</v>
      </c>
      <c r="L323" s="3" t="str">
        <f>IFERROR(__xludf.DUMMYFUNCTION("REGEXEXTRACT(G323,"" [^ ]* [^ ]* "")")," vibrant silver ")</f>
        <v> vibrant silver </v>
      </c>
      <c r="M323" s="3" t="str">
        <f>IFERROR(__xludf.DUMMYFUNCTION("INDEX(SPLIT(H323,"" ""),1)"),"#REF!")</f>
        <v>#REF!</v>
      </c>
      <c r="N323" s="3" t="str">
        <f>IFERROR(__xludf.DUMMYFUNCTION("MID(REGEXEXTRACT(H323,"" [^ ]* [^ ]*""),2,300)"),"#REF!")</f>
        <v>#REF!</v>
      </c>
      <c r="O323" s="3" t="str">
        <f>IFERROR(__xludf.DUMMYFUNCTION("INDEX(SPLIT(I323,"" ""),1)"),"#REF!")</f>
        <v>#REF!</v>
      </c>
      <c r="P323" s="3" t="str">
        <f>IFERROR(__xludf.DUMMYFUNCTION("MID(REGEXEXTRACT(I323,"" [^ ]* [^ ]*""),2,300)"),"#REF!")</f>
        <v>#REF!</v>
      </c>
      <c r="Q323" s="3" t="str">
        <f>IFERROR(__xludf.DUMMYFUNCTION("INDEX(SPLIT(J323,"" ""),1)"),"#REF!")</f>
        <v>#REF!</v>
      </c>
      <c r="R323" s="3" t="str">
        <f>IFERROR(__xludf.DUMMYFUNCTION("MID(REGEXEXTRACT(J323,"" [^ ]* [^ ]*""),2,300)"),"#REF!")</f>
        <v>#REF!</v>
      </c>
      <c r="S323" s="3">
        <f t="shared" si="2"/>
        <v>3</v>
      </c>
      <c r="T323" s="3" t="str">
        <f t="shared" si="3"/>
        <v>vibrant silver</v>
      </c>
      <c r="U323" s="3" t="str">
        <f t="shared" si="4"/>
        <v/>
      </c>
      <c r="V323" s="3" t="str">
        <f t="shared" si="5"/>
        <v/>
      </c>
      <c r="W323" s="3" t="str">
        <f t="shared" si="6"/>
        <v/>
      </c>
      <c r="X323" s="3" t="str">
        <f t="shared" si="7"/>
        <v/>
      </c>
      <c r="Y323" s="3" t="str">
        <f t="shared" si="8"/>
        <v/>
      </c>
      <c r="Z323" s="3" t="str">
        <f t="shared" si="9"/>
        <v/>
      </c>
      <c r="AA323" s="13">
        <f t="shared" si="10"/>
        <v>28226050</v>
      </c>
      <c r="AB323" s="3">
        <f t="shared" si="11"/>
        <v>28226049</v>
      </c>
      <c r="AC323" s="3">
        <f t="shared" si="12"/>
        <v>3</v>
      </c>
      <c r="AD323" s="3">
        <f t="shared" si="13"/>
        <v>9408683</v>
      </c>
      <c r="AE323" s="3" t="str">
        <f t="shared" si="14"/>
        <v/>
      </c>
      <c r="AF323" s="3">
        <f t="shared" si="15"/>
        <v>0</v>
      </c>
      <c r="AG323" s="3" t="str">
        <f t="shared" si="16"/>
        <v/>
      </c>
      <c r="AH323" s="3">
        <f t="shared" si="17"/>
        <v>0</v>
      </c>
      <c r="AI323" s="3" t="str">
        <f t="shared" si="18"/>
        <v/>
      </c>
      <c r="AJ323" s="3">
        <f t="shared" si="19"/>
        <v>0</v>
      </c>
    </row>
    <row r="324">
      <c r="C324" s="6" t="s">
        <v>324</v>
      </c>
      <c r="D324" s="3">
        <f t="shared" si="1"/>
        <v>0</v>
      </c>
      <c r="E324" s="3" t="str">
        <f>IFERROR(__xludf.DUMMYFUNCTION("REGEXEXTRACT(C324,""[^ ]* [^ ]*"")"),"faded crimson")</f>
        <v>faded crimson</v>
      </c>
      <c r="F324" s="3" t="str">
        <f>IFERROR(__xludf.DUMMYFUNCTION("MID(REGEXEXTRACT(C324,""contain.*$""),9,300)"),"3 plaid red bags.")</f>
        <v>3 plaid red bags.</v>
      </c>
      <c r="G324" s="3" t="str">
        <f>IFERROR(__xludf.DUMMYFUNCTION("INDEX(SPLIT($F324,"",""),COLUMN()-6)"),"3 plaid red bags.")</f>
        <v>3 plaid red bags.</v>
      </c>
      <c r="H324" s="3" t="str">
        <f>IFERROR(__xludf.DUMMYFUNCTION("MID(INDEX(SPLIT($F324,"",""),COLUMN()-6),2,300)"),"#REF!")</f>
        <v>#REF!</v>
      </c>
      <c r="I324" s="3" t="str">
        <f>IFERROR(__xludf.DUMMYFUNCTION("MID(INDEX(SPLIT($F324,"",""),COLUMN()-6),2,300)"),"#REF!")</f>
        <v>#REF!</v>
      </c>
      <c r="J324" s="3" t="str">
        <f>IFERROR(__xludf.DUMMYFUNCTION("MID(INDEX(SPLIT($F324,"",""),COLUMN()-6),2,300)"),"#REF!")</f>
        <v>#REF!</v>
      </c>
      <c r="K324" s="3">
        <f>IFERROR(__xludf.DUMMYFUNCTION("INDEX(SPLIT(G324,"" ""),1)"),3.0)</f>
        <v>3</v>
      </c>
      <c r="L324" s="3" t="str">
        <f>IFERROR(__xludf.DUMMYFUNCTION("REGEXEXTRACT(G324,"" [^ ]* [^ ]* "")")," plaid red ")</f>
        <v> plaid red </v>
      </c>
      <c r="M324" s="3" t="str">
        <f>IFERROR(__xludf.DUMMYFUNCTION("INDEX(SPLIT(H324,"" ""),1)"),"#REF!")</f>
        <v>#REF!</v>
      </c>
      <c r="N324" s="3" t="str">
        <f>IFERROR(__xludf.DUMMYFUNCTION("MID(REGEXEXTRACT(H324,"" [^ ]* [^ ]*""),2,300)"),"#REF!")</f>
        <v>#REF!</v>
      </c>
      <c r="O324" s="3" t="str">
        <f>IFERROR(__xludf.DUMMYFUNCTION("INDEX(SPLIT(I324,"" ""),1)"),"#REF!")</f>
        <v>#REF!</v>
      </c>
      <c r="P324" s="3" t="str">
        <f>IFERROR(__xludf.DUMMYFUNCTION("MID(REGEXEXTRACT(I324,"" [^ ]* [^ ]*""),2,300)"),"#REF!")</f>
        <v>#REF!</v>
      </c>
      <c r="Q324" s="3" t="str">
        <f>IFERROR(__xludf.DUMMYFUNCTION("INDEX(SPLIT(J324,"" ""),1)"),"#REF!")</f>
        <v>#REF!</v>
      </c>
      <c r="R324" s="3" t="str">
        <f>IFERROR(__xludf.DUMMYFUNCTION("MID(REGEXEXTRACT(J324,"" [^ ]* [^ ]*""),2,300)"),"#REF!")</f>
        <v>#REF!</v>
      </c>
      <c r="S324" s="3">
        <f t="shared" si="2"/>
        <v>3</v>
      </c>
      <c r="T324" s="3" t="str">
        <f t="shared" si="3"/>
        <v>plaid red</v>
      </c>
      <c r="U324" s="3" t="str">
        <f t="shared" si="4"/>
        <v/>
      </c>
      <c r="V324" s="3" t="str">
        <f t="shared" si="5"/>
        <v/>
      </c>
      <c r="W324" s="3" t="str">
        <f t="shared" si="6"/>
        <v/>
      </c>
      <c r="X324" s="3" t="str">
        <f t="shared" si="7"/>
        <v/>
      </c>
      <c r="Y324" s="3" t="str">
        <f t="shared" si="8"/>
        <v/>
      </c>
      <c r="Z324" s="3" t="str">
        <f t="shared" si="9"/>
        <v/>
      </c>
      <c r="AA324" s="13">
        <f t="shared" si="10"/>
        <v>450697810</v>
      </c>
      <c r="AB324" s="3">
        <f t="shared" si="11"/>
        <v>450697809</v>
      </c>
      <c r="AC324" s="3">
        <f t="shared" si="12"/>
        <v>3</v>
      </c>
      <c r="AD324" s="3">
        <f t="shared" si="13"/>
        <v>150232603</v>
      </c>
      <c r="AE324" s="3" t="str">
        <f t="shared" si="14"/>
        <v/>
      </c>
      <c r="AF324" s="3">
        <f t="shared" si="15"/>
        <v>0</v>
      </c>
      <c r="AG324" s="3" t="str">
        <f t="shared" si="16"/>
        <v/>
      </c>
      <c r="AH324" s="3">
        <f t="shared" si="17"/>
        <v>0</v>
      </c>
      <c r="AI324" s="3" t="str">
        <f t="shared" si="18"/>
        <v/>
      </c>
      <c r="AJ324" s="3">
        <f t="shared" si="19"/>
        <v>0</v>
      </c>
    </row>
    <row r="325">
      <c r="C325" s="6" t="s">
        <v>325</v>
      </c>
      <c r="D325" s="3">
        <f t="shared" si="1"/>
        <v>2</v>
      </c>
      <c r="E325" s="3" t="str">
        <f>IFERROR(__xludf.DUMMYFUNCTION("REGEXEXTRACT(C325,""[^ ]* [^ ]*"")"),"light teal")</f>
        <v>light teal</v>
      </c>
      <c r="F325" s="3" t="str">
        <f>IFERROR(__xludf.DUMMYFUNCTION("MID(REGEXEXTRACT(C325,""contain.*$""),9,300)"),"2 dark teal bags, 1 faded beige bag, 4 dull cyan bags.")</f>
        <v>2 dark teal bags, 1 faded beige bag, 4 dull cyan bags.</v>
      </c>
      <c r="G325" s="3" t="str">
        <f>IFERROR(__xludf.DUMMYFUNCTION("INDEX(SPLIT($F325,"",""),COLUMN()-6)"),"2 dark teal bags")</f>
        <v>2 dark teal bags</v>
      </c>
      <c r="H325" s="3" t="str">
        <f>IFERROR(__xludf.DUMMYFUNCTION("MID(INDEX(SPLIT($F325,"",""),COLUMN()-6),2,300)"),"1 faded beige bag")</f>
        <v>1 faded beige bag</v>
      </c>
      <c r="I325" s="3" t="str">
        <f>IFERROR(__xludf.DUMMYFUNCTION("MID(INDEX(SPLIT($F325,"",""),COLUMN()-6),2,300)"),"4 dull cyan bags.")</f>
        <v>4 dull cyan bags.</v>
      </c>
      <c r="J325" s="3" t="str">
        <f>IFERROR(__xludf.DUMMYFUNCTION("MID(INDEX(SPLIT($F325,"",""),COLUMN()-6),2,300)"),"#REF!")</f>
        <v>#REF!</v>
      </c>
      <c r="K325" s="3">
        <f>IFERROR(__xludf.DUMMYFUNCTION("INDEX(SPLIT(G325,"" ""),1)"),2.0)</f>
        <v>2</v>
      </c>
      <c r="L325" s="3" t="str">
        <f>IFERROR(__xludf.DUMMYFUNCTION("REGEXEXTRACT(G325,"" [^ ]* [^ ]* "")")," dark teal ")</f>
        <v> dark teal </v>
      </c>
      <c r="M325" s="3">
        <f>IFERROR(__xludf.DUMMYFUNCTION("INDEX(SPLIT(H325,"" ""),1)"),1.0)</f>
        <v>1</v>
      </c>
      <c r="N325" s="3" t="str">
        <f>IFERROR(__xludf.DUMMYFUNCTION("MID(REGEXEXTRACT(H325,"" [^ ]* [^ ]*""),2,300)"),"faded beige")</f>
        <v>faded beige</v>
      </c>
      <c r="O325" s="3">
        <f>IFERROR(__xludf.DUMMYFUNCTION("INDEX(SPLIT(I325,"" ""),1)"),4.0)</f>
        <v>4</v>
      </c>
      <c r="P325" s="3" t="str">
        <f>IFERROR(__xludf.DUMMYFUNCTION("MID(REGEXEXTRACT(I325,"" [^ ]* [^ ]*""),2,300)"),"dull cyan")</f>
        <v>dull cyan</v>
      </c>
      <c r="Q325" s="3" t="str">
        <f>IFERROR(__xludf.DUMMYFUNCTION("INDEX(SPLIT(J325,"" ""),1)"),"#REF!")</f>
        <v>#REF!</v>
      </c>
      <c r="R325" s="3" t="str">
        <f>IFERROR(__xludf.DUMMYFUNCTION("MID(REGEXEXTRACT(J325,"" [^ ]* [^ ]*""),2,300)"),"#REF!")</f>
        <v>#REF!</v>
      </c>
      <c r="S325" s="3">
        <f t="shared" si="2"/>
        <v>2</v>
      </c>
      <c r="T325" s="3" t="str">
        <f t="shared" si="3"/>
        <v>dark teal</v>
      </c>
      <c r="U325" s="3">
        <f t="shared" si="4"/>
        <v>1</v>
      </c>
      <c r="V325" s="3" t="str">
        <f t="shared" si="5"/>
        <v>faded beige</v>
      </c>
      <c r="W325" s="3">
        <f t="shared" si="6"/>
        <v>4</v>
      </c>
      <c r="X325" s="3" t="str">
        <f t="shared" si="7"/>
        <v>dull cyan</v>
      </c>
      <c r="Y325" s="3" t="str">
        <f t="shared" si="8"/>
        <v/>
      </c>
      <c r="Z325" s="3" t="str">
        <f t="shared" si="9"/>
        <v/>
      </c>
      <c r="AA325" s="13">
        <f t="shared" si="10"/>
        <v>48488</v>
      </c>
      <c r="AB325" s="3">
        <f t="shared" si="11"/>
        <v>48487</v>
      </c>
      <c r="AC325" s="3">
        <f t="shared" si="12"/>
        <v>2</v>
      </c>
      <c r="AD325" s="3">
        <f t="shared" si="13"/>
        <v>15041</v>
      </c>
      <c r="AE325" s="3">
        <f t="shared" si="14"/>
        <v>1</v>
      </c>
      <c r="AF325" s="3">
        <f t="shared" si="15"/>
        <v>6373</v>
      </c>
      <c r="AG325" s="3">
        <f t="shared" si="16"/>
        <v>4</v>
      </c>
      <c r="AH325" s="3">
        <f t="shared" si="17"/>
        <v>3008</v>
      </c>
      <c r="AI325" s="3" t="str">
        <f t="shared" si="18"/>
        <v/>
      </c>
      <c r="AJ325" s="3">
        <f t="shared" si="19"/>
        <v>0</v>
      </c>
    </row>
    <row r="326">
      <c r="C326" s="6" t="s">
        <v>326</v>
      </c>
      <c r="D326" s="3">
        <f t="shared" si="1"/>
        <v>0</v>
      </c>
      <c r="E326" s="3" t="str">
        <f>IFERROR(__xludf.DUMMYFUNCTION("REGEXEXTRACT(C326,""[^ ]* [^ ]*"")"),"mirrored coral")</f>
        <v>mirrored coral</v>
      </c>
      <c r="F326" s="3" t="str">
        <f>IFERROR(__xludf.DUMMYFUNCTION("MID(REGEXEXTRACT(C326,""contain.*$""),9,300)"),"2 vibrant plum bags.")</f>
        <v>2 vibrant plum bags.</v>
      </c>
      <c r="G326" s="3" t="str">
        <f>IFERROR(__xludf.DUMMYFUNCTION("INDEX(SPLIT($F326,"",""),COLUMN()-6)"),"2 vibrant plum bags.")</f>
        <v>2 vibrant plum bags.</v>
      </c>
      <c r="H326" s="3" t="str">
        <f>IFERROR(__xludf.DUMMYFUNCTION("MID(INDEX(SPLIT($F326,"",""),COLUMN()-6),2,300)"),"#REF!")</f>
        <v>#REF!</v>
      </c>
      <c r="I326" s="3" t="str">
        <f>IFERROR(__xludf.DUMMYFUNCTION("MID(INDEX(SPLIT($F326,"",""),COLUMN()-6),2,300)"),"#REF!")</f>
        <v>#REF!</v>
      </c>
      <c r="J326" s="3" t="str">
        <f>IFERROR(__xludf.DUMMYFUNCTION("MID(INDEX(SPLIT($F326,"",""),COLUMN()-6),2,300)"),"#REF!")</f>
        <v>#REF!</v>
      </c>
      <c r="K326" s="3">
        <f>IFERROR(__xludf.DUMMYFUNCTION("INDEX(SPLIT(G326,"" ""),1)"),2.0)</f>
        <v>2</v>
      </c>
      <c r="L326" s="3" t="str">
        <f>IFERROR(__xludf.DUMMYFUNCTION("REGEXEXTRACT(G326,"" [^ ]* [^ ]* "")")," vibrant plum ")</f>
        <v> vibrant plum </v>
      </c>
      <c r="M326" s="3" t="str">
        <f>IFERROR(__xludf.DUMMYFUNCTION("INDEX(SPLIT(H326,"" ""),1)"),"#REF!")</f>
        <v>#REF!</v>
      </c>
      <c r="N326" s="3" t="str">
        <f>IFERROR(__xludf.DUMMYFUNCTION("MID(REGEXEXTRACT(H326,"" [^ ]* [^ ]*""),2,300)"),"#REF!")</f>
        <v>#REF!</v>
      </c>
      <c r="O326" s="3" t="str">
        <f>IFERROR(__xludf.DUMMYFUNCTION("INDEX(SPLIT(I326,"" ""),1)"),"#REF!")</f>
        <v>#REF!</v>
      </c>
      <c r="P326" s="3" t="str">
        <f>IFERROR(__xludf.DUMMYFUNCTION("MID(REGEXEXTRACT(I326,"" [^ ]* [^ ]*""),2,300)"),"#REF!")</f>
        <v>#REF!</v>
      </c>
      <c r="Q326" s="3" t="str">
        <f>IFERROR(__xludf.DUMMYFUNCTION("INDEX(SPLIT(J326,"" ""),1)"),"#REF!")</f>
        <v>#REF!</v>
      </c>
      <c r="R326" s="3" t="str">
        <f>IFERROR(__xludf.DUMMYFUNCTION("MID(REGEXEXTRACT(J326,"" [^ ]* [^ ]*""),2,300)"),"#REF!")</f>
        <v>#REF!</v>
      </c>
      <c r="S326" s="3">
        <f t="shared" si="2"/>
        <v>2</v>
      </c>
      <c r="T326" s="3" t="str">
        <f t="shared" si="3"/>
        <v>vibrant plum</v>
      </c>
      <c r="U326" s="3" t="str">
        <f t="shared" si="4"/>
        <v/>
      </c>
      <c r="V326" s="3" t="str">
        <f t="shared" si="5"/>
        <v/>
      </c>
      <c r="W326" s="3" t="str">
        <f t="shared" si="6"/>
        <v/>
      </c>
      <c r="X326" s="3" t="str">
        <f t="shared" si="7"/>
        <v/>
      </c>
      <c r="Y326" s="3" t="str">
        <f t="shared" si="8"/>
        <v/>
      </c>
      <c r="Z326" s="3" t="str">
        <f t="shared" si="9"/>
        <v/>
      </c>
      <c r="AA326" s="13">
        <f t="shared" si="10"/>
        <v>53285</v>
      </c>
      <c r="AB326" s="3">
        <f t="shared" si="11"/>
        <v>53284</v>
      </c>
      <c r="AC326" s="3">
        <f t="shared" si="12"/>
        <v>2</v>
      </c>
      <c r="AD326" s="3">
        <f t="shared" si="13"/>
        <v>26642</v>
      </c>
      <c r="AE326" s="3" t="str">
        <f t="shared" si="14"/>
        <v/>
      </c>
      <c r="AF326" s="3">
        <f t="shared" si="15"/>
        <v>0</v>
      </c>
      <c r="AG326" s="3" t="str">
        <f t="shared" si="16"/>
        <v/>
      </c>
      <c r="AH326" s="3">
        <f t="shared" si="17"/>
        <v>0</v>
      </c>
      <c r="AI326" s="3" t="str">
        <f t="shared" si="18"/>
        <v/>
      </c>
      <c r="AJ326" s="3">
        <f t="shared" si="19"/>
        <v>0</v>
      </c>
    </row>
    <row r="327">
      <c r="C327" s="6" t="s">
        <v>327</v>
      </c>
      <c r="D327" s="3">
        <f t="shared" si="1"/>
        <v>3</v>
      </c>
      <c r="E327" s="3" t="str">
        <f>IFERROR(__xludf.DUMMYFUNCTION("REGEXEXTRACT(C327,""[^ ]* [^ ]*"")"),"muted black")</f>
        <v>muted black</v>
      </c>
      <c r="F327" s="3" t="str">
        <f>IFERROR(__xludf.DUMMYFUNCTION("MID(REGEXEXTRACT(C327,""contain.*$""),9,300)"),"2 drab magenta bags, 1 mirrored gray bag, 4 drab tan bags, 1 dim indigo bag.")</f>
        <v>2 drab magenta bags, 1 mirrored gray bag, 4 drab tan bags, 1 dim indigo bag.</v>
      </c>
      <c r="G327" s="3" t="str">
        <f>IFERROR(__xludf.DUMMYFUNCTION("INDEX(SPLIT($F327,"",""),COLUMN()-6)"),"2 drab magenta bags")</f>
        <v>2 drab magenta bags</v>
      </c>
      <c r="H327" s="3" t="str">
        <f>IFERROR(__xludf.DUMMYFUNCTION("MID(INDEX(SPLIT($F327,"",""),COLUMN()-6),2,300)"),"1 mirrored gray bag")</f>
        <v>1 mirrored gray bag</v>
      </c>
      <c r="I327" s="3" t="str">
        <f>IFERROR(__xludf.DUMMYFUNCTION("MID(INDEX(SPLIT($F327,"",""),COLUMN()-6),2,300)"),"4 drab tan bags")</f>
        <v>4 drab tan bags</v>
      </c>
      <c r="J327" s="3" t="str">
        <f>IFERROR(__xludf.DUMMYFUNCTION("MID(INDEX(SPLIT($F327,"",""),COLUMN()-6),2,300)"),"1 dim indigo bag.")</f>
        <v>1 dim indigo bag.</v>
      </c>
      <c r="K327" s="3">
        <f>IFERROR(__xludf.DUMMYFUNCTION("INDEX(SPLIT(G327,"" ""),1)"),2.0)</f>
        <v>2</v>
      </c>
      <c r="L327" s="3" t="str">
        <f>IFERROR(__xludf.DUMMYFUNCTION("REGEXEXTRACT(G327,"" [^ ]* [^ ]* "")")," drab magenta ")</f>
        <v> drab magenta </v>
      </c>
      <c r="M327" s="3">
        <f>IFERROR(__xludf.DUMMYFUNCTION("INDEX(SPLIT(H327,"" ""),1)"),1.0)</f>
        <v>1</v>
      </c>
      <c r="N327" s="3" t="str">
        <f>IFERROR(__xludf.DUMMYFUNCTION("MID(REGEXEXTRACT(H327,"" [^ ]* [^ ]*""),2,300)"),"mirrored gray")</f>
        <v>mirrored gray</v>
      </c>
      <c r="O327" s="3">
        <f>IFERROR(__xludf.DUMMYFUNCTION("INDEX(SPLIT(I327,"" ""),1)"),4.0)</f>
        <v>4</v>
      </c>
      <c r="P327" s="3" t="str">
        <f>IFERROR(__xludf.DUMMYFUNCTION("MID(REGEXEXTRACT(I327,"" [^ ]* [^ ]*""),2,300)"),"drab tan")</f>
        <v>drab tan</v>
      </c>
      <c r="Q327" s="3">
        <f>IFERROR(__xludf.DUMMYFUNCTION("INDEX(SPLIT(J327,"" ""),1)"),1.0)</f>
        <v>1</v>
      </c>
      <c r="R327" s="3" t="str">
        <f>IFERROR(__xludf.DUMMYFUNCTION("MID(REGEXEXTRACT(J327,"" [^ ]* [^ ]*""),2,300)"),"dim indigo")</f>
        <v>dim indigo</v>
      </c>
      <c r="S327" s="3">
        <f t="shared" si="2"/>
        <v>2</v>
      </c>
      <c r="T327" s="3" t="str">
        <f t="shared" si="3"/>
        <v>drab magenta</v>
      </c>
      <c r="U327" s="3">
        <f t="shared" si="4"/>
        <v>1</v>
      </c>
      <c r="V327" s="3" t="str">
        <f t="shared" si="5"/>
        <v>mirrored gray</v>
      </c>
      <c r="W327" s="3">
        <f t="shared" si="6"/>
        <v>4</v>
      </c>
      <c r="X327" s="3" t="str">
        <f t="shared" si="7"/>
        <v>drab tan</v>
      </c>
      <c r="Y327" s="3">
        <f t="shared" si="8"/>
        <v>1</v>
      </c>
      <c r="Z327" s="3" t="str">
        <f t="shared" si="9"/>
        <v>dim indigo</v>
      </c>
      <c r="AA327" s="13">
        <f t="shared" si="10"/>
        <v>14397844</v>
      </c>
      <c r="AB327" s="3">
        <f t="shared" si="11"/>
        <v>14397843</v>
      </c>
      <c r="AC327" s="3">
        <f t="shared" si="12"/>
        <v>2</v>
      </c>
      <c r="AD327" s="3">
        <f t="shared" si="13"/>
        <v>1225</v>
      </c>
      <c r="AE327" s="3">
        <f t="shared" si="14"/>
        <v>1</v>
      </c>
      <c r="AF327" s="3">
        <f t="shared" si="15"/>
        <v>8</v>
      </c>
      <c r="AG327" s="3">
        <f t="shared" si="16"/>
        <v>4</v>
      </c>
      <c r="AH327" s="3">
        <f t="shared" si="17"/>
        <v>3591437</v>
      </c>
      <c r="AI327" s="3">
        <f t="shared" si="18"/>
        <v>1</v>
      </c>
      <c r="AJ327" s="3">
        <f t="shared" si="19"/>
        <v>29637</v>
      </c>
    </row>
    <row r="328">
      <c r="C328" s="6" t="s">
        <v>328</v>
      </c>
      <c r="D328" s="3">
        <f t="shared" si="1"/>
        <v>3</v>
      </c>
      <c r="E328" s="3" t="str">
        <f>IFERROR(__xludf.DUMMYFUNCTION("REGEXEXTRACT(C328,""[^ ]* [^ ]*"")"),"striped gold")</f>
        <v>striped gold</v>
      </c>
      <c r="F328" s="3" t="str">
        <f>IFERROR(__xludf.DUMMYFUNCTION("MID(REGEXEXTRACT(C328,""contain.*$""),9,300)"),"1 dark lavender bag, 4 drab brown bags, 2 bright silver bags, 2 striped teal bags.")</f>
        <v>1 dark lavender bag, 4 drab brown bags, 2 bright silver bags, 2 striped teal bags.</v>
      </c>
      <c r="G328" s="3" t="str">
        <f>IFERROR(__xludf.DUMMYFUNCTION("INDEX(SPLIT($F328,"",""),COLUMN()-6)"),"1 dark lavender bag")</f>
        <v>1 dark lavender bag</v>
      </c>
      <c r="H328" s="3" t="str">
        <f>IFERROR(__xludf.DUMMYFUNCTION("MID(INDEX(SPLIT($F328,"",""),COLUMN()-6),2,300)"),"4 drab brown bags")</f>
        <v>4 drab brown bags</v>
      </c>
      <c r="I328" s="3" t="str">
        <f>IFERROR(__xludf.DUMMYFUNCTION("MID(INDEX(SPLIT($F328,"",""),COLUMN()-6),2,300)"),"2 bright silver bags")</f>
        <v>2 bright silver bags</v>
      </c>
      <c r="J328" s="3" t="str">
        <f>IFERROR(__xludf.DUMMYFUNCTION("MID(INDEX(SPLIT($F328,"",""),COLUMN()-6),2,300)"),"2 striped teal bags.")</f>
        <v>2 striped teal bags.</v>
      </c>
      <c r="K328" s="3">
        <f>IFERROR(__xludf.DUMMYFUNCTION("INDEX(SPLIT(G328,"" ""),1)"),1.0)</f>
        <v>1</v>
      </c>
      <c r="L328" s="3" t="str">
        <f>IFERROR(__xludf.DUMMYFUNCTION("REGEXEXTRACT(G328,"" [^ ]* [^ ]* "")")," dark lavender ")</f>
        <v> dark lavender </v>
      </c>
      <c r="M328" s="3">
        <f>IFERROR(__xludf.DUMMYFUNCTION("INDEX(SPLIT(H328,"" ""),1)"),4.0)</f>
        <v>4</v>
      </c>
      <c r="N328" s="3" t="str">
        <f>IFERROR(__xludf.DUMMYFUNCTION("MID(REGEXEXTRACT(H328,"" [^ ]* [^ ]*""),2,300)"),"drab brown")</f>
        <v>drab brown</v>
      </c>
      <c r="O328" s="3">
        <f>IFERROR(__xludf.DUMMYFUNCTION("INDEX(SPLIT(I328,"" ""),1)"),2.0)</f>
        <v>2</v>
      </c>
      <c r="P328" s="3" t="str">
        <f>IFERROR(__xludf.DUMMYFUNCTION("MID(REGEXEXTRACT(I328,"" [^ ]* [^ ]*""),2,300)"),"bright silver")</f>
        <v>bright silver</v>
      </c>
      <c r="Q328" s="3">
        <f>IFERROR(__xludf.DUMMYFUNCTION("INDEX(SPLIT(J328,"" ""),1)"),2.0)</f>
        <v>2</v>
      </c>
      <c r="R328" s="3" t="str">
        <f>IFERROR(__xludf.DUMMYFUNCTION("MID(REGEXEXTRACT(J328,"" [^ ]* [^ ]*""),2,300)"),"striped teal")</f>
        <v>striped teal</v>
      </c>
      <c r="S328" s="3">
        <f t="shared" si="2"/>
        <v>1</v>
      </c>
      <c r="T328" s="3" t="str">
        <f t="shared" si="3"/>
        <v>dark lavender</v>
      </c>
      <c r="U328" s="3">
        <f t="shared" si="4"/>
        <v>4</v>
      </c>
      <c r="V328" s="3" t="str">
        <f t="shared" si="5"/>
        <v>drab brown</v>
      </c>
      <c r="W328" s="3">
        <f t="shared" si="6"/>
        <v>2</v>
      </c>
      <c r="X328" s="3" t="str">
        <f t="shared" si="7"/>
        <v>bright silver</v>
      </c>
      <c r="Y328" s="3">
        <f t="shared" si="8"/>
        <v>2</v>
      </c>
      <c r="Z328" s="3" t="str">
        <f t="shared" si="9"/>
        <v>striped teal</v>
      </c>
      <c r="AA328" s="13">
        <f t="shared" si="10"/>
        <v>416358</v>
      </c>
      <c r="AB328" s="3">
        <f t="shared" si="11"/>
        <v>416357</v>
      </c>
      <c r="AC328" s="3">
        <f t="shared" si="12"/>
        <v>1</v>
      </c>
      <c r="AD328" s="3">
        <f t="shared" si="13"/>
        <v>133</v>
      </c>
      <c r="AE328" s="3">
        <f t="shared" si="14"/>
        <v>4</v>
      </c>
      <c r="AF328" s="3">
        <f t="shared" si="15"/>
        <v>96841</v>
      </c>
      <c r="AG328" s="3">
        <f t="shared" si="16"/>
        <v>2</v>
      </c>
      <c r="AH328" s="3">
        <f t="shared" si="17"/>
        <v>41</v>
      </c>
      <c r="AI328" s="3">
        <f t="shared" si="18"/>
        <v>2</v>
      </c>
      <c r="AJ328" s="3">
        <f t="shared" si="19"/>
        <v>14389</v>
      </c>
    </row>
    <row r="329">
      <c r="C329" s="6" t="s">
        <v>329</v>
      </c>
      <c r="D329" s="3">
        <f t="shared" si="1"/>
        <v>0</v>
      </c>
      <c r="E329" s="3" t="str">
        <f>IFERROR(__xludf.DUMMYFUNCTION("REGEXEXTRACT(C329,""[^ ]* [^ ]*"")"),"light purple")</f>
        <v>light purple</v>
      </c>
      <c r="F329" s="3" t="str">
        <f>IFERROR(__xludf.DUMMYFUNCTION("MID(REGEXEXTRACT(C329,""contain.*$""),9,300)"),"3 posh gray bags.")</f>
        <v>3 posh gray bags.</v>
      </c>
      <c r="G329" s="3" t="str">
        <f>IFERROR(__xludf.DUMMYFUNCTION("INDEX(SPLIT($F329,"",""),COLUMN()-6)"),"3 posh gray bags.")</f>
        <v>3 posh gray bags.</v>
      </c>
      <c r="H329" s="3" t="str">
        <f>IFERROR(__xludf.DUMMYFUNCTION("MID(INDEX(SPLIT($F329,"",""),COLUMN()-6),2,300)"),"#REF!")</f>
        <v>#REF!</v>
      </c>
      <c r="I329" s="3" t="str">
        <f>IFERROR(__xludf.DUMMYFUNCTION("MID(INDEX(SPLIT($F329,"",""),COLUMN()-6),2,300)"),"#REF!")</f>
        <v>#REF!</v>
      </c>
      <c r="J329" s="3" t="str">
        <f>IFERROR(__xludf.DUMMYFUNCTION("MID(INDEX(SPLIT($F329,"",""),COLUMN()-6),2,300)"),"#REF!")</f>
        <v>#REF!</v>
      </c>
      <c r="K329" s="3">
        <f>IFERROR(__xludf.DUMMYFUNCTION("INDEX(SPLIT(G329,"" ""),1)"),3.0)</f>
        <v>3</v>
      </c>
      <c r="L329" s="3" t="str">
        <f>IFERROR(__xludf.DUMMYFUNCTION("REGEXEXTRACT(G329,"" [^ ]* [^ ]* "")")," posh gray ")</f>
        <v> posh gray </v>
      </c>
      <c r="M329" s="3" t="str">
        <f>IFERROR(__xludf.DUMMYFUNCTION("INDEX(SPLIT(H329,"" ""),1)"),"#REF!")</f>
        <v>#REF!</v>
      </c>
      <c r="N329" s="3" t="str">
        <f>IFERROR(__xludf.DUMMYFUNCTION("MID(REGEXEXTRACT(H329,"" [^ ]* [^ ]*""),2,300)"),"#REF!")</f>
        <v>#REF!</v>
      </c>
      <c r="O329" s="3" t="str">
        <f>IFERROR(__xludf.DUMMYFUNCTION("INDEX(SPLIT(I329,"" ""),1)"),"#REF!")</f>
        <v>#REF!</v>
      </c>
      <c r="P329" s="3" t="str">
        <f>IFERROR(__xludf.DUMMYFUNCTION("MID(REGEXEXTRACT(I329,"" [^ ]* [^ ]*""),2,300)"),"#REF!")</f>
        <v>#REF!</v>
      </c>
      <c r="Q329" s="3" t="str">
        <f>IFERROR(__xludf.DUMMYFUNCTION("INDEX(SPLIT(J329,"" ""),1)"),"#REF!")</f>
        <v>#REF!</v>
      </c>
      <c r="R329" s="3" t="str">
        <f>IFERROR(__xludf.DUMMYFUNCTION("MID(REGEXEXTRACT(J329,"" [^ ]* [^ ]*""),2,300)"),"#REF!")</f>
        <v>#REF!</v>
      </c>
      <c r="S329" s="3">
        <f t="shared" si="2"/>
        <v>3</v>
      </c>
      <c r="T329" s="3" t="str">
        <f t="shared" si="3"/>
        <v>posh gray</v>
      </c>
      <c r="U329" s="3" t="str">
        <f t="shared" si="4"/>
        <v/>
      </c>
      <c r="V329" s="3" t="str">
        <f t="shared" si="5"/>
        <v/>
      </c>
      <c r="W329" s="3" t="str">
        <f t="shared" si="6"/>
        <v/>
      </c>
      <c r="X329" s="3" t="str">
        <f t="shared" si="7"/>
        <v/>
      </c>
      <c r="Y329" s="3" t="str">
        <f t="shared" si="8"/>
        <v/>
      </c>
      <c r="Z329" s="3" t="str">
        <f t="shared" si="9"/>
        <v/>
      </c>
      <c r="AA329" s="13">
        <f t="shared" si="10"/>
        <v>76432</v>
      </c>
      <c r="AB329" s="3">
        <f t="shared" si="11"/>
        <v>76431</v>
      </c>
      <c r="AC329" s="3">
        <f t="shared" si="12"/>
        <v>3</v>
      </c>
      <c r="AD329" s="3">
        <f t="shared" si="13"/>
        <v>25477</v>
      </c>
      <c r="AE329" s="3" t="str">
        <f t="shared" si="14"/>
        <v/>
      </c>
      <c r="AF329" s="3">
        <f t="shared" si="15"/>
        <v>0</v>
      </c>
      <c r="AG329" s="3" t="str">
        <f t="shared" si="16"/>
        <v/>
      </c>
      <c r="AH329" s="3">
        <f t="shared" si="17"/>
        <v>0</v>
      </c>
      <c r="AI329" s="3" t="str">
        <f t="shared" si="18"/>
        <v/>
      </c>
      <c r="AJ329" s="3">
        <f t="shared" si="19"/>
        <v>0</v>
      </c>
    </row>
    <row r="330">
      <c r="C330" s="6" t="s">
        <v>330</v>
      </c>
      <c r="D330" s="3">
        <f t="shared" si="1"/>
        <v>3</v>
      </c>
      <c r="E330" s="3" t="str">
        <f>IFERROR(__xludf.DUMMYFUNCTION("REGEXEXTRACT(C330,""[^ ]* [^ ]*"")"),"dull silver")</f>
        <v>dull silver</v>
      </c>
      <c r="F330" s="3" t="str">
        <f>IFERROR(__xludf.DUMMYFUNCTION("MID(REGEXEXTRACT(C330,""contain.*$""),9,300)"),"2 clear chartreuse bags, 3 plaid silver bags, 1 drab salmon bag, 2 wavy teal bags.")</f>
        <v>2 clear chartreuse bags, 3 plaid silver bags, 1 drab salmon bag, 2 wavy teal bags.</v>
      </c>
      <c r="G330" s="3" t="str">
        <f>IFERROR(__xludf.DUMMYFUNCTION("INDEX(SPLIT($F330,"",""),COLUMN()-6)"),"2 clear chartreuse bags")</f>
        <v>2 clear chartreuse bags</v>
      </c>
      <c r="H330" s="3" t="str">
        <f>IFERROR(__xludf.DUMMYFUNCTION("MID(INDEX(SPLIT($F330,"",""),COLUMN()-6),2,300)"),"3 plaid silver bags")</f>
        <v>3 plaid silver bags</v>
      </c>
      <c r="I330" s="3" t="str">
        <f>IFERROR(__xludf.DUMMYFUNCTION("MID(INDEX(SPLIT($F330,"",""),COLUMN()-6),2,300)"),"1 drab salmon bag")</f>
        <v>1 drab salmon bag</v>
      </c>
      <c r="J330" s="3" t="str">
        <f>IFERROR(__xludf.DUMMYFUNCTION("MID(INDEX(SPLIT($F330,"",""),COLUMN()-6),2,300)"),"2 wavy teal bags.")</f>
        <v>2 wavy teal bags.</v>
      </c>
      <c r="K330" s="3">
        <f>IFERROR(__xludf.DUMMYFUNCTION("INDEX(SPLIT(G330,"" ""),1)"),2.0)</f>
        <v>2</v>
      </c>
      <c r="L330" s="3" t="str">
        <f>IFERROR(__xludf.DUMMYFUNCTION("REGEXEXTRACT(G330,"" [^ ]* [^ ]* "")")," clear chartreuse ")</f>
        <v> clear chartreuse </v>
      </c>
      <c r="M330" s="3">
        <f>IFERROR(__xludf.DUMMYFUNCTION("INDEX(SPLIT(H330,"" ""),1)"),3.0)</f>
        <v>3</v>
      </c>
      <c r="N330" s="3" t="str">
        <f>IFERROR(__xludf.DUMMYFUNCTION("MID(REGEXEXTRACT(H330,"" [^ ]* [^ ]*""),2,300)"),"plaid silver")</f>
        <v>plaid silver</v>
      </c>
      <c r="O330" s="3">
        <f>IFERROR(__xludf.DUMMYFUNCTION("INDEX(SPLIT(I330,"" ""),1)"),1.0)</f>
        <v>1</v>
      </c>
      <c r="P330" s="3" t="str">
        <f>IFERROR(__xludf.DUMMYFUNCTION("MID(REGEXEXTRACT(I330,"" [^ ]* [^ ]*""),2,300)"),"drab salmon")</f>
        <v>drab salmon</v>
      </c>
      <c r="Q330" s="3">
        <f>IFERROR(__xludf.DUMMYFUNCTION("INDEX(SPLIT(J330,"" ""),1)"),2.0)</f>
        <v>2</v>
      </c>
      <c r="R330" s="3" t="str">
        <f>IFERROR(__xludf.DUMMYFUNCTION("MID(REGEXEXTRACT(J330,"" [^ ]* [^ ]*""),2,300)"),"wavy teal")</f>
        <v>wavy teal</v>
      </c>
      <c r="S330" s="3">
        <f t="shared" si="2"/>
        <v>2</v>
      </c>
      <c r="T330" s="3" t="str">
        <f t="shared" si="3"/>
        <v>clear chartreuse</v>
      </c>
      <c r="U330" s="3">
        <f t="shared" si="4"/>
        <v>3</v>
      </c>
      <c r="V330" s="3" t="str">
        <f t="shared" si="5"/>
        <v>plaid silver</v>
      </c>
      <c r="W330" s="3">
        <f t="shared" si="6"/>
        <v>1</v>
      </c>
      <c r="X330" s="3" t="str">
        <f t="shared" si="7"/>
        <v>drab salmon</v>
      </c>
      <c r="Y330" s="3">
        <f t="shared" si="8"/>
        <v>2</v>
      </c>
      <c r="Z330" s="3" t="str">
        <f t="shared" si="9"/>
        <v>wavy teal</v>
      </c>
      <c r="AA330" s="13">
        <f t="shared" si="10"/>
        <v>105095085</v>
      </c>
      <c r="AB330" s="3">
        <f t="shared" si="11"/>
        <v>105095084</v>
      </c>
      <c r="AC330" s="3">
        <f t="shared" si="12"/>
        <v>2</v>
      </c>
      <c r="AD330" s="3">
        <f t="shared" si="13"/>
        <v>52325344</v>
      </c>
      <c r="AE330" s="3">
        <f t="shared" si="14"/>
        <v>3</v>
      </c>
      <c r="AF330" s="3">
        <f t="shared" si="15"/>
        <v>86617</v>
      </c>
      <c r="AG330" s="3">
        <f t="shared" si="16"/>
        <v>1</v>
      </c>
      <c r="AH330" s="3">
        <f t="shared" si="17"/>
        <v>15045</v>
      </c>
      <c r="AI330" s="3">
        <f t="shared" si="18"/>
        <v>2</v>
      </c>
      <c r="AJ330" s="3">
        <f t="shared" si="19"/>
        <v>84750</v>
      </c>
    </row>
    <row r="331">
      <c r="C331" s="6" t="s">
        <v>331</v>
      </c>
      <c r="D331" s="3">
        <f t="shared" si="1"/>
        <v>0</v>
      </c>
      <c r="E331" s="3" t="str">
        <f>IFERROR(__xludf.DUMMYFUNCTION("REGEXEXTRACT(C331,""[^ ]* [^ ]*"")"),"clear bronze")</f>
        <v>clear bronze</v>
      </c>
      <c r="F331" s="3" t="str">
        <f>IFERROR(__xludf.DUMMYFUNCTION("MID(REGEXEXTRACT(C331,""contain.*$""),9,300)"),"4 dull red bags.")</f>
        <v>4 dull red bags.</v>
      </c>
      <c r="G331" s="3" t="str">
        <f>IFERROR(__xludf.DUMMYFUNCTION("INDEX(SPLIT($F331,"",""),COLUMN()-6)"),"4 dull red bags.")</f>
        <v>4 dull red bags.</v>
      </c>
      <c r="H331" s="3" t="str">
        <f>IFERROR(__xludf.DUMMYFUNCTION("MID(INDEX(SPLIT($F331,"",""),COLUMN()-6),2,300)"),"#REF!")</f>
        <v>#REF!</v>
      </c>
      <c r="I331" s="3" t="str">
        <f>IFERROR(__xludf.DUMMYFUNCTION("MID(INDEX(SPLIT($F331,"",""),COLUMN()-6),2,300)"),"#REF!")</f>
        <v>#REF!</v>
      </c>
      <c r="J331" s="3" t="str">
        <f>IFERROR(__xludf.DUMMYFUNCTION("MID(INDEX(SPLIT($F331,"",""),COLUMN()-6),2,300)"),"#REF!")</f>
        <v>#REF!</v>
      </c>
      <c r="K331" s="3">
        <f>IFERROR(__xludf.DUMMYFUNCTION("INDEX(SPLIT(G331,"" ""),1)"),4.0)</f>
        <v>4</v>
      </c>
      <c r="L331" s="3" t="str">
        <f>IFERROR(__xludf.DUMMYFUNCTION("REGEXEXTRACT(G331,"" [^ ]* [^ ]* "")")," dull red ")</f>
        <v> dull red </v>
      </c>
      <c r="M331" s="3" t="str">
        <f>IFERROR(__xludf.DUMMYFUNCTION("INDEX(SPLIT(H331,"" ""),1)"),"#REF!")</f>
        <v>#REF!</v>
      </c>
      <c r="N331" s="3" t="str">
        <f>IFERROR(__xludf.DUMMYFUNCTION("MID(REGEXEXTRACT(H331,"" [^ ]* [^ ]*""),2,300)"),"#REF!")</f>
        <v>#REF!</v>
      </c>
      <c r="O331" s="3" t="str">
        <f>IFERROR(__xludf.DUMMYFUNCTION("INDEX(SPLIT(I331,"" ""),1)"),"#REF!")</f>
        <v>#REF!</v>
      </c>
      <c r="P331" s="3" t="str">
        <f>IFERROR(__xludf.DUMMYFUNCTION("MID(REGEXEXTRACT(I331,"" [^ ]* [^ ]*""),2,300)"),"#REF!")</f>
        <v>#REF!</v>
      </c>
      <c r="Q331" s="3" t="str">
        <f>IFERROR(__xludf.DUMMYFUNCTION("INDEX(SPLIT(J331,"" ""),1)"),"#REF!")</f>
        <v>#REF!</v>
      </c>
      <c r="R331" s="3" t="str">
        <f>IFERROR(__xludf.DUMMYFUNCTION("MID(REGEXEXTRACT(J331,"" [^ ]* [^ ]*""),2,300)"),"#REF!")</f>
        <v>#REF!</v>
      </c>
      <c r="S331" s="3">
        <f t="shared" si="2"/>
        <v>4</v>
      </c>
      <c r="T331" s="3" t="str">
        <f t="shared" si="3"/>
        <v>dull red</v>
      </c>
      <c r="U331" s="3" t="str">
        <f t="shared" si="4"/>
        <v/>
      </c>
      <c r="V331" s="3" t="str">
        <f t="shared" si="5"/>
        <v/>
      </c>
      <c r="W331" s="3" t="str">
        <f t="shared" si="6"/>
        <v/>
      </c>
      <c r="X331" s="3" t="str">
        <f t="shared" si="7"/>
        <v/>
      </c>
      <c r="Y331" s="3" t="str">
        <f t="shared" si="8"/>
        <v/>
      </c>
      <c r="Z331" s="3" t="str">
        <f t="shared" si="9"/>
        <v/>
      </c>
      <c r="AA331" s="13">
        <f t="shared" si="10"/>
        <v>1758394973</v>
      </c>
      <c r="AB331" s="3">
        <f t="shared" si="11"/>
        <v>1758394972</v>
      </c>
      <c r="AC331" s="3">
        <f t="shared" si="12"/>
        <v>4</v>
      </c>
      <c r="AD331" s="3">
        <f t="shared" si="13"/>
        <v>439598743</v>
      </c>
      <c r="AE331" s="3" t="str">
        <f t="shared" si="14"/>
        <v/>
      </c>
      <c r="AF331" s="3">
        <f t="shared" si="15"/>
        <v>0</v>
      </c>
      <c r="AG331" s="3" t="str">
        <f t="shared" si="16"/>
        <v/>
      </c>
      <c r="AH331" s="3">
        <f t="shared" si="17"/>
        <v>0</v>
      </c>
      <c r="AI331" s="3" t="str">
        <f t="shared" si="18"/>
        <v/>
      </c>
      <c r="AJ331" s="3">
        <f t="shared" si="19"/>
        <v>0</v>
      </c>
    </row>
    <row r="332">
      <c r="C332" s="6" t="s">
        <v>332</v>
      </c>
      <c r="D332" s="3">
        <f t="shared" si="1"/>
        <v>3</v>
      </c>
      <c r="E332" s="3" t="str">
        <f>IFERROR(__xludf.DUMMYFUNCTION("REGEXEXTRACT(C332,""[^ ]* [^ ]*"")"),"wavy yellow")</f>
        <v>wavy yellow</v>
      </c>
      <c r="F332" s="3" t="str">
        <f>IFERROR(__xludf.DUMMYFUNCTION("MID(REGEXEXTRACT(C332,""contain.*$""),9,300)"),"3 dull tomato bags, 2 posh green bags, 4 plaid aqua bags, 2 faded purple bags.")</f>
        <v>3 dull tomato bags, 2 posh green bags, 4 plaid aqua bags, 2 faded purple bags.</v>
      </c>
      <c r="G332" s="3" t="str">
        <f>IFERROR(__xludf.DUMMYFUNCTION("INDEX(SPLIT($F332,"",""),COLUMN()-6)"),"3 dull tomato bags")</f>
        <v>3 dull tomato bags</v>
      </c>
      <c r="H332" s="3" t="str">
        <f>IFERROR(__xludf.DUMMYFUNCTION("MID(INDEX(SPLIT($F332,"",""),COLUMN()-6),2,300)"),"2 posh green bags")</f>
        <v>2 posh green bags</v>
      </c>
      <c r="I332" s="3" t="str">
        <f>IFERROR(__xludf.DUMMYFUNCTION("MID(INDEX(SPLIT($F332,"",""),COLUMN()-6),2,300)"),"4 plaid aqua bags")</f>
        <v>4 plaid aqua bags</v>
      </c>
      <c r="J332" s="3" t="str">
        <f>IFERROR(__xludf.DUMMYFUNCTION("MID(INDEX(SPLIT($F332,"",""),COLUMN()-6),2,300)"),"2 faded purple bags.")</f>
        <v>2 faded purple bags.</v>
      </c>
      <c r="K332" s="3">
        <f>IFERROR(__xludf.DUMMYFUNCTION("INDEX(SPLIT(G332,"" ""),1)"),3.0)</f>
        <v>3</v>
      </c>
      <c r="L332" s="3" t="str">
        <f>IFERROR(__xludf.DUMMYFUNCTION("REGEXEXTRACT(G332,"" [^ ]* [^ ]* "")")," dull tomato ")</f>
        <v> dull tomato </v>
      </c>
      <c r="M332" s="3">
        <f>IFERROR(__xludf.DUMMYFUNCTION("INDEX(SPLIT(H332,"" ""),1)"),2.0)</f>
        <v>2</v>
      </c>
      <c r="N332" s="3" t="str">
        <f>IFERROR(__xludf.DUMMYFUNCTION("MID(REGEXEXTRACT(H332,"" [^ ]* [^ ]*""),2,300)"),"posh green")</f>
        <v>posh green</v>
      </c>
      <c r="O332" s="3">
        <f>IFERROR(__xludf.DUMMYFUNCTION("INDEX(SPLIT(I332,"" ""),1)"),4.0)</f>
        <v>4</v>
      </c>
      <c r="P332" s="3" t="str">
        <f>IFERROR(__xludf.DUMMYFUNCTION("MID(REGEXEXTRACT(I332,"" [^ ]* [^ ]*""),2,300)"),"plaid aqua")</f>
        <v>plaid aqua</v>
      </c>
      <c r="Q332" s="3">
        <f>IFERROR(__xludf.DUMMYFUNCTION("INDEX(SPLIT(J332,"" ""),1)"),2.0)</f>
        <v>2</v>
      </c>
      <c r="R332" s="3" t="str">
        <f>IFERROR(__xludf.DUMMYFUNCTION("MID(REGEXEXTRACT(J332,"" [^ ]* [^ ]*""),2,300)"),"faded purple")</f>
        <v>faded purple</v>
      </c>
      <c r="S332" s="3">
        <f t="shared" si="2"/>
        <v>3</v>
      </c>
      <c r="T332" s="3" t="str">
        <f t="shared" si="3"/>
        <v>dull tomato</v>
      </c>
      <c r="U332" s="3">
        <f t="shared" si="4"/>
        <v>2</v>
      </c>
      <c r="V332" s="3" t="str">
        <f t="shared" si="5"/>
        <v>posh green</v>
      </c>
      <c r="W332" s="3">
        <f t="shared" si="6"/>
        <v>4</v>
      </c>
      <c r="X332" s="3" t="str">
        <f t="shared" si="7"/>
        <v>plaid aqua</v>
      </c>
      <c r="Y332" s="3">
        <f t="shared" si="8"/>
        <v>2</v>
      </c>
      <c r="Z332" s="3" t="str">
        <f t="shared" si="9"/>
        <v>faded purple</v>
      </c>
      <c r="AA332" s="13">
        <f t="shared" si="10"/>
        <v>25486</v>
      </c>
      <c r="AB332" s="3">
        <f t="shared" si="11"/>
        <v>25485</v>
      </c>
      <c r="AC332" s="3">
        <f t="shared" si="12"/>
        <v>3</v>
      </c>
      <c r="AD332" s="3">
        <f t="shared" si="13"/>
        <v>11</v>
      </c>
      <c r="AE332" s="3">
        <f t="shared" si="14"/>
        <v>2</v>
      </c>
      <c r="AF332" s="3">
        <f t="shared" si="15"/>
        <v>6367</v>
      </c>
      <c r="AG332" s="3">
        <f t="shared" si="16"/>
        <v>4</v>
      </c>
      <c r="AH332" s="3">
        <f t="shared" si="17"/>
        <v>1</v>
      </c>
      <c r="AI332" s="3">
        <f t="shared" si="18"/>
        <v>2</v>
      </c>
      <c r="AJ332" s="3">
        <f t="shared" si="19"/>
        <v>6357</v>
      </c>
    </row>
    <row r="333">
      <c r="C333" s="6" t="s">
        <v>333</v>
      </c>
      <c r="D333" s="3">
        <f t="shared" si="1"/>
        <v>2</v>
      </c>
      <c r="E333" s="3" t="str">
        <f>IFERROR(__xludf.DUMMYFUNCTION("REGEXEXTRACT(C333,""[^ ]* [^ ]*"")"),"muted purple")</f>
        <v>muted purple</v>
      </c>
      <c r="F333" s="3" t="str">
        <f>IFERROR(__xludf.DUMMYFUNCTION("MID(REGEXEXTRACT(C333,""contain.*$""),9,300)"),"5 pale black bags, 2 muted salmon bags, 2 muted yellow bags.")</f>
        <v>5 pale black bags, 2 muted salmon bags, 2 muted yellow bags.</v>
      </c>
      <c r="G333" s="3" t="str">
        <f>IFERROR(__xludf.DUMMYFUNCTION("INDEX(SPLIT($F333,"",""),COLUMN()-6)"),"5 pale black bags")</f>
        <v>5 pale black bags</v>
      </c>
      <c r="H333" s="3" t="str">
        <f>IFERROR(__xludf.DUMMYFUNCTION("MID(INDEX(SPLIT($F333,"",""),COLUMN()-6),2,300)"),"2 muted salmon bags")</f>
        <v>2 muted salmon bags</v>
      </c>
      <c r="I333" s="3" t="str">
        <f>IFERROR(__xludf.DUMMYFUNCTION("MID(INDEX(SPLIT($F333,"",""),COLUMN()-6),2,300)"),"2 muted yellow bags.")</f>
        <v>2 muted yellow bags.</v>
      </c>
      <c r="J333" s="3" t="str">
        <f>IFERROR(__xludf.DUMMYFUNCTION("MID(INDEX(SPLIT($F333,"",""),COLUMN()-6),2,300)"),"#REF!")</f>
        <v>#REF!</v>
      </c>
      <c r="K333" s="3">
        <f>IFERROR(__xludf.DUMMYFUNCTION("INDEX(SPLIT(G333,"" ""),1)"),5.0)</f>
        <v>5</v>
      </c>
      <c r="L333" s="3" t="str">
        <f>IFERROR(__xludf.DUMMYFUNCTION("REGEXEXTRACT(G333,"" [^ ]* [^ ]* "")")," pale black ")</f>
        <v> pale black </v>
      </c>
      <c r="M333" s="3">
        <f>IFERROR(__xludf.DUMMYFUNCTION("INDEX(SPLIT(H333,"" ""),1)"),2.0)</f>
        <v>2</v>
      </c>
      <c r="N333" s="3" t="str">
        <f>IFERROR(__xludf.DUMMYFUNCTION("MID(REGEXEXTRACT(H333,"" [^ ]* [^ ]*""),2,300)"),"muted salmon")</f>
        <v>muted salmon</v>
      </c>
      <c r="O333" s="3">
        <f>IFERROR(__xludf.DUMMYFUNCTION("INDEX(SPLIT(I333,"" ""),1)"),2.0)</f>
        <v>2</v>
      </c>
      <c r="P333" s="3" t="str">
        <f>IFERROR(__xludf.DUMMYFUNCTION("MID(REGEXEXTRACT(I333,"" [^ ]* [^ ]*""),2,300)"),"muted yellow")</f>
        <v>muted yellow</v>
      </c>
      <c r="Q333" s="3" t="str">
        <f>IFERROR(__xludf.DUMMYFUNCTION("INDEX(SPLIT(J333,"" ""),1)"),"#REF!")</f>
        <v>#REF!</v>
      </c>
      <c r="R333" s="3" t="str">
        <f>IFERROR(__xludf.DUMMYFUNCTION("MID(REGEXEXTRACT(J333,"" [^ ]* [^ ]*""),2,300)"),"#REF!")</f>
        <v>#REF!</v>
      </c>
      <c r="S333" s="3">
        <f t="shared" si="2"/>
        <v>5</v>
      </c>
      <c r="T333" s="3" t="str">
        <f t="shared" si="3"/>
        <v>pale black</v>
      </c>
      <c r="U333" s="3">
        <f t="shared" si="4"/>
        <v>2</v>
      </c>
      <c r="V333" s="3" t="str">
        <f t="shared" si="5"/>
        <v>muted salmon</v>
      </c>
      <c r="W333" s="3">
        <f t="shared" si="6"/>
        <v>2</v>
      </c>
      <c r="X333" s="3" t="str">
        <f t="shared" si="7"/>
        <v>muted yellow</v>
      </c>
      <c r="Y333" s="3" t="str">
        <f t="shared" si="8"/>
        <v/>
      </c>
      <c r="Z333" s="3" t="str">
        <f t="shared" si="9"/>
        <v/>
      </c>
      <c r="AA333" s="13">
        <f t="shared" si="10"/>
        <v>13721</v>
      </c>
      <c r="AB333" s="3">
        <f t="shared" si="11"/>
        <v>13720</v>
      </c>
      <c r="AC333" s="3">
        <f t="shared" si="12"/>
        <v>5</v>
      </c>
      <c r="AD333" s="3">
        <f t="shared" si="13"/>
        <v>8</v>
      </c>
      <c r="AE333" s="3">
        <f t="shared" si="14"/>
        <v>2</v>
      </c>
      <c r="AF333" s="3">
        <f t="shared" si="15"/>
        <v>3012</v>
      </c>
      <c r="AG333" s="3">
        <f t="shared" si="16"/>
        <v>2</v>
      </c>
      <c r="AH333" s="3">
        <f t="shared" si="17"/>
        <v>3828</v>
      </c>
      <c r="AI333" s="3" t="str">
        <f t="shared" si="18"/>
        <v/>
      </c>
      <c r="AJ333" s="3">
        <f t="shared" si="19"/>
        <v>0</v>
      </c>
    </row>
    <row r="334">
      <c r="C334" s="6" t="s">
        <v>334</v>
      </c>
      <c r="D334" s="3">
        <f t="shared" si="1"/>
        <v>0</v>
      </c>
      <c r="E334" s="3" t="str">
        <f>IFERROR(__xludf.DUMMYFUNCTION("REGEXEXTRACT(C334,""[^ ]* [^ ]*"")"),"plaid aqua")</f>
        <v>plaid aqua</v>
      </c>
      <c r="F334" s="3" t="str">
        <f>IFERROR(__xludf.DUMMYFUNCTION("MID(REGEXEXTRACT(C334,""contain.*$""),9,300)"),"no other bags.")</f>
        <v>no other bags.</v>
      </c>
      <c r="G334" s="3" t="str">
        <f>IFERROR(__xludf.DUMMYFUNCTION("INDEX(SPLIT($F334,"",""),COLUMN()-6)"),"no other bags.")</f>
        <v>no other bags.</v>
      </c>
      <c r="H334" s="3" t="str">
        <f>IFERROR(__xludf.DUMMYFUNCTION("MID(INDEX(SPLIT($F334,"",""),COLUMN()-6),2,300)"),"#REF!")</f>
        <v>#REF!</v>
      </c>
      <c r="I334" s="3" t="str">
        <f>IFERROR(__xludf.DUMMYFUNCTION("MID(INDEX(SPLIT($F334,"",""),COLUMN()-6),2,300)"),"#REF!")</f>
        <v>#REF!</v>
      </c>
      <c r="J334" s="3" t="str">
        <f>IFERROR(__xludf.DUMMYFUNCTION("MID(INDEX(SPLIT($F334,"",""),COLUMN()-6),2,300)"),"#REF!")</f>
        <v>#REF!</v>
      </c>
      <c r="K334" s="3" t="str">
        <f>IFERROR(__xludf.DUMMYFUNCTION("INDEX(SPLIT(G334,"" ""),1)"),"no")</f>
        <v>no</v>
      </c>
      <c r="L334" s="3" t="str">
        <f>IFERROR(__xludf.DUMMYFUNCTION("REGEXEXTRACT(G334,"" [^ ]* [^ ]* "")"),"#N/A")</f>
        <v>#N/A</v>
      </c>
      <c r="M334" s="3" t="str">
        <f>IFERROR(__xludf.DUMMYFUNCTION("INDEX(SPLIT(H334,"" ""),1)"),"#REF!")</f>
        <v>#REF!</v>
      </c>
      <c r="N334" s="3" t="str">
        <f>IFERROR(__xludf.DUMMYFUNCTION("MID(REGEXEXTRACT(H334,"" [^ ]* [^ ]*""),2,300)"),"#REF!")</f>
        <v>#REF!</v>
      </c>
      <c r="O334" s="3" t="str">
        <f>IFERROR(__xludf.DUMMYFUNCTION("INDEX(SPLIT(I334,"" ""),1)"),"#REF!")</f>
        <v>#REF!</v>
      </c>
      <c r="P334" s="3" t="str">
        <f>IFERROR(__xludf.DUMMYFUNCTION("MID(REGEXEXTRACT(I334,"" [^ ]* [^ ]*""),2,300)"),"#REF!")</f>
        <v>#REF!</v>
      </c>
      <c r="Q334" s="3" t="str">
        <f>IFERROR(__xludf.DUMMYFUNCTION("INDEX(SPLIT(J334,"" ""),1)"),"#REF!")</f>
        <v>#REF!</v>
      </c>
      <c r="R334" s="3" t="str">
        <f>IFERROR(__xludf.DUMMYFUNCTION("MID(REGEXEXTRACT(J334,"" [^ ]* [^ ]*""),2,300)"),"#REF!")</f>
        <v>#REF!</v>
      </c>
      <c r="S334" s="3" t="str">
        <f t="shared" si="2"/>
        <v/>
      </c>
      <c r="T334" s="3" t="str">
        <f t="shared" si="3"/>
        <v/>
      </c>
      <c r="U334" s="3" t="str">
        <f t="shared" si="4"/>
        <v/>
      </c>
      <c r="V334" s="3" t="str">
        <f t="shared" si="5"/>
        <v/>
      </c>
      <c r="W334" s="3" t="str">
        <f t="shared" si="6"/>
        <v/>
      </c>
      <c r="X334" s="3" t="str">
        <f t="shared" si="7"/>
        <v/>
      </c>
      <c r="Y334" s="3" t="str">
        <f t="shared" si="8"/>
        <v/>
      </c>
      <c r="Z334" s="3" t="str">
        <f t="shared" si="9"/>
        <v/>
      </c>
      <c r="AA334" s="13">
        <f t="shared" si="10"/>
        <v>1</v>
      </c>
      <c r="AB334" s="3">
        <f t="shared" si="11"/>
        <v>0</v>
      </c>
      <c r="AC334" s="3" t="str">
        <f t="shared" si="12"/>
        <v/>
      </c>
      <c r="AD334" s="3">
        <f t="shared" si="13"/>
        <v>0</v>
      </c>
      <c r="AE334" s="3" t="str">
        <f t="shared" si="14"/>
        <v/>
      </c>
      <c r="AF334" s="3">
        <f t="shared" si="15"/>
        <v>0</v>
      </c>
      <c r="AG334" s="3" t="str">
        <f t="shared" si="16"/>
        <v/>
      </c>
      <c r="AH334" s="3">
        <f t="shared" si="17"/>
        <v>0</v>
      </c>
      <c r="AI334" s="3" t="str">
        <f t="shared" si="18"/>
        <v/>
      </c>
      <c r="AJ334" s="3">
        <f t="shared" si="19"/>
        <v>0</v>
      </c>
    </row>
    <row r="335">
      <c r="C335" s="6" t="s">
        <v>335</v>
      </c>
      <c r="D335" s="3">
        <f t="shared" si="1"/>
        <v>0</v>
      </c>
      <c r="E335" s="3" t="str">
        <f>IFERROR(__xludf.DUMMYFUNCTION("REGEXEXTRACT(C335,""[^ ]* [^ ]*"")"),"drab plum")</f>
        <v>drab plum</v>
      </c>
      <c r="F335" s="3" t="str">
        <f>IFERROR(__xludf.DUMMYFUNCTION("MID(REGEXEXTRACT(C335,""contain.*$""),9,300)"),"3 drab turquoise bags.")</f>
        <v>3 drab turquoise bags.</v>
      </c>
      <c r="G335" s="3" t="str">
        <f>IFERROR(__xludf.DUMMYFUNCTION("INDEX(SPLIT($F335,"",""),COLUMN()-6)"),"3 drab turquoise bags.")</f>
        <v>3 drab turquoise bags.</v>
      </c>
      <c r="H335" s="3" t="str">
        <f>IFERROR(__xludf.DUMMYFUNCTION("MID(INDEX(SPLIT($F335,"",""),COLUMN()-6),2,300)"),"#REF!")</f>
        <v>#REF!</v>
      </c>
      <c r="I335" s="3" t="str">
        <f>IFERROR(__xludf.DUMMYFUNCTION("MID(INDEX(SPLIT($F335,"",""),COLUMN()-6),2,300)"),"#REF!")</f>
        <v>#REF!</v>
      </c>
      <c r="J335" s="3" t="str">
        <f>IFERROR(__xludf.DUMMYFUNCTION("MID(INDEX(SPLIT($F335,"",""),COLUMN()-6),2,300)"),"#REF!")</f>
        <v>#REF!</v>
      </c>
      <c r="K335" s="3">
        <f>IFERROR(__xludf.DUMMYFUNCTION("INDEX(SPLIT(G335,"" ""),1)"),3.0)</f>
        <v>3</v>
      </c>
      <c r="L335" s="3" t="str">
        <f>IFERROR(__xludf.DUMMYFUNCTION("REGEXEXTRACT(G335,"" [^ ]* [^ ]* "")")," drab turquoise ")</f>
        <v> drab turquoise </v>
      </c>
      <c r="M335" s="3" t="str">
        <f>IFERROR(__xludf.DUMMYFUNCTION("INDEX(SPLIT(H335,"" ""),1)"),"#REF!")</f>
        <v>#REF!</v>
      </c>
      <c r="N335" s="3" t="str">
        <f>IFERROR(__xludf.DUMMYFUNCTION("MID(REGEXEXTRACT(H335,"" [^ ]* [^ ]*""),2,300)"),"#REF!")</f>
        <v>#REF!</v>
      </c>
      <c r="O335" s="3" t="str">
        <f>IFERROR(__xludf.DUMMYFUNCTION("INDEX(SPLIT(I335,"" ""),1)"),"#REF!")</f>
        <v>#REF!</v>
      </c>
      <c r="P335" s="3" t="str">
        <f>IFERROR(__xludf.DUMMYFUNCTION("MID(REGEXEXTRACT(I335,"" [^ ]* [^ ]*""),2,300)"),"#REF!")</f>
        <v>#REF!</v>
      </c>
      <c r="Q335" s="3" t="str">
        <f>IFERROR(__xludf.DUMMYFUNCTION("INDEX(SPLIT(J335,"" ""),1)"),"#REF!")</f>
        <v>#REF!</v>
      </c>
      <c r="R335" s="3" t="str">
        <f>IFERROR(__xludf.DUMMYFUNCTION("MID(REGEXEXTRACT(J335,"" [^ ]* [^ ]*""),2,300)"),"#REF!")</f>
        <v>#REF!</v>
      </c>
      <c r="S335" s="3">
        <f t="shared" si="2"/>
        <v>3</v>
      </c>
      <c r="T335" s="3" t="str">
        <f t="shared" si="3"/>
        <v>drab turquoise</v>
      </c>
      <c r="U335" s="3" t="str">
        <f t="shared" si="4"/>
        <v/>
      </c>
      <c r="V335" s="3" t="str">
        <f t="shared" si="5"/>
        <v/>
      </c>
      <c r="W335" s="3" t="str">
        <f t="shared" si="6"/>
        <v/>
      </c>
      <c r="X335" s="3" t="str">
        <f t="shared" si="7"/>
        <v/>
      </c>
      <c r="Y335" s="3" t="str">
        <f t="shared" si="8"/>
        <v/>
      </c>
      <c r="Z335" s="3" t="str">
        <f t="shared" si="9"/>
        <v/>
      </c>
      <c r="AA335" s="13">
        <f t="shared" si="10"/>
        <v>20003446</v>
      </c>
      <c r="AB335" s="3">
        <f t="shared" si="11"/>
        <v>20003445</v>
      </c>
      <c r="AC335" s="3">
        <f t="shared" si="12"/>
        <v>3</v>
      </c>
      <c r="AD335" s="3">
        <f t="shared" si="13"/>
        <v>6667815</v>
      </c>
      <c r="AE335" s="3" t="str">
        <f t="shared" si="14"/>
        <v/>
      </c>
      <c r="AF335" s="3">
        <f t="shared" si="15"/>
        <v>0</v>
      </c>
      <c r="AG335" s="3" t="str">
        <f t="shared" si="16"/>
        <v/>
      </c>
      <c r="AH335" s="3">
        <f t="shared" si="17"/>
        <v>0</v>
      </c>
      <c r="AI335" s="3" t="str">
        <f t="shared" si="18"/>
        <v/>
      </c>
      <c r="AJ335" s="3">
        <f t="shared" si="19"/>
        <v>0</v>
      </c>
    </row>
    <row r="336">
      <c r="C336" s="6" t="s">
        <v>336</v>
      </c>
      <c r="D336" s="3">
        <f t="shared" si="1"/>
        <v>2</v>
      </c>
      <c r="E336" s="3" t="str">
        <f>IFERROR(__xludf.DUMMYFUNCTION("REGEXEXTRACT(C336,""[^ ]* [^ ]*"")"),"muted orange")</f>
        <v>muted orange</v>
      </c>
      <c r="F336" s="3" t="str">
        <f>IFERROR(__xludf.DUMMYFUNCTION("MID(REGEXEXTRACT(C336,""contain.*$""),9,300)"),"1 faded blue bag, 5 plaid brown bags, 4 mirrored chartreuse bags.")</f>
        <v>1 faded blue bag, 5 plaid brown bags, 4 mirrored chartreuse bags.</v>
      </c>
      <c r="G336" s="3" t="str">
        <f>IFERROR(__xludf.DUMMYFUNCTION("INDEX(SPLIT($F336,"",""),COLUMN()-6)"),"1 faded blue bag")</f>
        <v>1 faded blue bag</v>
      </c>
      <c r="H336" s="3" t="str">
        <f>IFERROR(__xludf.DUMMYFUNCTION("MID(INDEX(SPLIT($F336,"",""),COLUMN()-6),2,300)"),"5 plaid brown bags")</f>
        <v>5 plaid brown bags</v>
      </c>
      <c r="I336" s="3" t="str">
        <f>IFERROR(__xludf.DUMMYFUNCTION("MID(INDEX(SPLIT($F336,"",""),COLUMN()-6),2,300)"),"4 mirrored chartreuse bags.")</f>
        <v>4 mirrored chartreuse bags.</v>
      </c>
      <c r="J336" s="3" t="str">
        <f>IFERROR(__xludf.DUMMYFUNCTION("MID(INDEX(SPLIT($F336,"",""),COLUMN()-6),2,300)"),"#REF!")</f>
        <v>#REF!</v>
      </c>
      <c r="K336" s="3">
        <f>IFERROR(__xludf.DUMMYFUNCTION("INDEX(SPLIT(G336,"" ""),1)"),1.0)</f>
        <v>1</v>
      </c>
      <c r="L336" s="3" t="str">
        <f>IFERROR(__xludf.DUMMYFUNCTION("REGEXEXTRACT(G336,"" [^ ]* [^ ]* "")")," faded blue ")</f>
        <v> faded blue </v>
      </c>
      <c r="M336" s="3">
        <f>IFERROR(__xludf.DUMMYFUNCTION("INDEX(SPLIT(H336,"" ""),1)"),5.0)</f>
        <v>5</v>
      </c>
      <c r="N336" s="3" t="str">
        <f>IFERROR(__xludf.DUMMYFUNCTION("MID(REGEXEXTRACT(H336,"" [^ ]* [^ ]*""),2,300)"),"plaid brown")</f>
        <v>plaid brown</v>
      </c>
      <c r="O336" s="3">
        <f>IFERROR(__xludf.DUMMYFUNCTION("INDEX(SPLIT(I336,"" ""),1)"),4.0)</f>
        <v>4</v>
      </c>
      <c r="P336" s="3" t="str">
        <f>IFERROR(__xludf.DUMMYFUNCTION("MID(REGEXEXTRACT(I336,"" [^ ]* [^ ]*""),2,300)"),"mirrored chartreuse")</f>
        <v>mirrored chartreuse</v>
      </c>
      <c r="Q336" s="3" t="str">
        <f>IFERROR(__xludf.DUMMYFUNCTION("INDEX(SPLIT(J336,"" ""),1)"),"#REF!")</f>
        <v>#REF!</v>
      </c>
      <c r="R336" s="3" t="str">
        <f>IFERROR(__xludf.DUMMYFUNCTION("MID(REGEXEXTRACT(J336,"" [^ ]* [^ ]*""),2,300)"),"#REF!")</f>
        <v>#REF!</v>
      </c>
      <c r="S336" s="3">
        <f t="shared" si="2"/>
        <v>1</v>
      </c>
      <c r="T336" s="3" t="str">
        <f t="shared" si="3"/>
        <v>faded blue</v>
      </c>
      <c r="U336" s="3">
        <f t="shared" si="4"/>
        <v>5</v>
      </c>
      <c r="V336" s="3" t="str">
        <f t="shared" si="5"/>
        <v>plaid brown</v>
      </c>
      <c r="W336" s="3">
        <f t="shared" si="6"/>
        <v>4</v>
      </c>
      <c r="X336" s="3" t="str">
        <f t="shared" si="7"/>
        <v>mirrored chartreuse</v>
      </c>
      <c r="Y336" s="3" t="str">
        <f t="shared" si="8"/>
        <v/>
      </c>
      <c r="Z336" s="3" t="str">
        <f t="shared" si="9"/>
        <v/>
      </c>
      <c r="AA336" s="13">
        <f t="shared" si="10"/>
        <v>13295274</v>
      </c>
      <c r="AB336" s="3">
        <f t="shared" si="11"/>
        <v>13295273</v>
      </c>
      <c r="AC336" s="3">
        <f t="shared" si="12"/>
        <v>1</v>
      </c>
      <c r="AD336" s="3">
        <f t="shared" si="13"/>
        <v>12631028</v>
      </c>
      <c r="AE336" s="3">
        <f t="shared" si="14"/>
        <v>5</v>
      </c>
      <c r="AF336" s="3">
        <f t="shared" si="15"/>
        <v>132605</v>
      </c>
      <c r="AG336" s="3">
        <f t="shared" si="16"/>
        <v>4</v>
      </c>
      <c r="AH336" s="3">
        <f t="shared" si="17"/>
        <v>305</v>
      </c>
      <c r="AI336" s="3" t="str">
        <f t="shared" si="18"/>
        <v/>
      </c>
      <c r="AJ336" s="3">
        <f t="shared" si="19"/>
        <v>0</v>
      </c>
    </row>
    <row r="337">
      <c r="C337" s="6" t="s">
        <v>337</v>
      </c>
      <c r="D337" s="3">
        <f t="shared" si="1"/>
        <v>3</v>
      </c>
      <c r="E337" s="3" t="str">
        <f>IFERROR(__xludf.DUMMYFUNCTION("REGEXEXTRACT(C337,""[^ ]* [^ ]*"")"),"dim silver")</f>
        <v>dim silver</v>
      </c>
      <c r="F337" s="3" t="str">
        <f>IFERROR(__xludf.DUMMYFUNCTION("MID(REGEXEXTRACT(C337,""contain.*$""),9,300)"),"4 dark fuchsia bags, 2 clear cyan bags, 2 dark green bags, 4 dotted silver bags.")</f>
        <v>4 dark fuchsia bags, 2 clear cyan bags, 2 dark green bags, 4 dotted silver bags.</v>
      </c>
      <c r="G337" s="3" t="str">
        <f>IFERROR(__xludf.DUMMYFUNCTION("INDEX(SPLIT($F337,"",""),COLUMN()-6)"),"4 dark fuchsia bags")</f>
        <v>4 dark fuchsia bags</v>
      </c>
      <c r="H337" s="3" t="str">
        <f>IFERROR(__xludf.DUMMYFUNCTION("MID(INDEX(SPLIT($F337,"",""),COLUMN()-6),2,300)"),"2 clear cyan bags")</f>
        <v>2 clear cyan bags</v>
      </c>
      <c r="I337" s="3" t="str">
        <f>IFERROR(__xludf.DUMMYFUNCTION("MID(INDEX(SPLIT($F337,"",""),COLUMN()-6),2,300)"),"2 dark green bags")</f>
        <v>2 dark green bags</v>
      </c>
      <c r="J337" s="3" t="str">
        <f>IFERROR(__xludf.DUMMYFUNCTION("MID(INDEX(SPLIT($F337,"",""),COLUMN()-6),2,300)"),"4 dotted silver bags.")</f>
        <v>4 dotted silver bags.</v>
      </c>
      <c r="K337" s="3">
        <f>IFERROR(__xludf.DUMMYFUNCTION("INDEX(SPLIT(G337,"" ""),1)"),4.0)</f>
        <v>4</v>
      </c>
      <c r="L337" s="3" t="str">
        <f>IFERROR(__xludf.DUMMYFUNCTION("REGEXEXTRACT(G337,"" [^ ]* [^ ]* "")")," dark fuchsia ")</f>
        <v> dark fuchsia </v>
      </c>
      <c r="M337" s="3">
        <f>IFERROR(__xludf.DUMMYFUNCTION("INDEX(SPLIT(H337,"" ""),1)"),2.0)</f>
        <v>2</v>
      </c>
      <c r="N337" s="3" t="str">
        <f>IFERROR(__xludf.DUMMYFUNCTION("MID(REGEXEXTRACT(H337,"" [^ ]* [^ ]*""),2,300)"),"clear cyan")</f>
        <v>clear cyan</v>
      </c>
      <c r="O337" s="3">
        <f>IFERROR(__xludf.DUMMYFUNCTION("INDEX(SPLIT(I337,"" ""),1)"),2.0)</f>
        <v>2</v>
      </c>
      <c r="P337" s="3" t="str">
        <f>IFERROR(__xludf.DUMMYFUNCTION("MID(REGEXEXTRACT(I337,"" [^ ]* [^ ]*""),2,300)"),"dark green")</f>
        <v>dark green</v>
      </c>
      <c r="Q337" s="3">
        <f>IFERROR(__xludf.DUMMYFUNCTION("INDEX(SPLIT(J337,"" ""),1)"),4.0)</f>
        <v>4</v>
      </c>
      <c r="R337" s="3" t="str">
        <f>IFERROR(__xludf.DUMMYFUNCTION("MID(REGEXEXTRACT(J337,"" [^ ]* [^ ]*""),2,300)"),"dotted silver")</f>
        <v>dotted silver</v>
      </c>
      <c r="S337" s="3">
        <f t="shared" si="2"/>
        <v>4</v>
      </c>
      <c r="T337" s="3" t="str">
        <f t="shared" si="3"/>
        <v>dark fuchsia</v>
      </c>
      <c r="U337" s="3">
        <f t="shared" si="4"/>
        <v>2</v>
      </c>
      <c r="V337" s="3" t="str">
        <f t="shared" si="5"/>
        <v>clear cyan</v>
      </c>
      <c r="W337" s="3">
        <f t="shared" si="6"/>
        <v>2</v>
      </c>
      <c r="X337" s="3" t="str">
        <f t="shared" si="7"/>
        <v>dark green</v>
      </c>
      <c r="Y337" s="3">
        <f t="shared" si="8"/>
        <v>4</v>
      </c>
      <c r="Z337" s="3" t="str">
        <f t="shared" si="9"/>
        <v>dotted silver</v>
      </c>
      <c r="AA337" s="13">
        <f t="shared" si="10"/>
        <v>135727337</v>
      </c>
      <c r="AB337" s="3">
        <f t="shared" si="11"/>
        <v>135727336</v>
      </c>
      <c r="AC337" s="3">
        <f t="shared" si="12"/>
        <v>4</v>
      </c>
      <c r="AD337" s="3">
        <f t="shared" si="13"/>
        <v>941276</v>
      </c>
      <c r="AE337" s="3">
        <f t="shared" si="14"/>
        <v>2</v>
      </c>
      <c r="AF337" s="3">
        <f t="shared" si="15"/>
        <v>899055</v>
      </c>
      <c r="AG337" s="3">
        <f t="shared" si="16"/>
        <v>2</v>
      </c>
      <c r="AH337" s="3">
        <f t="shared" si="17"/>
        <v>5907723</v>
      </c>
      <c r="AI337" s="3">
        <f t="shared" si="18"/>
        <v>4</v>
      </c>
      <c r="AJ337" s="3">
        <f t="shared" si="19"/>
        <v>29587169</v>
      </c>
    </row>
    <row r="338">
      <c r="C338" s="6" t="s">
        <v>338</v>
      </c>
      <c r="D338" s="3">
        <f t="shared" si="1"/>
        <v>1</v>
      </c>
      <c r="E338" s="3" t="str">
        <f>IFERROR(__xludf.DUMMYFUNCTION("REGEXEXTRACT(C338,""[^ ]* [^ ]*"")"),"pale tan")</f>
        <v>pale tan</v>
      </c>
      <c r="F338" s="3" t="str">
        <f>IFERROR(__xludf.DUMMYFUNCTION("MID(REGEXEXTRACT(C338,""contain.*$""),9,300)"),"5 shiny silver bags, 5 drab indigo bags.")</f>
        <v>5 shiny silver bags, 5 drab indigo bags.</v>
      </c>
      <c r="G338" s="3" t="str">
        <f>IFERROR(__xludf.DUMMYFUNCTION("INDEX(SPLIT($F338,"",""),COLUMN()-6)"),"5 shiny silver bags")</f>
        <v>5 shiny silver bags</v>
      </c>
      <c r="H338" s="3" t="str">
        <f>IFERROR(__xludf.DUMMYFUNCTION("MID(INDEX(SPLIT($F338,"",""),COLUMN()-6),2,300)"),"5 drab indigo bags.")</f>
        <v>5 drab indigo bags.</v>
      </c>
      <c r="I338" s="3" t="str">
        <f>IFERROR(__xludf.DUMMYFUNCTION("MID(INDEX(SPLIT($F338,"",""),COLUMN()-6),2,300)"),"#REF!")</f>
        <v>#REF!</v>
      </c>
      <c r="J338" s="3" t="str">
        <f>IFERROR(__xludf.DUMMYFUNCTION("MID(INDEX(SPLIT($F338,"",""),COLUMN()-6),2,300)"),"#REF!")</f>
        <v>#REF!</v>
      </c>
      <c r="K338" s="3">
        <f>IFERROR(__xludf.DUMMYFUNCTION("INDEX(SPLIT(G338,"" ""),1)"),5.0)</f>
        <v>5</v>
      </c>
      <c r="L338" s="3" t="str">
        <f>IFERROR(__xludf.DUMMYFUNCTION("REGEXEXTRACT(G338,"" [^ ]* [^ ]* "")")," shiny silver ")</f>
        <v> shiny silver </v>
      </c>
      <c r="M338" s="3">
        <f>IFERROR(__xludf.DUMMYFUNCTION("INDEX(SPLIT(H338,"" ""),1)"),5.0)</f>
        <v>5</v>
      </c>
      <c r="N338" s="3" t="str">
        <f>IFERROR(__xludf.DUMMYFUNCTION("MID(REGEXEXTRACT(H338,"" [^ ]* [^ ]*""),2,300)"),"drab indigo")</f>
        <v>drab indigo</v>
      </c>
      <c r="O338" s="3" t="str">
        <f>IFERROR(__xludf.DUMMYFUNCTION("INDEX(SPLIT(I338,"" ""),1)"),"#REF!")</f>
        <v>#REF!</v>
      </c>
      <c r="P338" s="3" t="str">
        <f>IFERROR(__xludf.DUMMYFUNCTION("MID(REGEXEXTRACT(I338,"" [^ ]* [^ ]*""),2,300)"),"#REF!")</f>
        <v>#REF!</v>
      </c>
      <c r="Q338" s="3" t="str">
        <f>IFERROR(__xludf.DUMMYFUNCTION("INDEX(SPLIT(J338,"" ""),1)"),"#REF!")</f>
        <v>#REF!</v>
      </c>
      <c r="R338" s="3" t="str">
        <f>IFERROR(__xludf.DUMMYFUNCTION("MID(REGEXEXTRACT(J338,"" [^ ]* [^ ]*""),2,300)"),"#REF!")</f>
        <v>#REF!</v>
      </c>
      <c r="S338" s="3">
        <f t="shared" si="2"/>
        <v>5</v>
      </c>
      <c r="T338" s="3" t="str">
        <f t="shared" si="3"/>
        <v>shiny silver</v>
      </c>
      <c r="U338" s="3">
        <f t="shared" si="4"/>
        <v>5</v>
      </c>
      <c r="V338" s="3" t="str">
        <f t="shared" si="5"/>
        <v>drab indigo</v>
      </c>
      <c r="W338" s="3" t="str">
        <f t="shared" si="6"/>
        <v/>
      </c>
      <c r="X338" s="3" t="str">
        <f t="shared" si="7"/>
        <v/>
      </c>
      <c r="Y338" s="3" t="str">
        <f t="shared" si="8"/>
        <v/>
      </c>
      <c r="Z338" s="3" t="str">
        <f t="shared" si="9"/>
        <v/>
      </c>
      <c r="AA338" s="13">
        <f t="shared" si="10"/>
        <v>10022021</v>
      </c>
      <c r="AB338" s="3">
        <f t="shared" si="11"/>
        <v>10022020</v>
      </c>
      <c r="AC338" s="3">
        <f t="shared" si="12"/>
        <v>5</v>
      </c>
      <c r="AD338" s="3">
        <f t="shared" si="13"/>
        <v>29367</v>
      </c>
      <c r="AE338" s="3">
        <f t="shared" si="14"/>
        <v>5</v>
      </c>
      <c r="AF338" s="3">
        <f t="shared" si="15"/>
        <v>1975037</v>
      </c>
      <c r="AG338" s="3" t="str">
        <f t="shared" si="16"/>
        <v/>
      </c>
      <c r="AH338" s="3">
        <f t="shared" si="17"/>
        <v>0</v>
      </c>
      <c r="AI338" s="3" t="str">
        <f t="shared" si="18"/>
        <v/>
      </c>
      <c r="AJ338" s="3">
        <f t="shared" si="19"/>
        <v>0</v>
      </c>
    </row>
    <row r="339">
      <c r="C339" s="6" t="s">
        <v>339</v>
      </c>
      <c r="D339" s="3">
        <f t="shared" si="1"/>
        <v>1</v>
      </c>
      <c r="E339" s="3" t="str">
        <f>IFERROR(__xludf.DUMMYFUNCTION("REGEXEXTRACT(C339,""[^ ]* [^ ]*"")"),"wavy tomato")</f>
        <v>wavy tomato</v>
      </c>
      <c r="F339" s="3" t="str">
        <f>IFERROR(__xludf.DUMMYFUNCTION("MID(REGEXEXTRACT(C339,""contain.*$""),9,300)"),"4 clear black bags, 4 plaid gray bags.")</f>
        <v>4 clear black bags, 4 plaid gray bags.</v>
      </c>
      <c r="G339" s="3" t="str">
        <f>IFERROR(__xludf.DUMMYFUNCTION("INDEX(SPLIT($F339,"",""),COLUMN()-6)"),"4 clear black bags")</f>
        <v>4 clear black bags</v>
      </c>
      <c r="H339" s="3" t="str">
        <f>IFERROR(__xludf.DUMMYFUNCTION("MID(INDEX(SPLIT($F339,"",""),COLUMN()-6),2,300)"),"4 plaid gray bags.")</f>
        <v>4 plaid gray bags.</v>
      </c>
      <c r="I339" s="3" t="str">
        <f>IFERROR(__xludf.DUMMYFUNCTION("MID(INDEX(SPLIT($F339,"",""),COLUMN()-6),2,300)"),"#REF!")</f>
        <v>#REF!</v>
      </c>
      <c r="J339" s="3" t="str">
        <f>IFERROR(__xludf.DUMMYFUNCTION("MID(INDEX(SPLIT($F339,"",""),COLUMN()-6),2,300)"),"#REF!")</f>
        <v>#REF!</v>
      </c>
      <c r="K339" s="3">
        <f>IFERROR(__xludf.DUMMYFUNCTION("INDEX(SPLIT(G339,"" ""),1)"),4.0)</f>
        <v>4</v>
      </c>
      <c r="L339" s="3" t="str">
        <f>IFERROR(__xludf.DUMMYFUNCTION("REGEXEXTRACT(G339,"" [^ ]* [^ ]* "")")," clear black ")</f>
        <v> clear black </v>
      </c>
      <c r="M339" s="3">
        <f>IFERROR(__xludf.DUMMYFUNCTION("INDEX(SPLIT(H339,"" ""),1)"),4.0)</f>
        <v>4</v>
      </c>
      <c r="N339" s="3" t="str">
        <f>IFERROR(__xludf.DUMMYFUNCTION("MID(REGEXEXTRACT(H339,"" [^ ]* [^ ]*""),2,300)"),"plaid gray")</f>
        <v>plaid gray</v>
      </c>
      <c r="O339" s="3" t="str">
        <f>IFERROR(__xludf.DUMMYFUNCTION("INDEX(SPLIT(I339,"" ""),1)"),"#REF!")</f>
        <v>#REF!</v>
      </c>
      <c r="P339" s="3" t="str">
        <f>IFERROR(__xludf.DUMMYFUNCTION("MID(REGEXEXTRACT(I339,"" [^ ]* [^ ]*""),2,300)"),"#REF!")</f>
        <v>#REF!</v>
      </c>
      <c r="Q339" s="3" t="str">
        <f>IFERROR(__xludf.DUMMYFUNCTION("INDEX(SPLIT(J339,"" ""),1)"),"#REF!")</f>
        <v>#REF!</v>
      </c>
      <c r="R339" s="3" t="str">
        <f>IFERROR(__xludf.DUMMYFUNCTION("MID(REGEXEXTRACT(J339,"" [^ ]* [^ ]*""),2,300)"),"#REF!")</f>
        <v>#REF!</v>
      </c>
      <c r="S339" s="3">
        <f t="shared" si="2"/>
        <v>4</v>
      </c>
      <c r="T339" s="3" t="str">
        <f t="shared" si="3"/>
        <v>clear black</v>
      </c>
      <c r="U339" s="3">
        <f t="shared" si="4"/>
        <v>4</v>
      </c>
      <c r="V339" s="3" t="str">
        <f t="shared" si="5"/>
        <v>plaid gray</v>
      </c>
      <c r="W339" s="3" t="str">
        <f t="shared" si="6"/>
        <v/>
      </c>
      <c r="X339" s="3" t="str">
        <f t="shared" si="7"/>
        <v/>
      </c>
      <c r="Y339" s="3" t="str">
        <f t="shared" si="8"/>
        <v/>
      </c>
      <c r="Z339" s="3" t="str">
        <f t="shared" si="9"/>
        <v/>
      </c>
      <c r="AA339" s="13">
        <f t="shared" si="10"/>
        <v>265</v>
      </c>
      <c r="AB339" s="3">
        <f t="shared" si="11"/>
        <v>264</v>
      </c>
      <c r="AC339" s="3">
        <f t="shared" si="12"/>
        <v>4</v>
      </c>
      <c r="AD339" s="3">
        <f t="shared" si="13"/>
        <v>12</v>
      </c>
      <c r="AE339" s="3">
        <f t="shared" si="14"/>
        <v>4</v>
      </c>
      <c r="AF339" s="3">
        <f t="shared" si="15"/>
        <v>54</v>
      </c>
      <c r="AG339" s="3" t="str">
        <f t="shared" si="16"/>
        <v/>
      </c>
      <c r="AH339" s="3">
        <f t="shared" si="17"/>
        <v>0</v>
      </c>
      <c r="AI339" s="3" t="str">
        <f t="shared" si="18"/>
        <v/>
      </c>
      <c r="AJ339" s="3">
        <f t="shared" si="19"/>
        <v>0</v>
      </c>
    </row>
    <row r="340">
      <c r="C340" s="6" t="s">
        <v>340</v>
      </c>
      <c r="D340" s="3">
        <f t="shared" si="1"/>
        <v>0</v>
      </c>
      <c r="E340" s="3" t="str">
        <f>IFERROR(__xludf.DUMMYFUNCTION("REGEXEXTRACT(C340,""[^ ]* [^ ]*"")"),"posh bronze")</f>
        <v>posh bronze</v>
      </c>
      <c r="F340" s="3" t="str">
        <f>IFERROR(__xludf.DUMMYFUNCTION("MID(REGEXEXTRACT(C340,""contain.*$""),9,300)"),"4 drab green bags.")</f>
        <v>4 drab green bags.</v>
      </c>
      <c r="G340" s="3" t="str">
        <f>IFERROR(__xludf.DUMMYFUNCTION("INDEX(SPLIT($F340,"",""),COLUMN()-6)"),"4 drab green bags.")</f>
        <v>4 drab green bags.</v>
      </c>
      <c r="H340" s="3" t="str">
        <f>IFERROR(__xludf.DUMMYFUNCTION("MID(INDEX(SPLIT($F340,"",""),COLUMN()-6),2,300)"),"#REF!")</f>
        <v>#REF!</v>
      </c>
      <c r="I340" s="3" t="str">
        <f>IFERROR(__xludf.DUMMYFUNCTION("MID(INDEX(SPLIT($F340,"",""),COLUMN()-6),2,300)"),"#REF!")</f>
        <v>#REF!</v>
      </c>
      <c r="J340" s="3" t="str">
        <f>IFERROR(__xludf.DUMMYFUNCTION("MID(INDEX(SPLIT($F340,"",""),COLUMN()-6),2,300)"),"#REF!")</f>
        <v>#REF!</v>
      </c>
      <c r="K340" s="3">
        <f>IFERROR(__xludf.DUMMYFUNCTION("INDEX(SPLIT(G340,"" ""),1)"),4.0)</f>
        <v>4</v>
      </c>
      <c r="L340" s="3" t="str">
        <f>IFERROR(__xludf.DUMMYFUNCTION("REGEXEXTRACT(G340,"" [^ ]* [^ ]* "")")," drab green ")</f>
        <v> drab green </v>
      </c>
      <c r="M340" s="3" t="str">
        <f>IFERROR(__xludf.DUMMYFUNCTION("INDEX(SPLIT(H340,"" ""),1)"),"#REF!")</f>
        <v>#REF!</v>
      </c>
      <c r="N340" s="3" t="str">
        <f>IFERROR(__xludf.DUMMYFUNCTION("MID(REGEXEXTRACT(H340,"" [^ ]* [^ ]*""),2,300)"),"#REF!")</f>
        <v>#REF!</v>
      </c>
      <c r="O340" s="3" t="str">
        <f>IFERROR(__xludf.DUMMYFUNCTION("INDEX(SPLIT(I340,"" ""),1)"),"#REF!")</f>
        <v>#REF!</v>
      </c>
      <c r="P340" s="3" t="str">
        <f>IFERROR(__xludf.DUMMYFUNCTION("MID(REGEXEXTRACT(I340,"" [^ ]* [^ ]*""),2,300)"),"#REF!")</f>
        <v>#REF!</v>
      </c>
      <c r="Q340" s="3" t="str">
        <f>IFERROR(__xludf.DUMMYFUNCTION("INDEX(SPLIT(J340,"" ""),1)"),"#REF!")</f>
        <v>#REF!</v>
      </c>
      <c r="R340" s="3" t="str">
        <f>IFERROR(__xludf.DUMMYFUNCTION("MID(REGEXEXTRACT(J340,"" [^ ]* [^ ]*""),2,300)"),"#REF!")</f>
        <v>#REF!</v>
      </c>
      <c r="S340" s="3">
        <f t="shared" si="2"/>
        <v>4</v>
      </c>
      <c r="T340" s="3" t="str">
        <f t="shared" si="3"/>
        <v>drab green</v>
      </c>
      <c r="U340" s="3" t="str">
        <f t="shared" si="4"/>
        <v/>
      </c>
      <c r="V340" s="3" t="str">
        <f t="shared" si="5"/>
        <v/>
      </c>
      <c r="W340" s="3" t="str">
        <f t="shared" si="6"/>
        <v/>
      </c>
      <c r="X340" s="3" t="str">
        <f t="shared" si="7"/>
        <v/>
      </c>
      <c r="Y340" s="3" t="str">
        <f t="shared" si="8"/>
        <v/>
      </c>
      <c r="Z340" s="3" t="str">
        <f t="shared" si="9"/>
        <v/>
      </c>
      <c r="AA340" s="13">
        <f t="shared" si="10"/>
        <v>21</v>
      </c>
      <c r="AB340" s="3">
        <f t="shared" si="11"/>
        <v>20</v>
      </c>
      <c r="AC340" s="3">
        <f t="shared" si="12"/>
        <v>4</v>
      </c>
      <c r="AD340" s="3">
        <f t="shared" si="13"/>
        <v>5</v>
      </c>
      <c r="AE340" s="3" t="str">
        <f t="shared" si="14"/>
        <v/>
      </c>
      <c r="AF340" s="3">
        <f t="shared" si="15"/>
        <v>0</v>
      </c>
      <c r="AG340" s="3" t="str">
        <f t="shared" si="16"/>
        <v/>
      </c>
      <c r="AH340" s="3">
        <f t="shared" si="17"/>
        <v>0</v>
      </c>
      <c r="AI340" s="3" t="str">
        <f t="shared" si="18"/>
        <v/>
      </c>
      <c r="AJ340" s="3">
        <f t="shared" si="19"/>
        <v>0</v>
      </c>
    </row>
    <row r="341">
      <c r="C341" s="6" t="s">
        <v>341</v>
      </c>
      <c r="D341" s="3">
        <f t="shared" si="1"/>
        <v>3</v>
      </c>
      <c r="E341" s="3" t="str">
        <f>IFERROR(__xludf.DUMMYFUNCTION("REGEXEXTRACT(C341,""[^ ]* [^ ]*"")"),"clear blue")</f>
        <v>clear blue</v>
      </c>
      <c r="F341" s="3" t="str">
        <f>IFERROR(__xludf.DUMMYFUNCTION("MID(REGEXEXTRACT(C341,""contain.*$""),9,300)"),"3 bright brown bags, 5 dull tomato bags, 1 clear black bag, 5 bright violet bags.")</f>
        <v>3 bright brown bags, 5 dull tomato bags, 1 clear black bag, 5 bright violet bags.</v>
      </c>
      <c r="G341" s="3" t="str">
        <f>IFERROR(__xludf.DUMMYFUNCTION("INDEX(SPLIT($F341,"",""),COLUMN()-6)"),"3 bright brown bags")</f>
        <v>3 bright brown bags</v>
      </c>
      <c r="H341" s="3" t="str">
        <f>IFERROR(__xludf.DUMMYFUNCTION("MID(INDEX(SPLIT($F341,"",""),COLUMN()-6),2,300)"),"5 dull tomato bags")</f>
        <v>5 dull tomato bags</v>
      </c>
      <c r="I341" s="3" t="str">
        <f>IFERROR(__xludf.DUMMYFUNCTION("MID(INDEX(SPLIT($F341,"",""),COLUMN()-6),2,300)"),"1 clear black bag")</f>
        <v>1 clear black bag</v>
      </c>
      <c r="J341" s="3" t="str">
        <f>IFERROR(__xludf.DUMMYFUNCTION("MID(INDEX(SPLIT($F341,"",""),COLUMN()-6),2,300)"),"5 bright violet bags.")</f>
        <v>5 bright violet bags.</v>
      </c>
      <c r="K341" s="3">
        <f>IFERROR(__xludf.DUMMYFUNCTION("INDEX(SPLIT(G341,"" ""),1)"),3.0)</f>
        <v>3</v>
      </c>
      <c r="L341" s="3" t="str">
        <f>IFERROR(__xludf.DUMMYFUNCTION("REGEXEXTRACT(G341,"" [^ ]* [^ ]* "")")," bright brown ")</f>
        <v> bright brown </v>
      </c>
      <c r="M341" s="3">
        <f>IFERROR(__xludf.DUMMYFUNCTION("INDEX(SPLIT(H341,"" ""),1)"),5.0)</f>
        <v>5</v>
      </c>
      <c r="N341" s="3" t="str">
        <f>IFERROR(__xludf.DUMMYFUNCTION("MID(REGEXEXTRACT(H341,"" [^ ]* [^ ]*""),2,300)"),"dull tomato")</f>
        <v>dull tomato</v>
      </c>
      <c r="O341" s="3">
        <f>IFERROR(__xludf.DUMMYFUNCTION("INDEX(SPLIT(I341,"" ""),1)"),1.0)</f>
        <v>1</v>
      </c>
      <c r="P341" s="3" t="str">
        <f>IFERROR(__xludf.DUMMYFUNCTION("MID(REGEXEXTRACT(I341,"" [^ ]* [^ ]*""),2,300)"),"clear black")</f>
        <v>clear black</v>
      </c>
      <c r="Q341" s="3">
        <f>IFERROR(__xludf.DUMMYFUNCTION("INDEX(SPLIT(J341,"" ""),1)"),5.0)</f>
        <v>5</v>
      </c>
      <c r="R341" s="3" t="str">
        <f>IFERROR(__xludf.DUMMYFUNCTION("MID(REGEXEXTRACT(J341,"" [^ ]* [^ ]*""),2,300)"),"bright violet")</f>
        <v>bright violet</v>
      </c>
      <c r="S341" s="3">
        <f t="shared" si="2"/>
        <v>3</v>
      </c>
      <c r="T341" s="3" t="str">
        <f t="shared" si="3"/>
        <v>bright brown</v>
      </c>
      <c r="U341" s="3">
        <f t="shared" si="4"/>
        <v>5</v>
      </c>
      <c r="V341" s="3" t="str">
        <f t="shared" si="5"/>
        <v>dull tomato</v>
      </c>
      <c r="W341" s="3">
        <f t="shared" si="6"/>
        <v>1</v>
      </c>
      <c r="X341" s="3" t="str">
        <f t="shared" si="7"/>
        <v>clear black</v>
      </c>
      <c r="Y341" s="3">
        <f t="shared" si="8"/>
        <v>5</v>
      </c>
      <c r="Z341" s="3" t="str">
        <f t="shared" si="9"/>
        <v>bright violet</v>
      </c>
      <c r="AA341" s="13">
        <f t="shared" si="10"/>
        <v>76</v>
      </c>
      <c r="AB341" s="3">
        <f t="shared" si="11"/>
        <v>75</v>
      </c>
      <c r="AC341" s="3">
        <f t="shared" si="12"/>
        <v>3</v>
      </c>
      <c r="AD341" s="3">
        <f t="shared" si="13"/>
        <v>1</v>
      </c>
      <c r="AE341" s="3">
        <f t="shared" si="14"/>
        <v>5</v>
      </c>
      <c r="AF341" s="3">
        <f t="shared" si="15"/>
        <v>11</v>
      </c>
      <c r="AG341" s="3">
        <f t="shared" si="16"/>
        <v>1</v>
      </c>
      <c r="AH341" s="3">
        <f t="shared" si="17"/>
        <v>12</v>
      </c>
      <c r="AI341" s="3">
        <f t="shared" si="18"/>
        <v>5</v>
      </c>
      <c r="AJ341" s="3">
        <f t="shared" si="19"/>
        <v>1</v>
      </c>
    </row>
    <row r="342">
      <c r="C342" s="6" t="s">
        <v>342</v>
      </c>
      <c r="D342" s="3">
        <f t="shared" si="1"/>
        <v>3</v>
      </c>
      <c r="E342" s="3" t="str">
        <f>IFERROR(__xludf.DUMMYFUNCTION("REGEXEXTRACT(C342,""[^ ]* [^ ]*"")"),"striped plum")</f>
        <v>striped plum</v>
      </c>
      <c r="F342" s="3" t="str">
        <f>IFERROR(__xludf.DUMMYFUNCTION("MID(REGEXEXTRACT(C342,""contain.*$""),9,300)"),"4 plaid yellow bags, 3 dark teal bags, 2 mirrored lavender bags, 1 dotted salmon bag.")</f>
        <v>4 plaid yellow bags, 3 dark teal bags, 2 mirrored lavender bags, 1 dotted salmon bag.</v>
      </c>
      <c r="G342" s="3" t="str">
        <f>IFERROR(__xludf.DUMMYFUNCTION("INDEX(SPLIT($F342,"",""),COLUMN()-6)"),"4 plaid yellow bags")</f>
        <v>4 plaid yellow bags</v>
      </c>
      <c r="H342" s="3" t="str">
        <f>IFERROR(__xludf.DUMMYFUNCTION("MID(INDEX(SPLIT($F342,"",""),COLUMN()-6),2,300)"),"3 dark teal bags")</f>
        <v>3 dark teal bags</v>
      </c>
      <c r="I342" s="3" t="str">
        <f>IFERROR(__xludf.DUMMYFUNCTION("MID(INDEX(SPLIT($F342,"",""),COLUMN()-6),2,300)"),"2 mirrored lavender bags")</f>
        <v>2 mirrored lavender bags</v>
      </c>
      <c r="J342" s="3" t="str">
        <f>IFERROR(__xludf.DUMMYFUNCTION("MID(INDEX(SPLIT($F342,"",""),COLUMN()-6),2,300)"),"1 dotted salmon bag.")</f>
        <v>1 dotted salmon bag.</v>
      </c>
      <c r="K342" s="3">
        <f>IFERROR(__xludf.DUMMYFUNCTION("INDEX(SPLIT(G342,"" ""),1)"),4.0)</f>
        <v>4</v>
      </c>
      <c r="L342" s="3" t="str">
        <f>IFERROR(__xludf.DUMMYFUNCTION("REGEXEXTRACT(G342,"" [^ ]* [^ ]* "")")," plaid yellow ")</f>
        <v> plaid yellow </v>
      </c>
      <c r="M342" s="3">
        <f>IFERROR(__xludf.DUMMYFUNCTION("INDEX(SPLIT(H342,"" ""),1)"),3.0)</f>
        <v>3</v>
      </c>
      <c r="N342" s="3" t="str">
        <f>IFERROR(__xludf.DUMMYFUNCTION("MID(REGEXEXTRACT(H342,"" [^ ]* [^ ]*""),2,300)"),"dark teal")</f>
        <v>dark teal</v>
      </c>
      <c r="O342" s="3">
        <f>IFERROR(__xludf.DUMMYFUNCTION("INDEX(SPLIT(I342,"" ""),1)"),2.0)</f>
        <v>2</v>
      </c>
      <c r="P342" s="3" t="str">
        <f>IFERROR(__xludf.DUMMYFUNCTION("MID(REGEXEXTRACT(I342,"" [^ ]* [^ ]*""),2,300)"),"mirrored lavender")</f>
        <v>mirrored lavender</v>
      </c>
      <c r="Q342" s="3">
        <f>IFERROR(__xludf.DUMMYFUNCTION("INDEX(SPLIT(J342,"" ""),1)"),1.0)</f>
        <v>1</v>
      </c>
      <c r="R342" s="3" t="str">
        <f>IFERROR(__xludf.DUMMYFUNCTION("MID(REGEXEXTRACT(J342,"" [^ ]* [^ ]*""),2,300)"),"dotted salmon")</f>
        <v>dotted salmon</v>
      </c>
      <c r="S342" s="3">
        <f t="shared" si="2"/>
        <v>4</v>
      </c>
      <c r="T342" s="3" t="str">
        <f t="shared" si="3"/>
        <v>plaid yellow</v>
      </c>
      <c r="U342" s="3">
        <f t="shared" si="4"/>
        <v>3</v>
      </c>
      <c r="V342" s="3" t="str">
        <f t="shared" si="5"/>
        <v>dark teal</v>
      </c>
      <c r="W342" s="3">
        <f t="shared" si="6"/>
        <v>2</v>
      </c>
      <c r="X342" s="3" t="str">
        <f t="shared" si="7"/>
        <v>mirrored lavender</v>
      </c>
      <c r="Y342" s="3">
        <f t="shared" si="8"/>
        <v>1</v>
      </c>
      <c r="Z342" s="3" t="str">
        <f t="shared" si="9"/>
        <v>dotted salmon</v>
      </c>
      <c r="AA342" s="13">
        <f t="shared" si="10"/>
        <v>228558662</v>
      </c>
      <c r="AB342" s="3">
        <f t="shared" si="11"/>
        <v>228558661</v>
      </c>
      <c r="AC342" s="3">
        <f t="shared" si="12"/>
        <v>4</v>
      </c>
      <c r="AD342" s="3">
        <f t="shared" si="13"/>
        <v>57101279</v>
      </c>
      <c r="AE342" s="3">
        <f t="shared" si="14"/>
        <v>3</v>
      </c>
      <c r="AF342" s="3">
        <f t="shared" si="15"/>
        <v>15041</v>
      </c>
      <c r="AG342" s="3">
        <f t="shared" si="16"/>
        <v>2</v>
      </c>
      <c r="AH342" s="3">
        <f t="shared" si="17"/>
        <v>5563</v>
      </c>
      <c r="AI342" s="3">
        <f t="shared" si="18"/>
        <v>1</v>
      </c>
      <c r="AJ342" s="3">
        <f t="shared" si="19"/>
        <v>97296</v>
      </c>
    </row>
    <row r="343">
      <c r="C343" s="6" t="s">
        <v>343</v>
      </c>
      <c r="D343" s="3">
        <f t="shared" si="1"/>
        <v>2</v>
      </c>
      <c r="E343" s="3" t="str">
        <f>IFERROR(__xludf.DUMMYFUNCTION("REGEXEXTRACT(C343,""[^ ]* [^ ]*"")"),"muted salmon")</f>
        <v>muted salmon</v>
      </c>
      <c r="F343" s="3" t="str">
        <f>IFERROR(__xludf.DUMMYFUNCTION("MID(REGEXEXTRACT(C343,""contain.*$""),9,300)"),"1 dull cyan bag, 2 clear coral bags, 1 posh coral bag.")</f>
        <v>1 dull cyan bag, 2 clear coral bags, 1 posh coral bag.</v>
      </c>
      <c r="G343" s="3" t="str">
        <f>IFERROR(__xludf.DUMMYFUNCTION("INDEX(SPLIT($F343,"",""),COLUMN()-6)"),"1 dull cyan bag")</f>
        <v>1 dull cyan bag</v>
      </c>
      <c r="H343" s="3" t="str">
        <f>IFERROR(__xludf.DUMMYFUNCTION("MID(INDEX(SPLIT($F343,"",""),COLUMN()-6),2,300)"),"2 clear coral bags")</f>
        <v>2 clear coral bags</v>
      </c>
      <c r="I343" s="3" t="str">
        <f>IFERROR(__xludf.DUMMYFUNCTION("MID(INDEX(SPLIT($F343,"",""),COLUMN()-6),2,300)"),"1 posh coral bag.")</f>
        <v>1 posh coral bag.</v>
      </c>
      <c r="J343" s="3" t="str">
        <f>IFERROR(__xludf.DUMMYFUNCTION("MID(INDEX(SPLIT($F343,"",""),COLUMN()-6),2,300)"),"#REF!")</f>
        <v>#REF!</v>
      </c>
      <c r="K343" s="3">
        <f>IFERROR(__xludf.DUMMYFUNCTION("INDEX(SPLIT(G343,"" ""),1)"),1.0)</f>
        <v>1</v>
      </c>
      <c r="L343" s="3" t="str">
        <f>IFERROR(__xludf.DUMMYFUNCTION("REGEXEXTRACT(G343,"" [^ ]* [^ ]* "")")," dull cyan ")</f>
        <v> dull cyan </v>
      </c>
      <c r="M343" s="3">
        <f>IFERROR(__xludf.DUMMYFUNCTION("INDEX(SPLIT(H343,"" ""),1)"),2.0)</f>
        <v>2</v>
      </c>
      <c r="N343" s="3" t="str">
        <f>IFERROR(__xludf.DUMMYFUNCTION("MID(REGEXEXTRACT(H343,"" [^ ]* [^ ]*""),2,300)"),"clear coral")</f>
        <v>clear coral</v>
      </c>
      <c r="O343" s="3">
        <f>IFERROR(__xludf.DUMMYFUNCTION("INDEX(SPLIT(I343,"" ""),1)"),1.0)</f>
        <v>1</v>
      </c>
      <c r="P343" s="3" t="str">
        <f>IFERROR(__xludf.DUMMYFUNCTION("MID(REGEXEXTRACT(I343,"" [^ ]* [^ ]*""),2,300)"),"posh coral")</f>
        <v>posh coral</v>
      </c>
      <c r="Q343" s="3" t="str">
        <f>IFERROR(__xludf.DUMMYFUNCTION("INDEX(SPLIT(J343,"" ""),1)"),"#REF!")</f>
        <v>#REF!</v>
      </c>
      <c r="R343" s="3" t="str">
        <f>IFERROR(__xludf.DUMMYFUNCTION("MID(REGEXEXTRACT(J343,"" [^ ]* [^ ]*""),2,300)"),"#REF!")</f>
        <v>#REF!</v>
      </c>
      <c r="S343" s="3">
        <f t="shared" si="2"/>
        <v>1</v>
      </c>
      <c r="T343" s="3" t="str">
        <f t="shared" si="3"/>
        <v>dull cyan</v>
      </c>
      <c r="U343" s="3">
        <f t="shared" si="4"/>
        <v>2</v>
      </c>
      <c r="V343" s="3" t="str">
        <f t="shared" si="5"/>
        <v>clear coral</v>
      </c>
      <c r="W343" s="3">
        <f t="shared" si="6"/>
        <v>1</v>
      </c>
      <c r="X343" s="3" t="str">
        <f t="shared" si="7"/>
        <v>posh coral</v>
      </c>
      <c r="Y343" s="3" t="str">
        <f t="shared" si="8"/>
        <v/>
      </c>
      <c r="Z343" s="3" t="str">
        <f t="shared" si="9"/>
        <v/>
      </c>
      <c r="AA343" s="13">
        <f t="shared" si="10"/>
        <v>3012</v>
      </c>
      <c r="AB343" s="3">
        <f t="shared" si="11"/>
        <v>3011</v>
      </c>
      <c r="AC343" s="3">
        <f t="shared" si="12"/>
        <v>1</v>
      </c>
      <c r="AD343" s="3">
        <f t="shared" si="13"/>
        <v>3008</v>
      </c>
      <c r="AE343" s="3">
        <f t="shared" si="14"/>
        <v>2</v>
      </c>
      <c r="AF343" s="3">
        <f t="shared" si="15"/>
        <v>1</v>
      </c>
      <c r="AG343" s="3">
        <f t="shared" si="16"/>
        <v>1</v>
      </c>
      <c r="AH343" s="3">
        <f t="shared" si="17"/>
        <v>1</v>
      </c>
      <c r="AI343" s="3" t="str">
        <f t="shared" si="18"/>
        <v/>
      </c>
      <c r="AJ343" s="3">
        <f t="shared" si="19"/>
        <v>0</v>
      </c>
    </row>
    <row r="344">
      <c r="C344" s="6" t="s">
        <v>344</v>
      </c>
      <c r="D344" s="3">
        <f t="shared" si="1"/>
        <v>1</v>
      </c>
      <c r="E344" s="3" t="str">
        <f>IFERROR(__xludf.DUMMYFUNCTION("REGEXEXTRACT(C344,""[^ ]* [^ ]*"")"),"light aqua")</f>
        <v>light aqua</v>
      </c>
      <c r="F344" s="3" t="str">
        <f>IFERROR(__xludf.DUMMYFUNCTION("MID(REGEXEXTRACT(C344,""contain.*$""),9,300)"),"4 clear maroon bags, 4 striped black bags.")</f>
        <v>4 clear maroon bags, 4 striped black bags.</v>
      </c>
      <c r="G344" s="3" t="str">
        <f>IFERROR(__xludf.DUMMYFUNCTION("INDEX(SPLIT($F344,"",""),COLUMN()-6)"),"4 clear maroon bags")</f>
        <v>4 clear maroon bags</v>
      </c>
      <c r="H344" s="3" t="str">
        <f>IFERROR(__xludf.DUMMYFUNCTION("MID(INDEX(SPLIT($F344,"",""),COLUMN()-6),2,300)"),"4 striped black bags.")</f>
        <v>4 striped black bags.</v>
      </c>
      <c r="I344" s="3" t="str">
        <f>IFERROR(__xludf.DUMMYFUNCTION("MID(INDEX(SPLIT($F344,"",""),COLUMN()-6),2,300)"),"#REF!")</f>
        <v>#REF!</v>
      </c>
      <c r="J344" s="3" t="str">
        <f>IFERROR(__xludf.DUMMYFUNCTION("MID(INDEX(SPLIT($F344,"",""),COLUMN()-6),2,300)"),"#REF!")</f>
        <v>#REF!</v>
      </c>
      <c r="K344" s="3">
        <f>IFERROR(__xludf.DUMMYFUNCTION("INDEX(SPLIT(G344,"" ""),1)"),4.0)</f>
        <v>4</v>
      </c>
      <c r="L344" s="3" t="str">
        <f>IFERROR(__xludf.DUMMYFUNCTION("REGEXEXTRACT(G344,"" [^ ]* [^ ]* "")")," clear maroon ")</f>
        <v> clear maroon </v>
      </c>
      <c r="M344" s="3">
        <f>IFERROR(__xludf.DUMMYFUNCTION("INDEX(SPLIT(H344,"" ""),1)"),4.0)</f>
        <v>4</v>
      </c>
      <c r="N344" s="3" t="str">
        <f>IFERROR(__xludf.DUMMYFUNCTION("MID(REGEXEXTRACT(H344,"" [^ ]* [^ ]*""),2,300)"),"striped black")</f>
        <v>striped black</v>
      </c>
      <c r="O344" s="3" t="str">
        <f>IFERROR(__xludf.DUMMYFUNCTION("INDEX(SPLIT(I344,"" ""),1)"),"#REF!")</f>
        <v>#REF!</v>
      </c>
      <c r="P344" s="3" t="str">
        <f>IFERROR(__xludf.DUMMYFUNCTION("MID(REGEXEXTRACT(I344,"" [^ ]* [^ ]*""),2,300)"),"#REF!")</f>
        <v>#REF!</v>
      </c>
      <c r="Q344" s="3" t="str">
        <f>IFERROR(__xludf.DUMMYFUNCTION("INDEX(SPLIT(J344,"" ""),1)"),"#REF!")</f>
        <v>#REF!</v>
      </c>
      <c r="R344" s="3" t="str">
        <f>IFERROR(__xludf.DUMMYFUNCTION("MID(REGEXEXTRACT(J344,"" [^ ]* [^ ]*""),2,300)"),"#REF!")</f>
        <v>#REF!</v>
      </c>
      <c r="S344" s="3">
        <f t="shared" si="2"/>
        <v>4</v>
      </c>
      <c r="T344" s="3" t="str">
        <f t="shared" si="3"/>
        <v>clear maroon</v>
      </c>
      <c r="U344" s="3">
        <f t="shared" si="4"/>
        <v>4</v>
      </c>
      <c r="V344" s="3" t="str">
        <f t="shared" si="5"/>
        <v>striped black</v>
      </c>
      <c r="W344" s="3" t="str">
        <f t="shared" si="6"/>
        <v/>
      </c>
      <c r="X344" s="3" t="str">
        <f t="shared" si="7"/>
        <v/>
      </c>
      <c r="Y344" s="3" t="str">
        <f t="shared" si="8"/>
        <v/>
      </c>
      <c r="Z344" s="3" t="str">
        <f t="shared" si="9"/>
        <v/>
      </c>
      <c r="AA344" s="13">
        <f t="shared" si="10"/>
        <v>180255453</v>
      </c>
      <c r="AB344" s="3">
        <f t="shared" si="11"/>
        <v>180255452</v>
      </c>
      <c r="AC344" s="3">
        <f t="shared" si="12"/>
        <v>4</v>
      </c>
      <c r="AD344" s="3">
        <f t="shared" si="13"/>
        <v>26408808</v>
      </c>
      <c r="AE344" s="3">
        <f t="shared" si="14"/>
        <v>4</v>
      </c>
      <c r="AF344" s="3">
        <f t="shared" si="15"/>
        <v>18655055</v>
      </c>
      <c r="AG344" s="3" t="str">
        <f t="shared" si="16"/>
        <v/>
      </c>
      <c r="AH344" s="3">
        <f t="shared" si="17"/>
        <v>0</v>
      </c>
      <c r="AI344" s="3" t="str">
        <f t="shared" si="18"/>
        <v/>
      </c>
      <c r="AJ344" s="3">
        <f t="shared" si="19"/>
        <v>0</v>
      </c>
    </row>
    <row r="345">
      <c r="C345" s="6" t="s">
        <v>345</v>
      </c>
      <c r="D345" s="3">
        <f t="shared" si="1"/>
        <v>2</v>
      </c>
      <c r="E345" s="3" t="str">
        <f>IFERROR(__xludf.DUMMYFUNCTION("REGEXEXTRACT(C345,""[^ ]* [^ ]*"")"),"bright blue")</f>
        <v>bright blue</v>
      </c>
      <c r="F345" s="3" t="str">
        <f>IFERROR(__xludf.DUMMYFUNCTION("MID(REGEXEXTRACT(C345,""contain.*$""),9,300)"),"4 drab violet bags, 4 light indigo bags, 3 muted indigo bags.")</f>
        <v>4 drab violet bags, 4 light indigo bags, 3 muted indigo bags.</v>
      </c>
      <c r="G345" s="3" t="str">
        <f>IFERROR(__xludf.DUMMYFUNCTION("INDEX(SPLIT($F345,"",""),COLUMN()-6)"),"4 drab violet bags")</f>
        <v>4 drab violet bags</v>
      </c>
      <c r="H345" s="3" t="str">
        <f>IFERROR(__xludf.DUMMYFUNCTION("MID(INDEX(SPLIT($F345,"",""),COLUMN()-6),2,300)"),"4 light indigo bags")</f>
        <v>4 light indigo bags</v>
      </c>
      <c r="I345" s="3" t="str">
        <f>IFERROR(__xludf.DUMMYFUNCTION("MID(INDEX(SPLIT($F345,"",""),COLUMN()-6),2,300)"),"3 muted indigo bags.")</f>
        <v>3 muted indigo bags.</v>
      </c>
      <c r="J345" s="3" t="str">
        <f>IFERROR(__xludf.DUMMYFUNCTION("MID(INDEX(SPLIT($F345,"",""),COLUMN()-6),2,300)"),"#REF!")</f>
        <v>#REF!</v>
      </c>
      <c r="K345" s="3">
        <f>IFERROR(__xludf.DUMMYFUNCTION("INDEX(SPLIT(G345,"" ""),1)"),4.0)</f>
        <v>4</v>
      </c>
      <c r="L345" s="3" t="str">
        <f>IFERROR(__xludf.DUMMYFUNCTION("REGEXEXTRACT(G345,"" [^ ]* [^ ]* "")")," drab violet ")</f>
        <v> drab violet </v>
      </c>
      <c r="M345" s="3">
        <f>IFERROR(__xludf.DUMMYFUNCTION("INDEX(SPLIT(H345,"" ""),1)"),4.0)</f>
        <v>4</v>
      </c>
      <c r="N345" s="3" t="str">
        <f>IFERROR(__xludf.DUMMYFUNCTION("MID(REGEXEXTRACT(H345,"" [^ ]* [^ ]*""),2,300)"),"light indigo")</f>
        <v>light indigo</v>
      </c>
      <c r="O345" s="3">
        <f>IFERROR(__xludf.DUMMYFUNCTION("INDEX(SPLIT(I345,"" ""),1)"),3.0)</f>
        <v>3</v>
      </c>
      <c r="P345" s="3" t="str">
        <f>IFERROR(__xludf.DUMMYFUNCTION("MID(REGEXEXTRACT(I345,"" [^ ]* [^ ]*""),2,300)"),"muted indigo")</f>
        <v>muted indigo</v>
      </c>
      <c r="Q345" s="3" t="str">
        <f>IFERROR(__xludf.DUMMYFUNCTION("INDEX(SPLIT(J345,"" ""),1)"),"#REF!")</f>
        <v>#REF!</v>
      </c>
      <c r="R345" s="3" t="str">
        <f>IFERROR(__xludf.DUMMYFUNCTION("MID(REGEXEXTRACT(J345,"" [^ ]* [^ ]*""),2,300)"),"#REF!")</f>
        <v>#REF!</v>
      </c>
      <c r="S345" s="3">
        <f t="shared" si="2"/>
        <v>4</v>
      </c>
      <c r="T345" s="3" t="str">
        <f t="shared" si="3"/>
        <v>drab violet</v>
      </c>
      <c r="U345" s="3">
        <f t="shared" si="4"/>
        <v>4</v>
      </c>
      <c r="V345" s="3" t="str">
        <f t="shared" si="5"/>
        <v>light indigo</v>
      </c>
      <c r="W345" s="3">
        <f t="shared" si="6"/>
        <v>3</v>
      </c>
      <c r="X345" s="3" t="str">
        <f t="shared" si="7"/>
        <v>muted indigo</v>
      </c>
      <c r="Y345" s="3" t="str">
        <f t="shared" si="8"/>
        <v/>
      </c>
      <c r="Z345" s="3" t="str">
        <f t="shared" si="9"/>
        <v/>
      </c>
      <c r="AA345" s="13">
        <f t="shared" si="10"/>
        <v>12266312982</v>
      </c>
      <c r="AB345" s="3">
        <f t="shared" si="11"/>
        <v>12266312981</v>
      </c>
      <c r="AC345" s="3">
        <f t="shared" si="12"/>
        <v>4</v>
      </c>
      <c r="AD345" s="3">
        <f t="shared" si="13"/>
        <v>354577</v>
      </c>
      <c r="AE345" s="3">
        <f t="shared" si="14"/>
        <v>4</v>
      </c>
      <c r="AF345" s="3">
        <f t="shared" si="15"/>
        <v>3065952097</v>
      </c>
      <c r="AG345" s="3">
        <f t="shared" si="16"/>
        <v>3</v>
      </c>
      <c r="AH345" s="3">
        <f t="shared" si="17"/>
        <v>362095</v>
      </c>
      <c r="AI345" s="3" t="str">
        <f t="shared" si="18"/>
        <v/>
      </c>
      <c r="AJ345" s="3">
        <f t="shared" si="19"/>
        <v>0</v>
      </c>
    </row>
    <row r="346">
      <c r="C346" s="6" t="s">
        <v>346</v>
      </c>
      <c r="D346" s="3">
        <f t="shared" si="1"/>
        <v>0</v>
      </c>
      <c r="E346" s="3" t="str">
        <f>IFERROR(__xludf.DUMMYFUNCTION("REGEXEXTRACT(C346,""[^ ]* [^ ]*"")"),"light brown")</f>
        <v>light brown</v>
      </c>
      <c r="F346" s="3" t="str">
        <f>IFERROR(__xludf.DUMMYFUNCTION("MID(REGEXEXTRACT(C346,""contain.*$""),9,300)"),"5 striped lavender bags.")</f>
        <v>5 striped lavender bags.</v>
      </c>
      <c r="G346" s="3" t="str">
        <f>IFERROR(__xludf.DUMMYFUNCTION("INDEX(SPLIT($F346,"",""),COLUMN()-6)"),"5 striped lavender bags.")</f>
        <v>5 striped lavender bags.</v>
      </c>
      <c r="H346" s="3" t="str">
        <f>IFERROR(__xludf.DUMMYFUNCTION("MID(INDEX(SPLIT($F346,"",""),COLUMN()-6),2,300)"),"#REF!")</f>
        <v>#REF!</v>
      </c>
      <c r="I346" s="3" t="str">
        <f>IFERROR(__xludf.DUMMYFUNCTION("MID(INDEX(SPLIT($F346,"",""),COLUMN()-6),2,300)"),"#REF!")</f>
        <v>#REF!</v>
      </c>
      <c r="J346" s="3" t="str">
        <f>IFERROR(__xludf.DUMMYFUNCTION("MID(INDEX(SPLIT($F346,"",""),COLUMN()-6),2,300)"),"#REF!")</f>
        <v>#REF!</v>
      </c>
      <c r="K346" s="3">
        <f>IFERROR(__xludf.DUMMYFUNCTION("INDEX(SPLIT(G346,"" ""),1)"),5.0)</f>
        <v>5</v>
      </c>
      <c r="L346" s="3" t="str">
        <f>IFERROR(__xludf.DUMMYFUNCTION("REGEXEXTRACT(G346,"" [^ ]* [^ ]* "")")," striped lavender ")</f>
        <v> striped lavender </v>
      </c>
      <c r="M346" s="3" t="str">
        <f>IFERROR(__xludf.DUMMYFUNCTION("INDEX(SPLIT(H346,"" ""),1)"),"#REF!")</f>
        <v>#REF!</v>
      </c>
      <c r="N346" s="3" t="str">
        <f>IFERROR(__xludf.DUMMYFUNCTION("MID(REGEXEXTRACT(H346,"" [^ ]* [^ ]*""),2,300)"),"#REF!")</f>
        <v>#REF!</v>
      </c>
      <c r="O346" s="3" t="str">
        <f>IFERROR(__xludf.DUMMYFUNCTION("INDEX(SPLIT(I346,"" ""),1)"),"#REF!")</f>
        <v>#REF!</v>
      </c>
      <c r="P346" s="3" t="str">
        <f>IFERROR(__xludf.DUMMYFUNCTION("MID(REGEXEXTRACT(I346,"" [^ ]* [^ ]*""),2,300)"),"#REF!")</f>
        <v>#REF!</v>
      </c>
      <c r="Q346" s="3" t="str">
        <f>IFERROR(__xludf.DUMMYFUNCTION("INDEX(SPLIT(J346,"" ""),1)"),"#REF!")</f>
        <v>#REF!</v>
      </c>
      <c r="R346" s="3" t="str">
        <f>IFERROR(__xludf.DUMMYFUNCTION("MID(REGEXEXTRACT(J346,"" [^ ]* [^ ]*""),2,300)"),"#REF!")</f>
        <v>#REF!</v>
      </c>
      <c r="S346" s="3">
        <f t="shared" si="2"/>
        <v>5</v>
      </c>
      <c r="T346" s="3" t="str">
        <f t="shared" si="3"/>
        <v>striped lavender</v>
      </c>
      <c r="U346" s="3" t="str">
        <f t="shared" si="4"/>
        <v/>
      </c>
      <c r="V346" s="3" t="str">
        <f t="shared" si="5"/>
        <v/>
      </c>
      <c r="W346" s="3" t="str">
        <f t="shared" si="6"/>
        <v/>
      </c>
      <c r="X346" s="3" t="str">
        <f t="shared" si="7"/>
        <v/>
      </c>
      <c r="Y346" s="3" t="str">
        <f t="shared" si="8"/>
        <v/>
      </c>
      <c r="Z346" s="3" t="str">
        <f t="shared" si="9"/>
        <v/>
      </c>
      <c r="AA346" s="13">
        <f t="shared" si="10"/>
        <v>740936</v>
      </c>
      <c r="AB346" s="3">
        <f t="shared" si="11"/>
        <v>740935</v>
      </c>
      <c r="AC346" s="3">
        <f t="shared" si="12"/>
        <v>5</v>
      </c>
      <c r="AD346" s="3">
        <f t="shared" si="13"/>
        <v>148187</v>
      </c>
      <c r="AE346" s="3" t="str">
        <f t="shared" si="14"/>
        <v/>
      </c>
      <c r="AF346" s="3">
        <f t="shared" si="15"/>
        <v>0</v>
      </c>
      <c r="AG346" s="3" t="str">
        <f t="shared" si="16"/>
        <v/>
      </c>
      <c r="AH346" s="3">
        <f t="shared" si="17"/>
        <v>0</v>
      </c>
      <c r="AI346" s="3" t="str">
        <f t="shared" si="18"/>
        <v/>
      </c>
      <c r="AJ346" s="3">
        <f t="shared" si="19"/>
        <v>0</v>
      </c>
    </row>
    <row r="347">
      <c r="C347" s="6" t="s">
        <v>347</v>
      </c>
      <c r="D347" s="3">
        <f t="shared" si="1"/>
        <v>3</v>
      </c>
      <c r="E347" s="3" t="str">
        <f>IFERROR(__xludf.DUMMYFUNCTION("REGEXEXTRACT(C347,""[^ ]* [^ ]*"")"),"light salmon")</f>
        <v>light salmon</v>
      </c>
      <c r="F347" s="3" t="str">
        <f>IFERROR(__xludf.DUMMYFUNCTION("MID(REGEXEXTRACT(C347,""contain.*$""),9,300)"),"1 drab beige bag, 5 faded orange bags, 4 plaid coral bags, 5 light chartreuse bags.")</f>
        <v>1 drab beige bag, 5 faded orange bags, 4 plaid coral bags, 5 light chartreuse bags.</v>
      </c>
      <c r="G347" s="3" t="str">
        <f>IFERROR(__xludf.DUMMYFUNCTION("INDEX(SPLIT($F347,"",""),COLUMN()-6)"),"1 drab beige bag")</f>
        <v>1 drab beige bag</v>
      </c>
      <c r="H347" s="3" t="str">
        <f>IFERROR(__xludf.DUMMYFUNCTION("MID(INDEX(SPLIT($F347,"",""),COLUMN()-6),2,300)"),"5 faded orange bags")</f>
        <v>5 faded orange bags</v>
      </c>
      <c r="I347" s="3" t="str">
        <f>IFERROR(__xludf.DUMMYFUNCTION("MID(INDEX(SPLIT($F347,"",""),COLUMN()-6),2,300)"),"4 plaid coral bags")</f>
        <v>4 plaid coral bags</v>
      </c>
      <c r="J347" s="3" t="str">
        <f>IFERROR(__xludf.DUMMYFUNCTION("MID(INDEX(SPLIT($F347,"",""),COLUMN()-6),2,300)"),"5 light chartreuse bags.")</f>
        <v>5 light chartreuse bags.</v>
      </c>
      <c r="K347" s="3">
        <f>IFERROR(__xludf.DUMMYFUNCTION("INDEX(SPLIT(G347,"" ""),1)"),1.0)</f>
        <v>1</v>
      </c>
      <c r="L347" s="3" t="str">
        <f>IFERROR(__xludf.DUMMYFUNCTION("REGEXEXTRACT(G347,"" [^ ]* [^ ]* "")")," drab beige ")</f>
        <v> drab beige </v>
      </c>
      <c r="M347" s="3">
        <f>IFERROR(__xludf.DUMMYFUNCTION("INDEX(SPLIT(H347,"" ""),1)"),5.0)</f>
        <v>5</v>
      </c>
      <c r="N347" s="3" t="str">
        <f>IFERROR(__xludf.DUMMYFUNCTION("MID(REGEXEXTRACT(H347,"" [^ ]* [^ ]*""),2,300)"),"faded orange")</f>
        <v>faded orange</v>
      </c>
      <c r="O347" s="3">
        <f>IFERROR(__xludf.DUMMYFUNCTION("INDEX(SPLIT(I347,"" ""),1)"),4.0)</f>
        <v>4</v>
      </c>
      <c r="P347" s="3" t="str">
        <f>IFERROR(__xludf.DUMMYFUNCTION("MID(REGEXEXTRACT(I347,"" [^ ]* [^ ]*""),2,300)"),"plaid coral")</f>
        <v>plaid coral</v>
      </c>
      <c r="Q347" s="3">
        <f>IFERROR(__xludf.DUMMYFUNCTION("INDEX(SPLIT(J347,"" ""),1)"),5.0)</f>
        <v>5</v>
      </c>
      <c r="R347" s="3" t="str">
        <f>IFERROR(__xludf.DUMMYFUNCTION("MID(REGEXEXTRACT(J347,"" [^ ]* [^ ]*""),2,300)"),"light chartreuse")</f>
        <v>light chartreuse</v>
      </c>
      <c r="S347" s="3">
        <f t="shared" si="2"/>
        <v>1</v>
      </c>
      <c r="T347" s="3" t="str">
        <f t="shared" si="3"/>
        <v>drab beige</v>
      </c>
      <c r="U347" s="3">
        <f t="shared" si="4"/>
        <v>5</v>
      </c>
      <c r="V347" s="3" t="str">
        <f t="shared" si="5"/>
        <v>faded orange</v>
      </c>
      <c r="W347" s="3">
        <f t="shared" si="6"/>
        <v>4</v>
      </c>
      <c r="X347" s="3" t="str">
        <f t="shared" si="7"/>
        <v>plaid coral</v>
      </c>
      <c r="Y347" s="3">
        <f t="shared" si="8"/>
        <v>5</v>
      </c>
      <c r="Z347" s="3" t="str">
        <f t="shared" si="9"/>
        <v>light chartreuse</v>
      </c>
      <c r="AA347" s="13">
        <f t="shared" si="10"/>
        <v>616092745</v>
      </c>
      <c r="AB347" s="3">
        <f t="shared" si="11"/>
        <v>616092744</v>
      </c>
      <c r="AC347" s="3">
        <f t="shared" si="12"/>
        <v>1</v>
      </c>
      <c r="AD347" s="3">
        <f t="shared" si="13"/>
        <v>48982306</v>
      </c>
      <c r="AE347" s="3">
        <f t="shared" si="14"/>
        <v>5</v>
      </c>
      <c r="AF347" s="3">
        <f t="shared" si="15"/>
        <v>7726531</v>
      </c>
      <c r="AG347" s="3">
        <f t="shared" si="16"/>
        <v>4</v>
      </c>
      <c r="AH347" s="3">
        <f t="shared" si="17"/>
        <v>28817922</v>
      </c>
      <c r="AI347" s="3">
        <f t="shared" si="18"/>
        <v>5</v>
      </c>
      <c r="AJ347" s="3">
        <f t="shared" si="19"/>
        <v>82641219</v>
      </c>
    </row>
    <row r="348">
      <c r="C348" s="6" t="s">
        <v>348</v>
      </c>
      <c r="D348" s="3">
        <f t="shared" si="1"/>
        <v>0</v>
      </c>
      <c r="E348" s="3" t="str">
        <f>IFERROR(__xludf.DUMMYFUNCTION("REGEXEXTRACT(C348,""[^ ]* [^ ]*"")"),"posh beige")</f>
        <v>posh beige</v>
      </c>
      <c r="F348" s="3" t="str">
        <f>IFERROR(__xludf.DUMMYFUNCTION("MID(REGEXEXTRACT(C348,""contain.*$""),9,300)"),"1 shiny red bag.")</f>
        <v>1 shiny red bag.</v>
      </c>
      <c r="G348" s="3" t="str">
        <f>IFERROR(__xludf.DUMMYFUNCTION("INDEX(SPLIT($F348,"",""),COLUMN()-6)"),"1 shiny red bag.")</f>
        <v>1 shiny red bag.</v>
      </c>
      <c r="H348" s="3" t="str">
        <f>IFERROR(__xludf.DUMMYFUNCTION("MID(INDEX(SPLIT($F348,"",""),COLUMN()-6),2,300)"),"#REF!")</f>
        <v>#REF!</v>
      </c>
      <c r="I348" s="3" t="str">
        <f>IFERROR(__xludf.DUMMYFUNCTION("MID(INDEX(SPLIT($F348,"",""),COLUMN()-6),2,300)"),"#REF!")</f>
        <v>#REF!</v>
      </c>
      <c r="J348" s="3" t="str">
        <f>IFERROR(__xludf.DUMMYFUNCTION("MID(INDEX(SPLIT($F348,"",""),COLUMN()-6),2,300)"),"#REF!")</f>
        <v>#REF!</v>
      </c>
      <c r="K348" s="3">
        <f>IFERROR(__xludf.DUMMYFUNCTION("INDEX(SPLIT(G348,"" ""),1)"),1.0)</f>
        <v>1</v>
      </c>
      <c r="L348" s="3" t="str">
        <f>IFERROR(__xludf.DUMMYFUNCTION("REGEXEXTRACT(G348,"" [^ ]* [^ ]* "")")," shiny red ")</f>
        <v> shiny red </v>
      </c>
      <c r="M348" s="3" t="str">
        <f>IFERROR(__xludf.DUMMYFUNCTION("INDEX(SPLIT(H348,"" ""),1)"),"#REF!")</f>
        <v>#REF!</v>
      </c>
      <c r="N348" s="3" t="str">
        <f>IFERROR(__xludf.DUMMYFUNCTION("MID(REGEXEXTRACT(H348,"" [^ ]* [^ ]*""),2,300)"),"#REF!")</f>
        <v>#REF!</v>
      </c>
      <c r="O348" s="3" t="str">
        <f>IFERROR(__xludf.DUMMYFUNCTION("INDEX(SPLIT(I348,"" ""),1)"),"#REF!")</f>
        <v>#REF!</v>
      </c>
      <c r="P348" s="3" t="str">
        <f>IFERROR(__xludf.DUMMYFUNCTION("MID(REGEXEXTRACT(I348,"" [^ ]* [^ ]*""),2,300)"),"#REF!")</f>
        <v>#REF!</v>
      </c>
      <c r="Q348" s="3" t="str">
        <f>IFERROR(__xludf.DUMMYFUNCTION("INDEX(SPLIT(J348,"" ""),1)"),"#REF!")</f>
        <v>#REF!</v>
      </c>
      <c r="R348" s="3" t="str">
        <f>IFERROR(__xludf.DUMMYFUNCTION("MID(REGEXEXTRACT(J348,"" [^ ]* [^ ]*""),2,300)"),"#REF!")</f>
        <v>#REF!</v>
      </c>
      <c r="S348" s="3">
        <f t="shared" si="2"/>
        <v>1</v>
      </c>
      <c r="T348" s="3" t="str">
        <f t="shared" si="3"/>
        <v>shiny red</v>
      </c>
      <c r="U348" s="3" t="str">
        <f t="shared" si="4"/>
        <v/>
      </c>
      <c r="V348" s="3" t="str">
        <f t="shared" si="5"/>
        <v/>
      </c>
      <c r="W348" s="3" t="str">
        <f t="shared" si="6"/>
        <v/>
      </c>
      <c r="X348" s="3" t="str">
        <f t="shared" si="7"/>
        <v/>
      </c>
      <c r="Y348" s="3" t="str">
        <f t="shared" si="8"/>
        <v/>
      </c>
      <c r="Z348" s="3" t="str">
        <f t="shared" si="9"/>
        <v/>
      </c>
      <c r="AA348" s="13">
        <f t="shared" si="10"/>
        <v>461699</v>
      </c>
      <c r="AB348" s="3">
        <f t="shared" si="11"/>
        <v>461698</v>
      </c>
      <c r="AC348" s="3">
        <f t="shared" si="12"/>
        <v>1</v>
      </c>
      <c r="AD348" s="3">
        <f t="shared" si="13"/>
        <v>461698</v>
      </c>
      <c r="AE348" s="3" t="str">
        <f t="shared" si="14"/>
        <v/>
      </c>
      <c r="AF348" s="3">
        <f t="shared" si="15"/>
        <v>0</v>
      </c>
      <c r="AG348" s="3" t="str">
        <f t="shared" si="16"/>
        <v/>
      </c>
      <c r="AH348" s="3">
        <f t="shared" si="17"/>
        <v>0</v>
      </c>
      <c r="AI348" s="3" t="str">
        <f t="shared" si="18"/>
        <v/>
      </c>
      <c r="AJ348" s="3">
        <f t="shared" si="19"/>
        <v>0</v>
      </c>
    </row>
    <row r="349">
      <c r="C349" s="6" t="s">
        <v>349</v>
      </c>
      <c r="D349" s="3">
        <f t="shared" si="1"/>
        <v>2</v>
      </c>
      <c r="E349" s="3" t="str">
        <f>IFERROR(__xludf.DUMMYFUNCTION("REGEXEXTRACT(C349,""[^ ]* [^ ]*"")"),"dotted orange")</f>
        <v>dotted orange</v>
      </c>
      <c r="F349" s="3" t="str">
        <f>IFERROR(__xludf.DUMMYFUNCTION("MID(REGEXEXTRACT(C349,""contain.*$""),9,300)"),"2 dotted brown bags, 3 mirrored silver bags, 1 dull tomato bag.")</f>
        <v>2 dotted brown bags, 3 mirrored silver bags, 1 dull tomato bag.</v>
      </c>
      <c r="G349" s="3" t="str">
        <f>IFERROR(__xludf.DUMMYFUNCTION("INDEX(SPLIT($F349,"",""),COLUMN()-6)"),"2 dotted brown bags")</f>
        <v>2 dotted brown bags</v>
      </c>
      <c r="H349" s="3" t="str">
        <f>IFERROR(__xludf.DUMMYFUNCTION("MID(INDEX(SPLIT($F349,"",""),COLUMN()-6),2,300)"),"3 mirrored silver bags")</f>
        <v>3 mirrored silver bags</v>
      </c>
      <c r="I349" s="3" t="str">
        <f>IFERROR(__xludf.DUMMYFUNCTION("MID(INDEX(SPLIT($F349,"",""),COLUMN()-6),2,300)"),"1 dull tomato bag.")</f>
        <v>1 dull tomato bag.</v>
      </c>
      <c r="J349" s="3" t="str">
        <f>IFERROR(__xludf.DUMMYFUNCTION("MID(INDEX(SPLIT($F349,"",""),COLUMN()-6),2,300)"),"#REF!")</f>
        <v>#REF!</v>
      </c>
      <c r="K349" s="3">
        <f>IFERROR(__xludf.DUMMYFUNCTION("INDEX(SPLIT(G349,"" ""),1)"),2.0)</f>
        <v>2</v>
      </c>
      <c r="L349" s="3" t="str">
        <f>IFERROR(__xludf.DUMMYFUNCTION("REGEXEXTRACT(G349,"" [^ ]* [^ ]* "")")," dotted brown ")</f>
        <v> dotted brown </v>
      </c>
      <c r="M349" s="3">
        <f>IFERROR(__xludf.DUMMYFUNCTION("INDEX(SPLIT(H349,"" ""),1)"),3.0)</f>
        <v>3</v>
      </c>
      <c r="N349" s="3" t="str">
        <f>IFERROR(__xludf.DUMMYFUNCTION("MID(REGEXEXTRACT(H349,"" [^ ]* [^ ]*""),2,300)"),"mirrored silver")</f>
        <v>mirrored silver</v>
      </c>
      <c r="O349" s="3">
        <f>IFERROR(__xludf.DUMMYFUNCTION("INDEX(SPLIT(I349,"" ""),1)"),1.0)</f>
        <v>1</v>
      </c>
      <c r="P349" s="3" t="str">
        <f>IFERROR(__xludf.DUMMYFUNCTION("MID(REGEXEXTRACT(I349,"" [^ ]* [^ ]*""),2,300)"),"dull tomato")</f>
        <v>dull tomato</v>
      </c>
      <c r="Q349" s="3" t="str">
        <f>IFERROR(__xludf.DUMMYFUNCTION("INDEX(SPLIT(J349,"" ""),1)"),"#REF!")</f>
        <v>#REF!</v>
      </c>
      <c r="R349" s="3" t="str">
        <f>IFERROR(__xludf.DUMMYFUNCTION("MID(REGEXEXTRACT(J349,"" [^ ]* [^ ]*""),2,300)"),"#REF!")</f>
        <v>#REF!</v>
      </c>
      <c r="S349" s="3">
        <f t="shared" si="2"/>
        <v>2</v>
      </c>
      <c r="T349" s="3" t="str">
        <f t="shared" si="3"/>
        <v>dotted brown</v>
      </c>
      <c r="U349" s="3">
        <f t="shared" si="4"/>
        <v>3</v>
      </c>
      <c r="V349" s="3" t="str">
        <f t="shared" si="5"/>
        <v>mirrored silver</v>
      </c>
      <c r="W349" s="3">
        <f t="shared" si="6"/>
        <v>1</v>
      </c>
      <c r="X349" s="3" t="str">
        <f t="shared" si="7"/>
        <v>dull tomato</v>
      </c>
      <c r="Y349" s="3" t="str">
        <f t="shared" si="8"/>
        <v/>
      </c>
      <c r="Z349" s="3" t="str">
        <f t="shared" si="9"/>
        <v/>
      </c>
      <c r="AA349" s="13">
        <f t="shared" si="10"/>
        <v>1780</v>
      </c>
      <c r="AB349" s="3">
        <f t="shared" si="11"/>
        <v>1779</v>
      </c>
      <c r="AC349" s="3">
        <f t="shared" si="12"/>
        <v>2</v>
      </c>
      <c r="AD349" s="3">
        <f t="shared" si="13"/>
        <v>305</v>
      </c>
      <c r="AE349" s="3">
        <f t="shared" si="14"/>
        <v>3</v>
      </c>
      <c r="AF349" s="3">
        <f t="shared" si="15"/>
        <v>386</v>
      </c>
      <c r="AG349" s="3">
        <f t="shared" si="16"/>
        <v>1</v>
      </c>
      <c r="AH349" s="3">
        <f t="shared" si="17"/>
        <v>11</v>
      </c>
      <c r="AI349" s="3" t="str">
        <f t="shared" si="18"/>
        <v/>
      </c>
      <c r="AJ349" s="3">
        <f t="shared" si="19"/>
        <v>0</v>
      </c>
    </row>
    <row r="350">
      <c r="C350" s="6" t="s">
        <v>350</v>
      </c>
      <c r="D350" s="3">
        <f t="shared" si="1"/>
        <v>1</v>
      </c>
      <c r="E350" s="3" t="str">
        <f>IFERROR(__xludf.DUMMYFUNCTION("REGEXEXTRACT(C350,""[^ ]* [^ ]*"")"),"wavy purple")</f>
        <v>wavy purple</v>
      </c>
      <c r="F350" s="3" t="str">
        <f>IFERROR(__xludf.DUMMYFUNCTION("MID(REGEXEXTRACT(C350,""contain.*$""),9,300)"),"1 mirrored green bag, 1 clear maroon bag.")</f>
        <v>1 mirrored green bag, 1 clear maroon bag.</v>
      </c>
      <c r="G350" s="3" t="str">
        <f>IFERROR(__xludf.DUMMYFUNCTION("INDEX(SPLIT($F350,"",""),COLUMN()-6)"),"1 mirrored green bag")</f>
        <v>1 mirrored green bag</v>
      </c>
      <c r="H350" s="3" t="str">
        <f>IFERROR(__xludf.DUMMYFUNCTION("MID(INDEX(SPLIT($F350,"",""),COLUMN()-6),2,300)"),"1 clear maroon bag.")</f>
        <v>1 clear maroon bag.</v>
      </c>
      <c r="I350" s="3" t="str">
        <f>IFERROR(__xludf.DUMMYFUNCTION("MID(INDEX(SPLIT($F350,"",""),COLUMN()-6),2,300)"),"#REF!")</f>
        <v>#REF!</v>
      </c>
      <c r="J350" s="3" t="str">
        <f>IFERROR(__xludf.DUMMYFUNCTION("MID(INDEX(SPLIT($F350,"",""),COLUMN()-6),2,300)"),"#REF!")</f>
        <v>#REF!</v>
      </c>
      <c r="K350" s="3">
        <f>IFERROR(__xludf.DUMMYFUNCTION("INDEX(SPLIT(G350,"" ""),1)"),1.0)</f>
        <v>1</v>
      </c>
      <c r="L350" s="3" t="str">
        <f>IFERROR(__xludf.DUMMYFUNCTION("REGEXEXTRACT(G350,"" [^ ]* [^ ]* "")")," mirrored green ")</f>
        <v> mirrored green </v>
      </c>
      <c r="M350" s="3">
        <f>IFERROR(__xludf.DUMMYFUNCTION("INDEX(SPLIT(H350,"" ""),1)"),1.0)</f>
        <v>1</v>
      </c>
      <c r="N350" s="3" t="str">
        <f>IFERROR(__xludf.DUMMYFUNCTION("MID(REGEXEXTRACT(H350,"" [^ ]* [^ ]*""),2,300)"),"clear maroon")</f>
        <v>clear maroon</v>
      </c>
      <c r="O350" s="3" t="str">
        <f>IFERROR(__xludf.DUMMYFUNCTION("INDEX(SPLIT(I350,"" ""),1)"),"#REF!")</f>
        <v>#REF!</v>
      </c>
      <c r="P350" s="3" t="str">
        <f>IFERROR(__xludf.DUMMYFUNCTION("MID(REGEXEXTRACT(I350,"" [^ ]* [^ ]*""),2,300)"),"#REF!")</f>
        <v>#REF!</v>
      </c>
      <c r="Q350" s="3" t="str">
        <f>IFERROR(__xludf.DUMMYFUNCTION("INDEX(SPLIT(J350,"" ""),1)"),"#REF!")</f>
        <v>#REF!</v>
      </c>
      <c r="R350" s="3" t="str">
        <f>IFERROR(__xludf.DUMMYFUNCTION("MID(REGEXEXTRACT(J350,"" [^ ]* [^ ]*""),2,300)"),"#REF!")</f>
        <v>#REF!</v>
      </c>
      <c r="S350" s="3">
        <f t="shared" si="2"/>
        <v>1</v>
      </c>
      <c r="T350" s="3" t="str">
        <f t="shared" si="3"/>
        <v>mirrored green</v>
      </c>
      <c r="U350" s="3">
        <f t="shared" si="4"/>
        <v>1</v>
      </c>
      <c r="V350" s="3" t="str">
        <f t="shared" si="5"/>
        <v>clear maroon</v>
      </c>
      <c r="W350" s="3" t="str">
        <f t="shared" si="6"/>
        <v/>
      </c>
      <c r="X350" s="3" t="str">
        <f t="shared" si="7"/>
        <v/>
      </c>
      <c r="Y350" s="3" t="str">
        <f t="shared" si="8"/>
        <v/>
      </c>
      <c r="Z350" s="3" t="str">
        <f t="shared" si="9"/>
        <v/>
      </c>
      <c r="AA350" s="13">
        <f t="shared" si="10"/>
        <v>26808613</v>
      </c>
      <c r="AB350" s="3">
        <f t="shared" si="11"/>
        <v>26808612</v>
      </c>
      <c r="AC350" s="3">
        <f t="shared" si="12"/>
        <v>1</v>
      </c>
      <c r="AD350" s="3">
        <f t="shared" si="13"/>
        <v>399804</v>
      </c>
      <c r="AE350" s="3">
        <f t="shared" si="14"/>
        <v>1</v>
      </c>
      <c r="AF350" s="3">
        <f t="shared" si="15"/>
        <v>26408808</v>
      </c>
      <c r="AG350" s="3" t="str">
        <f t="shared" si="16"/>
        <v/>
      </c>
      <c r="AH350" s="3">
        <f t="shared" si="17"/>
        <v>0</v>
      </c>
      <c r="AI350" s="3" t="str">
        <f t="shared" si="18"/>
        <v/>
      </c>
      <c r="AJ350" s="3">
        <f t="shared" si="19"/>
        <v>0</v>
      </c>
    </row>
    <row r="351">
      <c r="C351" s="6" t="s">
        <v>351</v>
      </c>
      <c r="D351" s="3">
        <f t="shared" si="1"/>
        <v>1</v>
      </c>
      <c r="E351" s="3" t="str">
        <f>IFERROR(__xludf.DUMMYFUNCTION("REGEXEXTRACT(C351,""[^ ]* [^ ]*"")"),"dark coral")</f>
        <v>dark coral</v>
      </c>
      <c r="F351" s="3" t="str">
        <f>IFERROR(__xludf.DUMMYFUNCTION("MID(REGEXEXTRACT(C351,""contain.*$""),9,300)"),"5 bright chartreuse bags, 4 clear lime bags.")</f>
        <v>5 bright chartreuse bags, 4 clear lime bags.</v>
      </c>
      <c r="G351" s="3" t="str">
        <f>IFERROR(__xludf.DUMMYFUNCTION("INDEX(SPLIT($F351,"",""),COLUMN()-6)"),"5 bright chartreuse bags")</f>
        <v>5 bright chartreuse bags</v>
      </c>
      <c r="H351" s="3" t="str">
        <f>IFERROR(__xludf.DUMMYFUNCTION("MID(INDEX(SPLIT($F351,"",""),COLUMN()-6),2,300)"),"4 clear lime bags.")</f>
        <v>4 clear lime bags.</v>
      </c>
      <c r="I351" s="3" t="str">
        <f>IFERROR(__xludf.DUMMYFUNCTION("MID(INDEX(SPLIT($F351,"",""),COLUMN()-6),2,300)"),"#REF!")</f>
        <v>#REF!</v>
      </c>
      <c r="J351" s="3" t="str">
        <f>IFERROR(__xludf.DUMMYFUNCTION("MID(INDEX(SPLIT($F351,"",""),COLUMN()-6),2,300)"),"#REF!")</f>
        <v>#REF!</v>
      </c>
      <c r="K351" s="3">
        <f>IFERROR(__xludf.DUMMYFUNCTION("INDEX(SPLIT(G351,"" ""),1)"),5.0)</f>
        <v>5</v>
      </c>
      <c r="L351" s="3" t="str">
        <f>IFERROR(__xludf.DUMMYFUNCTION("REGEXEXTRACT(G351,"" [^ ]* [^ ]* "")")," bright chartreuse ")</f>
        <v> bright chartreuse </v>
      </c>
      <c r="M351" s="3">
        <f>IFERROR(__xludf.DUMMYFUNCTION("INDEX(SPLIT(H351,"" ""),1)"),4.0)</f>
        <v>4</v>
      </c>
      <c r="N351" s="3" t="str">
        <f>IFERROR(__xludf.DUMMYFUNCTION("MID(REGEXEXTRACT(H351,"" [^ ]* [^ ]*""),2,300)"),"clear lime")</f>
        <v>clear lime</v>
      </c>
      <c r="O351" s="3" t="str">
        <f>IFERROR(__xludf.DUMMYFUNCTION("INDEX(SPLIT(I351,"" ""),1)"),"#REF!")</f>
        <v>#REF!</v>
      </c>
      <c r="P351" s="3" t="str">
        <f>IFERROR(__xludf.DUMMYFUNCTION("MID(REGEXEXTRACT(I351,"" [^ ]* [^ ]*""),2,300)"),"#REF!")</f>
        <v>#REF!</v>
      </c>
      <c r="Q351" s="3" t="str">
        <f>IFERROR(__xludf.DUMMYFUNCTION("INDEX(SPLIT(J351,"" ""),1)"),"#REF!")</f>
        <v>#REF!</v>
      </c>
      <c r="R351" s="3" t="str">
        <f>IFERROR(__xludf.DUMMYFUNCTION("MID(REGEXEXTRACT(J351,"" [^ ]* [^ ]*""),2,300)"),"#REF!")</f>
        <v>#REF!</v>
      </c>
      <c r="S351" s="3">
        <f t="shared" si="2"/>
        <v>5</v>
      </c>
      <c r="T351" s="3" t="str">
        <f t="shared" si="3"/>
        <v>bright chartreuse</v>
      </c>
      <c r="U351" s="3">
        <f t="shared" si="4"/>
        <v>4</v>
      </c>
      <c r="V351" s="3" t="str">
        <f t="shared" si="5"/>
        <v>clear lime</v>
      </c>
      <c r="W351" s="3" t="str">
        <f t="shared" si="6"/>
        <v/>
      </c>
      <c r="X351" s="3" t="str">
        <f t="shared" si="7"/>
        <v/>
      </c>
      <c r="Y351" s="3" t="str">
        <f t="shared" si="8"/>
        <v/>
      </c>
      <c r="Z351" s="3" t="str">
        <f t="shared" si="9"/>
        <v/>
      </c>
      <c r="AA351" s="13">
        <f t="shared" si="10"/>
        <v>3753521</v>
      </c>
      <c r="AB351" s="3">
        <f t="shared" si="11"/>
        <v>3753520</v>
      </c>
      <c r="AC351" s="3">
        <f t="shared" si="12"/>
        <v>5</v>
      </c>
      <c r="AD351" s="3">
        <f t="shared" si="13"/>
        <v>132604</v>
      </c>
      <c r="AE351" s="3">
        <f t="shared" si="14"/>
        <v>4</v>
      </c>
      <c r="AF351" s="3">
        <f t="shared" si="15"/>
        <v>772625</v>
      </c>
      <c r="AG351" s="3" t="str">
        <f t="shared" si="16"/>
        <v/>
      </c>
      <c r="AH351" s="3">
        <f t="shared" si="17"/>
        <v>0</v>
      </c>
      <c r="AI351" s="3" t="str">
        <f t="shared" si="18"/>
        <v/>
      </c>
      <c r="AJ351" s="3">
        <f t="shared" si="19"/>
        <v>0</v>
      </c>
    </row>
    <row r="352">
      <c r="C352" s="6" t="s">
        <v>352</v>
      </c>
      <c r="D352" s="3">
        <f t="shared" si="1"/>
        <v>1</v>
      </c>
      <c r="E352" s="3" t="str">
        <f>IFERROR(__xludf.DUMMYFUNCTION("REGEXEXTRACT(C352,""[^ ]* [^ ]*"")"),"dim lime")</f>
        <v>dim lime</v>
      </c>
      <c r="F352" s="3" t="str">
        <f>IFERROR(__xludf.DUMMYFUNCTION("MID(REGEXEXTRACT(C352,""contain.*$""),9,300)"),"3 bright olive bags, 3 dull gold bags.")</f>
        <v>3 bright olive bags, 3 dull gold bags.</v>
      </c>
      <c r="G352" s="3" t="str">
        <f>IFERROR(__xludf.DUMMYFUNCTION("INDEX(SPLIT($F352,"",""),COLUMN()-6)"),"3 bright olive bags")</f>
        <v>3 bright olive bags</v>
      </c>
      <c r="H352" s="3" t="str">
        <f>IFERROR(__xludf.DUMMYFUNCTION("MID(INDEX(SPLIT($F352,"",""),COLUMN()-6),2,300)"),"3 dull gold bags.")</f>
        <v>3 dull gold bags.</v>
      </c>
      <c r="I352" s="3" t="str">
        <f>IFERROR(__xludf.DUMMYFUNCTION("MID(INDEX(SPLIT($F352,"",""),COLUMN()-6),2,300)"),"#REF!")</f>
        <v>#REF!</v>
      </c>
      <c r="J352" s="3" t="str">
        <f>IFERROR(__xludf.DUMMYFUNCTION("MID(INDEX(SPLIT($F352,"",""),COLUMN()-6),2,300)"),"#REF!")</f>
        <v>#REF!</v>
      </c>
      <c r="K352" s="3">
        <f>IFERROR(__xludf.DUMMYFUNCTION("INDEX(SPLIT(G352,"" ""),1)"),3.0)</f>
        <v>3</v>
      </c>
      <c r="L352" s="3" t="str">
        <f>IFERROR(__xludf.DUMMYFUNCTION("REGEXEXTRACT(G352,"" [^ ]* [^ ]* "")")," bright olive ")</f>
        <v> bright olive </v>
      </c>
      <c r="M352" s="3">
        <f>IFERROR(__xludf.DUMMYFUNCTION("INDEX(SPLIT(H352,"" ""),1)"),3.0)</f>
        <v>3</v>
      </c>
      <c r="N352" s="3" t="str">
        <f>IFERROR(__xludf.DUMMYFUNCTION("MID(REGEXEXTRACT(H352,"" [^ ]* [^ ]*""),2,300)"),"dull gold")</f>
        <v>dull gold</v>
      </c>
      <c r="O352" s="3" t="str">
        <f>IFERROR(__xludf.DUMMYFUNCTION("INDEX(SPLIT(I352,"" ""),1)"),"#REF!")</f>
        <v>#REF!</v>
      </c>
      <c r="P352" s="3" t="str">
        <f>IFERROR(__xludf.DUMMYFUNCTION("MID(REGEXEXTRACT(I352,"" [^ ]* [^ ]*""),2,300)"),"#REF!")</f>
        <v>#REF!</v>
      </c>
      <c r="Q352" s="3" t="str">
        <f>IFERROR(__xludf.DUMMYFUNCTION("INDEX(SPLIT(J352,"" ""),1)"),"#REF!")</f>
        <v>#REF!</v>
      </c>
      <c r="R352" s="3" t="str">
        <f>IFERROR(__xludf.DUMMYFUNCTION("MID(REGEXEXTRACT(J352,"" [^ ]* [^ ]*""),2,300)"),"#REF!")</f>
        <v>#REF!</v>
      </c>
      <c r="S352" s="3">
        <f t="shared" si="2"/>
        <v>3</v>
      </c>
      <c r="T352" s="3" t="str">
        <f t="shared" si="3"/>
        <v>bright olive</v>
      </c>
      <c r="U352" s="3">
        <f t="shared" si="4"/>
        <v>3</v>
      </c>
      <c r="V352" s="3" t="str">
        <f t="shared" si="5"/>
        <v>dull gold</v>
      </c>
      <c r="W352" s="3" t="str">
        <f t="shared" si="6"/>
        <v/>
      </c>
      <c r="X352" s="3" t="str">
        <f t="shared" si="7"/>
        <v/>
      </c>
      <c r="Y352" s="3" t="str">
        <f t="shared" si="8"/>
        <v/>
      </c>
      <c r="Z352" s="3" t="str">
        <f t="shared" si="9"/>
        <v/>
      </c>
      <c r="AA352" s="13">
        <f t="shared" si="10"/>
        <v>8562217</v>
      </c>
      <c r="AB352" s="3">
        <f t="shared" si="11"/>
        <v>8562216</v>
      </c>
      <c r="AC352" s="3">
        <f t="shared" si="12"/>
        <v>3</v>
      </c>
      <c r="AD352" s="3">
        <f t="shared" si="13"/>
        <v>2852291</v>
      </c>
      <c r="AE352" s="3">
        <f t="shared" si="14"/>
        <v>3</v>
      </c>
      <c r="AF352" s="3">
        <f t="shared" si="15"/>
        <v>1781</v>
      </c>
      <c r="AG352" s="3" t="str">
        <f t="shared" si="16"/>
        <v/>
      </c>
      <c r="AH352" s="3">
        <f t="shared" si="17"/>
        <v>0</v>
      </c>
      <c r="AI352" s="3" t="str">
        <f t="shared" si="18"/>
        <v/>
      </c>
      <c r="AJ352" s="3">
        <f t="shared" si="19"/>
        <v>0</v>
      </c>
    </row>
    <row r="353">
      <c r="C353" s="6" t="s">
        <v>353</v>
      </c>
      <c r="D353" s="3">
        <f t="shared" si="1"/>
        <v>2</v>
      </c>
      <c r="E353" s="3" t="str">
        <f>IFERROR(__xludf.DUMMYFUNCTION("REGEXEXTRACT(C353,""[^ ]* [^ ]*"")"),"pale plum")</f>
        <v>pale plum</v>
      </c>
      <c r="F353" s="3" t="str">
        <f>IFERROR(__xludf.DUMMYFUNCTION("MID(REGEXEXTRACT(C353,""contain.*$""),9,300)"),"1 light orange bag, 3 drab orange bags, 5 mirrored purple bags.")</f>
        <v>1 light orange bag, 3 drab orange bags, 5 mirrored purple bags.</v>
      </c>
      <c r="G353" s="3" t="str">
        <f>IFERROR(__xludf.DUMMYFUNCTION("INDEX(SPLIT($F353,"",""),COLUMN()-6)"),"1 light orange bag")</f>
        <v>1 light orange bag</v>
      </c>
      <c r="H353" s="3" t="str">
        <f>IFERROR(__xludf.DUMMYFUNCTION("MID(INDEX(SPLIT($F353,"",""),COLUMN()-6),2,300)"),"3 drab orange bags")</f>
        <v>3 drab orange bags</v>
      </c>
      <c r="I353" s="3" t="str">
        <f>IFERROR(__xludf.DUMMYFUNCTION("MID(INDEX(SPLIT($F353,"",""),COLUMN()-6),2,300)"),"5 mirrored purple bags.")</f>
        <v>5 mirrored purple bags.</v>
      </c>
      <c r="J353" s="3" t="str">
        <f>IFERROR(__xludf.DUMMYFUNCTION("MID(INDEX(SPLIT($F353,"",""),COLUMN()-6),2,300)"),"#REF!")</f>
        <v>#REF!</v>
      </c>
      <c r="K353" s="3">
        <f>IFERROR(__xludf.DUMMYFUNCTION("INDEX(SPLIT(G353,"" ""),1)"),1.0)</f>
        <v>1</v>
      </c>
      <c r="L353" s="3" t="str">
        <f>IFERROR(__xludf.DUMMYFUNCTION("REGEXEXTRACT(G353,"" [^ ]* [^ ]* "")")," light orange ")</f>
        <v> light orange </v>
      </c>
      <c r="M353" s="3">
        <f>IFERROR(__xludf.DUMMYFUNCTION("INDEX(SPLIT(H353,"" ""),1)"),3.0)</f>
        <v>3</v>
      </c>
      <c r="N353" s="3" t="str">
        <f>IFERROR(__xludf.DUMMYFUNCTION("MID(REGEXEXTRACT(H353,"" [^ ]* [^ ]*""),2,300)"),"drab orange")</f>
        <v>drab orange</v>
      </c>
      <c r="O353" s="3">
        <f>IFERROR(__xludf.DUMMYFUNCTION("INDEX(SPLIT(I353,"" ""),1)"),5.0)</f>
        <v>5</v>
      </c>
      <c r="P353" s="3" t="str">
        <f>IFERROR(__xludf.DUMMYFUNCTION("MID(REGEXEXTRACT(I353,"" [^ ]* [^ ]*""),2,300)"),"mirrored purple")</f>
        <v>mirrored purple</v>
      </c>
      <c r="Q353" s="3" t="str">
        <f>IFERROR(__xludf.DUMMYFUNCTION("INDEX(SPLIT(J353,"" ""),1)"),"#REF!")</f>
        <v>#REF!</v>
      </c>
      <c r="R353" s="3" t="str">
        <f>IFERROR(__xludf.DUMMYFUNCTION("MID(REGEXEXTRACT(J353,"" [^ ]* [^ ]*""),2,300)"),"#REF!")</f>
        <v>#REF!</v>
      </c>
      <c r="S353" s="3">
        <f t="shared" si="2"/>
        <v>1</v>
      </c>
      <c r="T353" s="3" t="str">
        <f t="shared" si="3"/>
        <v>light orange</v>
      </c>
      <c r="U353" s="3">
        <f t="shared" si="4"/>
        <v>3</v>
      </c>
      <c r="V353" s="3" t="str">
        <f t="shared" si="5"/>
        <v>drab orange</v>
      </c>
      <c r="W353" s="3">
        <f t="shared" si="6"/>
        <v>5</v>
      </c>
      <c r="X353" s="3" t="str">
        <f t="shared" si="7"/>
        <v>mirrored purple</v>
      </c>
      <c r="Y353" s="3" t="str">
        <f t="shared" si="8"/>
        <v/>
      </c>
      <c r="Z353" s="3" t="str">
        <f t="shared" si="9"/>
        <v/>
      </c>
      <c r="AA353" s="13">
        <f t="shared" si="10"/>
        <v>344908190</v>
      </c>
      <c r="AB353" s="3">
        <f t="shared" si="11"/>
        <v>344908189</v>
      </c>
      <c r="AC353" s="3">
        <f t="shared" si="12"/>
        <v>1</v>
      </c>
      <c r="AD353" s="3">
        <f t="shared" si="13"/>
        <v>4507599</v>
      </c>
      <c r="AE353" s="3">
        <f t="shared" si="14"/>
        <v>3</v>
      </c>
      <c r="AF353" s="3">
        <f t="shared" si="15"/>
        <v>35061170</v>
      </c>
      <c r="AG353" s="3">
        <f t="shared" si="16"/>
        <v>5</v>
      </c>
      <c r="AH353" s="3">
        <f t="shared" si="17"/>
        <v>47043416</v>
      </c>
      <c r="AI353" s="3" t="str">
        <f t="shared" si="18"/>
        <v/>
      </c>
      <c r="AJ353" s="3">
        <f t="shared" si="19"/>
        <v>0</v>
      </c>
    </row>
    <row r="354">
      <c r="C354" s="6" t="s">
        <v>354</v>
      </c>
      <c r="D354" s="3">
        <f t="shared" si="1"/>
        <v>3</v>
      </c>
      <c r="E354" s="3" t="str">
        <f>IFERROR(__xludf.DUMMYFUNCTION("REGEXEXTRACT(C354,""[^ ]* [^ ]*"")"),"dim beige")</f>
        <v>dim beige</v>
      </c>
      <c r="F354" s="3" t="str">
        <f>IFERROR(__xludf.DUMMYFUNCTION("MID(REGEXEXTRACT(C354,""contain.*$""),9,300)"),"5 pale fuchsia bags, 4 mirrored fuchsia bags, 4 plaid teal bags, 1 shiny orange bag.")</f>
        <v>5 pale fuchsia bags, 4 mirrored fuchsia bags, 4 plaid teal bags, 1 shiny orange bag.</v>
      </c>
      <c r="G354" s="3" t="str">
        <f>IFERROR(__xludf.DUMMYFUNCTION("INDEX(SPLIT($F354,"",""),COLUMN()-6)"),"5 pale fuchsia bags")</f>
        <v>5 pale fuchsia bags</v>
      </c>
      <c r="H354" s="3" t="str">
        <f>IFERROR(__xludf.DUMMYFUNCTION("MID(INDEX(SPLIT($F354,"",""),COLUMN()-6),2,300)"),"4 mirrored fuchsia bags")</f>
        <v>4 mirrored fuchsia bags</v>
      </c>
      <c r="I354" s="3" t="str">
        <f>IFERROR(__xludf.DUMMYFUNCTION("MID(INDEX(SPLIT($F354,"",""),COLUMN()-6),2,300)"),"4 plaid teal bags")</f>
        <v>4 plaid teal bags</v>
      </c>
      <c r="J354" s="3" t="str">
        <f>IFERROR(__xludf.DUMMYFUNCTION("MID(INDEX(SPLIT($F354,"",""),COLUMN()-6),2,300)"),"1 shiny orange bag.")</f>
        <v>1 shiny orange bag.</v>
      </c>
      <c r="K354" s="3">
        <f>IFERROR(__xludf.DUMMYFUNCTION("INDEX(SPLIT(G354,"" ""),1)"),5.0)</f>
        <v>5</v>
      </c>
      <c r="L354" s="3" t="str">
        <f>IFERROR(__xludf.DUMMYFUNCTION("REGEXEXTRACT(G354,"" [^ ]* [^ ]* "")")," pale fuchsia ")</f>
        <v> pale fuchsia </v>
      </c>
      <c r="M354" s="3">
        <f>IFERROR(__xludf.DUMMYFUNCTION("INDEX(SPLIT(H354,"" ""),1)"),4.0)</f>
        <v>4</v>
      </c>
      <c r="N354" s="3" t="str">
        <f>IFERROR(__xludf.DUMMYFUNCTION("MID(REGEXEXTRACT(H354,"" [^ ]* [^ ]*""),2,300)"),"mirrored fuchsia")</f>
        <v>mirrored fuchsia</v>
      </c>
      <c r="O354" s="3">
        <f>IFERROR(__xludf.DUMMYFUNCTION("INDEX(SPLIT(I354,"" ""),1)"),4.0)</f>
        <v>4</v>
      </c>
      <c r="P354" s="3" t="str">
        <f>IFERROR(__xludf.DUMMYFUNCTION("MID(REGEXEXTRACT(I354,"" [^ ]* [^ ]*""),2,300)"),"plaid teal")</f>
        <v>plaid teal</v>
      </c>
      <c r="Q354" s="3">
        <f>IFERROR(__xludf.DUMMYFUNCTION("INDEX(SPLIT(J354,"" ""),1)"),1.0)</f>
        <v>1</v>
      </c>
      <c r="R354" s="3" t="str">
        <f>IFERROR(__xludf.DUMMYFUNCTION("MID(REGEXEXTRACT(J354,"" [^ ]* [^ ]*""),2,300)"),"shiny orange")</f>
        <v>shiny orange</v>
      </c>
      <c r="S354" s="3">
        <f t="shared" si="2"/>
        <v>5</v>
      </c>
      <c r="T354" s="3" t="str">
        <f t="shared" si="3"/>
        <v>pale fuchsia</v>
      </c>
      <c r="U354" s="3">
        <f t="shared" si="4"/>
        <v>4</v>
      </c>
      <c r="V354" s="3" t="str">
        <f t="shared" si="5"/>
        <v>mirrored fuchsia</v>
      </c>
      <c r="W354" s="3">
        <f t="shared" si="6"/>
        <v>4</v>
      </c>
      <c r="X354" s="3" t="str">
        <f t="shared" si="7"/>
        <v>plaid teal</v>
      </c>
      <c r="Y354" s="3">
        <f t="shared" si="8"/>
        <v>1</v>
      </c>
      <c r="Z354" s="3" t="str">
        <f t="shared" si="9"/>
        <v>shiny orange</v>
      </c>
      <c r="AA354" s="13">
        <f t="shared" si="10"/>
        <v>7550846724</v>
      </c>
      <c r="AB354" s="3">
        <f t="shared" si="11"/>
        <v>7550846723</v>
      </c>
      <c r="AC354" s="3">
        <f t="shared" si="12"/>
        <v>5</v>
      </c>
      <c r="AD354" s="3">
        <f t="shared" si="13"/>
        <v>577866</v>
      </c>
      <c r="AE354" s="3">
        <f t="shared" si="14"/>
        <v>4</v>
      </c>
      <c r="AF354" s="3">
        <f t="shared" si="15"/>
        <v>8337220</v>
      </c>
      <c r="AG354" s="3">
        <f t="shared" si="16"/>
        <v>4</v>
      </c>
      <c r="AH354" s="3">
        <f t="shared" si="17"/>
        <v>118598</v>
      </c>
      <c r="AI354" s="3">
        <f t="shared" si="18"/>
        <v>1</v>
      </c>
      <c r="AJ354" s="3">
        <f t="shared" si="19"/>
        <v>7514134121</v>
      </c>
    </row>
    <row r="355">
      <c r="C355" s="6" t="s">
        <v>355</v>
      </c>
      <c r="D355" s="3">
        <f t="shared" si="1"/>
        <v>2</v>
      </c>
      <c r="E355" s="3" t="str">
        <f>IFERROR(__xludf.DUMMYFUNCTION("REGEXEXTRACT(C355,""[^ ]* [^ ]*"")"),"drab tan")</f>
        <v>drab tan</v>
      </c>
      <c r="F355" s="3" t="str">
        <f>IFERROR(__xludf.DUMMYFUNCTION("MID(REGEXEXTRACT(C355,""contain.*$""),9,300)"),"5 plaid silver bags, 3 muted crimson bags, 1 clear salmon bag.")</f>
        <v>5 plaid silver bags, 3 muted crimson bags, 1 clear salmon bag.</v>
      </c>
      <c r="G355" s="3" t="str">
        <f>IFERROR(__xludf.DUMMYFUNCTION("INDEX(SPLIT($F355,"",""),COLUMN()-6)"),"5 plaid silver bags")</f>
        <v>5 plaid silver bags</v>
      </c>
      <c r="H355" s="3" t="str">
        <f>IFERROR(__xludf.DUMMYFUNCTION("MID(INDEX(SPLIT($F355,"",""),COLUMN()-6),2,300)"),"3 muted crimson bags")</f>
        <v>3 muted crimson bags</v>
      </c>
      <c r="I355" s="3" t="str">
        <f>IFERROR(__xludf.DUMMYFUNCTION("MID(INDEX(SPLIT($F355,"",""),COLUMN()-6),2,300)"),"1 clear salmon bag.")</f>
        <v>1 clear salmon bag.</v>
      </c>
      <c r="J355" s="3" t="str">
        <f>IFERROR(__xludf.DUMMYFUNCTION("MID(INDEX(SPLIT($F355,"",""),COLUMN()-6),2,300)"),"#REF!")</f>
        <v>#REF!</v>
      </c>
      <c r="K355" s="3">
        <f>IFERROR(__xludf.DUMMYFUNCTION("INDEX(SPLIT(G355,"" ""),1)"),5.0)</f>
        <v>5</v>
      </c>
      <c r="L355" s="3" t="str">
        <f>IFERROR(__xludf.DUMMYFUNCTION("REGEXEXTRACT(G355,"" [^ ]* [^ ]* "")")," plaid silver ")</f>
        <v> plaid silver </v>
      </c>
      <c r="M355" s="3">
        <f>IFERROR(__xludf.DUMMYFUNCTION("INDEX(SPLIT(H355,"" ""),1)"),3.0)</f>
        <v>3</v>
      </c>
      <c r="N355" s="3" t="str">
        <f>IFERROR(__xludf.DUMMYFUNCTION("MID(REGEXEXTRACT(H355,"" [^ ]* [^ ]*""),2,300)"),"muted crimson")</f>
        <v>muted crimson</v>
      </c>
      <c r="O355" s="3">
        <f>IFERROR(__xludf.DUMMYFUNCTION("INDEX(SPLIT(I355,"" ""),1)"),1.0)</f>
        <v>1</v>
      </c>
      <c r="P355" s="3" t="str">
        <f>IFERROR(__xludf.DUMMYFUNCTION("MID(REGEXEXTRACT(I355,"" [^ ]* [^ ]*""),2,300)"),"clear salmon")</f>
        <v>clear salmon</v>
      </c>
      <c r="Q355" s="3" t="str">
        <f>IFERROR(__xludf.DUMMYFUNCTION("INDEX(SPLIT(J355,"" ""),1)"),"#REF!")</f>
        <v>#REF!</v>
      </c>
      <c r="R355" s="3" t="str">
        <f>IFERROR(__xludf.DUMMYFUNCTION("MID(REGEXEXTRACT(J355,"" [^ ]* [^ ]*""),2,300)"),"#REF!")</f>
        <v>#REF!</v>
      </c>
      <c r="S355" s="3">
        <f t="shared" si="2"/>
        <v>5</v>
      </c>
      <c r="T355" s="3" t="str">
        <f t="shared" si="3"/>
        <v>plaid silver</v>
      </c>
      <c r="U355" s="3">
        <f t="shared" si="4"/>
        <v>3</v>
      </c>
      <c r="V355" s="3" t="str">
        <f t="shared" si="5"/>
        <v>muted crimson</v>
      </c>
      <c r="W355" s="3">
        <f t="shared" si="6"/>
        <v>1</v>
      </c>
      <c r="X355" s="3" t="str">
        <f t="shared" si="7"/>
        <v>clear salmon</v>
      </c>
      <c r="Y355" s="3" t="str">
        <f t="shared" si="8"/>
        <v/>
      </c>
      <c r="Z355" s="3" t="str">
        <f t="shared" si="9"/>
        <v/>
      </c>
      <c r="AA355" s="13">
        <f t="shared" si="10"/>
        <v>3591437</v>
      </c>
      <c r="AB355" s="3">
        <f t="shared" si="11"/>
        <v>3591436</v>
      </c>
      <c r="AC355" s="3">
        <f t="shared" si="12"/>
        <v>5</v>
      </c>
      <c r="AD355" s="3">
        <f t="shared" si="13"/>
        <v>86617</v>
      </c>
      <c r="AE355" s="3">
        <f t="shared" si="14"/>
        <v>3</v>
      </c>
      <c r="AF355" s="3">
        <f t="shared" si="15"/>
        <v>621</v>
      </c>
      <c r="AG355" s="3">
        <f t="shared" si="16"/>
        <v>1</v>
      </c>
      <c r="AH355" s="3">
        <f t="shared" si="17"/>
        <v>3156488</v>
      </c>
      <c r="AI355" s="3" t="str">
        <f t="shared" si="18"/>
        <v/>
      </c>
      <c r="AJ355" s="3">
        <f t="shared" si="19"/>
        <v>0</v>
      </c>
    </row>
    <row r="356">
      <c r="C356" s="6" t="s">
        <v>356</v>
      </c>
      <c r="D356" s="3">
        <f t="shared" si="1"/>
        <v>3</v>
      </c>
      <c r="E356" s="3" t="str">
        <f>IFERROR(__xludf.DUMMYFUNCTION("REGEXEXTRACT(C356,""[^ ]* [^ ]*"")"),"posh blue")</f>
        <v>posh blue</v>
      </c>
      <c r="F356" s="3" t="str">
        <f>IFERROR(__xludf.DUMMYFUNCTION("MID(REGEXEXTRACT(C356,""contain.*$""),9,300)"),"4 plaid aqua bags, 2 drab salmon bags, 4 pale teal bags, 2 drab gold bags.")</f>
        <v>4 plaid aqua bags, 2 drab salmon bags, 4 pale teal bags, 2 drab gold bags.</v>
      </c>
      <c r="G356" s="3" t="str">
        <f>IFERROR(__xludf.DUMMYFUNCTION("INDEX(SPLIT($F356,"",""),COLUMN()-6)"),"4 plaid aqua bags")</f>
        <v>4 plaid aqua bags</v>
      </c>
      <c r="H356" s="3" t="str">
        <f>IFERROR(__xludf.DUMMYFUNCTION("MID(INDEX(SPLIT($F356,"",""),COLUMN()-6),2,300)"),"2 drab salmon bags")</f>
        <v>2 drab salmon bags</v>
      </c>
      <c r="I356" s="3" t="str">
        <f>IFERROR(__xludf.DUMMYFUNCTION("MID(INDEX(SPLIT($F356,"",""),COLUMN()-6),2,300)"),"4 pale teal bags")</f>
        <v>4 pale teal bags</v>
      </c>
      <c r="J356" s="3" t="str">
        <f>IFERROR(__xludf.DUMMYFUNCTION("MID(INDEX(SPLIT($F356,"",""),COLUMN()-6),2,300)"),"2 drab gold bags.")</f>
        <v>2 drab gold bags.</v>
      </c>
      <c r="K356" s="3">
        <f>IFERROR(__xludf.DUMMYFUNCTION("INDEX(SPLIT(G356,"" ""),1)"),4.0)</f>
        <v>4</v>
      </c>
      <c r="L356" s="3" t="str">
        <f>IFERROR(__xludf.DUMMYFUNCTION("REGEXEXTRACT(G356,"" [^ ]* [^ ]* "")")," plaid aqua ")</f>
        <v> plaid aqua </v>
      </c>
      <c r="M356" s="3">
        <f>IFERROR(__xludf.DUMMYFUNCTION("INDEX(SPLIT(H356,"" ""),1)"),2.0)</f>
        <v>2</v>
      </c>
      <c r="N356" s="3" t="str">
        <f>IFERROR(__xludf.DUMMYFUNCTION("MID(REGEXEXTRACT(H356,"" [^ ]* [^ ]*""),2,300)"),"drab salmon")</f>
        <v>drab salmon</v>
      </c>
      <c r="O356" s="3">
        <f>IFERROR(__xludf.DUMMYFUNCTION("INDEX(SPLIT(I356,"" ""),1)"),4.0)</f>
        <v>4</v>
      </c>
      <c r="P356" s="3" t="str">
        <f>IFERROR(__xludf.DUMMYFUNCTION("MID(REGEXEXTRACT(I356,"" [^ ]* [^ ]*""),2,300)"),"pale teal")</f>
        <v>pale teal</v>
      </c>
      <c r="Q356" s="3">
        <f>IFERROR(__xludf.DUMMYFUNCTION("INDEX(SPLIT(J356,"" ""),1)"),2.0)</f>
        <v>2</v>
      </c>
      <c r="R356" s="3" t="str">
        <f>IFERROR(__xludf.DUMMYFUNCTION("MID(REGEXEXTRACT(J356,"" [^ ]* [^ ]*""),2,300)"),"drab gold")</f>
        <v>drab gold</v>
      </c>
      <c r="S356" s="3">
        <f t="shared" si="2"/>
        <v>4</v>
      </c>
      <c r="T356" s="3" t="str">
        <f t="shared" si="3"/>
        <v>plaid aqua</v>
      </c>
      <c r="U356" s="3">
        <f t="shared" si="4"/>
        <v>2</v>
      </c>
      <c r="V356" s="3" t="str">
        <f t="shared" si="5"/>
        <v>drab salmon</v>
      </c>
      <c r="W356" s="3">
        <f t="shared" si="6"/>
        <v>4</v>
      </c>
      <c r="X356" s="3" t="str">
        <f t="shared" si="7"/>
        <v>pale teal</v>
      </c>
      <c r="Y356" s="3">
        <f t="shared" si="8"/>
        <v>2</v>
      </c>
      <c r="Z356" s="3" t="str">
        <f t="shared" si="9"/>
        <v>drab gold</v>
      </c>
      <c r="AA356" s="13">
        <f t="shared" si="10"/>
        <v>1267885943</v>
      </c>
      <c r="AB356" s="3">
        <f t="shared" si="11"/>
        <v>1267885942</v>
      </c>
      <c r="AC356" s="3">
        <f t="shared" si="12"/>
        <v>4</v>
      </c>
      <c r="AD356" s="3">
        <f t="shared" si="13"/>
        <v>1</v>
      </c>
      <c r="AE356" s="3">
        <f t="shared" si="14"/>
        <v>2</v>
      </c>
      <c r="AF356" s="3">
        <f t="shared" si="15"/>
        <v>15045</v>
      </c>
      <c r="AG356" s="3">
        <f t="shared" si="16"/>
        <v>4</v>
      </c>
      <c r="AH356" s="3">
        <f t="shared" si="17"/>
        <v>314592019</v>
      </c>
      <c r="AI356" s="3">
        <f t="shared" si="18"/>
        <v>2</v>
      </c>
      <c r="AJ356" s="3">
        <f t="shared" si="19"/>
        <v>4743886</v>
      </c>
    </row>
    <row r="357">
      <c r="C357" s="6" t="s">
        <v>357</v>
      </c>
      <c r="D357" s="3">
        <f t="shared" si="1"/>
        <v>0</v>
      </c>
      <c r="E357" s="3" t="str">
        <f>IFERROR(__xludf.DUMMYFUNCTION("REGEXEXTRACT(C357,""[^ ]* [^ ]*"")"),"drab violet")</f>
        <v>drab violet</v>
      </c>
      <c r="F357" s="3" t="str">
        <f>IFERROR(__xludf.DUMMYFUNCTION("MID(REGEXEXTRACT(C357,""contain.*$""),9,300)"),"3 shiny white bags.")</f>
        <v>3 shiny white bags.</v>
      </c>
      <c r="G357" s="3" t="str">
        <f>IFERROR(__xludf.DUMMYFUNCTION("INDEX(SPLIT($F357,"",""),COLUMN()-6)"),"3 shiny white bags.")</f>
        <v>3 shiny white bags.</v>
      </c>
      <c r="H357" s="3" t="str">
        <f>IFERROR(__xludf.DUMMYFUNCTION("MID(INDEX(SPLIT($F357,"",""),COLUMN()-6),2,300)"),"#REF!")</f>
        <v>#REF!</v>
      </c>
      <c r="I357" s="3" t="str">
        <f>IFERROR(__xludf.DUMMYFUNCTION("MID(INDEX(SPLIT($F357,"",""),COLUMN()-6),2,300)"),"#REF!")</f>
        <v>#REF!</v>
      </c>
      <c r="J357" s="3" t="str">
        <f>IFERROR(__xludf.DUMMYFUNCTION("MID(INDEX(SPLIT($F357,"",""),COLUMN()-6),2,300)"),"#REF!")</f>
        <v>#REF!</v>
      </c>
      <c r="K357" s="3">
        <f>IFERROR(__xludf.DUMMYFUNCTION("INDEX(SPLIT(G357,"" ""),1)"),3.0)</f>
        <v>3</v>
      </c>
      <c r="L357" s="3" t="str">
        <f>IFERROR(__xludf.DUMMYFUNCTION("REGEXEXTRACT(G357,"" [^ ]* [^ ]* "")")," shiny white ")</f>
        <v> shiny white </v>
      </c>
      <c r="M357" s="3" t="str">
        <f>IFERROR(__xludf.DUMMYFUNCTION("INDEX(SPLIT(H357,"" ""),1)"),"#REF!")</f>
        <v>#REF!</v>
      </c>
      <c r="N357" s="3" t="str">
        <f>IFERROR(__xludf.DUMMYFUNCTION("MID(REGEXEXTRACT(H357,"" [^ ]* [^ ]*""),2,300)"),"#REF!")</f>
        <v>#REF!</v>
      </c>
      <c r="O357" s="3" t="str">
        <f>IFERROR(__xludf.DUMMYFUNCTION("INDEX(SPLIT(I357,"" ""),1)"),"#REF!")</f>
        <v>#REF!</v>
      </c>
      <c r="P357" s="3" t="str">
        <f>IFERROR(__xludf.DUMMYFUNCTION("MID(REGEXEXTRACT(I357,"" [^ ]* [^ ]*""),2,300)"),"#REF!")</f>
        <v>#REF!</v>
      </c>
      <c r="Q357" s="3" t="str">
        <f>IFERROR(__xludf.DUMMYFUNCTION("INDEX(SPLIT(J357,"" ""),1)"),"#REF!")</f>
        <v>#REF!</v>
      </c>
      <c r="R357" s="3" t="str">
        <f>IFERROR(__xludf.DUMMYFUNCTION("MID(REGEXEXTRACT(J357,"" [^ ]* [^ ]*""),2,300)"),"#REF!")</f>
        <v>#REF!</v>
      </c>
      <c r="S357" s="3">
        <f t="shared" si="2"/>
        <v>3</v>
      </c>
      <c r="T357" s="3" t="str">
        <f t="shared" si="3"/>
        <v>shiny white</v>
      </c>
      <c r="U357" s="3" t="str">
        <f t="shared" si="4"/>
        <v/>
      </c>
      <c r="V357" s="3" t="str">
        <f t="shared" si="5"/>
        <v/>
      </c>
      <c r="W357" s="3" t="str">
        <f t="shared" si="6"/>
        <v/>
      </c>
      <c r="X357" s="3" t="str">
        <f t="shared" si="7"/>
        <v/>
      </c>
      <c r="Y357" s="3" t="str">
        <f t="shared" si="8"/>
        <v/>
      </c>
      <c r="Z357" s="3" t="str">
        <f t="shared" si="9"/>
        <v/>
      </c>
      <c r="AA357" s="13">
        <f t="shared" si="10"/>
        <v>354577</v>
      </c>
      <c r="AB357" s="3">
        <f t="shared" si="11"/>
        <v>354576</v>
      </c>
      <c r="AC357" s="3">
        <f t="shared" si="12"/>
        <v>3</v>
      </c>
      <c r="AD357" s="3">
        <f t="shared" si="13"/>
        <v>118192</v>
      </c>
      <c r="AE357" s="3" t="str">
        <f t="shared" si="14"/>
        <v/>
      </c>
      <c r="AF357" s="3">
        <f t="shared" si="15"/>
        <v>0</v>
      </c>
      <c r="AG357" s="3" t="str">
        <f t="shared" si="16"/>
        <v/>
      </c>
      <c r="AH357" s="3">
        <f t="shared" si="17"/>
        <v>0</v>
      </c>
      <c r="AI357" s="3" t="str">
        <f t="shared" si="18"/>
        <v/>
      </c>
      <c r="AJ357" s="3">
        <f t="shared" si="19"/>
        <v>0</v>
      </c>
    </row>
    <row r="358">
      <c r="C358" s="6" t="s">
        <v>358</v>
      </c>
      <c r="D358" s="3">
        <f t="shared" si="1"/>
        <v>2</v>
      </c>
      <c r="E358" s="3" t="str">
        <f>IFERROR(__xludf.DUMMYFUNCTION("REGEXEXTRACT(C358,""[^ ]* [^ ]*"")"),"shiny plum")</f>
        <v>shiny plum</v>
      </c>
      <c r="F358" s="3" t="str">
        <f>IFERROR(__xludf.DUMMYFUNCTION("MID(REGEXEXTRACT(C358,""contain.*$""),9,300)"),"3 mirrored green bags, 2 dark yellow bags, 3 pale salmon bags.")</f>
        <v>3 mirrored green bags, 2 dark yellow bags, 3 pale salmon bags.</v>
      </c>
      <c r="G358" s="3" t="str">
        <f>IFERROR(__xludf.DUMMYFUNCTION("INDEX(SPLIT($F358,"",""),COLUMN()-6)"),"3 mirrored green bags")</f>
        <v>3 mirrored green bags</v>
      </c>
      <c r="H358" s="3" t="str">
        <f>IFERROR(__xludf.DUMMYFUNCTION("MID(INDEX(SPLIT($F358,"",""),COLUMN()-6),2,300)"),"2 dark yellow bags")</f>
        <v>2 dark yellow bags</v>
      </c>
      <c r="I358" s="3" t="str">
        <f>IFERROR(__xludf.DUMMYFUNCTION("MID(INDEX(SPLIT($F358,"",""),COLUMN()-6),2,300)"),"3 pale salmon bags.")</f>
        <v>3 pale salmon bags.</v>
      </c>
      <c r="J358" s="3" t="str">
        <f>IFERROR(__xludf.DUMMYFUNCTION("MID(INDEX(SPLIT($F358,"",""),COLUMN()-6),2,300)"),"#REF!")</f>
        <v>#REF!</v>
      </c>
      <c r="K358" s="3">
        <f>IFERROR(__xludf.DUMMYFUNCTION("INDEX(SPLIT(G358,"" ""),1)"),3.0)</f>
        <v>3</v>
      </c>
      <c r="L358" s="3" t="str">
        <f>IFERROR(__xludf.DUMMYFUNCTION("REGEXEXTRACT(G358,"" [^ ]* [^ ]* "")")," mirrored green ")</f>
        <v> mirrored green </v>
      </c>
      <c r="M358" s="3">
        <f>IFERROR(__xludf.DUMMYFUNCTION("INDEX(SPLIT(H358,"" ""),1)"),2.0)</f>
        <v>2</v>
      </c>
      <c r="N358" s="3" t="str">
        <f>IFERROR(__xludf.DUMMYFUNCTION("MID(REGEXEXTRACT(H358,"" [^ ]* [^ ]*""),2,300)"),"dark yellow")</f>
        <v>dark yellow</v>
      </c>
      <c r="O358" s="3">
        <f>IFERROR(__xludf.DUMMYFUNCTION("INDEX(SPLIT(I358,"" ""),1)"),3.0)</f>
        <v>3</v>
      </c>
      <c r="P358" s="3" t="str">
        <f>IFERROR(__xludf.DUMMYFUNCTION("MID(REGEXEXTRACT(I358,"" [^ ]* [^ ]*""),2,300)"),"pale salmon")</f>
        <v>pale salmon</v>
      </c>
      <c r="Q358" s="3" t="str">
        <f>IFERROR(__xludf.DUMMYFUNCTION("INDEX(SPLIT(J358,"" ""),1)"),"#REF!")</f>
        <v>#REF!</v>
      </c>
      <c r="R358" s="3" t="str">
        <f>IFERROR(__xludf.DUMMYFUNCTION("MID(REGEXEXTRACT(J358,"" [^ ]* [^ ]*""),2,300)"),"#REF!")</f>
        <v>#REF!</v>
      </c>
      <c r="S358" s="3">
        <f t="shared" si="2"/>
        <v>3</v>
      </c>
      <c r="T358" s="3" t="str">
        <f t="shared" si="3"/>
        <v>mirrored green</v>
      </c>
      <c r="U358" s="3">
        <f t="shared" si="4"/>
        <v>2</v>
      </c>
      <c r="V358" s="3" t="str">
        <f t="shared" si="5"/>
        <v>dark yellow</v>
      </c>
      <c r="W358" s="3">
        <f t="shared" si="6"/>
        <v>3</v>
      </c>
      <c r="X358" s="3" t="str">
        <f t="shared" si="7"/>
        <v>pale salmon</v>
      </c>
      <c r="Y358" s="3" t="str">
        <f t="shared" si="8"/>
        <v/>
      </c>
      <c r="Z358" s="3" t="str">
        <f t="shared" si="9"/>
        <v/>
      </c>
      <c r="AA358" s="13">
        <f t="shared" si="10"/>
        <v>3593402</v>
      </c>
      <c r="AB358" s="3">
        <f t="shared" si="11"/>
        <v>3593401</v>
      </c>
      <c r="AC358" s="3">
        <f t="shared" si="12"/>
        <v>3</v>
      </c>
      <c r="AD358" s="3">
        <f t="shared" si="13"/>
        <v>399804</v>
      </c>
      <c r="AE358" s="3">
        <f t="shared" si="14"/>
        <v>2</v>
      </c>
      <c r="AF358" s="3">
        <f t="shared" si="15"/>
        <v>1182161</v>
      </c>
      <c r="AG358" s="3">
        <f t="shared" si="16"/>
        <v>3</v>
      </c>
      <c r="AH358" s="3">
        <f t="shared" si="17"/>
        <v>9889</v>
      </c>
      <c r="AI358" s="3" t="str">
        <f t="shared" si="18"/>
        <v/>
      </c>
      <c r="AJ358" s="3">
        <f t="shared" si="19"/>
        <v>0</v>
      </c>
    </row>
    <row r="359">
      <c r="C359" s="6" t="s">
        <v>359</v>
      </c>
      <c r="D359" s="3">
        <f t="shared" si="1"/>
        <v>0</v>
      </c>
      <c r="E359" s="3" t="str">
        <f>IFERROR(__xludf.DUMMYFUNCTION("REGEXEXTRACT(C359,""[^ ]* [^ ]*"")"),"pale fuchsia")</f>
        <v>pale fuchsia</v>
      </c>
      <c r="F359" s="3" t="str">
        <f>IFERROR(__xludf.DUMMYFUNCTION("MID(REGEXEXTRACT(C359,""contain.*$""),9,300)"),"5 faded violet bags.")</f>
        <v>5 faded violet bags.</v>
      </c>
      <c r="G359" s="3" t="str">
        <f>IFERROR(__xludf.DUMMYFUNCTION("INDEX(SPLIT($F359,"",""),COLUMN()-6)"),"5 faded violet bags.")</f>
        <v>5 faded violet bags.</v>
      </c>
      <c r="H359" s="3" t="str">
        <f>IFERROR(__xludf.DUMMYFUNCTION("MID(INDEX(SPLIT($F359,"",""),COLUMN()-6),2,300)"),"#REF!")</f>
        <v>#REF!</v>
      </c>
      <c r="I359" s="3" t="str">
        <f>IFERROR(__xludf.DUMMYFUNCTION("MID(INDEX(SPLIT($F359,"",""),COLUMN()-6),2,300)"),"#REF!")</f>
        <v>#REF!</v>
      </c>
      <c r="J359" s="3" t="str">
        <f>IFERROR(__xludf.DUMMYFUNCTION("MID(INDEX(SPLIT($F359,"",""),COLUMN()-6),2,300)"),"#REF!")</f>
        <v>#REF!</v>
      </c>
      <c r="K359" s="3">
        <f>IFERROR(__xludf.DUMMYFUNCTION("INDEX(SPLIT(G359,"" ""),1)"),5.0)</f>
        <v>5</v>
      </c>
      <c r="L359" s="3" t="str">
        <f>IFERROR(__xludf.DUMMYFUNCTION("REGEXEXTRACT(G359,"" [^ ]* [^ ]* "")")," faded violet ")</f>
        <v> faded violet </v>
      </c>
      <c r="M359" s="3" t="str">
        <f>IFERROR(__xludf.DUMMYFUNCTION("INDEX(SPLIT(H359,"" ""),1)"),"#REF!")</f>
        <v>#REF!</v>
      </c>
      <c r="N359" s="3" t="str">
        <f>IFERROR(__xludf.DUMMYFUNCTION("MID(REGEXEXTRACT(H359,"" [^ ]* [^ ]*""),2,300)"),"#REF!")</f>
        <v>#REF!</v>
      </c>
      <c r="O359" s="3" t="str">
        <f>IFERROR(__xludf.DUMMYFUNCTION("INDEX(SPLIT(I359,"" ""),1)"),"#REF!")</f>
        <v>#REF!</v>
      </c>
      <c r="P359" s="3" t="str">
        <f>IFERROR(__xludf.DUMMYFUNCTION("MID(REGEXEXTRACT(I359,"" [^ ]* [^ ]*""),2,300)"),"#REF!")</f>
        <v>#REF!</v>
      </c>
      <c r="Q359" s="3" t="str">
        <f>IFERROR(__xludf.DUMMYFUNCTION("INDEX(SPLIT(J359,"" ""),1)"),"#REF!")</f>
        <v>#REF!</v>
      </c>
      <c r="R359" s="3" t="str">
        <f>IFERROR(__xludf.DUMMYFUNCTION("MID(REGEXEXTRACT(J359,"" [^ ]* [^ ]*""),2,300)"),"#REF!")</f>
        <v>#REF!</v>
      </c>
      <c r="S359" s="3">
        <f t="shared" si="2"/>
        <v>5</v>
      </c>
      <c r="T359" s="3" t="str">
        <f t="shared" si="3"/>
        <v>faded violet</v>
      </c>
      <c r="U359" s="3" t="str">
        <f t="shared" si="4"/>
        <v/>
      </c>
      <c r="V359" s="3" t="str">
        <f t="shared" si="5"/>
        <v/>
      </c>
      <c r="W359" s="3" t="str">
        <f t="shared" si="6"/>
        <v/>
      </c>
      <c r="X359" s="3" t="str">
        <f t="shared" si="7"/>
        <v/>
      </c>
      <c r="Y359" s="3" t="str">
        <f t="shared" si="8"/>
        <v/>
      </c>
      <c r="Z359" s="3" t="str">
        <f t="shared" si="9"/>
        <v/>
      </c>
      <c r="AA359" s="13">
        <f t="shared" si="10"/>
        <v>577866</v>
      </c>
      <c r="AB359" s="3">
        <f t="shared" si="11"/>
        <v>577865</v>
      </c>
      <c r="AC359" s="3">
        <f t="shared" si="12"/>
        <v>5</v>
      </c>
      <c r="AD359" s="3">
        <f t="shared" si="13"/>
        <v>115573</v>
      </c>
      <c r="AE359" s="3" t="str">
        <f t="shared" si="14"/>
        <v/>
      </c>
      <c r="AF359" s="3">
        <f t="shared" si="15"/>
        <v>0</v>
      </c>
      <c r="AG359" s="3" t="str">
        <f t="shared" si="16"/>
        <v/>
      </c>
      <c r="AH359" s="3">
        <f t="shared" si="17"/>
        <v>0</v>
      </c>
      <c r="AI359" s="3" t="str">
        <f t="shared" si="18"/>
        <v/>
      </c>
      <c r="AJ359" s="3">
        <f t="shared" si="19"/>
        <v>0</v>
      </c>
    </row>
    <row r="360">
      <c r="C360" s="6" t="s">
        <v>360</v>
      </c>
      <c r="D360" s="3">
        <f t="shared" si="1"/>
        <v>1</v>
      </c>
      <c r="E360" s="3" t="str">
        <f>IFERROR(__xludf.DUMMYFUNCTION("REGEXEXTRACT(C360,""[^ ]* [^ ]*"")"),"clear fuchsia")</f>
        <v>clear fuchsia</v>
      </c>
      <c r="F360" s="3" t="str">
        <f>IFERROR(__xludf.DUMMYFUNCTION("MID(REGEXEXTRACT(C360,""contain.*$""),9,300)"),"2 dark lavender bags, 3 posh green bags.")</f>
        <v>2 dark lavender bags, 3 posh green bags.</v>
      </c>
      <c r="G360" s="3" t="str">
        <f>IFERROR(__xludf.DUMMYFUNCTION("INDEX(SPLIT($F360,"",""),COLUMN()-6)"),"2 dark lavender bags")</f>
        <v>2 dark lavender bags</v>
      </c>
      <c r="H360" s="3" t="str">
        <f>IFERROR(__xludf.DUMMYFUNCTION("MID(INDEX(SPLIT($F360,"",""),COLUMN()-6),2,300)"),"3 posh green bags.")</f>
        <v>3 posh green bags.</v>
      </c>
      <c r="I360" s="3" t="str">
        <f>IFERROR(__xludf.DUMMYFUNCTION("MID(INDEX(SPLIT($F360,"",""),COLUMN()-6),2,300)"),"#REF!")</f>
        <v>#REF!</v>
      </c>
      <c r="J360" s="3" t="str">
        <f>IFERROR(__xludf.DUMMYFUNCTION("MID(INDEX(SPLIT($F360,"",""),COLUMN()-6),2,300)"),"#REF!")</f>
        <v>#REF!</v>
      </c>
      <c r="K360" s="3">
        <f>IFERROR(__xludf.DUMMYFUNCTION("INDEX(SPLIT(G360,"" ""),1)"),2.0)</f>
        <v>2</v>
      </c>
      <c r="L360" s="3" t="str">
        <f>IFERROR(__xludf.DUMMYFUNCTION("REGEXEXTRACT(G360,"" [^ ]* [^ ]* "")")," dark lavender ")</f>
        <v> dark lavender </v>
      </c>
      <c r="M360" s="3">
        <f>IFERROR(__xludf.DUMMYFUNCTION("INDEX(SPLIT(H360,"" ""),1)"),3.0)</f>
        <v>3</v>
      </c>
      <c r="N360" s="3" t="str">
        <f>IFERROR(__xludf.DUMMYFUNCTION("MID(REGEXEXTRACT(H360,"" [^ ]* [^ ]*""),2,300)"),"posh green")</f>
        <v>posh green</v>
      </c>
      <c r="O360" s="3" t="str">
        <f>IFERROR(__xludf.DUMMYFUNCTION("INDEX(SPLIT(I360,"" ""),1)"),"#REF!")</f>
        <v>#REF!</v>
      </c>
      <c r="P360" s="3" t="str">
        <f>IFERROR(__xludf.DUMMYFUNCTION("MID(REGEXEXTRACT(I360,"" [^ ]* [^ ]*""),2,300)"),"#REF!")</f>
        <v>#REF!</v>
      </c>
      <c r="Q360" s="3" t="str">
        <f>IFERROR(__xludf.DUMMYFUNCTION("INDEX(SPLIT(J360,"" ""),1)"),"#REF!")</f>
        <v>#REF!</v>
      </c>
      <c r="R360" s="3" t="str">
        <f>IFERROR(__xludf.DUMMYFUNCTION("MID(REGEXEXTRACT(J360,"" [^ ]* [^ ]*""),2,300)"),"#REF!")</f>
        <v>#REF!</v>
      </c>
      <c r="S360" s="3">
        <f t="shared" si="2"/>
        <v>2</v>
      </c>
      <c r="T360" s="3" t="str">
        <f t="shared" si="3"/>
        <v>dark lavender</v>
      </c>
      <c r="U360" s="3">
        <f t="shared" si="4"/>
        <v>3</v>
      </c>
      <c r="V360" s="3" t="str">
        <f t="shared" si="5"/>
        <v>posh green</v>
      </c>
      <c r="W360" s="3" t="str">
        <f t="shared" si="6"/>
        <v/>
      </c>
      <c r="X360" s="3" t="str">
        <f t="shared" si="7"/>
        <v/>
      </c>
      <c r="Y360" s="3" t="str">
        <f t="shared" si="8"/>
        <v/>
      </c>
      <c r="Z360" s="3" t="str">
        <f t="shared" si="9"/>
        <v/>
      </c>
      <c r="AA360" s="13">
        <f t="shared" si="10"/>
        <v>19368</v>
      </c>
      <c r="AB360" s="3">
        <f t="shared" si="11"/>
        <v>19367</v>
      </c>
      <c r="AC360" s="3">
        <f t="shared" si="12"/>
        <v>2</v>
      </c>
      <c r="AD360" s="3">
        <f t="shared" si="13"/>
        <v>133</v>
      </c>
      <c r="AE360" s="3">
        <f t="shared" si="14"/>
        <v>3</v>
      </c>
      <c r="AF360" s="3">
        <f t="shared" si="15"/>
        <v>6367</v>
      </c>
      <c r="AG360" s="3" t="str">
        <f t="shared" si="16"/>
        <v/>
      </c>
      <c r="AH360" s="3">
        <f t="shared" si="17"/>
        <v>0</v>
      </c>
      <c r="AI360" s="3" t="str">
        <f t="shared" si="18"/>
        <v/>
      </c>
      <c r="AJ360" s="3">
        <f t="shared" si="19"/>
        <v>0</v>
      </c>
    </row>
    <row r="361">
      <c r="C361" s="6" t="s">
        <v>361</v>
      </c>
      <c r="D361" s="3">
        <f t="shared" si="1"/>
        <v>0</v>
      </c>
      <c r="E361" s="3" t="str">
        <f>IFERROR(__xludf.DUMMYFUNCTION("REGEXEXTRACT(C361,""[^ ]* [^ ]*"")"),"mirrored lime")</f>
        <v>mirrored lime</v>
      </c>
      <c r="F361" s="3" t="str">
        <f>IFERROR(__xludf.DUMMYFUNCTION("MID(REGEXEXTRACT(C361,""contain.*$""),9,300)"),"3 light bronze bags.")</f>
        <v>3 light bronze bags.</v>
      </c>
      <c r="G361" s="3" t="str">
        <f>IFERROR(__xludf.DUMMYFUNCTION("INDEX(SPLIT($F361,"",""),COLUMN()-6)"),"3 light bronze bags.")</f>
        <v>3 light bronze bags.</v>
      </c>
      <c r="H361" s="3" t="str">
        <f>IFERROR(__xludf.DUMMYFUNCTION("MID(INDEX(SPLIT($F361,"",""),COLUMN()-6),2,300)"),"#REF!")</f>
        <v>#REF!</v>
      </c>
      <c r="I361" s="3" t="str">
        <f>IFERROR(__xludf.DUMMYFUNCTION("MID(INDEX(SPLIT($F361,"",""),COLUMN()-6),2,300)"),"#REF!")</f>
        <v>#REF!</v>
      </c>
      <c r="J361" s="3" t="str">
        <f>IFERROR(__xludf.DUMMYFUNCTION("MID(INDEX(SPLIT($F361,"",""),COLUMN()-6),2,300)"),"#REF!")</f>
        <v>#REF!</v>
      </c>
      <c r="K361" s="3">
        <f>IFERROR(__xludf.DUMMYFUNCTION("INDEX(SPLIT(G361,"" ""),1)"),3.0)</f>
        <v>3</v>
      </c>
      <c r="L361" s="3" t="str">
        <f>IFERROR(__xludf.DUMMYFUNCTION("REGEXEXTRACT(G361,"" [^ ]* [^ ]* "")")," light bronze ")</f>
        <v> light bronze </v>
      </c>
      <c r="M361" s="3" t="str">
        <f>IFERROR(__xludf.DUMMYFUNCTION("INDEX(SPLIT(H361,"" ""),1)"),"#REF!")</f>
        <v>#REF!</v>
      </c>
      <c r="N361" s="3" t="str">
        <f>IFERROR(__xludf.DUMMYFUNCTION("MID(REGEXEXTRACT(H361,"" [^ ]* [^ ]*""),2,300)"),"#REF!")</f>
        <v>#REF!</v>
      </c>
      <c r="O361" s="3" t="str">
        <f>IFERROR(__xludf.DUMMYFUNCTION("INDEX(SPLIT(I361,"" ""),1)"),"#REF!")</f>
        <v>#REF!</v>
      </c>
      <c r="P361" s="3" t="str">
        <f>IFERROR(__xludf.DUMMYFUNCTION("MID(REGEXEXTRACT(I361,"" [^ ]* [^ ]*""),2,300)"),"#REF!")</f>
        <v>#REF!</v>
      </c>
      <c r="Q361" s="3" t="str">
        <f>IFERROR(__xludf.DUMMYFUNCTION("INDEX(SPLIT(J361,"" ""),1)"),"#REF!")</f>
        <v>#REF!</v>
      </c>
      <c r="R361" s="3" t="str">
        <f>IFERROR(__xludf.DUMMYFUNCTION("MID(REGEXEXTRACT(J361,"" [^ ]* [^ ]*""),2,300)"),"#REF!")</f>
        <v>#REF!</v>
      </c>
      <c r="S361" s="3">
        <f t="shared" si="2"/>
        <v>3</v>
      </c>
      <c r="T361" s="3" t="str">
        <f t="shared" si="3"/>
        <v>light bronze</v>
      </c>
      <c r="U361" s="3" t="str">
        <f t="shared" si="4"/>
        <v/>
      </c>
      <c r="V361" s="3" t="str">
        <f t="shared" si="5"/>
        <v/>
      </c>
      <c r="W361" s="3" t="str">
        <f t="shared" si="6"/>
        <v/>
      </c>
      <c r="X361" s="3" t="str">
        <f t="shared" si="7"/>
        <v/>
      </c>
      <c r="Y361" s="3" t="str">
        <f t="shared" si="8"/>
        <v/>
      </c>
      <c r="Z361" s="3" t="str">
        <f t="shared" si="9"/>
        <v/>
      </c>
      <c r="AA361" s="13">
        <f t="shared" si="10"/>
        <v>97231</v>
      </c>
      <c r="AB361" s="3">
        <f t="shared" si="11"/>
        <v>97230</v>
      </c>
      <c r="AC361" s="3">
        <f t="shared" si="12"/>
        <v>3</v>
      </c>
      <c r="AD361" s="3">
        <f t="shared" si="13"/>
        <v>32410</v>
      </c>
      <c r="AE361" s="3" t="str">
        <f t="shared" si="14"/>
        <v/>
      </c>
      <c r="AF361" s="3">
        <f t="shared" si="15"/>
        <v>0</v>
      </c>
      <c r="AG361" s="3" t="str">
        <f t="shared" si="16"/>
        <v/>
      </c>
      <c r="AH361" s="3">
        <f t="shared" si="17"/>
        <v>0</v>
      </c>
      <c r="AI361" s="3" t="str">
        <f t="shared" si="18"/>
        <v/>
      </c>
      <c r="AJ361" s="3">
        <f t="shared" si="19"/>
        <v>0</v>
      </c>
    </row>
    <row r="362">
      <c r="C362" s="6" t="s">
        <v>362</v>
      </c>
      <c r="D362" s="3">
        <f t="shared" si="1"/>
        <v>2</v>
      </c>
      <c r="E362" s="3" t="str">
        <f>IFERROR(__xludf.DUMMYFUNCTION("REGEXEXTRACT(C362,""[^ ]* [^ ]*"")"),"plaid white")</f>
        <v>plaid white</v>
      </c>
      <c r="F362" s="3" t="str">
        <f>IFERROR(__xludf.DUMMYFUNCTION("MID(REGEXEXTRACT(C362,""contain.*$""),9,300)"),"1 dim lavender bag, 4 dim olive bags, 3 clear yellow bags.")</f>
        <v>1 dim lavender bag, 4 dim olive bags, 3 clear yellow bags.</v>
      </c>
      <c r="G362" s="3" t="str">
        <f>IFERROR(__xludf.DUMMYFUNCTION("INDEX(SPLIT($F362,"",""),COLUMN()-6)"),"1 dim lavender bag")</f>
        <v>1 dim lavender bag</v>
      </c>
      <c r="H362" s="3" t="str">
        <f>IFERROR(__xludf.DUMMYFUNCTION("MID(INDEX(SPLIT($F362,"",""),COLUMN()-6),2,300)"),"4 dim olive bags")</f>
        <v>4 dim olive bags</v>
      </c>
      <c r="I362" s="3" t="str">
        <f>IFERROR(__xludf.DUMMYFUNCTION("MID(INDEX(SPLIT($F362,"",""),COLUMN()-6),2,300)"),"3 clear yellow bags.")</f>
        <v>3 clear yellow bags.</v>
      </c>
      <c r="J362" s="3" t="str">
        <f>IFERROR(__xludf.DUMMYFUNCTION("MID(INDEX(SPLIT($F362,"",""),COLUMN()-6),2,300)"),"#REF!")</f>
        <v>#REF!</v>
      </c>
      <c r="K362" s="3">
        <f>IFERROR(__xludf.DUMMYFUNCTION("INDEX(SPLIT(G362,"" ""),1)"),1.0)</f>
        <v>1</v>
      </c>
      <c r="L362" s="3" t="str">
        <f>IFERROR(__xludf.DUMMYFUNCTION("REGEXEXTRACT(G362,"" [^ ]* [^ ]* "")")," dim lavender ")</f>
        <v> dim lavender </v>
      </c>
      <c r="M362" s="3">
        <f>IFERROR(__xludf.DUMMYFUNCTION("INDEX(SPLIT(H362,"" ""),1)"),4.0)</f>
        <v>4</v>
      </c>
      <c r="N362" s="3" t="str">
        <f>IFERROR(__xludf.DUMMYFUNCTION("MID(REGEXEXTRACT(H362,"" [^ ]* [^ ]*""),2,300)"),"dim olive")</f>
        <v>dim olive</v>
      </c>
      <c r="O362" s="3">
        <f>IFERROR(__xludf.DUMMYFUNCTION("INDEX(SPLIT(I362,"" ""),1)"),3.0)</f>
        <v>3</v>
      </c>
      <c r="P362" s="3" t="str">
        <f>IFERROR(__xludf.DUMMYFUNCTION("MID(REGEXEXTRACT(I362,"" [^ ]* [^ ]*""),2,300)"),"clear yellow")</f>
        <v>clear yellow</v>
      </c>
      <c r="Q362" s="3" t="str">
        <f>IFERROR(__xludf.DUMMYFUNCTION("INDEX(SPLIT(J362,"" ""),1)"),"#REF!")</f>
        <v>#REF!</v>
      </c>
      <c r="R362" s="3" t="str">
        <f>IFERROR(__xludf.DUMMYFUNCTION("MID(REGEXEXTRACT(J362,"" [^ ]* [^ ]*""),2,300)"),"#REF!")</f>
        <v>#REF!</v>
      </c>
      <c r="S362" s="3">
        <f t="shared" si="2"/>
        <v>1</v>
      </c>
      <c r="T362" s="3" t="str">
        <f t="shared" si="3"/>
        <v>dim lavender</v>
      </c>
      <c r="U362" s="3">
        <f t="shared" si="4"/>
        <v>4</v>
      </c>
      <c r="V362" s="3" t="str">
        <f t="shared" si="5"/>
        <v>dim olive</v>
      </c>
      <c r="W362" s="3">
        <f t="shared" si="6"/>
        <v>3</v>
      </c>
      <c r="X362" s="3" t="str">
        <f t="shared" si="7"/>
        <v>clear yellow</v>
      </c>
      <c r="Y362" s="3" t="str">
        <f t="shared" si="8"/>
        <v/>
      </c>
      <c r="Z362" s="3" t="str">
        <f t="shared" si="9"/>
        <v/>
      </c>
      <c r="AA362" s="13">
        <f t="shared" si="10"/>
        <v>825737</v>
      </c>
      <c r="AB362" s="3">
        <f t="shared" si="11"/>
        <v>825736</v>
      </c>
      <c r="AC362" s="3">
        <f t="shared" si="12"/>
        <v>1</v>
      </c>
      <c r="AD362" s="3">
        <f t="shared" si="13"/>
        <v>771399</v>
      </c>
      <c r="AE362" s="3">
        <f t="shared" si="14"/>
        <v>4</v>
      </c>
      <c r="AF362" s="3">
        <f t="shared" si="15"/>
        <v>1</v>
      </c>
      <c r="AG362" s="3">
        <f t="shared" si="16"/>
        <v>3</v>
      </c>
      <c r="AH362" s="3">
        <f t="shared" si="17"/>
        <v>18111</v>
      </c>
      <c r="AI362" s="3" t="str">
        <f t="shared" si="18"/>
        <v/>
      </c>
      <c r="AJ362" s="3">
        <f t="shared" si="19"/>
        <v>0</v>
      </c>
    </row>
    <row r="363">
      <c r="C363" s="6" t="s">
        <v>363</v>
      </c>
      <c r="D363" s="3">
        <f t="shared" si="1"/>
        <v>3</v>
      </c>
      <c r="E363" s="3" t="str">
        <f>IFERROR(__xludf.DUMMYFUNCTION("REGEXEXTRACT(C363,""[^ ]* [^ ]*"")"),"striped violet")</f>
        <v>striped violet</v>
      </c>
      <c r="F363" s="3" t="str">
        <f>IFERROR(__xludf.DUMMYFUNCTION("MID(REGEXEXTRACT(C363,""contain.*$""),9,300)"),"4 plaid plum bags, 3 plaid black bags, 4 pale teal bags, 5 wavy magenta bags.")</f>
        <v>4 plaid plum bags, 3 plaid black bags, 4 pale teal bags, 5 wavy magenta bags.</v>
      </c>
      <c r="G363" s="3" t="str">
        <f>IFERROR(__xludf.DUMMYFUNCTION("INDEX(SPLIT($F363,"",""),COLUMN()-6)"),"4 plaid plum bags")</f>
        <v>4 plaid plum bags</v>
      </c>
      <c r="H363" s="3" t="str">
        <f>IFERROR(__xludf.DUMMYFUNCTION("MID(INDEX(SPLIT($F363,"",""),COLUMN()-6),2,300)"),"3 plaid black bags")</f>
        <v>3 plaid black bags</v>
      </c>
      <c r="I363" s="3" t="str">
        <f>IFERROR(__xludf.DUMMYFUNCTION("MID(INDEX(SPLIT($F363,"",""),COLUMN()-6),2,300)"),"4 pale teal bags")</f>
        <v>4 pale teal bags</v>
      </c>
      <c r="J363" s="3" t="str">
        <f>IFERROR(__xludf.DUMMYFUNCTION("MID(INDEX(SPLIT($F363,"",""),COLUMN()-6),2,300)"),"5 wavy magenta bags.")</f>
        <v>5 wavy magenta bags.</v>
      </c>
      <c r="K363" s="3">
        <f>IFERROR(__xludf.DUMMYFUNCTION("INDEX(SPLIT(G363,"" ""),1)"),4.0)</f>
        <v>4</v>
      </c>
      <c r="L363" s="3" t="str">
        <f>IFERROR(__xludf.DUMMYFUNCTION("REGEXEXTRACT(G363,"" [^ ]* [^ ]* "")")," plaid plum ")</f>
        <v> plaid plum </v>
      </c>
      <c r="M363" s="3">
        <f>IFERROR(__xludf.DUMMYFUNCTION("INDEX(SPLIT(H363,"" ""),1)"),3.0)</f>
        <v>3</v>
      </c>
      <c r="N363" s="3" t="str">
        <f>IFERROR(__xludf.DUMMYFUNCTION("MID(REGEXEXTRACT(H363,"" [^ ]* [^ ]*""),2,300)"),"plaid black")</f>
        <v>plaid black</v>
      </c>
      <c r="O363" s="3">
        <f>IFERROR(__xludf.DUMMYFUNCTION("INDEX(SPLIT(I363,"" ""),1)"),4.0)</f>
        <v>4</v>
      </c>
      <c r="P363" s="3" t="str">
        <f>IFERROR(__xludf.DUMMYFUNCTION("MID(REGEXEXTRACT(I363,"" [^ ]* [^ ]*""),2,300)"),"pale teal")</f>
        <v>pale teal</v>
      </c>
      <c r="Q363" s="3">
        <f>IFERROR(__xludf.DUMMYFUNCTION("INDEX(SPLIT(J363,"" ""),1)"),5.0)</f>
        <v>5</v>
      </c>
      <c r="R363" s="3" t="str">
        <f>IFERROR(__xludf.DUMMYFUNCTION("MID(REGEXEXTRACT(J363,"" [^ ]* [^ ]*""),2,300)"),"wavy magenta")</f>
        <v>wavy magenta</v>
      </c>
      <c r="S363" s="3">
        <f t="shared" si="2"/>
        <v>4</v>
      </c>
      <c r="T363" s="3" t="str">
        <f t="shared" si="3"/>
        <v>plaid plum</v>
      </c>
      <c r="U363" s="3">
        <f t="shared" si="4"/>
        <v>3</v>
      </c>
      <c r="V363" s="3" t="str">
        <f t="shared" si="5"/>
        <v>plaid black</v>
      </c>
      <c r="W363" s="3">
        <f t="shared" si="6"/>
        <v>4</v>
      </c>
      <c r="X363" s="3" t="str">
        <f t="shared" si="7"/>
        <v>pale teal</v>
      </c>
      <c r="Y363" s="3">
        <f t="shared" si="8"/>
        <v>5</v>
      </c>
      <c r="Z363" s="3" t="str">
        <f t="shared" si="9"/>
        <v>wavy magenta</v>
      </c>
      <c r="AA363" s="13">
        <f t="shared" si="10"/>
        <v>1693409976</v>
      </c>
      <c r="AB363" s="3">
        <f t="shared" si="11"/>
        <v>1693409975</v>
      </c>
      <c r="AC363" s="3">
        <f t="shared" si="12"/>
        <v>4</v>
      </c>
      <c r="AD363" s="3">
        <f t="shared" si="13"/>
        <v>3599</v>
      </c>
      <c r="AE363" s="3">
        <f t="shared" si="14"/>
        <v>3</v>
      </c>
      <c r="AF363" s="3">
        <f t="shared" si="15"/>
        <v>134718206</v>
      </c>
      <c r="AG363" s="3">
        <f t="shared" si="16"/>
        <v>4</v>
      </c>
      <c r="AH363" s="3">
        <f t="shared" si="17"/>
        <v>314592019</v>
      </c>
      <c r="AI363" s="3">
        <f t="shared" si="18"/>
        <v>5</v>
      </c>
      <c r="AJ363" s="3">
        <f t="shared" si="19"/>
        <v>6174577</v>
      </c>
    </row>
    <row r="364">
      <c r="C364" s="6" t="s">
        <v>364</v>
      </c>
      <c r="D364" s="3">
        <f t="shared" si="1"/>
        <v>1</v>
      </c>
      <c r="E364" s="3" t="str">
        <f>IFERROR(__xludf.DUMMYFUNCTION("REGEXEXTRACT(C364,""[^ ]* [^ ]*"")"),"dark purple")</f>
        <v>dark purple</v>
      </c>
      <c r="F364" s="3" t="str">
        <f>IFERROR(__xludf.DUMMYFUNCTION("MID(REGEXEXTRACT(C364,""contain.*$""),9,300)"),"2 shiny gold bags, 3 faded blue bags.")</f>
        <v>2 shiny gold bags, 3 faded blue bags.</v>
      </c>
      <c r="G364" s="3" t="str">
        <f>IFERROR(__xludf.DUMMYFUNCTION("INDEX(SPLIT($F364,"",""),COLUMN()-6)"),"2 shiny gold bags")</f>
        <v>2 shiny gold bags</v>
      </c>
      <c r="H364" s="3" t="str">
        <f>IFERROR(__xludf.DUMMYFUNCTION("MID(INDEX(SPLIT($F364,"",""),COLUMN()-6),2,300)"),"3 faded blue bags.")</f>
        <v>3 faded blue bags.</v>
      </c>
      <c r="I364" s="3" t="str">
        <f>IFERROR(__xludf.DUMMYFUNCTION("MID(INDEX(SPLIT($F364,"",""),COLUMN()-6),2,300)"),"#REF!")</f>
        <v>#REF!</v>
      </c>
      <c r="J364" s="3" t="str">
        <f>IFERROR(__xludf.DUMMYFUNCTION("MID(INDEX(SPLIT($F364,"",""),COLUMN()-6),2,300)"),"#REF!")</f>
        <v>#REF!</v>
      </c>
      <c r="K364" s="3">
        <f>IFERROR(__xludf.DUMMYFUNCTION("INDEX(SPLIT(G364,"" ""),1)"),2.0)</f>
        <v>2</v>
      </c>
      <c r="L364" s="3" t="str">
        <f>IFERROR(__xludf.DUMMYFUNCTION("REGEXEXTRACT(G364,"" [^ ]* [^ ]* "")")," shiny gold ")</f>
        <v> shiny gold </v>
      </c>
      <c r="M364" s="3">
        <f>IFERROR(__xludf.DUMMYFUNCTION("INDEX(SPLIT(H364,"" ""),1)"),3.0)</f>
        <v>3</v>
      </c>
      <c r="N364" s="3" t="str">
        <f>IFERROR(__xludf.DUMMYFUNCTION("MID(REGEXEXTRACT(H364,"" [^ ]* [^ ]*""),2,300)"),"faded blue")</f>
        <v>faded blue</v>
      </c>
      <c r="O364" s="3" t="str">
        <f>IFERROR(__xludf.DUMMYFUNCTION("INDEX(SPLIT(I364,"" ""),1)"),"#REF!")</f>
        <v>#REF!</v>
      </c>
      <c r="P364" s="3" t="str">
        <f>IFERROR(__xludf.DUMMYFUNCTION("MID(REGEXEXTRACT(I364,"" [^ ]* [^ ]*""),2,300)"),"#REF!")</f>
        <v>#REF!</v>
      </c>
      <c r="Q364" s="3" t="str">
        <f>IFERROR(__xludf.DUMMYFUNCTION("INDEX(SPLIT(J364,"" ""),1)"),"#REF!")</f>
        <v>#REF!</v>
      </c>
      <c r="R364" s="3" t="str">
        <f>IFERROR(__xludf.DUMMYFUNCTION("MID(REGEXEXTRACT(J364,"" [^ ]* [^ ]*""),2,300)"),"#REF!")</f>
        <v>#REF!</v>
      </c>
      <c r="S364" s="3">
        <f t="shared" si="2"/>
        <v>2</v>
      </c>
      <c r="T364" s="3" t="str">
        <f t="shared" si="3"/>
        <v>shiny gold</v>
      </c>
      <c r="U364" s="3">
        <f t="shared" si="4"/>
        <v>3</v>
      </c>
      <c r="V364" s="3" t="str">
        <f t="shared" si="5"/>
        <v>faded blue</v>
      </c>
      <c r="W364" s="3" t="str">
        <f t="shared" si="6"/>
        <v/>
      </c>
      <c r="X364" s="3" t="str">
        <f t="shared" si="7"/>
        <v/>
      </c>
      <c r="Y364" s="3" t="str">
        <f t="shared" si="8"/>
        <v/>
      </c>
      <c r="Z364" s="3" t="str">
        <f t="shared" si="9"/>
        <v/>
      </c>
      <c r="AA364" s="13">
        <f t="shared" si="10"/>
        <v>37917343</v>
      </c>
      <c r="AB364" s="3">
        <f t="shared" si="11"/>
        <v>37917342</v>
      </c>
      <c r="AC364" s="3">
        <f t="shared" si="12"/>
        <v>2</v>
      </c>
      <c r="AD364" s="3">
        <f t="shared" si="13"/>
        <v>12129</v>
      </c>
      <c r="AE364" s="3">
        <f t="shared" si="14"/>
        <v>3</v>
      </c>
      <c r="AF364" s="3">
        <f t="shared" si="15"/>
        <v>12631028</v>
      </c>
      <c r="AG364" s="3" t="str">
        <f t="shared" si="16"/>
        <v/>
      </c>
      <c r="AH364" s="3">
        <f t="shared" si="17"/>
        <v>0</v>
      </c>
      <c r="AI364" s="3" t="str">
        <f t="shared" si="18"/>
        <v/>
      </c>
      <c r="AJ364" s="3">
        <f t="shared" si="19"/>
        <v>0</v>
      </c>
    </row>
    <row r="365">
      <c r="C365" s="6" t="s">
        <v>365</v>
      </c>
      <c r="D365" s="3">
        <f t="shared" si="1"/>
        <v>2</v>
      </c>
      <c r="E365" s="3" t="str">
        <f>IFERROR(__xludf.DUMMYFUNCTION("REGEXEXTRACT(C365,""[^ ]* [^ ]*"")"),"mirrored blue")</f>
        <v>mirrored blue</v>
      </c>
      <c r="F365" s="3" t="str">
        <f>IFERROR(__xludf.DUMMYFUNCTION("MID(REGEXEXTRACT(C365,""contain.*$""),9,300)"),"1 drab fuchsia bag, 4 posh white bags, 3 wavy red bags.")</f>
        <v>1 drab fuchsia bag, 4 posh white bags, 3 wavy red bags.</v>
      </c>
      <c r="G365" s="3" t="str">
        <f>IFERROR(__xludf.DUMMYFUNCTION("INDEX(SPLIT($F365,"",""),COLUMN()-6)"),"1 drab fuchsia bag")</f>
        <v>1 drab fuchsia bag</v>
      </c>
      <c r="H365" s="3" t="str">
        <f>IFERROR(__xludf.DUMMYFUNCTION("MID(INDEX(SPLIT($F365,"",""),COLUMN()-6),2,300)"),"4 posh white bags")</f>
        <v>4 posh white bags</v>
      </c>
      <c r="I365" s="3" t="str">
        <f>IFERROR(__xludf.DUMMYFUNCTION("MID(INDEX(SPLIT($F365,"",""),COLUMN()-6),2,300)"),"3 wavy red bags.")</f>
        <v>3 wavy red bags.</v>
      </c>
      <c r="J365" s="3" t="str">
        <f>IFERROR(__xludf.DUMMYFUNCTION("MID(INDEX(SPLIT($F365,"",""),COLUMN()-6),2,300)"),"#REF!")</f>
        <v>#REF!</v>
      </c>
      <c r="K365" s="3">
        <f>IFERROR(__xludf.DUMMYFUNCTION("INDEX(SPLIT(G365,"" ""),1)"),1.0)</f>
        <v>1</v>
      </c>
      <c r="L365" s="3" t="str">
        <f>IFERROR(__xludf.DUMMYFUNCTION("REGEXEXTRACT(G365,"" [^ ]* [^ ]* "")")," drab fuchsia ")</f>
        <v> drab fuchsia </v>
      </c>
      <c r="M365" s="3">
        <f>IFERROR(__xludf.DUMMYFUNCTION("INDEX(SPLIT(H365,"" ""),1)"),4.0)</f>
        <v>4</v>
      </c>
      <c r="N365" s="3" t="str">
        <f>IFERROR(__xludf.DUMMYFUNCTION("MID(REGEXEXTRACT(H365,"" [^ ]* [^ ]*""),2,300)"),"posh white")</f>
        <v>posh white</v>
      </c>
      <c r="O365" s="3">
        <f>IFERROR(__xludf.DUMMYFUNCTION("INDEX(SPLIT(I365,"" ""),1)"),3.0)</f>
        <v>3</v>
      </c>
      <c r="P365" s="3" t="str">
        <f>IFERROR(__xludf.DUMMYFUNCTION("MID(REGEXEXTRACT(I365,"" [^ ]* [^ ]*""),2,300)"),"wavy red")</f>
        <v>wavy red</v>
      </c>
      <c r="Q365" s="3" t="str">
        <f>IFERROR(__xludf.DUMMYFUNCTION("INDEX(SPLIT(J365,"" ""),1)"),"#REF!")</f>
        <v>#REF!</v>
      </c>
      <c r="R365" s="3" t="str">
        <f>IFERROR(__xludf.DUMMYFUNCTION("MID(REGEXEXTRACT(J365,"" [^ ]* [^ ]*""),2,300)"),"#REF!")</f>
        <v>#REF!</v>
      </c>
      <c r="S365" s="3">
        <f t="shared" si="2"/>
        <v>1</v>
      </c>
      <c r="T365" s="3" t="str">
        <f t="shared" si="3"/>
        <v>drab fuchsia</v>
      </c>
      <c r="U365" s="3">
        <f t="shared" si="4"/>
        <v>4</v>
      </c>
      <c r="V365" s="3" t="str">
        <f t="shared" si="5"/>
        <v>posh white</v>
      </c>
      <c r="W365" s="3">
        <f t="shared" si="6"/>
        <v>3</v>
      </c>
      <c r="X365" s="3" t="str">
        <f t="shared" si="7"/>
        <v>wavy red</v>
      </c>
      <c r="Y365" s="3" t="str">
        <f t="shared" si="8"/>
        <v/>
      </c>
      <c r="Z365" s="3" t="str">
        <f t="shared" si="9"/>
        <v/>
      </c>
      <c r="AA365" s="13">
        <f t="shared" si="10"/>
        <v>158295434</v>
      </c>
      <c r="AB365" s="3">
        <f t="shared" si="11"/>
        <v>158295433</v>
      </c>
      <c r="AC365" s="3">
        <f t="shared" si="12"/>
        <v>1</v>
      </c>
      <c r="AD365" s="3">
        <f t="shared" si="13"/>
        <v>5394972</v>
      </c>
      <c r="AE365" s="3">
        <f t="shared" si="14"/>
        <v>4</v>
      </c>
      <c r="AF365" s="3">
        <f t="shared" si="15"/>
        <v>214915</v>
      </c>
      <c r="AG365" s="3">
        <f t="shared" si="16"/>
        <v>3</v>
      </c>
      <c r="AH365" s="3">
        <f t="shared" si="17"/>
        <v>50680267</v>
      </c>
      <c r="AI365" s="3" t="str">
        <f t="shared" si="18"/>
        <v/>
      </c>
      <c r="AJ365" s="3">
        <f t="shared" si="19"/>
        <v>0</v>
      </c>
    </row>
    <row r="366">
      <c r="C366" s="6" t="s">
        <v>366</v>
      </c>
      <c r="D366" s="3">
        <f t="shared" si="1"/>
        <v>1</v>
      </c>
      <c r="E366" s="3" t="str">
        <f>IFERROR(__xludf.DUMMYFUNCTION("REGEXEXTRACT(C366,""[^ ]* [^ ]*"")"),"pale black")</f>
        <v>pale black</v>
      </c>
      <c r="F366" s="3" t="str">
        <f>IFERROR(__xludf.DUMMYFUNCTION("MID(REGEXEXTRACT(C366,""contain.*$""),9,300)"),"2 dim olive bags, 5 bright brown bags.")</f>
        <v>2 dim olive bags, 5 bright brown bags.</v>
      </c>
      <c r="G366" s="3" t="str">
        <f>IFERROR(__xludf.DUMMYFUNCTION("INDEX(SPLIT($F366,"",""),COLUMN()-6)"),"2 dim olive bags")</f>
        <v>2 dim olive bags</v>
      </c>
      <c r="H366" s="3" t="str">
        <f>IFERROR(__xludf.DUMMYFUNCTION("MID(INDEX(SPLIT($F366,"",""),COLUMN()-6),2,300)"),"5 bright brown bags.")</f>
        <v>5 bright brown bags.</v>
      </c>
      <c r="I366" s="3" t="str">
        <f>IFERROR(__xludf.DUMMYFUNCTION("MID(INDEX(SPLIT($F366,"",""),COLUMN()-6),2,300)"),"#REF!")</f>
        <v>#REF!</v>
      </c>
      <c r="J366" s="3" t="str">
        <f>IFERROR(__xludf.DUMMYFUNCTION("MID(INDEX(SPLIT($F366,"",""),COLUMN()-6),2,300)"),"#REF!")</f>
        <v>#REF!</v>
      </c>
      <c r="K366" s="3">
        <f>IFERROR(__xludf.DUMMYFUNCTION("INDEX(SPLIT(G366,"" ""),1)"),2.0)</f>
        <v>2</v>
      </c>
      <c r="L366" s="3" t="str">
        <f>IFERROR(__xludf.DUMMYFUNCTION("REGEXEXTRACT(G366,"" [^ ]* [^ ]* "")")," dim olive ")</f>
        <v> dim olive </v>
      </c>
      <c r="M366" s="3">
        <f>IFERROR(__xludf.DUMMYFUNCTION("INDEX(SPLIT(H366,"" ""),1)"),5.0)</f>
        <v>5</v>
      </c>
      <c r="N366" s="3" t="str">
        <f>IFERROR(__xludf.DUMMYFUNCTION("MID(REGEXEXTRACT(H366,"" [^ ]* [^ ]*""),2,300)"),"bright brown")</f>
        <v>bright brown</v>
      </c>
      <c r="O366" s="3" t="str">
        <f>IFERROR(__xludf.DUMMYFUNCTION("INDEX(SPLIT(I366,"" ""),1)"),"#REF!")</f>
        <v>#REF!</v>
      </c>
      <c r="P366" s="3" t="str">
        <f>IFERROR(__xludf.DUMMYFUNCTION("MID(REGEXEXTRACT(I366,"" [^ ]* [^ ]*""),2,300)"),"#REF!")</f>
        <v>#REF!</v>
      </c>
      <c r="Q366" s="3" t="str">
        <f>IFERROR(__xludf.DUMMYFUNCTION("INDEX(SPLIT(J366,"" ""),1)"),"#REF!")</f>
        <v>#REF!</v>
      </c>
      <c r="R366" s="3" t="str">
        <f>IFERROR(__xludf.DUMMYFUNCTION("MID(REGEXEXTRACT(J366,"" [^ ]* [^ ]*""),2,300)"),"#REF!")</f>
        <v>#REF!</v>
      </c>
      <c r="S366" s="3">
        <f t="shared" si="2"/>
        <v>2</v>
      </c>
      <c r="T366" s="3" t="str">
        <f t="shared" si="3"/>
        <v>dim olive</v>
      </c>
      <c r="U366" s="3">
        <f t="shared" si="4"/>
        <v>5</v>
      </c>
      <c r="V366" s="3" t="str">
        <f t="shared" si="5"/>
        <v>bright brown</v>
      </c>
      <c r="W366" s="3" t="str">
        <f t="shared" si="6"/>
        <v/>
      </c>
      <c r="X366" s="3" t="str">
        <f t="shared" si="7"/>
        <v/>
      </c>
      <c r="Y366" s="3" t="str">
        <f t="shared" si="8"/>
        <v/>
      </c>
      <c r="Z366" s="3" t="str">
        <f t="shared" si="9"/>
        <v/>
      </c>
      <c r="AA366" s="13">
        <f t="shared" si="10"/>
        <v>8</v>
      </c>
      <c r="AB366" s="3">
        <f t="shared" si="11"/>
        <v>7</v>
      </c>
      <c r="AC366" s="3">
        <f t="shared" si="12"/>
        <v>2</v>
      </c>
      <c r="AD366" s="3">
        <f t="shared" si="13"/>
        <v>1</v>
      </c>
      <c r="AE366" s="3">
        <f t="shared" si="14"/>
        <v>5</v>
      </c>
      <c r="AF366" s="3">
        <f t="shared" si="15"/>
        <v>1</v>
      </c>
      <c r="AG366" s="3" t="str">
        <f t="shared" si="16"/>
        <v/>
      </c>
      <c r="AH366" s="3">
        <f t="shared" si="17"/>
        <v>0</v>
      </c>
      <c r="AI366" s="3" t="str">
        <f t="shared" si="18"/>
        <v/>
      </c>
      <c r="AJ366" s="3">
        <f t="shared" si="19"/>
        <v>0</v>
      </c>
    </row>
    <row r="367">
      <c r="C367" s="6" t="s">
        <v>367</v>
      </c>
      <c r="D367" s="3">
        <f t="shared" si="1"/>
        <v>1</v>
      </c>
      <c r="E367" s="3" t="str">
        <f>IFERROR(__xludf.DUMMYFUNCTION("REGEXEXTRACT(C367,""[^ ]* [^ ]*"")"),"dark brown")</f>
        <v>dark brown</v>
      </c>
      <c r="F367" s="3" t="str">
        <f>IFERROR(__xludf.DUMMYFUNCTION("MID(REGEXEXTRACT(C367,""contain.*$""),9,300)"),"5 dotted purple bags, 2 striped silver bags.")</f>
        <v>5 dotted purple bags, 2 striped silver bags.</v>
      </c>
      <c r="G367" s="3" t="str">
        <f>IFERROR(__xludf.DUMMYFUNCTION("INDEX(SPLIT($F367,"",""),COLUMN()-6)"),"5 dotted purple bags")</f>
        <v>5 dotted purple bags</v>
      </c>
      <c r="H367" s="3" t="str">
        <f>IFERROR(__xludf.DUMMYFUNCTION("MID(INDEX(SPLIT($F367,"",""),COLUMN()-6),2,300)"),"2 striped silver bags.")</f>
        <v>2 striped silver bags.</v>
      </c>
      <c r="I367" s="3" t="str">
        <f>IFERROR(__xludf.DUMMYFUNCTION("MID(INDEX(SPLIT($F367,"",""),COLUMN()-6),2,300)"),"#REF!")</f>
        <v>#REF!</v>
      </c>
      <c r="J367" s="3" t="str">
        <f>IFERROR(__xludf.DUMMYFUNCTION("MID(INDEX(SPLIT($F367,"",""),COLUMN()-6),2,300)"),"#REF!")</f>
        <v>#REF!</v>
      </c>
      <c r="K367" s="3">
        <f>IFERROR(__xludf.DUMMYFUNCTION("INDEX(SPLIT(G367,"" ""),1)"),5.0)</f>
        <v>5</v>
      </c>
      <c r="L367" s="3" t="str">
        <f>IFERROR(__xludf.DUMMYFUNCTION("REGEXEXTRACT(G367,"" [^ ]* [^ ]* "")")," dotted purple ")</f>
        <v> dotted purple </v>
      </c>
      <c r="M367" s="3">
        <f>IFERROR(__xludf.DUMMYFUNCTION("INDEX(SPLIT(H367,"" ""),1)"),2.0)</f>
        <v>2</v>
      </c>
      <c r="N367" s="3" t="str">
        <f>IFERROR(__xludf.DUMMYFUNCTION("MID(REGEXEXTRACT(H367,"" [^ ]* [^ ]*""),2,300)"),"striped silver")</f>
        <v>striped silver</v>
      </c>
      <c r="O367" s="3" t="str">
        <f>IFERROR(__xludf.DUMMYFUNCTION("INDEX(SPLIT(I367,"" ""),1)"),"#REF!")</f>
        <v>#REF!</v>
      </c>
      <c r="P367" s="3" t="str">
        <f>IFERROR(__xludf.DUMMYFUNCTION("MID(REGEXEXTRACT(I367,"" [^ ]* [^ ]*""),2,300)"),"#REF!")</f>
        <v>#REF!</v>
      </c>
      <c r="Q367" s="3" t="str">
        <f>IFERROR(__xludf.DUMMYFUNCTION("INDEX(SPLIT(J367,"" ""),1)"),"#REF!")</f>
        <v>#REF!</v>
      </c>
      <c r="R367" s="3" t="str">
        <f>IFERROR(__xludf.DUMMYFUNCTION("MID(REGEXEXTRACT(J367,"" [^ ]* [^ ]*""),2,300)"),"#REF!")</f>
        <v>#REF!</v>
      </c>
      <c r="S367" s="3">
        <f t="shared" si="2"/>
        <v>5</v>
      </c>
      <c r="T367" s="3" t="str">
        <f t="shared" si="3"/>
        <v>dotted purple</v>
      </c>
      <c r="U367" s="3">
        <f t="shared" si="4"/>
        <v>2</v>
      </c>
      <c r="V367" s="3" t="str">
        <f t="shared" si="5"/>
        <v>striped silver</v>
      </c>
      <c r="W367" s="3" t="str">
        <f t="shared" si="6"/>
        <v/>
      </c>
      <c r="X367" s="3" t="str">
        <f t="shared" si="7"/>
        <v/>
      </c>
      <c r="Y367" s="3" t="str">
        <f t="shared" si="8"/>
        <v/>
      </c>
      <c r="Z367" s="3" t="str">
        <f t="shared" si="9"/>
        <v/>
      </c>
      <c r="AA367" s="13">
        <f t="shared" si="10"/>
        <v>134569</v>
      </c>
      <c r="AB367" s="3">
        <f t="shared" si="11"/>
        <v>134568</v>
      </c>
      <c r="AC367" s="3">
        <f t="shared" si="12"/>
        <v>5</v>
      </c>
      <c r="AD367" s="3">
        <f t="shared" si="13"/>
        <v>19266</v>
      </c>
      <c r="AE367" s="3">
        <f t="shared" si="14"/>
        <v>2</v>
      </c>
      <c r="AF367" s="3">
        <f t="shared" si="15"/>
        <v>19119</v>
      </c>
      <c r="AG367" s="3" t="str">
        <f t="shared" si="16"/>
        <v/>
      </c>
      <c r="AH367" s="3">
        <f t="shared" si="17"/>
        <v>0</v>
      </c>
      <c r="AI367" s="3" t="str">
        <f t="shared" si="18"/>
        <v/>
      </c>
      <c r="AJ367" s="3">
        <f t="shared" si="19"/>
        <v>0</v>
      </c>
    </row>
    <row r="368">
      <c r="C368" s="6" t="s">
        <v>368</v>
      </c>
      <c r="D368" s="3">
        <f t="shared" si="1"/>
        <v>3</v>
      </c>
      <c r="E368" s="3" t="str">
        <f>IFERROR(__xludf.DUMMYFUNCTION("REGEXEXTRACT(C368,""[^ ]* [^ ]*"")"),"muted lavender")</f>
        <v>muted lavender</v>
      </c>
      <c r="F368" s="3" t="str">
        <f>IFERROR(__xludf.DUMMYFUNCTION("MID(REGEXEXTRACT(C368,""contain.*$""),9,300)"),"3 posh brown bags, 2 clear yellow bags, 3 posh coral bags, 1 shiny tan bag.")</f>
        <v>3 posh brown bags, 2 clear yellow bags, 3 posh coral bags, 1 shiny tan bag.</v>
      </c>
      <c r="G368" s="3" t="str">
        <f>IFERROR(__xludf.DUMMYFUNCTION("INDEX(SPLIT($F368,"",""),COLUMN()-6)"),"3 posh brown bags")</f>
        <v>3 posh brown bags</v>
      </c>
      <c r="H368" s="3" t="str">
        <f>IFERROR(__xludf.DUMMYFUNCTION("MID(INDEX(SPLIT($F368,"",""),COLUMN()-6),2,300)"),"2 clear yellow bags")</f>
        <v>2 clear yellow bags</v>
      </c>
      <c r="I368" s="3" t="str">
        <f>IFERROR(__xludf.DUMMYFUNCTION("MID(INDEX(SPLIT($F368,"",""),COLUMN()-6),2,300)"),"3 posh coral bags")</f>
        <v>3 posh coral bags</v>
      </c>
      <c r="J368" s="3" t="str">
        <f>IFERROR(__xludf.DUMMYFUNCTION("MID(INDEX(SPLIT($F368,"",""),COLUMN()-6),2,300)"),"1 shiny tan bag.")</f>
        <v>1 shiny tan bag.</v>
      </c>
      <c r="K368" s="3">
        <f>IFERROR(__xludf.DUMMYFUNCTION("INDEX(SPLIT(G368,"" ""),1)"),3.0)</f>
        <v>3</v>
      </c>
      <c r="L368" s="3" t="str">
        <f>IFERROR(__xludf.DUMMYFUNCTION("REGEXEXTRACT(G368,"" [^ ]* [^ ]* "")")," posh brown ")</f>
        <v> posh brown </v>
      </c>
      <c r="M368" s="3">
        <f>IFERROR(__xludf.DUMMYFUNCTION("INDEX(SPLIT(H368,"" ""),1)"),2.0)</f>
        <v>2</v>
      </c>
      <c r="N368" s="3" t="str">
        <f>IFERROR(__xludf.DUMMYFUNCTION("MID(REGEXEXTRACT(H368,"" [^ ]* [^ ]*""),2,300)"),"clear yellow")</f>
        <v>clear yellow</v>
      </c>
      <c r="O368" s="3">
        <f>IFERROR(__xludf.DUMMYFUNCTION("INDEX(SPLIT(I368,"" ""),1)"),3.0)</f>
        <v>3</v>
      </c>
      <c r="P368" s="3" t="str">
        <f>IFERROR(__xludf.DUMMYFUNCTION("MID(REGEXEXTRACT(I368,"" [^ ]* [^ ]*""),2,300)"),"posh coral")</f>
        <v>posh coral</v>
      </c>
      <c r="Q368" s="3">
        <f>IFERROR(__xludf.DUMMYFUNCTION("INDEX(SPLIT(J368,"" ""),1)"),1.0)</f>
        <v>1</v>
      </c>
      <c r="R368" s="3" t="str">
        <f>IFERROR(__xludf.DUMMYFUNCTION("MID(REGEXEXTRACT(J368,"" [^ ]* [^ ]*""),2,300)"),"shiny tan")</f>
        <v>shiny tan</v>
      </c>
      <c r="S368" s="3">
        <f t="shared" si="2"/>
        <v>3</v>
      </c>
      <c r="T368" s="3" t="str">
        <f t="shared" si="3"/>
        <v>posh brown</v>
      </c>
      <c r="U368" s="3">
        <f t="shared" si="4"/>
        <v>2</v>
      </c>
      <c r="V368" s="3" t="str">
        <f t="shared" si="5"/>
        <v>clear yellow</v>
      </c>
      <c r="W368" s="3">
        <f t="shared" si="6"/>
        <v>3</v>
      </c>
      <c r="X368" s="3" t="str">
        <f t="shared" si="7"/>
        <v>posh coral</v>
      </c>
      <c r="Y368" s="3">
        <f t="shared" si="8"/>
        <v>1</v>
      </c>
      <c r="Z368" s="3" t="str">
        <f t="shared" si="9"/>
        <v>shiny tan</v>
      </c>
      <c r="AA368" s="13">
        <f t="shared" si="10"/>
        <v>214529</v>
      </c>
      <c r="AB368" s="3">
        <f t="shared" si="11"/>
        <v>214528</v>
      </c>
      <c r="AC368" s="3">
        <f t="shared" si="12"/>
        <v>3</v>
      </c>
      <c r="AD368" s="3">
        <f t="shared" si="13"/>
        <v>36149</v>
      </c>
      <c r="AE368" s="3">
        <f t="shared" si="14"/>
        <v>2</v>
      </c>
      <c r="AF368" s="3">
        <f t="shared" si="15"/>
        <v>18111</v>
      </c>
      <c r="AG368" s="3">
        <f t="shared" si="16"/>
        <v>3</v>
      </c>
      <c r="AH368" s="3">
        <f t="shared" si="17"/>
        <v>1</v>
      </c>
      <c r="AI368" s="3">
        <f t="shared" si="18"/>
        <v>1</v>
      </c>
      <c r="AJ368" s="3">
        <f t="shared" si="19"/>
        <v>69856</v>
      </c>
    </row>
    <row r="369">
      <c r="C369" s="6" t="s">
        <v>369</v>
      </c>
      <c r="D369" s="3">
        <f t="shared" si="1"/>
        <v>3</v>
      </c>
      <c r="E369" s="3" t="str">
        <f>IFERROR(__xludf.DUMMYFUNCTION("REGEXEXTRACT(C369,""[^ ]* [^ ]*"")"),"muted bronze")</f>
        <v>muted bronze</v>
      </c>
      <c r="F369" s="3" t="str">
        <f>IFERROR(__xludf.DUMMYFUNCTION("MID(REGEXEXTRACT(C369,""contain.*$""),9,300)"),"1 drab teal bag, 5 drab tomato bags, 1 drab magenta bag, 5 posh maroon bags.")</f>
        <v>1 drab teal bag, 5 drab tomato bags, 1 drab magenta bag, 5 posh maroon bags.</v>
      </c>
      <c r="G369" s="3" t="str">
        <f>IFERROR(__xludf.DUMMYFUNCTION("INDEX(SPLIT($F369,"",""),COLUMN()-6)"),"1 drab teal bag")</f>
        <v>1 drab teal bag</v>
      </c>
      <c r="H369" s="3" t="str">
        <f>IFERROR(__xludf.DUMMYFUNCTION("MID(INDEX(SPLIT($F369,"",""),COLUMN()-6),2,300)"),"5 drab tomato bags")</f>
        <v>5 drab tomato bags</v>
      </c>
      <c r="I369" s="3" t="str">
        <f>IFERROR(__xludf.DUMMYFUNCTION("MID(INDEX(SPLIT($F369,"",""),COLUMN()-6),2,300)"),"1 drab magenta bag")</f>
        <v>1 drab magenta bag</v>
      </c>
      <c r="J369" s="3" t="str">
        <f>IFERROR(__xludf.DUMMYFUNCTION("MID(INDEX(SPLIT($F369,"",""),COLUMN()-6),2,300)"),"5 posh maroon bags.")</f>
        <v>5 posh maroon bags.</v>
      </c>
      <c r="K369" s="3">
        <f>IFERROR(__xludf.DUMMYFUNCTION("INDEX(SPLIT(G369,"" ""),1)"),1.0)</f>
        <v>1</v>
      </c>
      <c r="L369" s="3" t="str">
        <f>IFERROR(__xludf.DUMMYFUNCTION("REGEXEXTRACT(G369,"" [^ ]* [^ ]* "")")," drab teal ")</f>
        <v> drab teal </v>
      </c>
      <c r="M369" s="3">
        <f>IFERROR(__xludf.DUMMYFUNCTION("INDEX(SPLIT(H369,"" ""),1)"),5.0)</f>
        <v>5</v>
      </c>
      <c r="N369" s="3" t="str">
        <f>IFERROR(__xludf.DUMMYFUNCTION("MID(REGEXEXTRACT(H369,"" [^ ]* [^ ]*""),2,300)"),"drab tomato")</f>
        <v>drab tomato</v>
      </c>
      <c r="O369" s="3">
        <f>IFERROR(__xludf.DUMMYFUNCTION("INDEX(SPLIT(I369,"" ""),1)"),1.0)</f>
        <v>1</v>
      </c>
      <c r="P369" s="3" t="str">
        <f>IFERROR(__xludf.DUMMYFUNCTION("MID(REGEXEXTRACT(I369,"" [^ ]* [^ ]*""),2,300)"),"drab magenta")</f>
        <v>drab magenta</v>
      </c>
      <c r="Q369" s="3">
        <f>IFERROR(__xludf.DUMMYFUNCTION("INDEX(SPLIT(J369,"" ""),1)"),5.0)</f>
        <v>5</v>
      </c>
      <c r="R369" s="3" t="str">
        <f>IFERROR(__xludf.DUMMYFUNCTION("MID(REGEXEXTRACT(J369,"" [^ ]* [^ ]*""),2,300)"),"posh maroon")</f>
        <v>posh maroon</v>
      </c>
      <c r="S369" s="3">
        <f t="shared" si="2"/>
        <v>1</v>
      </c>
      <c r="T369" s="3" t="str">
        <f t="shared" si="3"/>
        <v>drab teal</v>
      </c>
      <c r="U369" s="3">
        <f t="shared" si="4"/>
        <v>5</v>
      </c>
      <c r="V369" s="3" t="str">
        <f t="shared" si="5"/>
        <v>drab tomato</v>
      </c>
      <c r="W369" s="3">
        <f t="shared" si="6"/>
        <v>1</v>
      </c>
      <c r="X369" s="3" t="str">
        <f t="shared" si="7"/>
        <v>drab magenta</v>
      </c>
      <c r="Y369" s="3">
        <f t="shared" si="8"/>
        <v>5</v>
      </c>
      <c r="Z369" s="3" t="str">
        <f t="shared" si="9"/>
        <v>posh maroon</v>
      </c>
      <c r="AA369" s="13">
        <f t="shared" si="10"/>
        <v>134923469</v>
      </c>
      <c r="AB369" s="3">
        <f t="shared" si="11"/>
        <v>134923468</v>
      </c>
      <c r="AC369" s="3">
        <f t="shared" si="12"/>
        <v>1</v>
      </c>
      <c r="AD369" s="3">
        <f t="shared" si="13"/>
        <v>40693</v>
      </c>
      <c r="AE369" s="3">
        <f t="shared" si="14"/>
        <v>5</v>
      </c>
      <c r="AF369" s="3">
        <f t="shared" si="15"/>
        <v>38687</v>
      </c>
      <c r="AG369" s="3">
        <f t="shared" si="16"/>
        <v>1</v>
      </c>
      <c r="AH369" s="3">
        <f t="shared" si="17"/>
        <v>1225</v>
      </c>
      <c r="AI369" s="3">
        <f t="shared" si="18"/>
        <v>5</v>
      </c>
      <c r="AJ369" s="3">
        <f t="shared" si="19"/>
        <v>26937623</v>
      </c>
    </row>
    <row r="370">
      <c r="C370" s="6" t="s">
        <v>370</v>
      </c>
      <c r="D370" s="3">
        <f t="shared" si="1"/>
        <v>1</v>
      </c>
      <c r="E370" s="3" t="str">
        <f>IFERROR(__xludf.DUMMYFUNCTION("REGEXEXTRACT(C370,""[^ ]* [^ ]*"")"),"posh violet")</f>
        <v>posh violet</v>
      </c>
      <c r="F370" s="3" t="str">
        <f>IFERROR(__xludf.DUMMYFUNCTION("MID(REGEXEXTRACT(C370,""contain.*$""),9,300)"),"5 bright white bags, 5 vibrant tan bags.")</f>
        <v>5 bright white bags, 5 vibrant tan bags.</v>
      </c>
      <c r="G370" s="3" t="str">
        <f>IFERROR(__xludf.DUMMYFUNCTION("INDEX(SPLIT($F370,"",""),COLUMN()-6)"),"5 bright white bags")</f>
        <v>5 bright white bags</v>
      </c>
      <c r="H370" s="3" t="str">
        <f>IFERROR(__xludf.DUMMYFUNCTION("MID(INDEX(SPLIT($F370,"",""),COLUMN()-6),2,300)"),"5 vibrant tan bags.")</f>
        <v>5 vibrant tan bags.</v>
      </c>
      <c r="I370" s="3" t="str">
        <f>IFERROR(__xludf.DUMMYFUNCTION("MID(INDEX(SPLIT($F370,"",""),COLUMN()-6),2,300)"),"#REF!")</f>
        <v>#REF!</v>
      </c>
      <c r="J370" s="3" t="str">
        <f>IFERROR(__xludf.DUMMYFUNCTION("MID(INDEX(SPLIT($F370,"",""),COLUMN()-6),2,300)"),"#REF!")</f>
        <v>#REF!</v>
      </c>
      <c r="K370" s="3">
        <f>IFERROR(__xludf.DUMMYFUNCTION("INDEX(SPLIT(G370,"" ""),1)"),5.0)</f>
        <v>5</v>
      </c>
      <c r="L370" s="3" t="str">
        <f>IFERROR(__xludf.DUMMYFUNCTION("REGEXEXTRACT(G370,"" [^ ]* [^ ]* "")")," bright white ")</f>
        <v> bright white </v>
      </c>
      <c r="M370" s="3">
        <f>IFERROR(__xludf.DUMMYFUNCTION("INDEX(SPLIT(H370,"" ""),1)"),5.0)</f>
        <v>5</v>
      </c>
      <c r="N370" s="3" t="str">
        <f>IFERROR(__xludf.DUMMYFUNCTION("MID(REGEXEXTRACT(H370,"" [^ ]* [^ ]*""),2,300)"),"vibrant tan")</f>
        <v>vibrant tan</v>
      </c>
      <c r="O370" s="3" t="str">
        <f>IFERROR(__xludf.DUMMYFUNCTION("INDEX(SPLIT(I370,"" ""),1)"),"#REF!")</f>
        <v>#REF!</v>
      </c>
      <c r="P370" s="3" t="str">
        <f>IFERROR(__xludf.DUMMYFUNCTION("MID(REGEXEXTRACT(I370,"" [^ ]* [^ ]*""),2,300)"),"#REF!")</f>
        <v>#REF!</v>
      </c>
      <c r="Q370" s="3" t="str">
        <f>IFERROR(__xludf.DUMMYFUNCTION("INDEX(SPLIT(J370,"" ""),1)"),"#REF!")</f>
        <v>#REF!</v>
      </c>
      <c r="R370" s="3" t="str">
        <f>IFERROR(__xludf.DUMMYFUNCTION("MID(REGEXEXTRACT(J370,"" [^ ]* [^ ]*""),2,300)"),"#REF!")</f>
        <v>#REF!</v>
      </c>
      <c r="S370" s="3">
        <f t="shared" si="2"/>
        <v>5</v>
      </c>
      <c r="T370" s="3" t="str">
        <f t="shared" si="3"/>
        <v>bright white</v>
      </c>
      <c r="U370" s="3">
        <f t="shared" si="4"/>
        <v>5</v>
      </c>
      <c r="V370" s="3" t="str">
        <f t="shared" si="5"/>
        <v>vibrant tan</v>
      </c>
      <c r="W370" s="3" t="str">
        <f t="shared" si="6"/>
        <v/>
      </c>
      <c r="X370" s="3" t="str">
        <f t="shared" si="7"/>
        <v/>
      </c>
      <c r="Y370" s="3" t="str">
        <f t="shared" si="8"/>
        <v/>
      </c>
      <c r="Z370" s="3" t="str">
        <f t="shared" si="9"/>
        <v/>
      </c>
      <c r="AA370" s="13">
        <f t="shared" si="10"/>
        <v>126070296</v>
      </c>
      <c r="AB370" s="3">
        <f t="shared" si="11"/>
        <v>126070295</v>
      </c>
      <c r="AC370" s="3">
        <f t="shared" si="12"/>
        <v>5</v>
      </c>
      <c r="AD370" s="3">
        <f t="shared" si="13"/>
        <v>24984108</v>
      </c>
      <c r="AE370" s="3">
        <f t="shared" si="14"/>
        <v>5</v>
      </c>
      <c r="AF370" s="3">
        <f t="shared" si="15"/>
        <v>229951</v>
      </c>
      <c r="AG370" s="3" t="str">
        <f t="shared" si="16"/>
        <v/>
      </c>
      <c r="AH370" s="3">
        <f t="shared" si="17"/>
        <v>0</v>
      </c>
      <c r="AI370" s="3" t="str">
        <f t="shared" si="18"/>
        <v/>
      </c>
      <c r="AJ370" s="3">
        <f t="shared" si="19"/>
        <v>0</v>
      </c>
    </row>
    <row r="371">
      <c r="C371" s="6" t="s">
        <v>371</v>
      </c>
      <c r="D371" s="3">
        <f t="shared" si="1"/>
        <v>1</v>
      </c>
      <c r="E371" s="3" t="str">
        <f>IFERROR(__xludf.DUMMYFUNCTION("REGEXEXTRACT(C371,""[^ ]* [^ ]*"")"),"clear green")</f>
        <v>clear green</v>
      </c>
      <c r="F371" s="3" t="str">
        <f>IFERROR(__xludf.DUMMYFUNCTION("MID(REGEXEXTRACT(C371,""contain.*$""),9,300)"),"3 mirrored silver bags, 2 dotted orange bags.")</f>
        <v>3 mirrored silver bags, 2 dotted orange bags.</v>
      </c>
      <c r="G371" s="3" t="str">
        <f>IFERROR(__xludf.DUMMYFUNCTION("INDEX(SPLIT($F371,"",""),COLUMN()-6)"),"3 mirrored silver bags")</f>
        <v>3 mirrored silver bags</v>
      </c>
      <c r="H371" s="3" t="str">
        <f>IFERROR(__xludf.DUMMYFUNCTION("MID(INDEX(SPLIT($F371,"",""),COLUMN()-6),2,300)"),"2 dotted orange bags.")</f>
        <v>2 dotted orange bags.</v>
      </c>
      <c r="I371" s="3" t="str">
        <f>IFERROR(__xludf.DUMMYFUNCTION("MID(INDEX(SPLIT($F371,"",""),COLUMN()-6),2,300)"),"#REF!")</f>
        <v>#REF!</v>
      </c>
      <c r="J371" s="3" t="str">
        <f>IFERROR(__xludf.DUMMYFUNCTION("MID(INDEX(SPLIT($F371,"",""),COLUMN()-6),2,300)"),"#REF!")</f>
        <v>#REF!</v>
      </c>
      <c r="K371" s="3">
        <f>IFERROR(__xludf.DUMMYFUNCTION("INDEX(SPLIT(G371,"" ""),1)"),3.0)</f>
        <v>3</v>
      </c>
      <c r="L371" s="3" t="str">
        <f>IFERROR(__xludf.DUMMYFUNCTION("REGEXEXTRACT(G371,"" [^ ]* [^ ]* "")")," mirrored silver ")</f>
        <v> mirrored silver </v>
      </c>
      <c r="M371" s="3">
        <f>IFERROR(__xludf.DUMMYFUNCTION("INDEX(SPLIT(H371,"" ""),1)"),2.0)</f>
        <v>2</v>
      </c>
      <c r="N371" s="3" t="str">
        <f>IFERROR(__xludf.DUMMYFUNCTION("MID(REGEXEXTRACT(H371,"" [^ ]* [^ ]*""),2,300)"),"dotted orange")</f>
        <v>dotted orange</v>
      </c>
      <c r="O371" s="3" t="str">
        <f>IFERROR(__xludf.DUMMYFUNCTION("INDEX(SPLIT(I371,"" ""),1)"),"#REF!")</f>
        <v>#REF!</v>
      </c>
      <c r="P371" s="3" t="str">
        <f>IFERROR(__xludf.DUMMYFUNCTION("MID(REGEXEXTRACT(I371,"" [^ ]* [^ ]*""),2,300)"),"#REF!")</f>
        <v>#REF!</v>
      </c>
      <c r="Q371" s="3" t="str">
        <f>IFERROR(__xludf.DUMMYFUNCTION("INDEX(SPLIT(J371,"" ""),1)"),"#REF!")</f>
        <v>#REF!</v>
      </c>
      <c r="R371" s="3" t="str">
        <f>IFERROR(__xludf.DUMMYFUNCTION("MID(REGEXEXTRACT(J371,"" [^ ]* [^ ]*""),2,300)"),"#REF!")</f>
        <v>#REF!</v>
      </c>
      <c r="S371" s="3">
        <f t="shared" si="2"/>
        <v>3</v>
      </c>
      <c r="T371" s="3" t="str">
        <f t="shared" si="3"/>
        <v>mirrored silver</v>
      </c>
      <c r="U371" s="3">
        <f t="shared" si="4"/>
        <v>2</v>
      </c>
      <c r="V371" s="3" t="str">
        <f t="shared" si="5"/>
        <v>dotted orange</v>
      </c>
      <c r="W371" s="3" t="str">
        <f t="shared" si="6"/>
        <v/>
      </c>
      <c r="X371" s="3" t="str">
        <f t="shared" si="7"/>
        <v/>
      </c>
      <c r="Y371" s="3" t="str">
        <f t="shared" si="8"/>
        <v/>
      </c>
      <c r="Z371" s="3" t="str">
        <f t="shared" si="9"/>
        <v/>
      </c>
      <c r="AA371" s="13">
        <f t="shared" si="10"/>
        <v>4719</v>
      </c>
      <c r="AB371" s="3">
        <f t="shared" si="11"/>
        <v>4718</v>
      </c>
      <c r="AC371" s="3">
        <f t="shared" si="12"/>
        <v>3</v>
      </c>
      <c r="AD371" s="3">
        <f t="shared" si="13"/>
        <v>386</v>
      </c>
      <c r="AE371" s="3">
        <f t="shared" si="14"/>
        <v>2</v>
      </c>
      <c r="AF371" s="3">
        <f t="shared" si="15"/>
        <v>1780</v>
      </c>
      <c r="AG371" s="3" t="str">
        <f t="shared" si="16"/>
        <v/>
      </c>
      <c r="AH371" s="3">
        <f t="shared" si="17"/>
        <v>0</v>
      </c>
      <c r="AI371" s="3" t="str">
        <f t="shared" si="18"/>
        <v/>
      </c>
      <c r="AJ371" s="3">
        <f t="shared" si="19"/>
        <v>0</v>
      </c>
    </row>
    <row r="372">
      <c r="C372" s="6" t="s">
        <v>372</v>
      </c>
      <c r="D372" s="3">
        <f t="shared" si="1"/>
        <v>2</v>
      </c>
      <c r="E372" s="3" t="str">
        <f>IFERROR(__xludf.DUMMYFUNCTION("REGEXEXTRACT(C372,""[^ ]* [^ ]*"")"),"dotted plum")</f>
        <v>dotted plum</v>
      </c>
      <c r="F372" s="3" t="str">
        <f>IFERROR(__xludf.DUMMYFUNCTION("MID(REGEXEXTRACT(C372,""contain.*$""),9,300)"),"3 plaid yellow bags, 1 wavy yellow bag, 1 drab cyan bag.")</f>
        <v>3 plaid yellow bags, 1 wavy yellow bag, 1 drab cyan bag.</v>
      </c>
      <c r="G372" s="3" t="str">
        <f>IFERROR(__xludf.DUMMYFUNCTION("INDEX(SPLIT($F372,"",""),COLUMN()-6)"),"3 plaid yellow bags")</f>
        <v>3 plaid yellow bags</v>
      </c>
      <c r="H372" s="3" t="str">
        <f>IFERROR(__xludf.DUMMYFUNCTION("MID(INDEX(SPLIT($F372,"",""),COLUMN()-6),2,300)"),"1 wavy yellow bag")</f>
        <v>1 wavy yellow bag</v>
      </c>
      <c r="I372" s="3" t="str">
        <f>IFERROR(__xludf.DUMMYFUNCTION("MID(INDEX(SPLIT($F372,"",""),COLUMN()-6),2,300)"),"1 drab cyan bag.")</f>
        <v>1 drab cyan bag.</v>
      </c>
      <c r="J372" s="3" t="str">
        <f>IFERROR(__xludf.DUMMYFUNCTION("MID(INDEX(SPLIT($F372,"",""),COLUMN()-6),2,300)"),"#REF!")</f>
        <v>#REF!</v>
      </c>
      <c r="K372" s="3">
        <f>IFERROR(__xludf.DUMMYFUNCTION("INDEX(SPLIT(G372,"" ""),1)"),3.0)</f>
        <v>3</v>
      </c>
      <c r="L372" s="3" t="str">
        <f>IFERROR(__xludf.DUMMYFUNCTION("REGEXEXTRACT(G372,"" [^ ]* [^ ]* "")")," plaid yellow ")</f>
        <v> plaid yellow </v>
      </c>
      <c r="M372" s="3">
        <f>IFERROR(__xludf.DUMMYFUNCTION("INDEX(SPLIT(H372,"" ""),1)"),1.0)</f>
        <v>1</v>
      </c>
      <c r="N372" s="3" t="str">
        <f>IFERROR(__xludf.DUMMYFUNCTION("MID(REGEXEXTRACT(H372,"" [^ ]* [^ ]*""),2,300)"),"wavy yellow")</f>
        <v>wavy yellow</v>
      </c>
      <c r="O372" s="3">
        <f>IFERROR(__xludf.DUMMYFUNCTION("INDEX(SPLIT(I372,"" ""),1)"),1.0)</f>
        <v>1</v>
      </c>
      <c r="P372" s="3" t="str">
        <f>IFERROR(__xludf.DUMMYFUNCTION("MID(REGEXEXTRACT(I372,"" [^ ]* [^ ]*""),2,300)"),"drab cyan")</f>
        <v>drab cyan</v>
      </c>
      <c r="Q372" s="3" t="str">
        <f>IFERROR(__xludf.DUMMYFUNCTION("INDEX(SPLIT(J372,"" ""),1)"),"#REF!")</f>
        <v>#REF!</v>
      </c>
      <c r="R372" s="3" t="str">
        <f>IFERROR(__xludf.DUMMYFUNCTION("MID(REGEXEXTRACT(J372,"" [^ ]* [^ ]*""),2,300)"),"#REF!")</f>
        <v>#REF!</v>
      </c>
      <c r="S372" s="3">
        <f t="shared" si="2"/>
        <v>3</v>
      </c>
      <c r="T372" s="3" t="str">
        <f t="shared" si="3"/>
        <v>plaid yellow</v>
      </c>
      <c r="U372" s="3">
        <f t="shared" si="4"/>
        <v>1</v>
      </c>
      <c r="V372" s="3" t="str">
        <f t="shared" si="5"/>
        <v>wavy yellow</v>
      </c>
      <c r="W372" s="3">
        <f t="shared" si="6"/>
        <v>1</v>
      </c>
      <c r="X372" s="3" t="str">
        <f t="shared" si="7"/>
        <v>drab cyan</v>
      </c>
      <c r="Y372" s="3" t="str">
        <f t="shared" si="8"/>
        <v/>
      </c>
      <c r="Z372" s="3" t="str">
        <f t="shared" si="9"/>
        <v/>
      </c>
      <c r="AA372" s="13">
        <f t="shared" si="10"/>
        <v>172202520</v>
      </c>
      <c r="AB372" s="3">
        <f t="shared" si="11"/>
        <v>172202519</v>
      </c>
      <c r="AC372" s="3">
        <f t="shared" si="12"/>
        <v>3</v>
      </c>
      <c r="AD372" s="3">
        <f t="shared" si="13"/>
        <v>57101279</v>
      </c>
      <c r="AE372" s="3">
        <f t="shared" si="14"/>
        <v>1</v>
      </c>
      <c r="AF372" s="3">
        <f t="shared" si="15"/>
        <v>25486</v>
      </c>
      <c r="AG372" s="3">
        <f t="shared" si="16"/>
        <v>1</v>
      </c>
      <c r="AH372" s="3">
        <f t="shared" si="17"/>
        <v>873196</v>
      </c>
      <c r="AI372" s="3" t="str">
        <f t="shared" si="18"/>
        <v/>
      </c>
      <c r="AJ372" s="3">
        <f t="shared" si="19"/>
        <v>0</v>
      </c>
    </row>
    <row r="373">
      <c r="C373" s="6" t="s">
        <v>373</v>
      </c>
      <c r="D373" s="3">
        <f t="shared" si="1"/>
        <v>0</v>
      </c>
      <c r="E373" s="3" t="str">
        <f>IFERROR(__xludf.DUMMYFUNCTION("REGEXEXTRACT(C373,""[^ ]* [^ ]*"")"),"drab olive")</f>
        <v>drab olive</v>
      </c>
      <c r="F373" s="3" t="str">
        <f>IFERROR(__xludf.DUMMYFUNCTION("MID(REGEXEXTRACT(C373,""contain.*$""),9,300)"),"1 shiny indigo bag.")</f>
        <v>1 shiny indigo bag.</v>
      </c>
      <c r="G373" s="3" t="str">
        <f>IFERROR(__xludf.DUMMYFUNCTION("INDEX(SPLIT($F373,"",""),COLUMN()-6)"),"1 shiny indigo bag.")</f>
        <v>1 shiny indigo bag.</v>
      </c>
      <c r="H373" s="3" t="str">
        <f>IFERROR(__xludf.DUMMYFUNCTION("MID(INDEX(SPLIT($F373,"",""),COLUMN()-6),2,300)"),"#REF!")</f>
        <v>#REF!</v>
      </c>
      <c r="I373" s="3" t="str">
        <f>IFERROR(__xludf.DUMMYFUNCTION("MID(INDEX(SPLIT($F373,"",""),COLUMN()-6),2,300)"),"#REF!")</f>
        <v>#REF!</v>
      </c>
      <c r="J373" s="3" t="str">
        <f>IFERROR(__xludf.DUMMYFUNCTION("MID(INDEX(SPLIT($F373,"",""),COLUMN()-6),2,300)"),"#REF!")</f>
        <v>#REF!</v>
      </c>
      <c r="K373" s="3">
        <f>IFERROR(__xludf.DUMMYFUNCTION("INDEX(SPLIT(G373,"" ""),1)"),1.0)</f>
        <v>1</v>
      </c>
      <c r="L373" s="3" t="str">
        <f>IFERROR(__xludf.DUMMYFUNCTION("REGEXEXTRACT(G373,"" [^ ]* [^ ]* "")")," shiny indigo ")</f>
        <v> shiny indigo </v>
      </c>
      <c r="M373" s="3" t="str">
        <f>IFERROR(__xludf.DUMMYFUNCTION("INDEX(SPLIT(H373,"" ""),1)"),"#REF!")</f>
        <v>#REF!</v>
      </c>
      <c r="N373" s="3" t="str">
        <f>IFERROR(__xludf.DUMMYFUNCTION("MID(REGEXEXTRACT(H373,"" [^ ]* [^ ]*""),2,300)"),"#REF!")</f>
        <v>#REF!</v>
      </c>
      <c r="O373" s="3" t="str">
        <f>IFERROR(__xludf.DUMMYFUNCTION("INDEX(SPLIT(I373,"" ""),1)"),"#REF!")</f>
        <v>#REF!</v>
      </c>
      <c r="P373" s="3" t="str">
        <f>IFERROR(__xludf.DUMMYFUNCTION("MID(REGEXEXTRACT(I373,"" [^ ]* [^ ]*""),2,300)"),"#REF!")</f>
        <v>#REF!</v>
      </c>
      <c r="Q373" s="3" t="str">
        <f>IFERROR(__xludf.DUMMYFUNCTION("INDEX(SPLIT(J373,"" ""),1)"),"#REF!")</f>
        <v>#REF!</v>
      </c>
      <c r="R373" s="3" t="str">
        <f>IFERROR(__xludf.DUMMYFUNCTION("MID(REGEXEXTRACT(J373,"" [^ ]* [^ ]*""),2,300)"),"#REF!")</f>
        <v>#REF!</v>
      </c>
      <c r="S373" s="3">
        <f t="shared" si="2"/>
        <v>1</v>
      </c>
      <c r="T373" s="3" t="str">
        <f t="shared" si="3"/>
        <v>shiny indigo</v>
      </c>
      <c r="U373" s="3" t="str">
        <f t="shared" si="4"/>
        <v/>
      </c>
      <c r="V373" s="3" t="str">
        <f t="shared" si="5"/>
        <v/>
      </c>
      <c r="W373" s="3" t="str">
        <f t="shared" si="6"/>
        <v/>
      </c>
      <c r="X373" s="3" t="str">
        <f t="shared" si="7"/>
        <v/>
      </c>
      <c r="Y373" s="3" t="str">
        <f t="shared" si="8"/>
        <v/>
      </c>
      <c r="Z373" s="3" t="str">
        <f t="shared" si="9"/>
        <v/>
      </c>
      <c r="AA373" s="13">
        <f t="shared" si="10"/>
        <v>754537</v>
      </c>
      <c r="AB373" s="3">
        <f t="shared" si="11"/>
        <v>754536</v>
      </c>
      <c r="AC373" s="3">
        <f t="shared" si="12"/>
        <v>1</v>
      </c>
      <c r="AD373" s="3">
        <f t="shared" si="13"/>
        <v>754536</v>
      </c>
      <c r="AE373" s="3" t="str">
        <f t="shared" si="14"/>
        <v/>
      </c>
      <c r="AF373" s="3">
        <f t="shared" si="15"/>
        <v>0</v>
      </c>
      <c r="AG373" s="3" t="str">
        <f t="shared" si="16"/>
        <v/>
      </c>
      <c r="AH373" s="3">
        <f t="shared" si="17"/>
        <v>0</v>
      </c>
      <c r="AI373" s="3" t="str">
        <f t="shared" si="18"/>
        <v/>
      </c>
      <c r="AJ373" s="3">
        <f t="shared" si="19"/>
        <v>0</v>
      </c>
    </row>
    <row r="374">
      <c r="C374" s="6" t="s">
        <v>374</v>
      </c>
      <c r="D374" s="3">
        <f t="shared" si="1"/>
        <v>0</v>
      </c>
      <c r="E374" s="3" t="str">
        <f>IFERROR(__xludf.DUMMYFUNCTION("REGEXEXTRACT(C374,""[^ ]* [^ ]*"")"),"wavy turquoise")</f>
        <v>wavy turquoise</v>
      </c>
      <c r="F374" s="3" t="str">
        <f>IFERROR(__xludf.DUMMYFUNCTION("MID(REGEXEXTRACT(C374,""contain.*$""),9,300)"),"3 muted yellow bags.")</f>
        <v>3 muted yellow bags.</v>
      </c>
      <c r="G374" s="3" t="str">
        <f>IFERROR(__xludf.DUMMYFUNCTION("INDEX(SPLIT($F374,"",""),COLUMN()-6)"),"3 muted yellow bags.")</f>
        <v>3 muted yellow bags.</v>
      </c>
      <c r="H374" s="3" t="str">
        <f>IFERROR(__xludf.DUMMYFUNCTION("MID(INDEX(SPLIT($F374,"",""),COLUMN()-6),2,300)"),"#REF!")</f>
        <v>#REF!</v>
      </c>
      <c r="I374" s="3" t="str">
        <f>IFERROR(__xludf.DUMMYFUNCTION("MID(INDEX(SPLIT($F374,"",""),COLUMN()-6),2,300)"),"#REF!")</f>
        <v>#REF!</v>
      </c>
      <c r="J374" s="3" t="str">
        <f>IFERROR(__xludf.DUMMYFUNCTION("MID(INDEX(SPLIT($F374,"",""),COLUMN()-6),2,300)"),"#REF!")</f>
        <v>#REF!</v>
      </c>
      <c r="K374" s="3">
        <f>IFERROR(__xludf.DUMMYFUNCTION("INDEX(SPLIT(G374,"" ""),1)"),3.0)</f>
        <v>3</v>
      </c>
      <c r="L374" s="3" t="str">
        <f>IFERROR(__xludf.DUMMYFUNCTION("REGEXEXTRACT(G374,"" [^ ]* [^ ]* "")")," muted yellow ")</f>
        <v> muted yellow </v>
      </c>
      <c r="M374" s="3" t="str">
        <f>IFERROR(__xludf.DUMMYFUNCTION("INDEX(SPLIT(H374,"" ""),1)"),"#REF!")</f>
        <v>#REF!</v>
      </c>
      <c r="N374" s="3" t="str">
        <f>IFERROR(__xludf.DUMMYFUNCTION("MID(REGEXEXTRACT(H374,"" [^ ]* [^ ]*""),2,300)"),"#REF!")</f>
        <v>#REF!</v>
      </c>
      <c r="O374" s="3" t="str">
        <f>IFERROR(__xludf.DUMMYFUNCTION("INDEX(SPLIT(I374,"" ""),1)"),"#REF!")</f>
        <v>#REF!</v>
      </c>
      <c r="P374" s="3" t="str">
        <f>IFERROR(__xludf.DUMMYFUNCTION("MID(REGEXEXTRACT(I374,"" [^ ]* [^ ]*""),2,300)"),"#REF!")</f>
        <v>#REF!</v>
      </c>
      <c r="Q374" s="3" t="str">
        <f>IFERROR(__xludf.DUMMYFUNCTION("INDEX(SPLIT(J374,"" ""),1)"),"#REF!")</f>
        <v>#REF!</v>
      </c>
      <c r="R374" s="3" t="str">
        <f>IFERROR(__xludf.DUMMYFUNCTION("MID(REGEXEXTRACT(J374,"" [^ ]* [^ ]*""),2,300)"),"#REF!")</f>
        <v>#REF!</v>
      </c>
      <c r="S374" s="3">
        <f t="shared" si="2"/>
        <v>3</v>
      </c>
      <c r="T374" s="3" t="str">
        <f t="shared" si="3"/>
        <v>muted yellow</v>
      </c>
      <c r="U374" s="3" t="str">
        <f t="shared" si="4"/>
        <v/>
      </c>
      <c r="V374" s="3" t="str">
        <f t="shared" si="5"/>
        <v/>
      </c>
      <c r="W374" s="3" t="str">
        <f t="shared" si="6"/>
        <v/>
      </c>
      <c r="X374" s="3" t="str">
        <f t="shared" si="7"/>
        <v/>
      </c>
      <c r="Y374" s="3" t="str">
        <f t="shared" si="8"/>
        <v/>
      </c>
      <c r="Z374" s="3" t="str">
        <f t="shared" si="9"/>
        <v/>
      </c>
      <c r="AA374" s="13">
        <f t="shared" si="10"/>
        <v>11485</v>
      </c>
      <c r="AB374" s="3">
        <f t="shared" si="11"/>
        <v>11484</v>
      </c>
      <c r="AC374" s="3">
        <f t="shared" si="12"/>
        <v>3</v>
      </c>
      <c r="AD374" s="3">
        <f t="shared" si="13"/>
        <v>3828</v>
      </c>
      <c r="AE374" s="3" t="str">
        <f t="shared" si="14"/>
        <v/>
      </c>
      <c r="AF374" s="3">
        <f t="shared" si="15"/>
        <v>0</v>
      </c>
      <c r="AG374" s="3" t="str">
        <f t="shared" si="16"/>
        <v/>
      </c>
      <c r="AH374" s="3">
        <f t="shared" si="17"/>
        <v>0</v>
      </c>
      <c r="AI374" s="3" t="str">
        <f t="shared" si="18"/>
        <v/>
      </c>
      <c r="AJ374" s="3">
        <f t="shared" si="19"/>
        <v>0</v>
      </c>
    </row>
    <row r="375">
      <c r="C375" s="6" t="s">
        <v>375</v>
      </c>
      <c r="D375" s="3">
        <f t="shared" si="1"/>
        <v>2</v>
      </c>
      <c r="E375" s="3" t="str">
        <f>IFERROR(__xludf.DUMMYFUNCTION("REGEXEXTRACT(C375,""[^ ]* [^ ]*"")"),"dark violet")</f>
        <v>dark violet</v>
      </c>
      <c r="F375" s="3" t="str">
        <f>IFERROR(__xludf.DUMMYFUNCTION("MID(REGEXEXTRACT(C375,""contain.*$""),9,300)"),"2 bright crimson bags, 4 bright fuchsia bags, 2 dull blue bags.")</f>
        <v>2 bright crimson bags, 4 bright fuchsia bags, 2 dull blue bags.</v>
      </c>
      <c r="G375" s="3" t="str">
        <f>IFERROR(__xludf.DUMMYFUNCTION("INDEX(SPLIT($F375,"",""),COLUMN()-6)"),"2 bright crimson bags")</f>
        <v>2 bright crimson bags</v>
      </c>
      <c r="H375" s="3" t="str">
        <f>IFERROR(__xludf.DUMMYFUNCTION("MID(INDEX(SPLIT($F375,"",""),COLUMN()-6),2,300)"),"4 bright fuchsia bags")</f>
        <v>4 bright fuchsia bags</v>
      </c>
      <c r="I375" s="3" t="str">
        <f>IFERROR(__xludf.DUMMYFUNCTION("MID(INDEX(SPLIT($F375,"",""),COLUMN()-6),2,300)"),"2 dull blue bags.")</f>
        <v>2 dull blue bags.</v>
      </c>
      <c r="J375" s="3" t="str">
        <f>IFERROR(__xludf.DUMMYFUNCTION("MID(INDEX(SPLIT($F375,"",""),COLUMN()-6),2,300)"),"#REF!")</f>
        <v>#REF!</v>
      </c>
      <c r="K375" s="3">
        <f>IFERROR(__xludf.DUMMYFUNCTION("INDEX(SPLIT(G375,"" ""),1)"),2.0)</f>
        <v>2</v>
      </c>
      <c r="L375" s="3" t="str">
        <f>IFERROR(__xludf.DUMMYFUNCTION("REGEXEXTRACT(G375,"" [^ ]* [^ ]* "")")," bright crimson ")</f>
        <v> bright crimson </v>
      </c>
      <c r="M375" s="3">
        <f>IFERROR(__xludf.DUMMYFUNCTION("INDEX(SPLIT(H375,"" ""),1)"),4.0)</f>
        <v>4</v>
      </c>
      <c r="N375" s="3" t="str">
        <f>IFERROR(__xludf.DUMMYFUNCTION("MID(REGEXEXTRACT(H375,"" [^ ]* [^ ]*""),2,300)"),"bright fuchsia")</f>
        <v>bright fuchsia</v>
      </c>
      <c r="O375" s="3">
        <f>IFERROR(__xludf.DUMMYFUNCTION("INDEX(SPLIT(I375,"" ""),1)"),2.0)</f>
        <v>2</v>
      </c>
      <c r="P375" s="3" t="str">
        <f>IFERROR(__xludf.DUMMYFUNCTION("MID(REGEXEXTRACT(I375,"" [^ ]* [^ ]*""),2,300)"),"dull blue")</f>
        <v>dull blue</v>
      </c>
      <c r="Q375" s="3" t="str">
        <f>IFERROR(__xludf.DUMMYFUNCTION("INDEX(SPLIT(J375,"" ""),1)"),"#REF!")</f>
        <v>#REF!</v>
      </c>
      <c r="R375" s="3" t="str">
        <f>IFERROR(__xludf.DUMMYFUNCTION("MID(REGEXEXTRACT(J375,"" [^ ]* [^ ]*""),2,300)"),"#REF!")</f>
        <v>#REF!</v>
      </c>
      <c r="S375" s="3">
        <f t="shared" si="2"/>
        <v>2</v>
      </c>
      <c r="T375" s="3" t="str">
        <f t="shared" si="3"/>
        <v>bright crimson</v>
      </c>
      <c r="U375" s="3">
        <f t="shared" si="4"/>
        <v>4</v>
      </c>
      <c r="V375" s="3" t="str">
        <f t="shared" si="5"/>
        <v>bright fuchsia</v>
      </c>
      <c r="W375" s="3">
        <f t="shared" si="6"/>
        <v>2</v>
      </c>
      <c r="X375" s="3" t="str">
        <f t="shared" si="7"/>
        <v>dull blue</v>
      </c>
      <c r="Y375" s="3" t="str">
        <f t="shared" si="8"/>
        <v/>
      </c>
      <c r="Z375" s="3" t="str">
        <f t="shared" si="9"/>
        <v/>
      </c>
      <c r="AA375" s="13">
        <f t="shared" si="10"/>
        <v>508749</v>
      </c>
      <c r="AB375" s="3">
        <f t="shared" si="11"/>
        <v>508748</v>
      </c>
      <c r="AC375" s="3">
        <f t="shared" si="12"/>
        <v>2</v>
      </c>
      <c r="AD375" s="3">
        <f t="shared" si="13"/>
        <v>773</v>
      </c>
      <c r="AE375" s="3">
        <f t="shared" si="14"/>
        <v>4</v>
      </c>
      <c r="AF375" s="3">
        <f t="shared" si="15"/>
        <v>12131</v>
      </c>
      <c r="AG375" s="3">
        <f t="shared" si="16"/>
        <v>2</v>
      </c>
      <c r="AH375" s="3">
        <f t="shared" si="17"/>
        <v>229339</v>
      </c>
      <c r="AI375" s="3" t="str">
        <f t="shared" si="18"/>
        <v/>
      </c>
      <c r="AJ375" s="3">
        <f t="shared" si="19"/>
        <v>0</v>
      </c>
    </row>
    <row r="376">
      <c r="C376" s="6" t="s">
        <v>376</v>
      </c>
      <c r="D376" s="3">
        <f t="shared" si="1"/>
        <v>0</v>
      </c>
      <c r="E376" s="3" t="str">
        <f>IFERROR(__xludf.DUMMYFUNCTION("REGEXEXTRACT(C376,""[^ ]* [^ ]*"")"),"posh gold")</f>
        <v>posh gold</v>
      </c>
      <c r="F376" s="3" t="str">
        <f>IFERROR(__xludf.DUMMYFUNCTION("MID(REGEXEXTRACT(C376,""contain.*$""),9,300)"),"3 drab teal bags.")</f>
        <v>3 drab teal bags.</v>
      </c>
      <c r="G376" s="3" t="str">
        <f>IFERROR(__xludf.DUMMYFUNCTION("INDEX(SPLIT($F376,"",""),COLUMN()-6)"),"3 drab teal bags.")</f>
        <v>3 drab teal bags.</v>
      </c>
      <c r="H376" s="3" t="str">
        <f>IFERROR(__xludf.DUMMYFUNCTION("MID(INDEX(SPLIT($F376,"",""),COLUMN()-6),2,300)"),"#REF!")</f>
        <v>#REF!</v>
      </c>
      <c r="I376" s="3" t="str">
        <f>IFERROR(__xludf.DUMMYFUNCTION("MID(INDEX(SPLIT($F376,"",""),COLUMN()-6),2,300)"),"#REF!")</f>
        <v>#REF!</v>
      </c>
      <c r="J376" s="3" t="str">
        <f>IFERROR(__xludf.DUMMYFUNCTION("MID(INDEX(SPLIT($F376,"",""),COLUMN()-6),2,300)"),"#REF!")</f>
        <v>#REF!</v>
      </c>
      <c r="K376" s="3">
        <f>IFERROR(__xludf.DUMMYFUNCTION("INDEX(SPLIT(G376,"" ""),1)"),3.0)</f>
        <v>3</v>
      </c>
      <c r="L376" s="3" t="str">
        <f>IFERROR(__xludf.DUMMYFUNCTION("REGEXEXTRACT(G376,"" [^ ]* [^ ]* "")")," drab teal ")</f>
        <v> drab teal </v>
      </c>
      <c r="M376" s="3" t="str">
        <f>IFERROR(__xludf.DUMMYFUNCTION("INDEX(SPLIT(H376,"" ""),1)"),"#REF!")</f>
        <v>#REF!</v>
      </c>
      <c r="N376" s="3" t="str">
        <f>IFERROR(__xludf.DUMMYFUNCTION("MID(REGEXEXTRACT(H376,"" [^ ]* [^ ]*""),2,300)"),"#REF!")</f>
        <v>#REF!</v>
      </c>
      <c r="O376" s="3" t="str">
        <f>IFERROR(__xludf.DUMMYFUNCTION("INDEX(SPLIT(I376,"" ""),1)"),"#REF!")</f>
        <v>#REF!</v>
      </c>
      <c r="P376" s="3" t="str">
        <f>IFERROR(__xludf.DUMMYFUNCTION("MID(REGEXEXTRACT(I376,"" [^ ]* [^ ]*""),2,300)"),"#REF!")</f>
        <v>#REF!</v>
      </c>
      <c r="Q376" s="3" t="str">
        <f>IFERROR(__xludf.DUMMYFUNCTION("INDEX(SPLIT(J376,"" ""),1)"),"#REF!")</f>
        <v>#REF!</v>
      </c>
      <c r="R376" s="3" t="str">
        <f>IFERROR(__xludf.DUMMYFUNCTION("MID(REGEXEXTRACT(J376,"" [^ ]* [^ ]*""),2,300)"),"#REF!")</f>
        <v>#REF!</v>
      </c>
      <c r="S376" s="3">
        <f t="shared" si="2"/>
        <v>3</v>
      </c>
      <c r="T376" s="3" t="str">
        <f t="shared" si="3"/>
        <v>drab teal</v>
      </c>
      <c r="U376" s="3" t="str">
        <f t="shared" si="4"/>
        <v/>
      </c>
      <c r="V376" s="3" t="str">
        <f t="shared" si="5"/>
        <v/>
      </c>
      <c r="W376" s="3" t="str">
        <f t="shared" si="6"/>
        <v/>
      </c>
      <c r="X376" s="3" t="str">
        <f t="shared" si="7"/>
        <v/>
      </c>
      <c r="Y376" s="3" t="str">
        <f t="shared" si="8"/>
        <v/>
      </c>
      <c r="Z376" s="3" t="str">
        <f t="shared" si="9"/>
        <v/>
      </c>
      <c r="AA376" s="13">
        <f t="shared" si="10"/>
        <v>122080</v>
      </c>
      <c r="AB376" s="3">
        <f t="shared" si="11"/>
        <v>122079</v>
      </c>
      <c r="AC376" s="3">
        <f t="shared" si="12"/>
        <v>3</v>
      </c>
      <c r="AD376" s="3">
        <f t="shared" si="13"/>
        <v>40693</v>
      </c>
      <c r="AE376" s="3" t="str">
        <f t="shared" si="14"/>
        <v/>
      </c>
      <c r="AF376" s="3">
        <f t="shared" si="15"/>
        <v>0</v>
      </c>
      <c r="AG376" s="3" t="str">
        <f t="shared" si="16"/>
        <v/>
      </c>
      <c r="AH376" s="3">
        <f t="shared" si="17"/>
        <v>0</v>
      </c>
      <c r="AI376" s="3" t="str">
        <f t="shared" si="18"/>
        <v/>
      </c>
      <c r="AJ376" s="3">
        <f t="shared" si="19"/>
        <v>0</v>
      </c>
    </row>
    <row r="377">
      <c r="C377" s="6" t="s">
        <v>377</v>
      </c>
      <c r="D377" s="3">
        <f t="shared" si="1"/>
        <v>2</v>
      </c>
      <c r="E377" s="3" t="str">
        <f>IFERROR(__xludf.DUMMYFUNCTION("REGEXEXTRACT(C377,""[^ ]* [^ ]*"")"),"dim cyan")</f>
        <v>dim cyan</v>
      </c>
      <c r="F377" s="3" t="str">
        <f>IFERROR(__xludf.DUMMYFUNCTION("MID(REGEXEXTRACT(C377,""contain.*$""),9,300)"),"5 clear olive bags, 4 bright turquoise bags, 1 pale gray bag.")</f>
        <v>5 clear olive bags, 4 bright turquoise bags, 1 pale gray bag.</v>
      </c>
      <c r="G377" s="3" t="str">
        <f>IFERROR(__xludf.DUMMYFUNCTION("INDEX(SPLIT($F377,"",""),COLUMN()-6)"),"5 clear olive bags")</f>
        <v>5 clear olive bags</v>
      </c>
      <c r="H377" s="3" t="str">
        <f>IFERROR(__xludf.DUMMYFUNCTION("MID(INDEX(SPLIT($F377,"",""),COLUMN()-6),2,300)"),"4 bright turquoise bags")</f>
        <v>4 bright turquoise bags</v>
      </c>
      <c r="I377" s="3" t="str">
        <f>IFERROR(__xludf.DUMMYFUNCTION("MID(INDEX(SPLIT($F377,"",""),COLUMN()-6),2,300)"),"1 pale gray bag.")</f>
        <v>1 pale gray bag.</v>
      </c>
      <c r="J377" s="3" t="str">
        <f>IFERROR(__xludf.DUMMYFUNCTION("MID(INDEX(SPLIT($F377,"",""),COLUMN()-6),2,300)"),"#REF!")</f>
        <v>#REF!</v>
      </c>
      <c r="K377" s="3">
        <f>IFERROR(__xludf.DUMMYFUNCTION("INDEX(SPLIT(G377,"" ""),1)"),5.0)</f>
        <v>5</v>
      </c>
      <c r="L377" s="3" t="str">
        <f>IFERROR(__xludf.DUMMYFUNCTION("REGEXEXTRACT(G377,"" [^ ]* [^ ]* "")")," clear olive ")</f>
        <v> clear olive </v>
      </c>
      <c r="M377" s="3">
        <f>IFERROR(__xludf.DUMMYFUNCTION("INDEX(SPLIT(H377,"" ""),1)"),4.0)</f>
        <v>4</v>
      </c>
      <c r="N377" s="3" t="str">
        <f>IFERROR(__xludf.DUMMYFUNCTION("MID(REGEXEXTRACT(H377,"" [^ ]* [^ ]*""),2,300)"),"bright turquoise")</f>
        <v>bright turquoise</v>
      </c>
      <c r="O377" s="3">
        <f>IFERROR(__xludf.DUMMYFUNCTION("INDEX(SPLIT(I377,"" ""),1)"),1.0)</f>
        <v>1</v>
      </c>
      <c r="P377" s="3" t="str">
        <f>IFERROR(__xludf.DUMMYFUNCTION("MID(REGEXEXTRACT(I377,"" [^ ]* [^ ]*""),2,300)"),"pale gray")</f>
        <v>pale gray</v>
      </c>
      <c r="Q377" s="3" t="str">
        <f>IFERROR(__xludf.DUMMYFUNCTION("INDEX(SPLIT(J377,"" ""),1)"),"#REF!")</f>
        <v>#REF!</v>
      </c>
      <c r="R377" s="3" t="str">
        <f>IFERROR(__xludf.DUMMYFUNCTION("MID(REGEXEXTRACT(J377,"" [^ ]* [^ ]*""),2,300)"),"#REF!")</f>
        <v>#REF!</v>
      </c>
      <c r="S377" s="3">
        <f t="shared" si="2"/>
        <v>5</v>
      </c>
      <c r="T377" s="3" t="str">
        <f t="shared" si="3"/>
        <v>clear olive</v>
      </c>
      <c r="U377" s="3">
        <f t="shared" si="4"/>
        <v>4</v>
      </c>
      <c r="V377" s="3" t="str">
        <f t="shared" si="5"/>
        <v>bright turquoise</v>
      </c>
      <c r="W377" s="3">
        <f t="shared" si="6"/>
        <v>1</v>
      </c>
      <c r="X377" s="3" t="str">
        <f t="shared" si="7"/>
        <v>pale gray</v>
      </c>
      <c r="Y377" s="3" t="str">
        <f t="shared" si="8"/>
        <v/>
      </c>
      <c r="Z377" s="3" t="str">
        <f t="shared" si="9"/>
        <v/>
      </c>
      <c r="AA377" s="13">
        <f t="shared" si="10"/>
        <v>1074173249</v>
      </c>
      <c r="AB377" s="3">
        <f t="shared" si="11"/>
        <v>1074173248</v>
      </c>
      <c r="AC377" s="3">
        <f t="shared" si="12"/>
        <v>5</v>
      </c>
      <c r="AD377" s="3">
        <f t="shared" si="13"/>
        <v>2697220</v>
      </c>
      <c r="AE377" s="3">
        <f t="shared" si="14"/>
        <v>4</v>
      </c>
      <c r="AF377" s="3">
        <f t="shared" si="15"/>
        <v>12227506</v>
      </c>
      <c r="AG377" s="3">
        <f t="shared" si="16"/>
        <v>1</v>
      </c>
      <c r="AH377" s="3">
        <f t="shared" si="17"/>
        <v>1011777124</v>
      </c>
      <c r="AI377" s="3" t="str">
        <f t="shared" si="18"/>
        <v/>
      </c>
      <c r="AJ377" s="3">
        <f t="shared" si="19"/>
        <v>0</v>
      </c>
    </row>
    <row r="378">
      <c r="C378" s="6" t="s">
        <v>378</v>
      </c>
      <c r="D378" s="3">
        <f t="shared" si="1"/>
        <v>0</v>
      </c>
      <c r="E378" s="3" t="str">
        <f>IFERROR(__xludf.DUMMYFUNCTION("REGEXEXTRACT(C378,""[^ ]* [^ ]*"")"),"posh red")</f>
        <v>posh red</v>
      </c>
      <c r="F378" s="3" t="str">
        <f>IFERROR(__xludf.DUMMYFUNCTION("MID(REGEXEXTRACT(C378,""contain.*$""),9,300)"),"1 bright salmon bag.")</f>
        <v>1 bright salmon bag.</v>
      </c>
      <c r="G378" s="3" t="str">
        <f>IFERROR(__xludf.DUMMYFUNCTION("INDEX(SPLIT($F378,"",""),COLUMN()-6)"),"1 bright salmon bag.")</f>
        <v>1 bright salmon bag.</v>
      </c>
      <c r="H378" s="3" t="str">
        <f>IFERROR(__xludf.DUMMYFUNCTION("MID(INDEX(SPLIT($F378,"",""),COLUMN()-6),2,300)"),"#REF!")</f>
        <v>#REF!</v>
      </c>
      <c r="I378" s="3" t="str">
        <f>IFERROR(__xludf.DUMMYFUNCTION("MID(INDEX(SPLIT($F378,"",""),COLUMN()-6),2,300)"),"#REF!")</f>
        <v>#REF!</v>
      </c>
      <c r="J378" s="3" t="str">
        <f>IFERROR(__xludf.DUMMYFUNCTION("MID(INDEX(SPLIT($F378,"",""),COLUMN()-6),2,300)"),"#REF!")</f>
        <v>#REF!</v>
      </c>
      <c r="K378" s="3">
        <f>IFERROR(__xludf.DUMMYFUNCTION("INDEX(SPLIT(G378,"" ""),1)"),1.0)</f>
        <v>1</v>
      </c>
      <c r="L378" s="3" t="str">
        <f>IFERROR(__xludf.DUMMYFUNCTION("REGEXEXTRACT(G378,"" [^ ]* [^ ]* "")")," bright salmon ")</f>
        <v> bright salmon </v>
      </c>
      <c r="M378" s="3" t="str">
        <f>IFERROR(__xludf.DUMMYFUNCTION("INDEX(SPLIT(H378,"" ""),1)"),"#REF!")</f>
        <v>#REF!</v>
      </c>
      <c r="N378" s="3" t="str">
        <f>IFERROR(__xludf.DUMMYFUNCTION("MID(REGEXEXTRACT(H378,"" [^ ]* [^ ]*""),2,300)"),"#REF!")</f>
        <v>#REF!</v>
      </c>
      <c r="O378" s="3" t="str">
        <f>IFERROR(__xludf.DUMMYFUNCTION("INDEX(SPLIT(I378,"" ""),1)"),"#REF!")</f>
        <v>#REF!</v>
      </c>
      <c r="P378" s="3" t="str">
        <f>IFERROR(__xludf.DUMMYFUNCTION("MID(REGEXEXTRACT(I378,"" [^ ]* [^ ]*""),2,300)"),"#REF!")</f>
        <v>#REF!</v>
      </c>
      <c r="Q378" s="3" t="str">
        <f>IFERROR(__xludf.DUMMYFUNCTION("INDEX(SPLIT(J378,"" ""),1)"),"#REF!")</f>
        <v>#REF!</v>
      </c>
      <c r="R378" s="3" t="str">
        <f>IFERROR(__xludf.DUMMYFUNCTION("MID(REGEXEXTRACT(J378,"" [^ ]* [^ ]*""),2,300)"),"#REF!")</f>
        <v>#REF!</v>
      </c>
      <c r="S378" s="3">
        <f t="shared" si="2"/>
        <v>1</v>
      </c>
      <c r="T378" s="3" t="str">
        <f t="shared" si="3"/>
        <v>bright salmon</v>
      </c>
      <c r="U378" s="3" t="str">
        <f t="shared" si="4"/>
        <v/>
      </c>
      <c r="V378" s="3" t="str">
        <f t="shared" si="5"/>
        <v/>
      </c>
      <c r="W378" s="3" t="str">
        <f t="shared" si="6"/>
        <v/>
      </c>
      <c r="X378" s="3" t="str">
        <f t="shared" si="7"/>
        <v/>
      </c>
      <c r="Y378" s="3" t="str">
        <f t="shared" si="8"/>
        <v/>
      </c>
      <c r="Z378" s="3" t="str">
        <f t="shared" si="9"/>
        <v/>
      </c>
      <c r="AA378" s="13">
        <f t="shared" si="10"/>
        <v>367934</v>
      </c>
      <c r="AB378" s="3">
        <f t="shared" si="11"/>
        <v>367933</v>
      </c>
      <c r="AC378" s="3">
        <f t="shared" si="12"/>
        <v>1</v>
      </c>
      <c r="AD378" s="3">
        <f t="shared" si="13"/>
        <v>367933</v>
      </c>
      <c r="AE378" s="3" t="str">
        <f t="shared" si="14"/>
        <v/>
      </c>
      <c r="AF378" s="3">
        <f t="shared" si="15"/>
        <v>0</v>
      </c>
      <c r="AG378" s="3" t="str">
        <f t="shared" si="16"/>
        <v/>
      </c>
      <c r="AH378" s="3">
        <f t="shared" si="17"/>
        <v>0</v>
      </c>
      <c r="AI378" s="3" t="str">
        <f t="shared" si="18"/>
        <v/>
      </c>
      <c r="AJ378" s="3">
        <f t="shared" si="19"/>
        <v>0</v>
      </c>
    </row>
    <row r="379">
      <c r="C379" s="6" t="s">
        <v>379</v>
      </c>
      <c r="D379" s="3">
        <f t="shared" si="1"/>
        <v>0</v>
      </c>
      <c r="E379" s="3" t="str">
        <f>IFERROR(__xludf.DUMMYFUNCTION("REGEXEXTRACT(C379,""[^ ]* [^ ]*"")"),"dull tan")</f>
        <v>dull tan</v>
      </c>
      <c r="F379" s="3" t="str">
        <f>IFERROR(__xludf.DUMMYFUNCTION("MID(REGEXEXTRACT(C379,""contain.*$""),9,300)"),"4 plaid cyan bags.")</f>
        <v>4 plaid cyan bags.</v>
      </c>
      <c r="G379" s="3" t="str">
        <f>IFERROR(__xludf.DUMMYFUNCTION("INDEX(SPLIT($F379,"",""),COLUMN()-6)"),"4 plaid cyan bags.")</f>
        <v>4 plaid cyan bags.</v>
      </c>
      <c r="H379" s="3" t="str">
        <f>IFERROR(__xludf.DUMMYFUNCTION("MID(INDEX(SPLIT($F379,"",""),COLUMN()-6),2,300)"),"#REF!")</f>
        <v>#REF!</v>
      </c>
      <c r="I379" s="3" t="str">
        <f>IFERROR(__xludf.DUMMYFUNCTION("MID(INDEX(SPLIT($F379,"",""),COLUMN()-6),2,300)"),"#REF!")</f>
        <v>#REF!</v>
      </c>
      <c r="J379" s="3" t="str">
        <f>IFERROR(__xludf.DUMMYFUNCTION("MID(INDEX(SPLIT($F379,"",""),COLUMN()-6),2,300)"),"#REF!")</f>
        <v>#REF!</v>
      </c>
      <c r="K379" s="3">
        <f>IFERROR(__xludf.DUMMYFUNCTION("INDEX(SPLIT(G379,"" ""),1)"),4.0)</f>
        <v>4</v>
      </c>
      <c r="L379" s="3" t="str">
        <f>IFERROR(__xludf.DUMMYFUNCTION("REGEXEXTRACT(G379,"" [^ ]* [^ ]* "")")," plaid cyan ")</f>
        <v> plaid cyan </v>
      </c>
      <c r="M379" s="3" t="str">
        <f>IFERROR(__xludf.DUMMYFUNCTION("INDEX(SPLIT(H379,"" ""),1)"),"#REF!")</f>
        <v>#REF!</v>
      </c>
      <c r="N379" s="3" t="str">
        <f>IFERROR(__xludf.DUMMYFUNCTION("MID(REGEXEXTRACT(H379,"" [^ ]* [^ ]*""),2,300)"),"#REF!")</f>
        <v>#REF!</v>
      </c>
      <c r="O379" s="3" t="str">
        <f>IFERROR(__xludf.DUMMYFUNCTION("INDEX(SPLIT(I379,"" ""),1)"),"#REF!")</f>
        <v>#REF!</v>
      </c>
      <c r="P379" s="3" t="str">
        <f>IFERROR(__xludf.DUMMYFUNCTION("MID(REGEXEXTRACT(I379,"" [^ ]* [^ ]*""),2,300)"),"#REF!")</f>
        <v>#REF!</v>
      </c>
      <c r="Q379" s="3" t="str">
        <f>IFERROR(__xludf.DUMMYFUNCTION("INDEX(SPLIT(J379,"" ""),1)"),"#REF!")</f>
        <v>#REF!</v>
      </c>
      <c r="R379" s="3" t="str">
        <f>IFERROR(__xludf.DUMMYFUNCTION("MID(REGEXEXTRACT(J379,"" [^ ]* [^ ]*""),2,300)"),"#REF!")</f>
        <v>#REF!</v>
      </c>
      <c r="S379" s="3">
        <f t="shared" si="2"/>
        <v>4</v>
      </c>
      <c r="T379" s="3" t="str">
        <f t="shared" si="3"/>
        <v>plaid cyan</v>
      </c>
      <c r="U379" s="3" t="str">
        <f t="shared" si="4"/>
        <v/>
      </c>
      <c r="V379" s="3" t="str">
        <f t="shared" si="5"/>
        <v/>
      </c>
      <c r="W379" s="3" t="str">
        <f t="shared" si="6"/>
        <v/>
      </c>
      <c r="X379" s="3" t="str">
        <f t="shared" si="7"/>
        <v/>
      </c>
      <c r="Y379" s="3" t="str">
        <f t="shared" si="8"/>
        <v/>
      </c>
      <c r="Z379" s="3" t="str">
        <f t="shared" si="9"/>
        <v/>
      </c>
      <c r="AA379" s="13">
        <f t="shared" si="10"/>
        <v>321177</v>
      </c>
      <c r="AB379" s="3">
        <f t="shared" si="11"/>
        <v>321176</v>
      </c>
      <c r="AC379" s="3">
        <f t="shared" si="12"/>
        <v>4</v>
      </c>
      <c r="AD379" s="3">
        <f t="shared" si="13"/>
        <v>80294</v>
      </c>
      <c r="AE379" s="3" t="str">
        <f t="shared" si="14"/>
        <v/>
      </c>
      <c r="AF379" s="3">
        <f t="shared" si="15"/>
        <v>0</v>
      </c>
      <c r="AG379" s="3" t="str">
        <f t="shared" si="16"/>
        <v/>
      </c>
      <c r="AH379" s="3">
        <f t="shared" si="17"/>
        <v>0</v>
      </c>
      <c r="AI379" s="3" t="str">
        <f t="shared" si="18"/>
        <v/>
      </c>
      <c r="AJ379" s="3">
        <f t="shared" si="19"/>
        <v>0</v>
      </c>
    </row>
    <row r="380">
      <c r="C380" s="6" t="s">
        <v>380</v>
      </c>
      <c r="D380" s="3">
        <f t="shared" si="1"/>
        <v>3</v>
      </c>
      <c r="E380" s="3" t="str">
        <f>IFERROR(__xludf.DUMMYFUNCTION("REGEXEXTRACT(C380,""[^ ]* [^ ]*"")"),"faded indigo")</f>
        <v>faded indigo</v>
      </c>
      <c r="F380" s="3" t="str">
        <f>IFERROR(__xludf.DUMMYFUNCTION("MID(REGEXEXTRACT(C380,""contain.*$""),9,300)"),"3 light gold bags, 5 dotted brown bags, 3 dotted cyan bags, 2 drab teal bags.")</f>
        <v>3 light gold bags, 5 dotted brown bags, 3 dotted cyan bags, 2 drab teal bags.</v>
      </c>
      <c r="G380" s="3" t="str">
        <f>IFERROR(__xludf.DUMMYFUNCTION("INDEX(SPLIT($F380,"",""),COLUMN()-6)"),"3 light gold bags")</f>
        <v>3 light gold bags</v>
      </c>
      <c r="H380" s="3" t="str">
        <f>IFERROR(__xludf.DUMMYFUNCTION("MID(INDEX(SPLIT($F380,"",""),COLUMN()-6),2,300)"),"5 dotted brown bags")</f>
        <v>5 dotted brown bags</v>
      </c>
      <c r="I380" s="3" t="str">
        <f>IFERROR(__xludf.DUMMYFUNCTION("MID(INDEX(SPLIT($F380,"",""),COLUMN()-6),2,300)"),"3 dotted cyan bags")</f>
        <v>3 dotted cyan bags</v>
      </c>
      <c r="J380" s="3" t="str">
        <f>IFERROR(__xludf.DUMMYFUNCTION("MID(INDEX(SPLIT($F380,"",""),COLUMN()-6),2,300)"),"2 drab teal bags.")</f>
        <v>2 drab teal bags.</v>
      </c>
      <c r="K380" s="3">
        <f>IFERROR(__xludf.DUMMYFUNCTION("INDEX(SPLIT(G380,"" ""),1)"),3.0)</f>
        <v>3</v>
      </c>
      <c r="L380" s="3" t="str">
        <f>IFERROR(__xludf.DUMMYFUNCTION("REGEXEXTRACT(G380,"" [^ ]* [^ ]* "")")," light gold ")</f>
        <v> light gold </v>
      </c>
      <c r="M380" s="3">
        <f>IFERROR(__xludf.DUMMYFUNCTION("INDEX(SPLIT(H380,"" ""),1)"),5.0)</f>
        <v>5</v>
      </c>
      <c r="N380" s="3" t="str">
        <f>IFERROR(__xludf.DUMMYFUNCTION("MID(REGEXEXTRACT(H380,"" [^ ]* [^ ]*""),2,300)"),"dotted brown")</f>
        <v>dotted brown</v>
      </c>
      <c r="O380" s="3">
        <f>IFERROR(__xludf.DUMMYFUNCTION("INDEX(SPLIT(I380,"" ""),1)"),3.0)</f>
        <v>3</v>
      </c>
      <c r="P380" s="3" t="str">
        <f>IFERROR(__xludf.DUMMYFUNCTION("MID(REGEXEXTRACT(I380,"" [^ ]* [^ ]*""),2,300)"),"dotted cyan")</f>
        <v>dotted cyan</v>
      </c>
      <c r="Q380" s="3">
        <f>IFERROR(__xludf.DUMMYFUNCTION("INDEX(SPLIT(J380,"" ""),1)"),2.0)</f>
        <v>2</v>
      </c>
      <c r="R380" s="3" t="str">
        <f>IFERROR(__xludf.DUMMYFUNCTION("MID(REGEXEXTRACT(J380,"" [^ ]* [^ ]*""),2,300)"),"drab teal")</f>
        <v>drab teal</v>
      </c>
      <c r="S380" s="3">
        <f t="shared" si="2"/>
        <v>3</v>
      </c>
      <c r="T380" s="3" t="str">
        <f t="shared" si="3"/>
        <v>light gold</v>
      </c>
      <c r="U380" s="3">
        <f t="shared" si="4"/>
        <v>5</v>
      </c>
      <c r="V380" s="3" t="str">
        <f t="shared" si="5"/>
        <v>dotted brown</v>
      </c>
      <c r="W380" s="3">
        <f t="shared" si="6"/>
        <v>3</v>
      </c>
      <c r="X380" s="3" t="str">
        <f t="shared" si="7"/>
        <v>dotted cyan</v>
      </c>
      <c r="Y380" s="3">
        <f t="shared" si="8"/>
        <v>2</v>
      </c>
      <c r="Z380" s="3" t="str">
        <f t="shared" si="9"/>
        <v>drab teal</v>
      </c>
      <c r="AA380" s="13">
        <f t="shared" si="10"/>
        <v>339859336</v>
      </c>
      <c r="AB380" s="3">
        <f t="shared" si="11"/>
        <v>339859335</v>
      </c>
      <c r="AC380" s="3">
        <f t="shared" si="12"/>
        <v>3</v>
      </c>
      <c r="AD380" s="3">
        <f t="shared" si="13"/>
        <v>112904201</v>
      </c>
      <c r="AE380" s="3">
        <f t="shared" si="14"/>
        <v>5</v>
      </c>
      <c r="AF380" s="3">
        <f t="shared" si="15"/>
        <v>305</v>
      </c>
      <c r="AG380" s="3">
        <f t="shared" si="16"/>
        <v>3</v>
      </c>
      <c r="AH380" s="3">
        <f t="shared" si="17"/>
        <v>354607</v>
      </c>
      <c r="AI380" s="3">
        <f t="shared" si="18"/>
        <v>2</v>
      </c>
      <c r="AJ380" s="3">
        <f t="shared" si="19"/>
        <v>40693</v>
      </c>
    </row>
    <row r="381">
      <c r="C381" s="6" t="s">
        <v>381</v>
      </c>
      <c r="D381" s="3">
        <f t="shared" si="1"/>
        <v>3</v>
      </c>
      <c r="E381" s="3" t="str">
        <f>IFERROR(__xludf.DUMMYFUNCTION("REGEXEXTRACT(C381,""[^ ]* [^ ]*"")"),"clear violet")</f>
        <v>clear violet</v>
      </c>
      <c r="F381" s="3" t="str">
        <f>IFERROR(__xludf.DUMMYFUNCTION("MID(REGEXEXTRACT(C381,""contain.*$""),9,300)"),"1 wavy turquoise bag, 1 vibrant chartreuse bag, 1 dark violet bag, 3 bright bronze bags.")</f>
        <v>1 wavy turquoise bag, 1 vibrant chartreuse bag, 1 dark violet bag, 3 bright bronze bags.</v>
      </c>
      <c r="G381" s="3" t="str">
        <f>IFERROR(__xludf.DUMMYFUNCTION("INDEX(SPLIT($F381,"",""),COLUMN()-6)"),"1 wavy turquoise bag")</f>
        <v>1 wavy turquoise bag</v>
      </c>
      <c r="H381" s="3" t="str">
        <f>IFERROR(__xludf.DUMMYFUNCTION("MID(INDEX(SPLIT($F381,"",""),COLUMN()-6),2,300)"),"1 vibrant chartreuse bag")</f>
        <v>1 vibrant chartreuse bag</v>
      </c>
      <c r="I381" s="3" t="str">
        <f>IFERROR(__xludf.DUMMYFUNCTION("MID(INDEX(SPLIT($F381,"",""),COLUMN()-6),2,300)"),"1 dark violet bag")</f>
        <v>1 dark violet bag</v>
      </c>
      <c r="J381" s="3" t="str">
        <f>IFERROR(__xludf.DUMMYFUNCTION("MID(INDEX(SPLIT($F381,"",""),COLUMN()-6),2,300)"),"3 bright bronze bags.")</f>
        <v>3 bright bronze bags.</v>
      </c>
      <c r="K381" s="3">
        <f>IFERROR(__xludf.DUMMYFUNCTION("INDEX(SPLIT(G381,"" ""),1)"),1.0)</f>
        <v>1</v>
      </c>
      <c r="L381" s="3" t="str">
        <f>IFERROR(__xludf.DUMMYFUNCTION("REGEXEXTRACT(G381,"" [^ ]* [^ ]* "")")," wavy turquoise ")</f>
        <v> wavy turquoise </v>
      </c>
      <c r="M381" s="3">
        <f>IFERROR(__xludf.DUMMYFUNCTION("INDEX(SPLIT(H381,"" ""),1)"),1.0)</f>
        <v>1</v>
      </c>
      <c r="N381" s="3" t="str">
        <f>IFERROR(__xludf.DUMMYFUNCTION("MID(REGEXEXTRACT(H381,"" [^ ]* [^ ]*""),2,300)"),"vibrant chartreuse")</f>
        <v>vibrant chartreuse</v>
      </c>
      <c r="O381" s="3">
        <f>IFERROR(__xludf.DUMMYFUNCTION("INDEX(SPLIT(I381,"" ""),1)"),1.0)</f>
        <v>1</v>
      </c>
      <c r="P381" s="3" t="str">
        <f>IFERROR(__xludf.DUMMYFUNCTION("MID(REGEXEXTRACT(I381,"" [^ ]* [^ ]*""),2,300)"),"dark violet")</f>
        <v>dark violet</v>
      </c>
      <c r="Q381" s="3">
        <f>IFERROR(__xludf.DUMMYFUNCTION("INDEX(SPLIT(J381,"" ""),1)"),3.0)</f>
        <v>3</v>
      </c>
      <c r="R381" s="3" t="str">
        <f>IFERROR(__xludf.DUMMYFUNCTION("MID(REGEXEXTRACT(J381,"" [^ ]* [^ ]*""),2,300)"),"bright bronze")</f>
        <v>bright bronze</v>
      </c>
      <c r="S381" s="3">
        <f t="shared" si="2"/>
        <v>1</v>
      </c>
      <c r="T381" s="3" t="str">
        <f t="shared" si="3"/>
        <v>wavy turquoise</v>
      </c>
      <c r="U381" s="3">
        <f t="shared" si="4"/>
        <v>1</v>
      </c>
      <c r="V381" s="3" t="str">
        <f t="shared" si="5"/>
        <v>vibrant chartreuse</v>
      </c>
      <c r="W381" s="3">
        <f t="shared" si="6"/>
        <v>1</v>
      </c>
      <c r="X381" s="3" t="str">
        <f t="shared" si="7"/>
        <v>dark violet</v>
      </c>
      <c r="Y381" s="3">
        <f t="shared" si="8"/>
        <v>3</v>
      </c>
      <c r="Z381" s="3" t="str">
        <f t="shared" si="9"/>
        <v>bright bronze</v>
      </c>
      <c r="AA381" s="13">
        <f t="shared" si="10"/>
        <v>29140290</v>
      </c>
      <c r="AB381" s="3">
        <f t="shared" si="11"/>
        <v>29140289</v>
      </c>
      <c r="AC381" s="3">
        <f t="shared" si="12"/>
        <v>1</v>
      </c>
      <c r="AD381" s="3">
        <f t="shared" si="13"/>
        <v>11485</v>
      </c>
      <c r="AE381" s="3">
        <f t="shared" si="14"/>
        <v>1</v>
      </c>
      <c r="AF381" s="3">
        <f t="shared" si="15"/>
        <v>13</v>
      </c>
      <c r="AG381" s="3">
        <f t="shared" si="16"/>
        <v>1</v>
      </c>
      <c r="AH381" s="3">
        <f t="shared" si="17"/>
        <v>508749</v>
      </c>
      <c r="AI381" s="3">
        <f t="shared" si="18"/>
        <v>3</v>
      </c>
      <c r="AJ381" s="3">
        <f t="shared" si="19"/>
        <v>9540014</v>
      </c>
    </row>
    <row r="382">
      <c r="C382" s="6" t="s">
        <v>382</v>
      </c>
      <c r="D382" s="3">
        <f t="shared" si="1"/>
        <v>1</v>
      </c>
      <c r="E382" s="3" t="str">
        <f>IFERROR(__xludf.DUMMYFUNCTION("REGEXEXTRACT(C382,""[^ ]* [^ ]*"")"),"clear indigo")</f>
        <v>clear indigo</v>
      </c>
      <c r="F382" s="3" t="str">
        <f>IFERROR(__xludf.DUMMYFUNCTION("MID(REGEXEXTRACT(C382,""contain.*$""),9,300)"),"1 mirrored tan bag, 4 faded indigo bags.")</f>
        <v>1 mirrored tan bag, 4 faded indigo bags.</v>
      </c>
      <c r="G382" s="3" t="str">
        <f>IFERROR(__xludf.DUMMYFUNCTION("INDEX(SPLIT($F382,"",""),COLUMN()-6)"),"1 mirrored tan bag")</f>
        <v>1 mirrored tan bag</v>
      </c>
      <c r="H382" s="3" t="str">
        <f>IFERROR(__xludf.DUMMYFUNCTION("MID(INDEX(SPLIT($F382,"",""),COLUMN()-6),2,300)"),"4 faded indigo bags.")</f>
        <v>4 faded indigo bags.</v>
      </c>
      <c r="I382" s="3" t="str">
        <f>IFERROR(__xludf.DUMMYFUNCTION("MID(INDEX(SPLIT($F382,"",""),COLUMN()-6),2,300)"),"#REF!")</f>
        <v>#REF!</v>
      </c>
      <c r="J382" s="3" t="str">
        <f>IFERROR(__xludf.DUMMYFUNCTION("MID(INDEX(SPLIT($F382,"",""),COLUMN()-6),2,300)"),"#REF!")</f>
        <v>#REF!</v>
      </c>
      <c r="K382" s="3">
        <f>IFERROR(__xludf.DUMMYFUNCTION("INDEX(SPLIT(G382,"" ""),1)"),1.0)</f>
        <v>1</v>
      </c>
      <c r="L382" s="3" t="str">
        <f>IFERROR(__xludf.DUMMYFUNCTION("REGEXEXTRACT(G382,"" [^ ]* [^ ]* "")")," mirrored tan ")</f>
        <v> mirrored tan </v>
      </c>
      <c r="M382" s="3">
        <f>IFERROR(__xludf.DUMMYFUNCTION("INDEX(SPLIT(H382,"" ""),1)"),4.0)</f>
        <v>4</v>
      </c>
      <c r="N382" s="3" t="str">
        <f>IFERROR(__xludf.DUMMYFUNCTION("MID(REGEXEXTRACT(H382,"" [^ ]* [^ ]*""),2,300)"),"faded indigo")</f>
        <v>faded indigo</v>
      </c>
      <c r="O382" s="3" t="str">
        <f>IFERROR(__xludf.DUMMYFUNCTION("INDEX(SPLIT(I382,"" ""),1)"),"#REF!")</f>
        <v>#REF!</v>
      </c>
      <c r="P382" s="3" t="str">
        <f>IFERROR(__xludf.DUMMYFUNCTION("MID(REGEXEXTRACT(I382,"" [^ ]* [^ ]*""),2,300)"),"#REF!")</f>
        <v>#REF!</v>
      </c>
      <c r="Q382" s="3" t="str">
        <f>IFERROR(__xludf.DUMMYFUNCTION("INDEX(SPLIT(J382,"" ""),1)"),"#REF!")</f>
        <v>#REF!</v>
      </c>
      <c r="R382" s="3" t="str">
        <f>IFERROR(__xludf.DUMMYFUNCTION("MID(REGEXEXTRACT(J382,"" [^ ]* [^ ]*""),2,300)"),"#REF!")</f>
        <v>#REF!</v>
      </c>
      <c r="S382" s="3">
        <f t="shared" si="2"/>
        <v>1</v>
      </c>
      <c r="T382" s="3" t="str">
        <f t="shared" si="3"/>
        <v>mirrored tan</v>
      </c>
      <c r="U382" s="3">
        <f t="shared" si="4"/>
        <v>4</v>
      </c>
      <c r="V382" s="3" t="str">
        <f t="shared" si="5"/>
        <v>faded indigo</v>
      </c>
      <c r="W382" s="3" t="str">
        <f t="shared" si="6"/>
        <v/>
      </c>
      <c r="X382" s="3" t="str">
        <f t="shared" si="7"/>
        <v/>
      </c>
      <c r="Y382" s="3" t="str">
        <f t="shared" si="8"/>
        <v/>
      </c>
      <c r="Z382" s="3" t="str">
        <f t="shared" si="9"/>
        <v/>
      </c>
      <c r="AA382" s="13">
        <f t="shared" si="10"/>
        <v>1367173694</v>
      </c>
      <c r="AB382" s="3">
        <f t="shared" si="11"/>
        <v>1367173693</v>
      </c>
      <c r="AC382" s="3">
        <f t="shared" si="12"/>
        <v>1</v>
      </c>
      <c r="AD382" s="3">
        <f t="shared" si="13"/>
        <v>7736349</v>
      </c>
      <c r="AE382" s="3">
        <f t="shared" si="14"/>
        <v>4</v>
      </c>
      <c r="AF382" s="3">
        <f t="shared" si="15"/>
        <v>339859336</v>
      </c>
      <c r="AG382" s="3" t="str">
        <f t="shared" si="16"/>
        <v/>
      </c>
      <c r="AH382" s="3">
        <f t="shared" si="17"/>
        <v>0</v>
      </c>
      <c r="AI382" s="3" t="str">
        <f t="shared" si="18"/>
        <v/>
      </c>
      <c r="AJ382" s="3">
        <f t="shared" si="19"/>
        <v>0</v>
      </c>
    </row>
    <row r="383">
      <c r="C383" s="6" t="s">
        <v>383</v>
      </c>
      <c r="D383" s="3">
        <f t="shared" si="1"/>
        <v>3</v>
      </c>
      <c r="E383" s="3" t="str">
        <f>IFERROR(__xludf.DUMMYFUNCTION("REGEXEXTRACT(C383,""[^ ]* [^ ]*"")"),"bright turquoise")</f>
        <v>bright turquoise</v>
      </c>
      <c r="F383" s="3" t="str">
        <f>IFERROR(__xludf.DUMMYFUNCTION("MID(REGEXEXTRACT(C383,""contain.*$""),9,300)"),"1 drab teal bag, 4 dull salmon bags, 4 pale olive bags, 2 faded chartreuse bags.")</f>
        <v>1 drab teal bag, 4 dull salmon bags, 4 pale olive bags, 2 faded chartreuse bags.</v>
      </c>
      <c r="G383" s="3" t="str">
        <f>IFERROR(__xludf.DUMMYFUNCTION("INDEX(SPLIT($F383,"",""),COLUMN()-6)"),"1 drab teal bag")</f>
        <v>1 drab teal bag</v>
      </c>
      <c r="H383" s="3" t="str">
        <f>IFERROR(__xludf.DUMMYFUNCTION("MID(INDEX(SPLIT($F383,"",""),COLUMN()-6),2,300)"),"4 dull salmon bags")</f>
        <v>4 dull salmon bags</v>
      </c>
      <c r="I383" s="3" t="str">
        <f>IFERROR(__xludf.DUMMYFUNCTION("MID(INDEX(SPLIT($F383,"",""),COLUMN()-6),2,300)"),"4 pale olive bags")</f>
        <v>4 pale olive bags</v>
      </c>
      <c r="J383" s="3" t="str">
        <f>IFERROR(__xludf.DUMMYFUNCTION("MID(INDEX(SPLIT($F383,"",""),COLUMN()-6),2,300)"),"2 faded chartreuse bags.")</f>
        <v>2 faded chartreuse bags.</v>
      </c>
      <c r="K383" s="3">
        <f>IFERROR(__xludf.DUMMYFUNCTION("INDEX(SPLIT(G383,"" ""),1)"),1.0)</f>
        <v>1</v>
      </c>
      <c r="L383" s="3" t="str">
        <f>IFERROR(__xludf.DUMMYFUNCTION("REGEXEXTRACT(G383,"" [^ ]* [^ ]* "")")," drab teal ")</f>
        <v> drab teal </v>
      </c>
      <c r="M383" s="3">
        <f>IFERROR(__xludf.DUMMYFUNCTION("INDEX(SPLIT(H383,"" ""),1)"),4.0)</f>
        <v>4</v>
      </c>
      <c r="N383" s="3" t="str">
        <f>IFERROR(__xludf.DUMMYFUNCTION("MID(REGEXEXTRACT(H383,"" [^ ]* [^ ]*""),2,300)"),"dull salmon")</f>
        <v>dull salmon</v>
      </c>
      <c r="O383" s="3">
        <f>IFERROR(__xludf.DUMMYFUNCTION("INDEX(SPLIT(I383,"" ""),1)"),4.0)</f>
        <v>4</v>
      </c>
      <c r="P383" s="3" t="str">
        <f>IFERROR(__xludf.DUMMYFUNCTION("MID(REGEXEXTRACT(I383,"" [^ ]* [^ ]*""),2,300)"),"pale olive")</f>
        <v>pale olive</v>
      </c>
      <c r="Q383" s="3">
        <f>IFERROR(__xludf.DUMMYFUNCTION("INDEX(SPLIT(J383,"" ""),1)"),2.0)</f>
        <v>2</v>
      </c>
      <c r="R383" s="3" t="str">
        <f>IFERROR(__xludf.DUMMYFUNCTION("MID(REGEXEXTRACT(J383,"" [^ ]* [^ ]*""),2,300)"),"faded chartreuse")</f>
        <v>faded chartreuse</v>
      </c>
      <c r="S383" s="3">
        <f t="shared" si="2"/>
        <v>1</v>
      </c>
      <c r="T383" s="3" t="str">
        <f t="shared" si="3"/>
        <v>drab teal</v>
      </c>
      <c r="U383" s="3">
        <f t="shared" si="4"/>
        <v>4</v>
      </c>
      <c r="V383" s="3" t="str">
        <f t="shared" si="5"/>
        <v>dull salmon</v>
      </c>
      <c r="W383" s="3">
        <f t="shared" si="6"/>
        <v>4</v>
      </c>
      <c r="X383" s="3" t="str">
        <f t="shared" si="7"/>
        <v>pale olive</v>
      </c>
      <c r="Y383" s="3">
        <f t="shared" si="8"/>
        <v>2</v>
      </c>
      <c r="Z383" s="3" t="str">
        <f t="shared" si="9"/>
        <v>faded chartreuse</v>
      </c>
      <c r="AA383" s="13">
        <f t="shared" si="10"/>
        <v>12227506</v>
      </c>
      <c r="AB383" s="3">
        <f t="shared" si="11"/>
        <v>12227505</v>
      </c>
      <c r="AC383" s="3">
        <f t="shared" si="12"/>
        <v>1</v>
      </c>
      <c r="AD383" s="3">
        <f t="shared" si="13"/>
        <v>40693</v>
      </c>
      <c r="AE383" s="3">
        <f t="shared" si="14"/>
        <v>4</v>
      </c>
      <c r="AF383" s="3">
        <f t="shared" si="15"/>
        <v>2893451</v>
      </c>
      <c r="AG383" s="3">
        <f t="shared" si="16"/>
        <v>4</v>
      </c>
      <c r="AH383" s="3">
        <f t="shared" si="17"/>
        <v>306</v>
      </c>
      <c r="AI383" s="3">
        <f t="shared" si="18"/>
        <v>2</v>
      </c>
      <c r="AJ383" s="3">
        <f t="shared" si="19"/>
        <v>305892</v>
      </c>
    </row>
    <row r="384">
      <c r="C384" s="6" t="s">
        <v>384</v>
      </c>
      <c r="D384" s="3">
        <f t="shared" si="1"/>
        <v>1</v>
      </c>
      <c r="E384" s="3" t="str">
        <f>IFERROR(__xludf.DUMMYFUNCTION("REGEXEXTRACT(C384,""[^ ]* [^ ]*"")"),"muted tomato")</f>
        <v>muted tomato</v>
      </c>
      <c r="F384" s="3" t="str">
        <f>IFERROR(__xludf.DUMMYFUNCTION("MID(REGEXEXTRACT(C384,""contain.*$""),9,300)"),"1 dark purple bag, 3 striped tan bags.")</f>
        <v>1 dark purple bag, 3 striped tan bags.</v>
      </c>
      <c r="G384" s="3" t="str">
        <f>IFERROR(__xludf.DUMMYFUNCTION("INDEX(SPLIT($F384,"",""),COLUMN()-6)"),"1 dark purple bag")</f>
        <v>1 dark purple bag</v>
      </c>
      <c r="H384" s="3" t="str">
        <f>IFERROR(__xludf.DUMMYFUNCTION("MID(INDEX(SPLIT($F384,"",""),COLUMN()-6),2,300)"),"3 striped tan bags.")</f>
        <v>3 striped tan bags.</v>
      </c>
      <c r="I384" s="3" t="str">
        <f>IFERROR(__xludf.DUMMYFUNCTION("MID(INDEX(SPLIT($F384,"",""),COLUMN()-6),2,300)"),"#REF!")</f>
        <v>#REF!</v>
      </c>
      <c r="J384" s="3" t="str">
        <f>IFERROR(__xludf.DUMMYFUNCTION("MID(INDEX(SPLIT($F384,"",""),COLUMN()-6),2,300)"),"#REF!")</f>
        <v>#REF!</v>
      </c>
      <c r="K384" s="3">
        <f>IFERROR(__xludf.DUMMYFUNCTION("INDEX(SPLIT(G384,"" ""),1)"),1.0)</f>
        <v>1</v>
      </c>
      <c r="L384" s="3" t="str">
        <f>IFERROR(__xludf.DUMMYFUNCTION("REGEXEXTRACT(G384,"" [^ ]* [^ ]* "")")," dark purple ")</f>
        <v> dark purple </v>
      </c>
      <c r="M384" s="3">
        <f>IFERROR(__xludf.DUMMYFUNCTION("INDEX(SPLIT(H384,"" ""),1)"),3.0)</f>
        <v>3</v>
      </c>
      <c r="N384" s="3" t="str">
        <f>IFERROR(__xludf.DUMMYFUNCTION("MID(REGEXEXTRACT(H384,"" [^ ]* [^ ]*""),2,300)"),"striped tan")</f>
        <v>striped tan</v>
      </c>
      <c r="O384" s="3" t="str">
        <f>IFERROR(__xludf.DUMMYFUNCTION("INDEX(SPLIT(I384,"" ""),1)"),"#REF!")</f>
        <v>#REF!</v>
      </c>
      <c r="P384" s="3" t="str">
        <f>IFERROR(__xludf.DUMMYFUNCTION("MID(REGEXEXTRACT(I384,"" [^ ]* [^ ]*""),2,300)"),"#REF!")</f>
        <v>#REF!</v>
      </c>
      <c r="Q384" s="3" t="str">
        <f>IFERROR(__xludf.DUMMYFUNCTION("INDEX(SPLIT(J384,"" ""),1)"),"#REF!")</f>
        <v>#REF!</v>
      </c>
      <c r="R384" s="3" t="str">
        <f>IFERROR(__xludf.DUMMYFUNCTION("MID(REGEXEXTRACT(J384,"" [^ ]* [^ ]*""),2,300)"),"#REF!")</f>
        <v>#REF!</v>
      </c>
      <c r="S384" s="3">
        <f t="shared" si="2"/>
        <v>1</v>
      </c>
      <c r="T384" s="3" t="str">
        <f t="shared" si="3"/>
        <v>dark purple</v>
      </c>
      <c r="U384" s="3">
        <f t="shared" si="4"/>
        <v>3</v>
      </c>
      <c r="V384" s="3" t="str">
        <f t="shared" si="5"/>
        <v>striped tan</v>
      </c>
      <c r="W384" s="3" t="str">
        <f t="shared" si="6"/>
        <v/>
      </c>
      <c r="X384" s="3" t="str">
        <f t="shared" si="7"/>
        <v/>
      </c>
      <c r="Y384" s="3" t="str">
        <f t="shared" si="8"/>
        <v/>
      </c>
      <c r="Z384" s="3" t="str">
        <f t="shared" si="9"/>
        <v/>
      </c>
      <c r="AA384" s="13">
        <f t="shared" si="10"/>
        <v>39543047</v>
      </c>
      <c r="AB384" s="3">
        <f t="shared" si="11"/>
        <v>39543046</v>
      </c>
      <c r="AC384" s="3">
        <f t="shared" si="12"/>
        <v>1</v>
      </c>
      <c r="AD384" s="3">
        <f t="shared" si="13"/>
        <v>37917343</v>
      </c>
      <c r="AE384" s="3">
        <f t="shared" si="14"/>
        <v>3</v>
      </c>
      <c r="AF384" s="3">
        <f t="shared" si="15"/>
        <v>541901</v>
      </c>
      <c r="AG384" s="3" t="str">
        <f t="shared" si="16"/>
        <v/>
      </c>
      <c r="AH384" s="3">
        <f t="shared" si="17"/>
        <v>0</v>
      </c>
      <c r="AI384" s="3" t="str">
        <f t="shared" si="18"/>
        <v/>
      </c>
      <c r="AJ384" s="3">
        <f t="shared" si="19"/>
        <v>0</v>
      </c>
    </row>
    <row r="385">
      <c r="C385" s="6" t="s">
        <v>385</v>
      </c>
      <c r="D385" s="3">
        <f t="shared" si="1"/>
        <v>0</v>
      </c>
      <c r="E385" s="3" t="str">
        <f>IFERROR(__xludf.DUMMYFUNCTION("REGEXEXTRACT(C385,""[^ ]* [^ ]*"")"),"posh silver")</f>
        <v>posh silver</v>
      </c>
      <c r="F385" s="3" t="str">
        <f>IFERROR(__xludf.DUMMYFUNCTION("MID(REGEXEXTRACT(C385,""contain.*$""),9,300)"),"4 muted gray bags.")</f>
        <v>4 muted gray bags.</v>
      </c>
      <c r="G385" s="3" t="str">
        <f>IFERROR(__xludf.DUMMYFUNCTION("INDEX(SPLIT($F385,"",""),COLUMN()-6)"),"4 muted gray bags.")</f>
        <v>4 muted gray bags.</v>
      </c>
      <c r="H385" s="3" t="str">
        <f>IFERROR(__xludf.DUMMYFUNCTION("MID(INDEX(SPLIT($F385,"",""),COLUMN()-6),2,300)"),"#REF!")</f>
        <v>#REF!</v>
      </c>
      <c r="I385" s="3" t="str">
        <f>IFERROR(__xludf.DUMMYFUNCTION("MID(INDEX(SPLIT($F385,"",""),COLUMN()-6),2,300)"),"#REF!")</f>
        <v>#REF!</v>
      </c>
      <c r="J385" s="3" t="str">
        <f>IFERROR(__xludf.DUMMYFUNCTION("MID(INDEX(SPLIT($F385,"",""),COLUMN()-6),2,300)"),"#REF!")</f>
        <v>#REF!</v>
      </c>
      <c r="K385" s="3">
        <f>IFERROR(__xludf.DUMMYFUNCTION("INDEX(SPLIT(G385,"" ""),1)"),4.0)</f>
        <v>4</v>
      </c>
      <c r="L385" s="3" t="str">
        <f>IFERROR(__xludf.DUMMYFUNCTION("REGEXEXTRACT(G385,"" [^ ]* [^ ]* "")")," muted gray ")</f>
        <v> muted gray </v>
      </c>
      <c r="M385" s="3" t="str">
        <f>IFERROR(__xludf.DUMMYFUNCTION("INDEX(SPLIT(H385,"" ""),1)"),"#REF!")</f>
        <v>#REF!</v>
      </c>
      <c r="N385" s="3" t="str">
        <f>IFERROR(__xludf.DUMMYFUNCTION("MID(REGEXEXTRACT(H385,"" [^ ]* [^ ]*""),2,300)"),"#REF!")</f>
        <v>#REF!</v>
      </c>
      <c r="O385" s="3" t="str">
        <f>IFERROR(__xludf.DUMMYFUNCTION("INDEX(SPLIT(I385,"" ""),1)"),"#REF!")</f>
        <v>#REF!</v>
      </c>
      <c r="P385" s="3" t="str">
        <f>IFERROR(__xludf.DUMMYFUNCTION("MID(REGEXEXTRACT(I385,"" [^ ]* [^ ]*""),2,300)"),"#REF!")</f>
        <v>#REF!</v>
      </c>
      <c r="Q385" s="3" t="str">
        <f>IFERROR(__xludf.DUMMYFUNCTION("INDEX(SPLIT(J385,"" ""),1)"),"#REF!")</f>
        <v>#REF!</v>
      </c>
      <c r="R385" s="3" t="str">
        <f>IFERROR(__xludf.DUMMYFUNCTION("MID(REGEXEXTRACT(J385,"" [^ ]* [^ ]*""),2,300)"),"#REF!")</f>
        <v>#REF!</v>
      </c>
      <c r="S385" s="3">
        <f t="shared" si="2"/>
        <v>4</v>
      </c>
      <c r="T385" s="3" t="str">
        <f t="shared" si="3"/>
        <v>muted gray</v>
      </c>
      <c r="U385" s="3" t="str">
        <f t="shared" si="4"/>
        <v/>
      </c>
      <c r="V385" s="3" t="str">
        <f t="shared" si="5"/>
        <v/>
      </c>
      <c r="W385" s="3" t="str">
        <f t="shared" si="6"/>
        <v/>
      </c>
      <c r="X385" s="3" t="str">
        <f t="shared" si="7"/>
        <v/>
      </c>
      <c r="Y385" s="3" t="str">
        <f t="shared" si="8"/>
        <v/>
      </c>
      <c r="Z385" s="3" t="str">
        <f t="shared" si="9"/>
        <v/>
      </c>
      <c r="AA385" s="13">
        <f t="shared" si="10"/>
        <v>34858093</v>
      </c>
      <c r="AB385" s="3">
        <f t="shared" si="11"/>
        <v>34858092</v>
      </c>
      <c r="AC385" s="3">
        <f t="shared" si="12"/>
        <v>4</v>
      </c>
      <c r="AD385" s="3">
        <f t="shared" si="13"/>
        <v>8714523</v>
      </c>
      <c r="AE385" s="3" t="str">
        <f t="shared" si="14"/>
        <v/>
      </c>
      <c r="AF385" s="3">
        <f t="shared" si="15"/>
        <v>0</v>
      </c>
      <c r="AG385" s="3" t="str">
        <f t="shared" si="16"/>
        <v/>
      </c>
      <c r="AH385" s="3">
        <f t="shared" si="17"/>
        <v>0</v>
      </c>
      <c r="AI385" s="3" t="str">
        <f t="shared" si="18"/>
        <v/>
      </c>
      <c r="AJ385" s="3">
        <f t="shared" si="19"/>
        <v>0</v>
      </c>
    </row>
    <row r="386">
      <c r="C386" s="6" t="s">
        <v>386</v>
      </c>
      <c r="D386" s="3">
        <f t="shared" si="1"/>
        <v>3</v>
      </c>
      <c r="E386" s="3" t="str">
        <f>IFERROR(__xludf.DUMMYFUNCTION("REGEXEXTRACT(C386,""[^ ]* [^ ]*"")"),"mirrored olive")</f>
        <v>mirrored olive</v>
      </c>
      <c r="F386" s="3" t="str">
        <f>IFERROR(__xludf.DUMMYFUNCTION("MID(REGEXEXTRACT(C386,""contain.*$""),9,300)"),"5 bright lavender bags, 2 clear blue bags, 5 dotted crimson bags, 5 pale black bags.")</f>
        <v>5 bright lavender bags, 2 clear blue bags, 5 dotted crimson bags, 5 pale black bags.</v>
      </c>
      <c r="G386" s="3" t="str">
        <f>IFERROR(__xludf.DUMMYFUNCTION("INDEX(SPLIT($F386,"",""),COLUMN()-6)"),"5 bright lavender bags")</f>
        <v>5 bright lavender bags</v>
      </c>
      <c r="H386" s="3" t="str">
        <f>IFERROR(__xludf.DUMMYFUNCTION("MID(INDEX(SPLIT($F386,"",""),COLUMN()-6),2,300)"),"2 clear blue bags")</f>
        <v>2 clear blue bags</v>
      </c>
      <c r="I386" s="3" t="str">
        <f>IFERROR(__xludf.DUMMYFUNCTION("MID(INDEX(SPLIT($F386,"",""),COLUMN()-6),2,300)"),"5 dotted crimson bags")</f>
        <v>5 dotted crimson bags</v>
      </c>
      <c r="J386" s="3" t="str">
        <f>IFERROR(__xludf.DUMMYFUNCTION("MID(INDEX(SPLIT($F386,"",""),COLUMN()-6),2,300)"),"5 pale black bags.")</f>
        <v>5 pale black bags.</v>
      </c>
      <c r="K386" s="3">
        <f>IFERROR(__xludf.DUMMYFUNCTION("INDEX(SPLIT(G386,"" ""),1)"),5.0)</f>
        <v>5</v>
      </c>
      <c r="L386" s="3" t="str">
        <f>IFERROR(__xludf.DUMMYFUNCTION("REGEXEXTRACT(G386,"" [^ ]* [^ ]* "")")," bright lavender ")</f>
        <v> bright lavender </v>
      </c>
      <c r="M386" s="3">
        <f>IFERROR(__xludf.DUMMYFUNCTION("INDEX(SPLIT(H386,"" ""),1)"),2.0)</f>
        <v>2</v>
      </c>
      <c r="N386" s="3" t="str">
        <f>IFERROR(__xludf.DUMMYFUNCTION("MID(REGEXEXTRACT(H386,"" [^ ]* [^ ]*""),2,300)"),"clear blue")</f>
        <v>clear blue</v>
      </c>
      <c r="O386" s="3">
        <f>IFERROR(__xludf.DUMMYFUNCTION("INDEX(SPLIT(I386,"" ""),1)"),5.0)</f>
        <v>5</v>
      </c>
      <c r="P386" s="3" t="str">
        <f>IFERROR(__xludf.DUMMYFUNCTION("MID(REGEXEXTRACT(I386,"" [^ ]* [^ ]*""),2,300)"),"dotted crimson")</f>
        <v>dotted crimson</v>
      </c>
      <c r="Q386" s="3">
        <f>IFERROR(__xludf.DUMMYFUNCTION("INDEX(SPLIT(J386,"" ""),1)"),5.0)</f>
        <v>5</v>
      </c>
      <c r="R386" s="3" t="str">
        <f>IFERROR(__xludf.DUMMYFUNCTION("MID(REGEXEXTRACT(J386,"" [^ ]* [^ ]*""),2,300)"),"pale black")</f>
        <v>pale black</v>
      </c>
      <c r="S386" s="3">
        <f t="shared" si="2"/>
        <v>5</v>
      </c>
      <c r="T386" s="3" t="str">
        <f t="shared" si="3"/>
        <v>bright lavender</v>
      </c>
      <c r="U386" s="3">
        <f t="shared" si="4"/>
        <v>2</v>
      </c>
      <c r="V386" s="3" t="str">
        <f t="shared" si="5"/>
        <v>clear blue</v>
      </c>
      <c r="W386" s="3">
        <f t="shared" si="6"/>
        <v>5</v>
      </c>
      <c r="X386" s="3" t="str">
        <f t="shared" si="7"/>
        <v>dotted crimson</v>
      </c>
      <c r="Y386" s="3">
        <f t="shared" si="8"/>
        <v>5</v>
      </c>
      <c r="Z386" s="3" t="str">
        <f t="shared" si="9"/>
        <v>pale black</v>
      </c>
      <c r="AA386" s="13">
        <f t="shared" si="10"/>
        <v>7408</v>
      </c>
      <c r="AB386" s="3">
        <f t="shared" si="11"/>
        <v>7407</v>
      </c>
      <c r="AC386" s="3">
        <f t="shared" si="12"/>
        <v>5</v>
      </c>
      <c r="AD386" s="3">
        <f t="shared" si="13"/>
        <v>164</v>
      </c>
      <c r="AE386" s="3">
        <f t="shared" si="14"/>
        <v>2</v>
      </c>
      <c r="AF386" s="3">
        <f t="shared" si="15"/>
        <v>76</v>
      </c>
      <c r="AG386" s="3">
        <f t="shared" si="16"/>
        <v>5</v>
      </c>
      <c r="AH386" s="3">
        <f t="shared" si="17"/>
        <v>1279</v>
      </c>
      <c r="AI386" s="3">
        <f t="shared" si="18"/>
        <v>5</v>
      </c>
      <c r="AJ386" s="3">
        <f t="shared" si="19"/>
        <v>8</v>
      </c>
    </row>
    <row r="387">
      <c r="C387" s="6" t="s">
        <v>387</v>
      </c>
      <c r="D387" s="3">
        <f t="shared" si="1"/>
        <v>2</v>
      </c>
      <c r="E387" s="3" t="str">
        <f>IFERROR(__xludf.DUMMYFUNCTION("REGEXEXTRACT(C387,""[^ ]* [^ ]*"")"),"shiny tomato")</f>
        <v>shiny tomato</v>
      </c>
      <c r="F387" s="3" t="str">
        <f>IFERROR(__xludf.DUMMYFUNCTION("MID(REGEXEXTRACT(C387,""contain.*$""),9,300)"),"1 mirrored purple bag, 4 posh gold bags, 3 vibrant plum bags.")</f>
        <v>1 mirrored purple bag, 4 posh gold bags, 3 vibrant plum bags.</v>
      </c>
      <c r="G387" s="3" t="str">
        <f>IFERROR(__xludf.DUMMYFUNCTION("INDEX(SPLIT($F387,"",""),COLUMN()-6)"),"1 mirrored purple bag")</f>
        <v>1 mirrored purple bag</v>
      </c>
      <c r="H387" s="3" t="str">
        <f>IFERROR(__xludf.DUMMYFUNCTION("MID(INDEX(SPLIT($F387,"",""),COLUMN()-6),2,300)"),"4 posh gold bags")</f>
        <v>4 posh gold bags</v>
      </c>
      <c r="I387" s="3" t="str">
        <f>IFERROR(__xludf.DUMMYFUNCTION("MID(INDEX(SPLIT($F387,"",""),COLUMN()-6),2,300)"),"3 vibrant plum bags.")</f>
        <v>3 vibrant plum bags.</v>
      </c>
      <c r="J387" s="3" t="str">
        <f>IFERROR(__xludf.DUMMYFUNCTION("MID(INDEX(SPLIT($F387,"",""),COLUMN()-6),2,300)"),"#REF!")</f>
        <v>#REF!</v>
      </c>
      <c r="K387" s="3">
        <f>IFERROR(__xludf.DUMMYFUNCTION("INDEX(SPLIT(G387,"" ""),1)"),1.0)</f>
        <v>1</v>
      </c>
      <c r="L387" s="3" t="str">
        <f>IFERROR(__xludf.DUMMYFUNCTION("REGEXEXTRACT(G387,"" [^ ]* [^ ]* "")")," mirrored purple ")</f>
        <v> mirrored purple </v>
      </c>
      <c r="M387" s="3">
        <f>IFERROR(__xludf.DUMMYFUNCTION("INDEX(SPLIT(H387,"" ""),1)"),4.0)</f>
        <v>4</v>
      </c>
      <c r="N387" s="3" t="str">
        <f>IFERROR(__xludf.DUMMYFUNCTION("MID(REGEXEXTRACT(H387,"" [^ ]* [^ ]*""),2,300)"),"posh gold")</f>
        <v>posh gold</v>
      </c>
      <c r="O387" s="3">
        <f>IFERROR(__xludf.DUMMYFUNCTION("INDEX(SPLIT(I387,"" ""),1)"),3.0)</f>
        <v>3</v>
      </c>
      <c r="P387" s="3" t="str">
        <f>IFERROR(__xludf.DUMMYFUNCTION("MID(REGEXEXTRACT(I387,"" [^ ]* [^ ]*""),2,300)"),"vibrant plum")</f>
        <v>vibrant plum</v>
      </c>
      <c r="Q387" s="3" t="str">
        <f>IFERROR(__xludf.DUMMYFUNCTION("INDEX(SPLIT(J387,"" ""),1)"),"#REF!")</f>
        <v>#REF!</v>
      </c>
      <c r="R387" s="3" t="str">
        <f>IFERROR(__xludf.DUMMYFUNCTION("MID(REGEXEXTRACT(J387,"" [^ ]* [^ ]*""),2,300)"),"#REF!")</f>
        <v>#REF!</v>
      </c>
      <c r="S387" s="3">
        <f t="shared" si="2"/>
        <v>1</v>
      </c>
      <c r="T387" s="3" t="str">
        <f t="shared" si="3"/>
        <v>mirrored purple</v>
      </c>
      <c r="U387" s="3">
        <f t="shared" si="4"/>
        <v>4</v>
      </c>
      <c r="V387" s="3" t="str">
        <f t="shared" si="5"/>
        <v>posh gold</v>
      </c>
      <c r="W387" s="3">
        <f t="shared" si="6"/>
        <v>3</v>
      </c>
      <c r="X387" s="3" t="str">
        <f t="shared" si="7"/>
        <v>vibrant plum</v>
      </c>
      <c r="Y387" s="3" t="str">
        <f t="shared" si="8"/>
        <v/>
      </c>
      <c r="Z387" s="3" t="str">
        <f t="shared" si="9"/>
        <v/>
      </c>
      <c r="AA387" s="13">
        <f t="shared" si="10"/>
        <v>47611663</v>
      </c>
      <c r="AB387" s="3">
        <f t="shared" si="11"/>
        <v>47611662</v>
      </c>
      <c r="AC387" s="3">
        <f t="shared" si="12"/>
        <v>1</v>
      </c>
      <c r="AD387" s="3">
        <f t="shared" si="13"/>
        <v>47043416</v>
      </c>
      <c r="AE387" s="3">
        <f t="shared" si="14"/>
        <v>4</v>
      </c>
      <c r="AF387" s="3">
        <f t="shared" si="15"/>
        <v>122080</v>
      </c>
      <c r="AG387" s="3">
        <f t="shared" si="16"/>
        <v>3</v>
      </c>
      <c r="AH387" s="3">
        <f t="shared" si="17"/>
        <v>26642</v>
      </c>
      <c r="AI387" s="3" t="str">
        <f t="shared" si="18"/>
        <v/>
      </c>
      <c r="AJ387" s="3">
        <f t="shared" si="19"/>
        <v>0</v>
      </c>
    </row>
    <row r="388">
      <c r="C388" s="6" t="s">
        <v>388</v>
      </c>
      <c r="D388" s="3">
        <f t="shared" si="1"/>
        <v>3</v>
      </c>
      <c r="E388" s="3" t="str">
        <f>IFERROR(__xludf.DUMMYFUNCTION("REGEXEXTRACT(C388,""[^ ]* [^ ]*"")"),"striped coral")</f>
        <v>striped coral</v>
      </c>
      <c r="F388" s="3" t="str">
        <f>IFERROR(__xludf.DUMMYFUNCTION("MID(REGEXEXTRACT(C388,""contain.*$""),9,300)"),"5 clear orange bags, 3 muted coral bags, 4 bright green bags, 1 clear chartreuse bag.")</f>
        <v>5 clear orange bags, 3 muted coral bags, 4 bright green bags, 1 clear chartreuse bag.</v>
      </c>
      <c r="G388" s="3" t="str">
        <f>IFERROR(__xludf.DUMMYFUNCTION("INDEX(SPLIT($F388,"",""),COLUMN()-6)"),"5 clear orange bags")</f>
        <v>5 clear orange bags</v>
      </c>
      <c r="H388" s="3" t="str">
        <f>IFERROR(__xludf.DUMMYFUNCTION("MID(INDEX(SPLIT($F388,"",""),COLUMN()-6),2,300)"),"3 muted coral bags")</f>
        <v>3 muted coral bags</v>
      </c>
      <c r="I388" s="3" t="str">
        <f>IFERROR(__xludf.DUMMYFUNCTION("MID(INDEX(SPLIT($F388,"",""),COLUMN()-6),2,300)"),"4 bright green bags")</f>
        <v>4 bright green bags</v>
      </c>
      <c r="J388" s="3" t="str">
        <f>IFERROR(__xludf.DUMMYFUNCTION("MID(INDEX(SPLIT($F388,"",""),COLUMN()-6),2,300)"),"1 clear chartreuse bag.")</f>
        <v>1 clear chartreuse bag.</v>
      </c>
      <c r="K388" s="3">
        <f>IFERROR(__xludf.DUMMYFUNCTION("INDEX(SPLIT(G388,"" ""),1)"),5.0)</f>
        <v>5</v>
      </c>
      <c r="L388" s="3" t="str">
        <f>IFERROR(__xludf.DUMMYFUNCTION("REGEXEXTRACT(G388,"" [^ ]* [^ ]* "")")," clear orange ")</f>
        <v> clear orange </v>
      </c>
      <c r="M388" s="3">
        <f>IFERROR(__xludf.DUMMYFUNCTION("INDEX(SPLIT(H388,"" ""),1)"),3.0)</f>
        <v>3</v>
      </c>
      <c r="N388" s="3" t="str">
        <f>IFERROR(__xludf.DUMMYFUNCTION("MID(REGEXEXTRACT(H388,"" [^ ]* [^ ]*""),2,300)"),"muted coral")</f>
        <v>muted coral</v>
      </c>
      <c r="O388" s="3">
        <f>IFERROR(__xludf.DUMMYFUNCTION("INDEX(SPLIT(I388,"" ""),1)"),4.0)</f>
        <v>4</v>
      </c>
      <c r="P388" s="3" t="str">
        <f>IFERROR(__xludf.DUMMYFUNCTION("MID(REGEXEXTRACT(I388,"" [^ ]* [^ ]*""),2,300)"),"bright green")</f>
        <v>bright green</v>
      </c>
      <c r="Q388" s="3">
        <f>IFERROR(__xludf.DUMMYFUNCTION("INDEX(SPLIT(J388,"" ""),1)"),1.0)</f>
        <v>1</v>
      </c>
      <c r="R388" s="3" t="str">
        <f>IFERROR(__xludf.DUMMYFUNCTION("MID(REGEXEXTRACT(J388,"" [^ ]* [^ ]*""),2,300)"),"clear chartreuse")</f>
        <v>clear chartreuse</v>
      </c>
      <c r="S388" s="3">
        <f t="shared" si="2"/>
        <v>5</v>
      </c>
      <c r="T388" s="3" t="str">
        <f t="shared" si="3"/>
        <v>clear orange</v>
      </c>
      <c r="U388" s="3">
        <f t="shared" si="4"/>
        <v>3</v>
      </c>
      <c r="V388" s="3" t="str">
        <f t="shared" si="5"/>
        <v>muted coral</v>
      </c>
      <c r="W388" s="3">
        <f t="shared" si="6"/>
        <v>4</v>
      </c>
      <c r="X388" s="3" t="str">
        <f t="shared" si="7"/>
        <v>bright green</v>
      </c>
      <c r="Y388" s="3">
        <f t="shared" si="8"/>
        <v>1</v>
      </c>
      <c r="Z388" s="3" t="str">
        <f t="shared" si="9"/>
        <v>clear chartreuse</v>
      </c>
      <c r="AA388" s="13">
        <f t="shared" si="10"/>
        <v>82502159</v>
      </c>
      <c r="AB388" s="3">
        <f t="shared" si="11"/>
        <v>82502158</v>
      </c>
      <c r="AC388" s="3">
        <f t="shared" si="12"/>
        <v>5</v>
      </c>
      <c r="AD388" s="3">
        <f t="shared" si="13"/>
        <v>2656</v>
      </c>
      <c r="AE388" s="3">
        <f t="shared" si="14"/>
        <v>3</v>
      </c>
      <c r="AF388" s="3">
        <f t="shared" si="15"/>
        <v>9875186</v>
      </c>
      <c r="AG388" s="3">
        <f t="shared" si="16"/>
        <v>4</v>
      </c>
      <c r="AH388" s="3">
        <f t="shared" si="17"/>
        <v>134494</v>
      </c>
      <c r="AI388" s="3">
        <f t="shared" si="18"/>
        <v>1</v>
      </c>
      <c r="AJ388" s="3">
        <f t="shared" si="19"/>
        <v>52325344</v>
      </c>
    </row>
    <row r="389">
      <c r="C389" s="6" t="s">
        <v>389</v>
      </c>
      <c r="D389" s="3">
        <f t="shared" si="1"/>
        <v>0</v>
      </c>
      <c r="E389" s="3" t="str">
        <f>IFERROR(__xludf.DUMMYFUNCTION("REGEXEXTRACT(C389,""[^ ]* [^ ]*"")"),"mirrored chartreuse")</f>
        <v>mirrored chartreuse</v>
      </c>
      <c r="F389" s="3" t="str">
        <f>IFERROR(__xludf.DUMMYFUNCTION("MID(REGEXEXTRACT(C389,""contain.*$""),9,300)"),"4 clear blue bags.")</f>
        <v>4 clear blue bags.</v>
      </c>
      <c r="G389" s="3" t="str">
        <f>IFERROR(__xludf.DUMMYFUNCTION("INDEX(SPLIT($F389,"",""),COLUMN()-6)"),"4 clear blue bags.")</f>
        <v>4 clear blue bags.</v>
      </c>
      <c r="H389" s="3" t="str">
        <f>IFERROR(__xludf.DUMMYFUNCTION("MID(INDEX(SPLIT($F389,"",""),COLUMN()-6),2,300)"),"#REF!")</f>
        <v>#REF!</v>
      </c>
      <c r="I389" s="3" t="str">
        <f>IFERROR(__xludf.DUMMYFUNCTION("MID(INDEX(SPLIT($F389,"",""),COLUMN()-6),2,300)"),"#REF!")</f>
        <v>#REF!</v>
      </c>
      <c r="J389" s="3" t="str">
        <f>IFERROR(__xludf.DUMMYFUNCTION("MID(INDEX(SPLIT($F389,"",""),COLUMN()-6),2,300)"),"#REF!")</f>
        <v>#REF!</v>
      </c>
      <c r="K389" s="3">
        <f>IFERROR(__xludf.DUMMYFUNCTION("INDEX(SPLIT(G389,"" ""),1)"),4.0)</f>
        <v>4</v>
      </c>
      <c r="L389" s="3" t="str">
        <f>IFERROR(__xludf.DUMMYFUNCTION("REGEXEXTRACT(G389,"" [^ ]* [^ ]* "")")," clear blue ")</f>
        <v> clear blue </v>
      </c>
      <c r="M389" s="3" t="str">
        <f>IFERROR(__xludf.DUMMYFUNCTION("INDEX(SPLIT(H389,"" ""),1)"),"#REF!")</f>
        <v>#REF!</v>
      </c>
      <c r="N389" s="3" t="str">
        <f>IFERROR(__xludf.DUMMYFUNCTION("MID(REGEXEXTRACT(H389,"" [^ ]* [^ ]*""),2,300)"),"#REF!")</f>
        <v>#REF!</v>
      </c>
      <c r="O389" s="3" t="str">
        <f>IFERROR(__xludf.DUMMYFUNCTION("INDEX(SPLIT(I389,"" ""),1)"),"#REF!")</f>
        <v>#REF!</v>
      </c>
      <c r="P389" s="3" t="str">
        <f>IFERROR(__xludf.DUMMYFUNCTION("MID(REGEXEXTRACT(I389,"" [^ ]* [^ ]*""),2,300)"),"#REF!")</f>
        <v>#REF!</v>
      </c>
      <c r="Q389" s="3" t="str">
        <f>IFERROR(__xludf.DUMMYFUNCTION("INDEX(SPLIT(J389,"" ""),1)"),"#REF!")</f>
        <v>#REF!</v>
      </c>
      <c r="R389" s="3" t="str">
        <f>IFERROR(__xludf.DUMMYFUNCTION("MID(REGEXEXTRACT(J389,"" [^ ]* [^ ]*""),2,300)"),"#REF!")</f>
        <v>#REF!</v>
      </c>
      <c r="S389" s="3">
        <f t="shared" si="2"/>
        <v>4</v>
      </c>
      <c r="T389" s="3" t="str">
        <f t="shared" si="3"/>
        <v>clear blue</v>
      </c>
      <c r="U389" s="3" t="str">
        <f t="shared" si="4"/>
        <v/>
      </c>
      <c r="V389" s="3" t="str">
        <f t="shared" si="5"/>
        <v/>
      </c>
      <c r="W389" s="3" t="str">
        <f t="shared" si="6"/>
        <v/>
      </c>
      <c r="X389" s="3" t="str">
        <f t="shared" si="7"/>
        <v/>
      </c>
      <c r="Y389" s="3" t="str">
        <f t="shared" si="8"/>
        <v/>
      </c>
      <c r="Z389" s="3" t="str">
        <f t="shared" si="9"/>
        <v/>
      </c>
      <c r="AA389" s="13">
        <f t="shared" si="10"/>
        <v>305</v>
      </c>
      <c r="AB389" s="3">
        <f t="shared" si="11"/>
        <v>304</v>
      </c>
      <c r="AC389" s="3">
        <f t="shared" si="12"/>
        <v>4</v>
      </c>
      <c r="AD389" s="3">
        <f t="shared" si="13"/>
        <v>76</v>
      </c>
      <c r="AE389" s="3" t="str">
        <f t="shared" si="14"/>
        <v/>
      </c>
      <c r="AF389" s="3">
        <f t="shared" si="15"/>
        <v>0</v>
      </c>
      <c r="AG389" s="3" t="str">
        <f t="shared" si="16"/>
        <v/>
      </c>
      <c r="AH389" s="3">
        <f t="shared" si="17"/>
        <v>0</v>
      </c>
      <c r="AI389" s="3" t="str">
        <f t="shared" si="18"/>
        <v/>
      </c>
      <c r="AJ389" s="3">
        <f t="shared" si="19"/>
        <v>0</v>
      </c>
    </row>
    <row r="390">
      <c r="C390" s="6" t="s">
        <v>390</v>
      </c>
      <c r="D390" s="3">
        <f t="shared" si="1"/>
        <v>0</v>
      </c>
      <c r="E390" s="3" t="str">
        <f>IFERROR(__xludf.DUMMYFUNCTION("REGEXEXTRACT(C390,""[^ ]* [^ ]*"")"),"pale maroon")</f>
        <v>pale maroon</v>
      </c>
      <c r="F390" s="3" t="str">
        <f>IFERROR(__xludf.DUMMYFUNCTION("MID(REGEXEXTRACT(C390,""contain.*$""),9,300)"),"1 muted indigo bag.")</f>
        <v>1 muted indigo bag.</v>
      </c>
      <c r="G390" s="3" t="str">
        <f>IFERROR(__xludf.DUMMYFUNCTION("INDEX(SPLIT($F390,"",""),COLUMN()-6)"),"1 muted indigo bag.")</f>
        <v>1 muted indigo bag.</v>
      </c>
      <c r="H390" s="3" t="str">
        <f>IFERROR(__xludf.DUMMYFUNCTION("MID(INDEX(SPLIT($F390,"",""),COLUMN()-6),2,300)"),"#REF!")</f>
        <v>#REF!</v>
      </c>
      <c r="I390" s="3" t="str">
        <f>IFERROR(__xludf.DUMMYFUNCTION("MID(INDEX(SPLIT($F390,"",""),COLUMN()-6),2,300)"),"#REF!")</f>
        <v>#REF!</v>
      </c>
      <c r="J390" s="3" t="str">
        <f>IFERROR(__xludf.DUMMYFUNCTION("MID(INDEX(SPLIT($F390,"",""),COLUMN()-6),2,300)"),"#REF!")</f>
        <v>#REF!</v>
      </c>
      <c r="K390" s="3">
        <f>IFERROR(__xludf.DUMMYFUNCTION("INDEX(SPLIT(G390,"" ""),1)"),1.0)</f>
        <v>1</v>
      </c>
      <c r="L390" s="3" t="str">
        <f>IFERROR(__xludf.DUMMYFUNCTION("REGEXEXTRACT(G390,"" [^ ]* [^ ]* "")")," muted indigo ")</f>
        <v> muted indigo </v>
      </c>
      <c r="M390" s="3" t="str">
        <f>IFERROR(__xludf.DUMMYFUNCTION("INDEX(SPLIT(H390,"" ""),1)"),"#REF!")</f>
        <v>#REF!</v>
      </c>
      <c r="N390" s="3" t="str">
        <f>IFERROR(__xludf.DUMMYFUNCTION("MID(REGEXEXTRACT(H390,"" [^ ]* [^ ]*""),2,300)"),"#REF!")</f>
        <v>#REF!</v>
      </c>
      <c r="O390" s="3" t="str">
        <f>IFERROR(__xludf.DUMMYFUNCTION("INDEX(SPLIT(I390,"" ""),1)"),"#REF!")</f>
        <v>#REF!</v>
      </c>
      <c r="P390" s="3" t="str">
        <f>IFERROR(__xludf.DUMMYFUNCTION("MID(REGEXEXTRACT(I390,"" [^ ]* [^ ]*""),2,300)"),"#REF!")</f>
        <v>#REF!</v>
      </c>
      <c r="Q390" s="3" t="str">
        <f>IFERROR(__xludf.DUMMYFUNCTION("INDEX(SPLIT(J390,"" ""),1)"),"#REF!")</f>
        <v>#REF!</v>
      </c>
      <c r="R390" s="3" t="str">
        <f>IFERROR(__xludf.DUMMYFUNCTION("MID(REGEXEXTRACT(J390,"" [^ ]* [^ ]*""),2,300)"),"#REF!")</f>
        <v>#REF!</v>
      </c>
      <c r="S390" s="3">
        <f t="shared" si="2"/>
        <v>1</v>
      </c>
      <c r="T390" s="3" t="str">
        <f t="shared" si="3"/>
        <v>muted indigo</v>
      </c>
      <c r="U390" s="3" t="str">
        <f t="shared" si="4"/>
        <v/>
      </c>
      <c r="V390" s="3" t="str">
        <f t="shared" si="5"/>
        <v/>
      </c>
      <c r="W390" s="3" t="str">
        <f t="shared" si="6"/>
        <v/>
      </c>
      <c r="X390" s="3" t="str">
        <f t="shared" si="7"/>
        <v/>
      </c>
      <c r="Y390" s="3" t="str">
        <f t="shared" si="8"/>
        <v/>
      </c>
      <c r="Z390" s="3" t="str">
        <f t="shared" si="9"/>
        <v/>
      </c>
      <c r="AA390" s="13">
        <f t="shared" si="10"/>
        <v>362096</v>
      </c>
      <c r="AB390" s="3">
        <f t="shared" si="11"/>
        <v>362095</v>
      </c>
      <c r="AC390" s="3">
        <f t="shared" si="12"/>
        <v>1</v>
      </c>
      <c r="AD390" s="3">
        <f t="shared" si="13"/>
        <v>362095</v>
      </c>
      <c r="AE390" s="3" t="str">
        <f t="shared" si="14"/>
        <v/>
      </c>
      <c r="AF390" s="3">
        <f t="shared" si="15"/>
        <v>0</v>
      </c>
      <c r="AG390" s="3" t="str">
        <f t="shared" si="16"/>
        <v/>
      </c>
      <c r="AH390" s="3">
        <f t="shared" si="17"/>
        <v>0</v>
      </c>
      <c r="AI390" s="3" t="str">
        <f t="shared" si="18"/>
        <v/>
      </c>
      <c r="AJ390" s="3">
        <f t="shared" si="19"/>
        <v>0</v>
      </c>
    </row>
    <row r="391">
      <c r="C391" s="6" t="s">
        <v>391</v>
      </c>
      <c r="D391" s="3">
        <f t="shared" si="1"/>
        <v>3</v>
      </c>
      <c r="E391" s="3" t="str">
        <f>IFERROR(__xludf.DUMMYFUNCTION("REGEXEXTRACT(C391,""[^ ]* [^ ]*"")"),"striped black")</f>
        <v>striped black</v>
      </c>
      <c r="F391" s="3" t="str">
        <f>IFERROR(__xludf.DUMMYFUNCTION("MID(REGEXEXTRACT(C391,""contain.*$""),9,300)"),"3 striped gray bags, 1 striped lime bag, 4 bright cyan bags, 4 light orange bags.")</f>
        <v>3 striped gray bags, 1 striped lime bag, 4 bright cyan bags, 4 light orange bags.</v>
      </c>
      <c r="G391" s="3" t="str">
        <f>IFERROR(__xludf.DUMMYFUNCTION("INDEX(SPLIT($F391,"",""),COLUMN()-6)"),"3 striped gray bags")</f>
        <v>3 striped gray bags</v>
      </c>
      <c r="H391" s="3" t="str">
        <f>IFERROR(__xludf.DUMMYFUNCTION("MID(INDEX(SPLIT($F391,"",""),COLUMN()-6),2,300)"),"1 striped lime bag")</f>
        <v>1 striped lime bag</v>
      </c>
      <c r="I391" s="3" t="str">
        <f>IFERROR(__xludf.DUMMYFUNCTION("MID(INDEX(SPLIT($F391,"",""),COLUMN()-6),2,300)"),"4 bright cyan bags")</f>
        <v>4 bright cyan bags</v>
      </c>
      <c r="J391" s="3" t="str">
        <f>IFERROR(__xludf.DUMMYFUNCTION("MID(INDEX(SPLIT($F391,"",""),COLUMN()-6),2,300)"),"4 light orange bags.")</f>
        <v>4 light orange bags.</v>
      </c>
      <c r="K391" s="3">
        <f>IFERROR(__xludf.DUMMYFUNCTION("INDEX(SPLIT(G391,"" ""),1)"),3.0)</f>
        <v>3</v>
      </c>
      <c r="L391" s="3" t="str">
        <f>IFERROR(__xludf.DUMMYFUNCTION("REGEXEXTRACT(G391,"" [^ ]* [^ ]* "")")," striped gray ")</f>
        <v> striped gray </v>
      </c>
      <c r="M391" s="3">
        <f>IFERROR(__xludf.DUMMYFUNCTION("INDEX(SPLIT(H391,"" ""),1)"),1.0)</f>
        <v>1</v>
      </c>
      <c r="N391" s="3" t="str">
        <f>IFERROR(__xludf.DUMMYFUNCTION("MID(REGEXEXTRACT(H391,"" [^ ]* [^ ]*""),2,300)"),"striped lime")</f>
        <v>striped lime</v>
      </c>
      <c r="O391" s="3">
        <f>IFERROR(__xludf.DUMMYFUNCTION("INDEX(SPLIT(I391,"" ""),1)"),4.0)</f>
        <v>4</v>
      </c>
      <c r="P391" s="3" t="str">
        <f>IFERROR(__xludf.DUMMYFUNCTION("MID(REGEXEXTRACT(I391,"" [^ ]* [^ ]*""),2,300)"),"bright cyan")</f>
        <v>bright cyan</v>
      </c>
      <c r="Q391" s="3">
        <f>IFERROR(__xludf.DUMMYFUNCTION("INDEX(SPLIT(J391,"" ""),1)"),4.0)</f>
        <v>4</v>
      </c>
      <c r="R391" s="3" t="str">
        <f>IFERROR(__xludf.DUMMYFUNCTION("MID(REGEXEXTRACT(J391,"" [^ ]* [^ ]*""),2,300)"),"light orange")</f>
        <v>light orange</v>
      </c>
      <c r="S391" s="3">
        <f t="shared" si="2"/>
        <v>3</v>
      </c>
      <c r="T391" s="3" t="str">
        <f t="shared" si="3"/>
        <v>striped gray</v>
      </c>
      <c r="U391" s="3">
        <f t="shared" si="4"/>
        <v>1</v>
      </c>
      <c r="V391" s="3" t="str">
        <f t="shared" si="5"/>
        <v>striped lime</v>
      </c>
      <c r="W391" s="3">
        <f t="shared" si="6"/>
        <v>4</v>
      </c>
      <c r="X391" s="3" t="str">
        <f t="shared" si="7"/>
        <v>bright cyan</v>
      </c>
      <c r="Y391" s="3">
        <f t="shared" si="8"/>
        <v>4</v>
      </c>
      <c r="Z391" s="3" t="str">
        <f t="shared" si="9"/>
        <v>light orange</v>
      </c>
      <c r="AA391" s="13">
        <f t="shared" si="10"/>
        <v>18655055</v>
      </c>
      <c r="AB391" s="3">
        <f t="shared" si="11"/>
        <v>18655054</v>
      </c>
      <c r="AC391" s="3">
        <f t="shared" si="12"/>
        <v>3</v>
      </c>
      <c r="AD391" s="3">
        <f t="shared" si="13"/>
        <v>203468</v>
      </c>
      <c r="AE391" s="3">
        <f t="shared" si="14"/>
        <v>1</v>
      </c>
      <c r="AF391" s="3">
        <f t="shared" si="15"/>
        <v>12130</v>
      </c>
      <c r="AG391" s="3">
        <f t="shared" si="16"/>
        <v>4</v>
      </c>
      <c r="AH391" s="3">
        <f t="shared" si="17"/>
        <v>531</v>
      </c>
      <c r="AI391" s="3">
        <f t="shared" si="18"/>
        <v>4</v>
      </c>
      <c r="AJ391" s="3">
        <f t="shared" si="19"/>
        <v>4507599</v>
      </c>
    </row>
    <row r="392">
      <c r="C392" s="6" t="s">
        <v>392</v>
      </c>
      <c r="D392" s="3">
        <f t="shared" si="1"/>
        <v>0</v>
      </c>
      <c r="E392" s="3" t="str">
        <f>IFERROR(__xludf.DUMMYFUNCTION("REGEXEXTRACT(C392,""[^ ]* [^ ]*"")"),"dim maroon")</f>
        <v>dim maroon</v>
      </c>
      <c r="F392" s="3" t="str">
        <f>IFERROR(__xludf.DUMMYFUNCTION("MID(REGEXEXTRACT(C392,""contain.*$""),9,300)"),"4 dull cyan bags.")</f>
        <v>4 dull cyan bags.</v>
      </c>
      <c r="G392" s="3" t="str">
        <f>IFERROR(__xludf.DUMMYFUNCTION("INDEX(SPLIT($F392,"",""),COLUMN()-6)"),"4 dull cyan bags.")</f>
        <v>4 dull cyan bags.</v>
      </c>
      <c r="H392" s="3" t="str">
        <f>IFERROR(__xludf.DUMMYFUNCTION("MID(INDEX(SPLIT($F392,"",""),COLUMN()-6),2,300)"),"#REF!")</f>
        <v>#REF!</v>
      </c>
      <c r="I392" s="3" t="str">
        <f>IFERROR(__xludf.DUMMYFUNCTION("MID(INDEX(SPLIT($F392,"",""),COLUMN()-6),2,300)"),"#REF!")</f>
        <v>#REF!</v>
      </c>
      <c r="J392" s="3" t="str">
        <f>IFERROR(__xludf.DUMMYFUNCTION("MID(INDEX(SPLIT($F392,"",""),COLUMN()-6),2,300)"),"#REF!")</f>
        <v>#REF!</v>
      </c>
      <c r="K392" s="3">
        <f>IFERROR(__xludf.DUMMYFUNCTION("INDEX(SPLIT(G392,"" ""),1)"),4.0)</f>
        <v>4</v>
      </c>
      <c r="L392" s="3" t="str">
        <f>IFERROR(__xludf.DUMMYFUNCTION("REGEXEXTRACT(G392,"" [^ ]* [^ ]* "")")," dull cyan ")</f>
        <v> dull cyan </v>
      </c>
      <c r="M392" s="3" t="str">
        <f>IFERROR(__xludf.DUMMYFUNCTION("INDEX(SPLIT(H392,"" ""),1)"),"#REF!")</f>
        <v>#REF!</v>
      </c>
      <c r="N392" s="3" t="str">
        <f>IFERROR(__xludf.DUMMYFUNCTION("MID(REGEXEXTRACT(H392,"" [^ ]* [^ ]*""),2,300)"),"#REF!")</f>
        <v>#REF!</v>
      </c>
      <c r="O392" s="3" t="str">
        <f>IFERROR(__xludf.DUMMYFUNCTION("INDEX(SPLIT(I392,"" ""),1)"),"#REF!")</f>
        <v>#REF!</v>
      </c>
      <c r="P392" s="3" t="str">
        <f>IFERROR(__xludf.DUMMYFUNCTION("MID(REGEXEXTRACT(I392,"" [^ ]* [^ ]*""),2,300)"),"#REF!")</f>
        <v>#REF!</v>
      </c>
      <c r="Q392" s="3" t="str">
        <f>IFERROR(__xludf.DUMMYFUNCTION("INDEX(SPLIT(J392,"" ""),1)"),"#REF!")</f>
        <v>#REF!</v>
      </c>
      <c r="R392" s="3" t="str">
        <f>IFERROR(__xludf.DUMMYFUNCTION("MID(REGEXEXTRACT(J392,"" [^ ]* [^ ]*""),2,300)"),"#REF!")</f>
        <v>#REF!</v>
      </c>
      <c r="S392" s="3">
        <f t="shared" si="2"/>
        <v>4</v>
      </c>
      <c r="T392" s="3" t="str">
        <f t="shared" si="3"/>
        <v>dull cyan</v>
      </c>
      <c r="U392" s="3" t="str">
        <f t="shared" si="4"/>
        <v/>
      </c>
      <c r="V392" s="3" t="str">
        <f t="shared" si="5"/>
        <v/>
      </c>
      <c r="W392" s="3" t="str">
        <f t="shared" si="6"/>
        <v/>
      </c>
      <c r="X392" s="3" t="str">
        <f t="shared" si="7"/>
        <v/>
      </c>
      <c r="Y392" s="3" t="str">
        <f t="shared" si="8"/>
        <v/>
      </c>
      <c r="Z392" s="3" t="str">
        <f t="shared" si="9"/>
        <v/>
      </c>
      <c r="AA392" s="13">
        <f t="shared" si="10"/>
        <v>12033</v>
      </c>
      <c r="AB392" s="3">
        <f t="shared" si="11"/>
        <v>12032</v>
      </c>
      <c r="AC392" s="3">
        <f t="shared" si="12"/>
        <v>4</v>
      </c>
      <c r="AD392" s="3">
        <f t="shared" si="13"/>
        <v>3008</v>
      </c>
      <c r="AE392" s="3" t="str">
        <f t="shared" si="14"/>
        <v/>
      </c>
      <c r="AF392" s="3">
        <f t="shared" si="15"/>
        <v>0</v>
      </c>
      <c r="AG392" s="3" t="str">
        <f t="shared" si="16"/>
        <v/>
      </c>
      <c r="AH392" s="3">
        <f t="shared" si="17"/>
        <v>0</v>
      </c>
      <c r="AI392" s="3" t="str">
        <f t="shared" si="18"/>
        <v/>
      </c>
      <c r="AJ392" s="3">
        <f t="shared" si="19"/>
        <v>0</v>
      </c>
    </row>
    <row r="393">
      <c r="C393" s="6" t="s">
        <v>393</v>
      </c>
      <c r="D393" s="3">
        <f t="shared" si="1"/>
        <v>2</v>
      </c>
      <c r="E393" s="3" t="str">
        <f>IFERROR(__xludf.DUMMYFUNCTION("REGEXEXTRACT(C393,""[^ ]* [^ ]*"")"),"bright beige")</f>
        <v>bright beige</v>
      </c>
      <c r="F393" s="3" t="str">
        <f>IFERROR(__xludf.DUMMYFUNCTION("MID(REGEXEXTRACT(C393,""contain.*$""),9,300)"),"2 pale fuchsia bags, 5 vibrant beige bags, 1 light lavender bag.")</f>
        <v>2 pale fuchsia bags, 5 vibrant beige bags, 1 light lavender bag.</v>
      </c>
      <c r="G393" s="3" t="str">
        <f>IFERROR(__xludf.DUMMYFUNCTION("INDEX(SPLIT($F393,"",""),COLUMN()-6)"),"2 pale fuchsia bags")</f>
        <v>2 pale fuchsia bags</v>
      </c>
      <c r="H393" s="3" t="str">
        <f>IFERROR(__xludf.DUMMYFUNCTION("MID(INDEX(SPLIT($F393,"",""),COLUMN()-6),2,300)"),"5 vibrant beige bags")</f>
        <v>5 vibrant beige bags</v>
      </c>
      <c r="I393" s="3" t="str">
        <f>IFERROR(__xludf.DUMMYFUNCTION("MID(INDEX(SPLIT($F393,"",""),COLUMN()-6),2,300)"),"1 light lavender bag.")</f>
        <v>1 light lavender bag.</v>
      </c>
      <c r="J393" s="3" t="str">
        <f>IFERROR(__xludf.DUMMYFUNCTION("MID(INDEX(SPLIT($F393,"",""),COLUMN()-6),2,300)"),"#REF!")</f>
        <v>#REF!</v>
      </c>
      <c r="K393" s="3">
        <f>IFERROR(__xludf.DUMMYFUNCTION("INDEX(SPLIT(G393,"" ""),1)"),2.0)</f>
        <v>2</v>
      </c>
      <c r="L393" s="3" t="str">
        <f>IFERROR(__xludf.DUMMYFUNCTION("REGEXEXTRACT(G393,"" [^ ]* [^ ]* "")")," pale fuchsia ")</f>
        <v> pale fuchsia </v>
      </c>
      <c r="M393" s="3">
        <f>IFERROR(__xludf.DUMMYFUNCTION("INDEX(SPLIT(H393,"" ""),1)"),5.0)</f>
        <v>5</v>
      </c>
      <c r="N393" s="3" t="str">
        <f>IFERROR(__xludf.DUMMYFUNCTION("MID(REGEXEXTRACT(H393,"" [^ ]* [^ ]*""),2,300)"),"vibrant beige")</f>
        <v>vibrant beige</v>
      </c>
      <c r="O393" s="3">
        <f>IFERROR(__xludf.DUMMYFUNCTION("INDEX(SPLIT(I393,"" ""),1)"),1.0)</f>
        <v>1</v>
      </c>
      <c r="P393" s="3" t="str">
        <f>IFERROR(__xludf.DUMMYFUNCTION("MID(REGEXEXTRACT(I393,"" [^ ]* [^ ]*""),2,300)"),"light lavender")</f>
        <v>light lavender</v>
      </c>
      <c r="Q393" s="3" t="str">
        <f>IFERROR(__xludf.DUMMYFUNCTION("INDEX(SPLIT(J393,"" ""),1)"),"#REF!")</f>
        <v>#REF!</v>
      </c>
      <c r="R393" s="3" t="str">
        <f>IFERROR(__xludf.DUMMYFUNCTION("MID(REGEXEXTRACT(J393,"" [^ ]* [^ ]*""),2,300)"),"#REF!")</f>
        <v>#REF!</v>
      </c>
      <c r="S393" s="3">
        <f t="shared" si="2"/>
        <v>2</v>
      </c>
      <c r="T393" s="3" t="str">
        <f t="shared" si="3"/>
        <v>pale fuchsia</v>
      </c>
      <c r="U393" s="3">
        <f t="shared" si="4"/>
        <v>5</v>
      </c>
      <c r="V393" s="3" t="str">
        <f t="shared" si="5"/>
        <v>vibrant beige</v>
      </c>
      <c r="W393" s="3">
        <f t="shared" si="6"/>
        <v>1</v>
      </c>
      <c r="X393" s="3" t="str">
        <f t="shared" si="7"/>
        <v>light lavender</v>
      </c>
      <c r="Y393" s="3" t="str">
        <f t="shared" si="8"/>
        <v/>
      </c>
      <c r="Z393" s="3" t="str">
        <f t="shared" si="9"/>
        <v/>
      </c>
      <c r="AA393" s="13">
        <f t="shared" si="10"/>
        <v>5051689</v>
      </c>
      <c r="AB393" s="3">
        <f t="shared" si="11"/>
        <v>5051688</v>
      </c>
      <c r="AC393" s="3">
        <f t="shared" si="12"/>
        <v>2</v>
      </c>
      <c r="AD393" s="3">
        <f t="shared" si="13"/>
        <v>577866</v>
      </c>
      <c r="AE393" s="3">
        <f t="shared" si="14"/>
        <v>5</v>
      </c>
      <c r="AF393" s="3">
        <f t="shared" si="15"/>
        <v>4621</v>
      </c>
      <c r="AG393" s="3">
        <f t="shared" si="16"/>
        <v>1</v>
      </c>
      <c r="AH393" s="3">
        <f t="shared" si="17"/>
        <v>3872851</v>
      </c>
      <c r="AI393" s="3" t="str">
        <f t="shared" si="18"/>
        <v/>
      </c>
      <c r="AJ393" s="3">
        <f t="shared" si="19"/>
        <v>0</v>
      </c>
    </row>
    <row r="394">
      <c r="C394" s="6" t="s">
        <v>394</v>
      </c>
      <c r="D394" s="3">
        <f t="shared" si="1"/>
        <v>3</v>
      </c>
      <c r="E394" s="3" t="str">
        <f>IFERROR(__xludf.DUMMYFUNCTION("REGEXEXTRACT(C394,""[^ ]* [^ ]*"")"),"shiny gray")</f>
        <v>shiny gray</v>
      </c>
      <c r="F394" s="3" t="str">
        <f>IFERROR(__xludf.DUMMYFUNCTION("MID(REGEXEXTRACT(C394,""contain.*$""),9,300)"),"2 striped lime bags, 1 pale black bag, 4 wavy tomato bags, 2 vibrant brown bags.")</f>
        <v>2 striped lime bags, 1 pale black bag, 4 wavy tomato bags, 2 vibrant brown bags.</v>
      </c>
      <c r="G394" s="3" t="str">
        <f>IFERROR(__xludf.DUMMYFUNCTION("INDEX(SPLIT($F394,"",""),COLUMN()-6)"),"2 striped lime bags")</f>
        <v>2 striped lime bags</v>
      </c>
      <c r="H394" s="3" t="str">
        <f>IFERROR(__xludf.DUMMYFUNCTION("MID(INDEX(SPLIT($F394,"",""),COLUMN()-6),2,300)"),"1 pale black bag")</f>
        <v>1 pale black bag</v>
      </c>
      <c r="I394" s="3" t="str">
        <f>IFERROR(__xludf.DUMMYFUNCTION("MID(INDEX(SPLIT($F394,"",""),COLUMN()-6),2,300)"),"4 wavy tomato bags")</f>
        <v>4 wavy tomato bags</v>
      </c>
      <c r="J394" s="3" t="str">
        <f>IFERROR(__xludf.DUMMYFUNCTION("MID(INDEX(SPLIT($F394,"",""),COLUMN()-6),2,300)"),"2 vibrant brown bags.")</f>
        <v>2 vibrant brown bags.</v>
      </c>
      <c r="K394" s="3">
        <f>IFERROR(__xludf.DUMMYFUNCTION("INDEX(SPLIT(G394,"" ""),1)"),2.0)</f>
        <v>2</v>
      </c>
      <c r="L394" s="3" t="str">
        <f>IFERROR(__xludf.DUMMYFUNCTION("REGEXEXTRACT(G394,"" [^ ]* [^ ]* "")")," striped lime ")</f>
        <v> striped lime </v>
      </c>
      <c r="M394" s="3">
        <f>IFERROR(__xludf.DUMMYFUNCTION("INDEX(SPLIT(H394,"" ""),1)"),1.0)</f>
        <v>1</v>
      </c>
      <c r="N394" s="3" t="str">
        <f>IFERROR(__xludf.DUMMYFUNCTION("MID(REGEXEXTRACT(H394,"" [^ ]* [^ ]*""),2,300)"),"pale black")</f>
        <v>pale black</v>
      </c>
      <c r="O394" s="3">
        <f>IFERROR(__xludf.DUMMYFUNCTION("INDEX(SPLIT(I394,"" ""),1)"),4.0)</f>
        <v>4</v>
      </c>
      <c r="P394" s="3" t="str">
        <f>IFERROR(__xludf.DUMMYFUNCTION("MID(REGEXEXTRACT(I394,"" [^ ]* [^ ]*""),2,300)"),"wavy tomato")</f>
        <v>wavy tomato</v>
      </c>
      <c r="Q394" s="3">
        <f>IFERROR(__xludf.DUMMYFUNCTION("INDEX(SPLIT(J394,"" ""),1)"),2.0)</f>
        <v>2</v>
      </c>
      <c r="R394" s="3" t="str">
        <f>IFERROR(__xludf.DUMMYFUNCTION("MID(REGEXEXTRACT(J394,"" [^ ]* [^ ]*""),2,300)"),"vibrant brown")</f>
        <v>vibrant brown</v>
      </c>
      <c r="S394" s="3">
        <f t="shared" si="2"/>
        <v>2</v>
      </c>
      <c r="T394" s="3" t="str">
        <f t="shared" si="3"/>
        <v>striped lime</v>
      </c>
      <c r="U394" s="3">
        <f t="shared" si="4"/>
        <v>1</v>
      </c>
      <c r="V394" s="3" t="str">
        <f t="shared" si="5"/>
        <v>pale black</v>
      </c>
      <c r="W394" s="3">
        <f t="shared" si="6"/>
        <v>4</v>
      </c>
      <c r="X394" s="3" t="str">
        <f t="shared" si="7"/>
        <v>wavy tomato</v>
      </c>
      <c r="Y394" s="3">
        <f t="shared" si="8"/>
        <v>2</v>
      </c>
      <c r="Z394" s="3" t="str">
        <f t="shared" si="9"/>
        <v>vibrant brown</v>
      </c>
      <c r="AA394" s="13">
        <f t="shared" si="10"/>
        <v>34083</v>
      </c>
      <c r="AB394" s="3">
        <f t="shared" si="11"/>
        <v>34082</v>
      </c>
      <c r="AC394" s="3">
        <f t="shared" si="12"/>
        <v>2</v>
      </c>
      <c r="AD394" s="3">
        <f t="shared" si="13"/>
        <v>12130</v>
      </c>
      <c r="AE394" s="3">
        <f t="shared" si="14"/>
        <v>1</v>
      </c>
      <c r="AF394" s="3">
        <f t="shared" si="15"/>
        <v>8</v>
      </c>
      <c r="AG394" s="3">
        <f t="shared" si="16"/>
        <v>4</v>
      </c>
      <c r="AH394" s="3">
        <f t="shared" si="17"/>
        <v>265</v>
      </c>
      <c r="AI394" s="3">
        <f t="shared" si="18"/>
        <v>2</v>
      </c>
      <c r="AJ394" s="3">
        <f t="shared" si="19"/>
        <v>4377</v>
      </c>
    </row>
    <row r="395">
      <c r="C395" s="6" t="s">
        <v>395</v>
      </c>
      <c r="D395" s="3">
        <f t="shared" si="1"/>
        <v>1</v>
      </c>
      <c r="E395" s="3" t="str">
        <f>IFERROR(__xludf.DUMMYFUNCTION("REGEXEXTRACT(C395,""[^ ]* [^ ]*"")"),"drab lime")</f>
        <v>drab lime</v>
      </c>
      <c r="F395" s="3" t="str">
        <f>IFERROR(__xludf.DUMMYFUNCTION("MID(REGEXEXTRACT(C395,""contain.*$""),9,300)"),"5 muted bronze bags, 2 posh indigo bags.")</f>
        <v>5 muted bronze bags, 2 posh indigo bags.</v>
      </c>
      <c r="G395" s="3" t="str">
        <f>IFERROR(__xludf.DUMMYFUNCTION("INDEX(SPLIT($F395,"",""),COLUMN()-6)"),"5 muted bronze bags")</f>
        <v>5 muted bronze bags</v>
      </c>
      <c r="H395" s="3" t="str">
        <f>IFERROR(__xludf.DUMMYFUNCTION("MID(INDEX(SPLIT($F395,"",""),COLUMN()-6),2,300)"),"2 posh indigo bags.")</f>
        <v>2 posh indigo bags.</v>
      </c>
      <c r="I395" s="3" t="str">
        <f>IFERROR(__xludf.DUMMYFUNCTION("MID(INDEX(SPLIT($F395,"",""),COLUMN()-6),2,300)"),"#REF!")</f>
        <v>#REF!</v>
      </c>
      <c r="J395" s="3" t="str">
        <f>IFERROR(__xludf.DUMMYFUNCTION("MID(INDEX(SPLIT($F395,"",""),COLUMN()-6),2,300)"),"#REF!")</f>
        <v>#REF!</v>
      </c>
      <c r="K395" s="3">
        <f>IFERROR(__xludf.DUMMYFUNCTION("INDEX(SPLIT(G395,"" ""),1)"),5.0)</f>
        <v>5</v>
      </c>
      <c r="L395" s="3" t="str">
        <f>IFERROR(__xludf.DUMMYFUNCTION("REGEXEXTRACT(G395,"" [^ ]* [^ ]* "")")," muted bronze ")</f>
        <v> muted bronze </v>
      </c>
      <c r="M395" s="3">
        <f>IFERROR(__xludf.DUMMYFUNCTION("INDEX(SPLIT(H395,"" ""),1)"),2.0)</f>
        <v>2</v>
      </c>
      <c r="N395" s="3" t="str">
        <f>IFERROR(__xludf.DUMMYFUNCTION("MID(REGEXEXTRACT(H395,"" [^ ]* [^ ]*""),2,300)"),"posh indigo")</f>
        <v>posh indigo</v>
      </c>
      <c r="O395" s="3" t="str">
        <f>IFERROR(__xludf.DUMMYFUNCTION("INDEX(SPLIT(I395,"" ""),1)"),"#REF!")</f>
        <v>#REF!</v>
      </c>
      <c r="P395" s="3" t="str">
        <f>IFERROR(__xludf.DUMMYFUNCTION("MID(REGEXEXTRACT(I395,"" [^ ]* [^ ]*""),2,300)"),"#REF!")</f>
        <v>#REF!</v>
      </c>
      <c r="Q395" s="3" t="str">
        <f>IFERROR(__xludf.DUMMYFUNCTION("INDEX(SPLIT(J395,"" ""),1)"),"#REF!")</f>
        <v>#REF!</v>
      </c>
      <c r="R395" s="3" t="str">
        <f>IFERROR(__xludf.DUMMYFUNCTION("MID(REGEXEXTRACT(J395,"" [^ ]* [^ ]*""),2,300)"),"#REF!")</f>
        <v>#REF!</v>
      </c>
      <c r="S395" s="3">
        <f t="shared" si="2"/>
        <v>5</v>
      </c>
      <c r="T395" s="3" t="str">
        <f t="shared" si="3"/>
        <v>muted bronze</v>
      </c>
      <c r="U395" s="3">
        <f t="shared" si="4"/>
        <v>2</v>
      </c>
      <c r="V395" s="3" t="str">
        <f t="shared" si="5"/>
        <v>posh indigo</v>
      </c>
      <c r="W395" s="3" t="str">
        <f t="shared" si="6"/>
        <v/>
      </c>
      <c r="X395" s="3" t="str">
        <f t="shared" si="7"/>
        <v/>
      </c>
      <c r="Y395" s="3" t="str">
        <f t="shared" si="8"/>
        <v/>
      </c>
      <c r="Z395" s="3" t="str">
        <f t="shared" si="9"/>
        <v/>
      </c>
      <c r="AA395" s="13">
        <f t="shared" si="10"/>
        <v>675256480</v>
      </c>
      <c r="AB395" s="3">
        <f t="shared" si="11"/>
        <v>675256479</v>
      </c>
      <c r="AC395" s="3">
        <f t="shared" si="12"/>
        <v>5</v>
      </c>
      <c r="AD395" s="3">
        <f t="shared" si="13"/>
        <v>134923469</v>
      </c>
      <c r="AE395" s="3">
        <f t="shared" si="14"/>
        <v>2</v>
      </c>
      <c r="AF395" s="3">
        <f t="shared" si="15"/>
        <v>319567</v>
      </c>
      <c r="AG395" s="3" t="str">
        <f t="shared" si="16"/>
        <v/>
      </c>
      <c r="AH395" s="3">
        <f t="shared" si="17"/>
        <v>0</v>
      </c>
      <c r="AI395" s="3" t="str">
        <f t="shared" si="18"/>
        <v/>
      </c>
      <c r="AJ395" s="3">
        <f t="shared" si="19"/>
        <v>0</v>
      </c>
    </row>
    <row r="396">
      <c r="C396" s="6" t="s">
        <v>396</v>
      </c>
      <c r="D396" s="3">
        <f t="shared" si="1"/>
        <v>2</v>
      </c>
      <c r="E396" s="3" t="str">
        <f>IFERROR(__xludf.DUMMYFUNCTION("REGEXEXTRACT(C396,""[^ ]* [^ ]*"")"),"dull gray")</f>
        <v>dull gray</v>
      </c>
      <c r="F396" s="3" t="str">
        <f>IFERROR(__xludf.DUMMYFUNCTION("MID(REGEXEXTRACT(C396,""contain.*$""),9,300)"),"2 dull plum bags, 4 dim white bags, 2 shiny purple bags.")</f>
        <v>2 dull plum bags, 4 dim white bags, 2 shiny purple bags.</v>
      </c>
      <c r="G396" s="3" t="str">
        <f>IFERROR(__xludf.DUMMYFUNCTION("INDEX(SPLIT($F396,"",""),COLUMN()-6)"),"2 dull plum bags")</f>
        <v>2 dull plum bags</v>
      </c>
      <c r="H396" s="3" t="str">
        <f>IFERROR(__xludf.DUMMYFUNCTION("MID(INDEX(SPLIT($F396,"",""),COLUMN()-6),2,300)"),"4 dim white bags")</f>
        <v>4 dim white bags</v>
      </c>
      <c r="I396" s="3" t="str">
        <f>IFERROR(__xludf.DUMMYFUNCTION("MID(INDEX(SPLIT($F396,"",""),COLUMN()-6),2,300)"),"2 shiny purple bags.")</f>
        <v>2 shiny purple bags.</v>
      </c>
      <c r="J396" s="3" t="str">
        <f>IFERROR(__xludf.DUMMYFUNCTION("MID(INDEX(SPLIT($F396,"",""),COLUMN()-6),2,300)"),"#REF!")</f>
        <v>#REF!</v>
      </c>
      <c r="K396" s="3">
        <f>IFERROR(__xludf.DUMMYFUNCTION("INDEX(SPLIT(G396,"" ""),1)"),2.0)</f>
        <v>2</v>
      </c>
      <c r="L396" s="3" t="str">
        <f>IFERROR(__xludf.DUMMYFUNCTION("REGEXEXTRACT(G396,"" [^ ]* [^ ]* "")")," dull plum ")</f>
        <v> dull plum </v>
      </c>
      <c r="M396" s="3">
        <f>IFERROR(__xludf.DUMMYFUNCTION("INDEX(SPLIT(H396,"" ""),1)"),4.0)</f>
        <v>4</v>
      </c>
      <c r="N396" s="3" t="str">
        <f>IFERROR(__xludf.DUMMYFUNCTION("MID(REGEXEXTRACT(H396,"" [^ ]* [^ ]*""),2,300)"),"dim white")</f>
        <v>dim white</v>
      </c>
      <c r="O396" s="3">
        <f>IFERROR(__xludf.DUMMYFUNCTION("INDEX(SPLIT(I396,"" ""),1)"),2.0)</f>
        <v>2</v>
      </c>
      <c r="P396" s="3" t="str">
        <f>IFERROR(__xludf.DUMMYFUNCTION("MID(REGEXEXTRACT(I396,"" [^ ]* [^ ]*""),2,300)"),"shiny purple")</f>
        <v>shiny purple</v>
      </c>
      <c r="Q396" s="3" t="str">
        <f>IFERROR(__xludf.DUMMYFUNCTION("INDEX(SPLIT(J396,"" ""),1)"),"#REF!")</f>
        <v>#REF!</v>
      </c>
      <c r="R396" s="3" t="str">
        <f>IFERROR(__xludf.DUMMYFUNCTION("MID(REGEXEXTRACT(J396,"" [^ ]* [^ ]*""),2,300)"),"#REF!")</f>
        <v>#REF!</v>
      </c>
      <c r="S396" s="3">
        <f t="shared" si="2"/>
        <v>2</v>
      </c>
      <c r="T396" s="3" t="str">
        <f t="shared" si="3"/>
        <v>dull plum</v>
      </c>
      <c r="U396" s="3">
        <f t="shared" si="4"/>
        <v>4</v>
      </c>
      <c r="V396" s="3" t="str">
        <f t="shared" si="5"/>
        <v>dim white</v>
      </c>
      <c r="W396" s="3">
        <f t="shared" si="6"/>
        <v>2</v>
      </c>
      <c r="X396" s="3" t="str">
        <f t="shared" si="7"/>
        <v>shiny purple</v>
      </c>
      <c r="Y396" s="3" t="str">
        <f t="shared" si="8"/>
        <v/>
      </c>
      <c r="Z396" s="3" t="str">
        <f t="shared" si="9"/>
        <v/>
      </c>
      <c r="AA396" s="13">
        <f t="shared" si="10"/>
        <v>43694601</v>
      </c>
      <c r="AB396" s="3">
        <f t="shared" si="11"/>
        <v>43694600</v>
      </c>
      <c r="AC396" s="3">
        <f t="shared" si="12"/>
        <v>2</v>
      </c>
      <c r="AD396" s="3">
        <f t="shared" si="13"/>
        <v>13545768</v>
      </c>
      <c r="AE396" s="3">
        <f t="shared" si="14"/>
        <v>4</v>
      </c>
      <c r="AF396" s="3">
        <f t="shared" si="15"/>
        <v>16690</v>
      </c>
      <c r="AG396" s="3">
        <f t="shared" si="16"/>
        <v>2</v>
      </c>
      <c r="AH396" s="3">
        <f t="shared" si="17"/>
        <v>8268152</v>
      </c>
      <c r="AI396" s="3" t="str">
        <f t="shared" si="18"/>
        <v/>
      </c>
      <c r="AJ396" s="3">
        <f t="shared" si="19"/>
        <v>0</v>
      </c>
    </row>
    <row r="397">
      <c r="C397" s="6" t="s">
        <v>397</v>
      </c>
      <c r="D397" s="3">
        <f t="shared" si="1"/>
        <v>1</v>
      </c>
      <c r="E397" s="3" t="str">
        <f>IFERROR(__xludf.DUMMYFUNCTION("REGEXEXTRACT(C397,""[^ ]* [^ ]*"")"),"light olive")</f>
        <v>light olive</v>
      </c>
      <c r="F397" s="3" t="str">
        <f>IFERROR(__xludf.DUMMYFUNCTION("MID(REGEXEXTRACT(C397,""contain.*$""),9,300)"),"4 clear salmon bags, 1 dim indigo bag.")</f>
        <v>4 clear salmon bags, 1 dim indigo bag.</v>
      </c>
      <c r="G397" s="3" t="str">
        <f>IFERROR(__xludf.DUMMYFUNCTION("INDEX(SPLIT($F397,"",""),COLUMN()-6)"),"4 clear salmon bags")</f>
        <v>4 clear salmon bags</v>
      </c>
      <c r="H397" s="3" t="str">
        <f>IFERROR(__xludf.DUMMYFUNCTION("MID(INDEX(SPLIT($F397,"",""),COLUMN()-6),2,300)"),"1 dim indigo bag.")</f>
        <v>1 dim indigo bag.</v>
      </c>
      <c r="I397" s="3" t="str">
        <f>IFERROR(__xludf.DUMMYFUNCTION("MID(INDEX(SPLIT($F397,"",""),COLUMN()-6),2,300)"),"#REF!")</f>
        <v>#REF!</v>
      </c>
      <c r="J397" s="3" t="str">
        <f>IFERROR(__xludf.DUMMYFUNCTION("MID(INDEX(SPLIT($F397,"",""),COLUMN()-6),2,300)"),"#REF!")</f>
        <v>#REF!</v>
      </c>
      <c r="K397" s="3">
        <f>IFERROR(__xludf.DUMMYFUNCTION("INDEX(SPLIT(G397,"" ""),1)"),4.0)</f>
        <v>4</v>
      </c>
      <c r="L397" s="3" t="str">
        <f>IFERROR(__xludf.DUMMYFUNCTION("REGEXEXTRACT(G397,"" [^ ]* [^ ]* "")")," clear salmon ")</f>
        <v> clear salmon </v>
      </c>
      <c r="M397" s="3">
        <f>IFERROR(__xludf.DUMMYFUNCTION("INDEX(SPLIT(H397,"" ""),1)"),1.0)</f>
        <v>1</v>
      </c>
      <c r="N397" s="3" t="str">
        <f>IFERROR(__xludf.DUMMYFUNCTION("MID(REGEXEXTRACT(H397,"" [^ ]* [^ ]*""),2,300)"),"dim indigo")</f>
        <v>dim indigo</v>
      </c>
      <c r="O397" s="3" t="str">
        <f>IFERROR(__xludf.DUMMYFUNCTION("INDEX(SPLIT(I397,"" ""),1)"),"#REF!")</f>
        <v>#REF!</v>
      </c>
      <c r="P397" s="3" t="str">
        <f>IFERROR(__xludf.DUMMYFUNCTION("MID(REGEXEXTRACT(I397,"" [^ ]* [^ ]*""),2,300)"),"#REF!")</f>
        <v>#REF!</v>
      </c>
      <c r="Q397" s="3" t="str">
        <f>IFERROR(__xludf.DUMMYFUNCTION("INDEX(SPLIT(J397,"" ""),1)"),"#REF!")</f>
        <v>#REF!</v>
      </c>
      <c r="R397" s="3" t="str">
        <f>IFERROR(__xludf.DUMMYFUNCTION("MID(REGEXEXTRACT(J397,"" [^ ]* [^ ]*""),2,300)"),"#REF!")</f>
        <v>#REF!</v>
      </c>
      <c r="S397" s="3">
        <f t="shared" si="2"/>
        <v>4</v>
      </c>
      <c r="T397" s="3" t="str">
        <f t="shared" si="3"/>
        <v>clear salmon</v>
      </c>
      <c r="U397" s="3">
        <f t="shared" si="4"/>
        <v>1</v>
      </c>
      <c r="V397" s="3" t="str">
        <f t="shared" si="5"/>
        <v>dim indigo</v>
      </c>
      <c r="W397" s="3" t="str">
        <f t="shared" si="6"/>
        <v/>
      </c>
      <c r="X397" s="3" t="str">
        <f t="shared" si="7"/>
        <v/>
      </c>
      <c r="Y397" s="3" t="str">
        <f t="shared" si="8"/>
        <v/>
      </c>
      <c r="Z397" s="3" t="str">
        <f t="shared" si="9"/>
        <v/>
      </c>
      <c r="AA397" s="13">
        <f t="shared" si="10"/>
        <v>12655590</v>
      </c>
      <c r="AB397" s="3">
        <f t="shared" si="11"/>
        <v>12655589</v>
      </c>
      <c r="AC397" s="3">
        <f t="shared" si="12"/>
        <v>4</v>
      </c>
      <c r="AD397" s="3">
        <f t="shared" si="13"/>
        <v>3156488</v>
      </c>
      <c r="AE397" s="3">
        <f t="shared" si="14"/>
        <v>1</v>
      </c>
      <c r="AF397" s="3">
        <f t="shared" si="15"/>
        <v>29637</v>
      </c>
      <c r="AG397" s="3" t="str">
        <f t="shared" si="16"/>
        <v/>
      </c>
      <c r="AH397" s="3">
        <f t="shared" si="17"/>
        <v>0</v>
      </c>
      <c r="AI397" s="3" t="str">
        <f t="shared" si="18"/>
        <v/>
      </c>
      <c r="AJ397" s="3">
        <f t="shared" si="19"/>
        <v>0</v>
      </c>
    </row>
    <row r="398">
      <c r="C398" s="6" t="s">
        <v>398</v>
      </c>
      <c r="D398" s="3">
        <f t="shared" si="1"/>
        <v>3</v>
      </c>
      <c r="E398" s="3" t="str">
        <f>IFERROR(__xludf.DUMMYFUNCTION("REGEXEXTRACT(C398,""[^ ]* [^ ]*"")"),"vibrant violet")</f>
        <v>vibrant violet</v>
      </c>
      <c r="F398" s="3" t="str">
        <f>IFERROR(__xludf.DUMMYFUNCTION("MID(REGEXEXTRACT(C398,""contain.*$""),9,300)"),"5 striped tan bags, 1 pale lime bag, 4 posh plum bags, 4 mirrored black bags.")</f>
        <v>5 striped tan bags, 1 pale lime bag, 4 posh plum bags, 4 mirrored black bags.</v>
      </c>
      <c r="G398" s="3" t="str">
        <f>IFERROR(__xludf.DUMMYFUNCTION("INDEX(SPLIT($F398,"",""),COLUMN()-6)"),"5 striped tan bags")</f>
        <v>5 striped tan bags</v>
      </c>
      <c r="H398" s="3" t="str">
        <f>IFERROR(__xludf.DUMMYFUNCTION("MID(INDEX(SPLIT($F398,"",""),COLUMN()-6),2,300)"),"1 pale lime bag")</f>
        <v>1 pale lime bag</v>
      </c>
      <c r="I398" s="3" t="str">
        <f>IFERROR(__xludf.DUMMYFUNCTION("MID(INDEX(SPLIT($F398,"",""),COLUMN()-6),2,300)"),"4 posh plum bags")</f>
        <v>4 posh plum bags</v>
      </c>
      <c r="J398" s="3" t="str">
        <f>IFERROR(__xludf.DUMMYFUNCTION("MID(INDEX(SPLIT($F398,"",""),COLUMN()-6),2,300)"),"4 mirrored black bags.")</f>
        <v>4 mirrored black bags.</v>
      </c>
      <c r="K398" s="3">
        <f>IFERROR(__xludf.DUMMYFUNCTION("INDEX(SPLIT(G398,"" ""),1)"),5.0)</f>
        <v>5</v>
      </c>
      <c r="L398" s="3" t="str">
        <f>IFERROR(__xludf.DUMMYFUNCTION("REGEXEXTRACT(G398,"" [^ ]* [^ ]* "")")," striped tan ")</f>
        <v> striped tan </v>
      </c>
      <c r="M398" s="3">
        <f>IFERROR(__xludf.DUMMYFUNCTION("INDEX(SPLIT(H398,"" ""),1)"),1.0)</f>
        <v>1</v>
      </c>
      <c r="N398" s="3" t="str">
        <f>IFERROR(__xludf.DUMMYFUNCTION("MID(REGEXEXTRACT(H398,"" [^ ]* [^ ]*""),2,300)"),"pale lime")</f>
        <v>pale lime</v>
      </c>
      <c r="O398" s="3">
        <f>IFERROR(__xludf.DUMMYFUNCTION("INDEX(SPLIT(I398,"" ""),1)"),4.0)</f>
        <v>4</v>
      </c>
      <c r="P398" s="3" t="str">
        <f>IFERROR(__xludf.DUMMYFUNCTION("MID(REGEXEXTRACT(I398,"" [^ ]* [^ ]*""),2,300)"),"posh plum")</f>
        <v>posh plum</v>
      </c>
      <c r="Q398" s="3">
        <f>IFERROR(__xludf.DUMMYFUNCTION("INDEX(SPLIT(J398,"" ""),1)"),4.0)</f>
        <v>4</v>
      </c>
      <c r="R398" s="3" t="str">
        <f>IFERROR(__xludf.DUMMYFUNCTION("MID(REGEXEXTRACT(J398,"" [^ ]* [^ ]*""),2,300)"),"mirrored black")</f>
        <v>mirrored black</v>
      </c>
      <c r="S398" s="3">
        <f t="shared" si="2"/>
        <v>5</v>
      </c>
      <c r="T398" s="3" t="str">
        <f t="shared" si="3"/>
        <v>striped tan</v>
      </c>
      <c r="U398" s="3">
        <f t="shared" si="4"/>
        <v>1</v>
      </c>
      <c r="V398" s="3" t="str">
        <f t="shared" si="5"/>
        <v>pale lime</v>
      </c>
      <c r="W398" s="3">
        <f t="shared" si="6"/>
        <v>4</v>
      </c>
      <c r="X398" s="3" t="str">
        <f t="shared" si="7"/>
        <v>posh plum</v>
      </c>
      <c r="Y398" s="3">
        <f t="shared" si="8"/>
        <v>4</v>
      </c>
      <c r="Z398" s="3" t="str">
        <f t="shared" si="9"/>
        <v>mirrored black</v>
      </c>
      <c r="AA398" s="13">
        <f t="shared" si="10"/>
        <v>2775715</v>
      </c>
      <c r="AB398" s="3">
        <f t="shared" si="11"/>
        <v>2775714</v>
      </c>
      <c r="AC398" s="3">
        <f t="shared" si="12"/>
        <v>5</v>
      </c>
      <c r="AD398" s="3">
        <f t="shared" si="13"/>
        <v>541901</v>
      </c>
      <c r="AE398" s="3">
        <f t="shared" si="14"/>
        <v>1</v>
      </c>
      <c r="AF398" s="3">
        <f t="shared" si="15"/>
        <v>5333</v>
      </c>
      <c r="AG398" s="3">
        <f t="shared" si="16"/>
        <v>4</v>
      </c>
      <c r="AH398" s="3">
        <f t="shared" si="17"/>
        <v>6182</v>
      </c>
      <c r="AI398" s="3">
        <f t="shared" si="18"/>
        <v>4</v>
      </c>
      <c r="AJ398" s="3">
        <f t="shared" si="19"/>
        <v>9037</v>
      </c>
    </row>
    <row r="399">
      <c r="C399" s="6" t="s">
        <v>399</v>
      </c>
      <c r="D399" s="3">
        <f t="shared" si="1"/>
        <v>0</v>
      </c>
      <c r="E399" s="3" t="str">
        <f>IFERROR(__xludf.DUMMYFUNCTION("REGEXEXTRACT(C399,""[^ ]* [^ ]*"")"),"posh lavender")</f>
        <v>posh lavender</v>
      </c>
      <c r="F399" s="3" t="str">
        <f>IFERROR(__xludf.DUMMYFUNCTION("MID(REGEXEXTRACT(C399,""contain.*$""),9,300)"),"4 pale tomato bags.")</f>
        <v>4 pale tomato bags.</v>
      </c>
      <c r="G399" s="3" t="str">
        <f>IFERROR(__xludf.DUMMYFUNCTION("INDEX(SPLIT($F399,"",""),COLUMN()-6)"),"4 pale tomato bags.")</f>
        <v>4 pale tomato bags.</v>
      </c>
      <c r="H399" s="3" t="str">
        <f>IFERROR(__xludf.DUMMYFUNCTION("MID(INDEX(SPLIT($F399,"",""),COLUMN()-6),2,300)"),"#REF!")</f>
        <v>#REF!</v>
      </c>
      <c r="I399" s="3" t="str">
        <f>IFERROR(__xludf.DUMMYFUNCTION("MID(INDEX(SPLIT($F399,"",""),COLUMN()-6),2,300)"),"#REF!")</f>
        <v>#REF!</v>
      </c>
      <c r="J399" s="3" t="str">
        <f>IFERROR(__xludf.DUMMYFUNCTION("MID(INDEX(SPLIT($F399,"",""),COLUMN()-6),2,300)"),"#REF!")</f>
        <v>#REF!</v>
      </c>
      <c r="K399" s="3">
        <f>IFERROR(__xludf.DUMMYFUNCTION("INDEX(SPLIT(G399,"" ""),1)"),4.0)</f>
        <v>4</v>
      </c>
      <c r="L399" s="3" t="str">
        <f>IFERROR(__xludf.DUMMYFUNCTION("REGEXEXTRACT(G399,"" [^ ]* [^ ]* "")")," pale tomato ")</f>
        <v> pale tomato </v>
      </c>
      <c r="M399" s="3" t="str">
        <f>IFERROR(__xludf.DUMMYFUNCTION("INDEX(SPLIT(H399,"" ""),1)"),"#REF!")</f>
        <v>#REF!</v>
      </c>
      <c r="N399" s="3" t="str">
        <f>IFERROR(__xludf.DUMMYFUNCTION("MID(REGEXEXTRACT(H399,"" [^ ]* [^ ]*""),2,300)"),"#REF!")</f>
        <v>#REF!</v>
      </c>
      <c r="O399" s="3" t="str">
        <f>IFERROR(__xludf.DUMMYFUNCTION("INDEX(SPLIT(I399,"" ""),1)"),"#REF!")</f>
        <v>#REF!</v>
      </c>
      <c r="P399" s="3" t="str">
        <f>IFERROR(__xludf.DUMMYFUNCTION("MID(REGEXEXTRACT(I399,"" [^ ]* [^ ]*""),2,300)"),"#REF!")</f>
        <v>#REF!</v>
      </c>
      <c r="Q399" s="3" t="str">
        <f>IFERROR(__xludf.DUMMYFUNCTION("INDEX(SPLIT(J399,"" ""),1)"),"#REF!")</f>
        <v>#REF!</v>
      </c>
      <c r="R399" s="3" t="str">
        <f>IFERROR(__xludf.DUMMYFUNCTION("MID(REGEXEXTRACT(J399,"" [^ ]* [^ ]*""),2,300)"),"#REF!")</f>
        <v>#REF!</v>
      </c>
      <c r="S399" s="3">
        <f t="shared" si="2"/>
        <v>4</v>
      </c>
      <c r="T399" s="3" t="str">
        <f t="shared" si="3"/>
        <v>pale tomato</v>
      </c>
      <c r="U399" s="3" t="str">
        <f t="shared" si="4"/>
        <v/>
      </c>
      <c r="V399" s="3" t="str">
        <f t="shared" si="5"/>
        <v/>
      </c>
      <c r="W399" s="3" t="str">
        <f t="shared" si="6"/>
        <v/>
      </c>
      <c r="X399" s="3" t="str">
        <f t="shared" si="7"/>
        <v/>
      </c>
      <c r="Y399" s="3" t="str">
        <f t="shared" si="8"/>
        <v/>
      </c>
      <c r="Z399" s="3" t="str">
        <f t="shared" si="9"/>
        <v/>
      </c>
      <c r="AA399" s="13">
        <f t="shared" si="10"/>
        <v>1121077</v>
      </c>
      <c r="AB399" s="3">
        <f t="shared" si="11"/>
        <v>1121076</v>
      </c>
      <c r="AC399" s="3">
        <f t="shared" si="12"/>
        <v>4</v>
      </c>
      <c r="AD399" s="3">
        <f t="shared" si="13"/>
        <v>280269</v>
      </c>
      <c r="AE399" s="3" t="str">
        <f t="shared" si="14"/>
        <v/>
      </c>
      <c r="AF399" s="3">
        <f t="shared" si="15"/>
        <v>0</v>
      </c>
      <c r="AG399" s="3" t="str">
        <f t="shared" si="16"/>
        <v/>
      </c>
      <c r="AH399" s="3">
        <f t="shared" si="17"/>
        <v>0</v>
      </c>
      <c r="AI399" s="3" t="str">
        <f t="shared" si="18"/>
        <v/>
      </c>
      <c r="AJ399" s="3">
        <f t="shared" si="19"/>
        <v>0</v>
      </c>
    </row>
    <row r="400">
      <c r="C400" s="6" t="s">
        <v>400</v>
      </c>
      <c r="D400" s="3">
        <f t="shared" si="1"/>
        <v>2</v>
      </c>
      <c r="E400" s="3" t="str">
        <f>IFERROR(__xludf.DUMMYFUNCTION("REGEXEXTRACT(C400,""[^ ]* [^ ]*"")"),"plaid coral")</f>
        <v>plaid coral</v>
      </c>
      <c r="F400" s="3" t="str">
        <f>IFERROR(__xludf.DUMMYFUNCTION("MID(REGEXEXTRACT(C400,""contain.*$""),9,300)"),"3 mirrored olive bags, 2 muted black bags, 3 light plum bags.")</f>
        <v>3 mirrored olive bags, 2 muted black bags, 3 light plum bags.</v>
      </c>
      <c r="G400" s="3" t="str">
        <f>IFERROR(__xludf.DUMMYFUNCTION("INDEX(SPLIT($F400,"",""),COLUMN()-6)"),"3 mirrored olive bags")</f>
        <v>3 mirrored olive bags</v>
      </c>
      <c r="H400" s="3" t="str">
        <f>IFERROR(__xludf.DUMMYFUNCTION("MID(INDEX(SPLIT($F400,"",""),COLUMN()-6),2,300)"),"2 muted black bags")</f>
        <v>2 muted black bags</v>
      </c>
      <c r="I400" s="3" t="str">
        <f>IFERROR(__xludf.DUMMYFUNCTION("MID(INDEX(SPLIT($F400,"",""),COLUMN()-6),2,300)"),"3 light plum bags.")</f>
        <v>3 light plum bags.</v>
      </c>
      <c r="J400" s="3" t="str">
        <f>IFERROR(__xludf.DUMMYFUNCTION("MID(INDEX(SPLIT($F400,"",""),COLUMN()-6),2,300)"),"#REF!")</f>
        <v>#REF!</v>
      </c>
      <c r="K400" s="3">
        <f>IFERROR(__xludf.DUMMYFUNCTION("INDEX(SPLIT(G400,"" ""),1)"),3.0)</f>
        <v>3</v>
      </c>
      <c r="L400" s="3" t="str">
        <f>IFERROR(__xludf.DUMMYFUNCTION("REGEXEXTRACT(G400,"" [^ ]* [^ ]* "")")," mirrored olive ")</f>
        <v> mirrored olive </v>
      </c>
      <c r="M400" s="3">
        <f>IFERROR(__xludf.DUMMYFUNCTION("INDEX(SPLIT(H400,"" ""),1)"),2.0)</f>
        <v>2</v>
      </c>
      <c r="N400" s="3" t="str">
        <f>IFERROR(__xludf.DUMMYFUNCTION("MID(REGEXEXTRACT(H400,"" [^ ]* [^ ]*""),2,300)"),"muted black")</f>
        <v>muted black</v>
      </c>
      <c r="O400" s="3">
        <f>IFERROR(__xludf.DUMMYFUNCTION("INDEX(SPLIT(I400,"" ""),1)"),3.0)</f>
        <v>3</v>
      </c>
      <c r="P400" s="3" t="str">
        <f>IFERROR(__xludf.DUMMYFUNCTION("MID(REGEXEXTRACT(I400,"" [^ ]* [^ ]*""),2,300)"),"light plum")</f>
        <v>light plum</v>
      </c>
      <c r="Q400" s="3" t="str">
        <f>IFERROR(__xludf.DUMMYFUNCTION("INDEX(SPLIT(J400,"" ""),1)"),"#REF!")</f>
        <v>#REF!</v>
      </c>
      <c r="R400" s="3" t="str">
        <f>IFERROR(__xludf.DUMMYFUNCTION("MID(REGEXEXTRACT(J400,"" [^ ]* [^ ]*""),2,300)"),"#REF!")</f>
        <v>#REF!</v>
      </c>
      <c r="S400" s="3">
        <f t="shared" si="2"/>
        <v>3</v>
      </c>
      <c r="T400" s="3" t="str">
        <f t="shared" si="3"/>
        <v>mirrored olive</v>
      </c>
      <c r="U400" s="3">
        <f t="shared" si="4"/>
        <v>2</v>
      </c>
      <c r="V400" s="3" t="str">
        <f t="shared" si="5"/>
        <v>muted black</v>
      </c>
      <c r="W400" s="3">
        <f t="shared" si="6"/>
        <v>3</v>
      </c>
      <c r="X400" s="3" t="str">
        <f t="shared" si="7"/>
        <v>light plum</v>
      </c>
      <c r="Y400" s="3" t="str">
        <f t="shared" si="8"/>
        <v/>
      </c>
      <c r="Z400" s="3" t="str">
        <f t="shared" si="9"/>
        <v/>
      </c>
      <c r="AA400" s="13">
        <f t="shared" si="10"/>
        <v>28817922</v>
      </c>
      <c r="AB400" s="3">
        <f t="shared" si="11"/>
        <v>28817921</v>
      </c>
      <c r="AC400" s="3">
        <f t="shared" si="12"/>
        <v>3</v>
      </c>
      <c r="AD400" s="3">
        <f t="shared" si="13"/>
        <v>7408</v>
      </c>
      <c r="AE400" s="3">
        <f t="shared" si="14"/>
        <v>2</v>
      </c>
      <c r="AF400" s="3">
        <f t="shared" si="15"/>
        <v>14397844</v>
      </c>
      <c r="AG400" s="3">
        <f t="shared" si="16"/>
        <v>3</v>
      </c>
      <c r="AH400" s="3">
        <f t="shared" si="17"/>
        <v>3</v>
      </c>
      <c r="AI400" s="3" t="str">
        <f t="shared" si="18"/>
        <v/>
      </c>
      <c r="AJ400" s="3">
        <f t="shared" si="19"/>
        <v>0</v>
      </c>
    </row>
    <row r="401">
      <c r="C401" s="6" t="s">
        <v>401</v>
      </c>
      <c r="D401" s="3">
        <f t="shared" si="1"/>
        <v>0</v>
      </c>
      <c r="E401" s="3" t="str">
        <f>IFERROR(__xludf.DUMMYFUNCTION("REGEXEXTRACT(C401,""[^ ]* [^ ]*"")"),"vibrant blue")</f>
        <v>vibrant blue</v>
      </c>
      <c r="F401" s="3" t="str">
        <f>IFERROR(__xludf.DUMMYFUNCTION("MID(REGEXEXTRACT(C401,""contain.*$""),9,300)"),"4 mirrored silver bags.")</f>
        <v>4 mirrored silver bags.</v>
      </c>
      <c r="G401" s="3" t="str">
        <f>IFERROR(__xludf.DUMMYFUNCTION("INDEX(SPLIT($F401,"",""),COLUMN()-6)"),"4 mirrored silver bags.")</f>
        <v>4 mirrored silver bags.</v>
      </c>
      <c r="H401" s="3" t="str">
        <f>IFERROR(__xludf.DUMMYFUNCTION("MID(INDEX(SPLIT($F401,"",""),COLUMN()-6),2,300)"),"#REF!")</f>
        <v>#REF!</v>
      </c>
      <c r="I401" s="3" t="str">
        <f>IFERROR(__xludf.DUMMYFUNCTION("MID(INDEX(SPLIT($F401,"",""),COLUMN()-6),2,300)"),"#REF!")</f>
        <v>#REF!</v>
      </c>
      <c r="J401" s="3" t="str">
        <f>IFERROR(__xludf.DUMMYFUNCTION("MID(INDEX(SPLIT($F401,"",""),COLUMN()-6),2,300)"),"#REF!")</f>
        <v>#REF!</v>
      </c>
      <c r="K401" s="3">
        <f>IFERROR(__xludf.DUMMYFUNCTION("INDEX(SPLIT(G401,"" ""),1)"),4.0)</f>
        <v>4</v>
      </c>
      <c r="L401" s="3" t="str">
        <f>IFERROR(__xludf.DUMMYFUNCTION("REGEXEXTRACT(G401,"" [^ ]* [^ ]* "")")," mirrored silver ")</f>
        <v> mirrored silver </v>
      </c>
      <c r="M401" s="3" t="str">
        <f>IFERROR(__xludf.DUMMYFUNCTION("INDEX(SPLIT(H401,"" ""),1)"),"#REF!")</f>
        <v>#REF!</v>
      </c>
      <c r="N401" s="3" t="str">
        <f>IFERROR(__xludf.DUMMYFUNCTION("MID(REGEXEXTRACT(H401,"" [^ ]* [^ ]*""),2,300)"),"#REF!")</f>
        <v>#REF!</v>
      </c>
      <c r="O401" s="3" t="str">
        <f>IFERROR(__xludf.DUMMYFUNCTION("INDEX(SPLIT(I401,"" ""),1)"),"#REF!")</f>
        <v>#REF!</v>
      </c>
      <c r="P401" s="3" t="str">
        <f>IFERROR(__xludf.DUMMYFUNCTION("MID(REGEXEXTRACT(I401,"" [^ ]* [^ ]*""),2,300)"),"#REF!")</f>
        <v>#REF!</v>
      </c>
      <c r="Q401" s="3" t="str">
        <f>IFERROR(__xludf.DUMMYFUNCTION("INDEX(SPLIT(J401,"" ""),1)"),"#REF!")</f>
        <v>#REF!</v>
      </c>
      <c r="R401" s="3" t="str">
        <f>IFERROR(__xludf.DUMMYFUNCTION("MID(REGEXEXTRACT(J401,"" [^ ]* [^ ]*""),2,300)"),"#REF!")</f>
        <v>#REF!</v>
      </c>
      <c r="S401" s="3">
        <f t="shared" si="2"/>
        <v>4</v>
      </c>
      <c r="T401" s="3" t="str">
        <f t="shared" si="3"/>
        <v>mirrored silver</v>
      </c>
      <c r="U401" s="3" t="str">
        <f t="shared" si="4"/>
        <v/>
      </c>
      <c r="V401" s="3" t="str">
        <f t="shared" si="5"/>
        <v/>
      </c>
      <c r="W401" s="3" t="str">
        <f t="shared" si="6"/>
        <v/>
      </c>
      <c r="X401" s="3" t="str">
        <f t="shared" si="7"/>
        <v/>
      </c>
      <c r="Y401" s="3" t="str">
        <f t="shared" si="8"/>
        <v/>
      </c>
      <c r="Z401" s="3" t="str">
        <f t="shared" si="9"/>
        <v/>
      </c>
      <c r="AA401" s="13">
        <f t="shared" si="10"/>
        <v>1545</v>
      </c>
      <c r="AB401" s="3">
        <f t="shared" si="11"/>
        <v>1544</v>
      </c>
      <c r="AC401" s="3">
        <f t="shared" si="12"/>
        <v>4</v>
      </c>
      <c r="AD401" s="3">
        <f t="shared" si="13"/>
        <v>386</v>
      </c>
      <c r="AE401" s="3" t="str">
        <f t="shared" si="14"/>
        <v/>
      </c>
      <c r="AF401" s="3">
        <f t="shared" si="15"/>
        <v>0</v>
      </c>
      <c r="AG401" s="3" t="str">
        <f t="shared" si="16"/>
        <v/>
      </c>
      <c r="AH401" s="3">
        <f t="shared" si="17"/>
        <v>0</v>
      </c>
      <c r="AI401" s="3" t="str">
        <f t="shared" si="18"/>
        <v/>
      </c>
      <c r="AJ401" s="3">
        <f t="shared" si="19"/>
        <v>0</v>
      </c>
    </row>
    <row r="402">
      <c r="C402" s="6" t="s">
        <v>402</v>
      </c>
      <c r="D402" s="3">
        <f t="shared" si="1"/>
        <v>0</v>
      </c>
      <c r="E402" s="3" t="str">
        <f>IFERROR(__xludf.DUMMYFUNCTION("REGEXEXTRACT(C402,""[^ ]* [^ ]*"")"),"dim aqua")</f>
        <v>dim aqua</v>
      </c>
      <c r="F402" s="3" t="str">
        <f>IFERROR(__xludf.DUMMYFUNCTION("MID(REGEXEXTRACT(C402,""contain.*$""),9,300)"),"5 dim maroon bags.")</f>
        <v>5 dim maroon bags.</v>
      </c>
      <c r="G402" s="3" t="str">
        <f>IFERROR(__xludf.DUMMYFUNCTION("INDEX(SPLIT($F402,"",""),COLUMN()-6)"),"5 dim maroon bags.")</f>
        <v>5 dim maroon bags.</v>
      </c>
      <c r="H402" s="3" t="str">
        <f>IFERROR(__xludf.DUMMYFUNCTION("MID(INDEX(SPLIT($F402,"",""),COLUMN()-6),2,300)"),"#REF!")</f>
        <v>#REF!</v>
      </c>
      <c r="I402" s="3" t="str">
        <f>IFERROR(__xludf.DUMMYFUNCTION("MID(INDEX(SPLIT($F402,"",""),COLUMN()-6),2,300)"),"#REF!")</f>
        <v>#REF!</v>
      </c>
      <c r="J402" s="3" t="str">
        <f>IFERROR(__xludf.DUMMYFUNCTION("MID(INDEX(SPLIT($F402,"",""),COLUMN()-6),2,300)"),"#REF!")</f>
        <v>#REF!</v>
      </c>
      <c r="K402" s="3">
        <f>IFERROR(__xludf.DUMMYFUNCTION("INDEX(SPLIT(G402,"" ""),1)"),5.0)</f>
        <v>5</v>
      </c>
      <c r="L402" s="3" t="str">
        <f>IFERROR(__xludf.DUMMYFUNCTION("REGEXEXTRACT(G402,"" [^ ]* [^ ]* "")")," dim maroon ")</f>
        <v> dim maroon </v>
      </c>
      <c r="M402" s="3" t="str">
        <f>IFERROR(__xludf.DUMMYFUNCTION("INDEX(SPLIT(H402,"" ""),1)"),"#REF!")</f>
        <v>#REF!</v>
      </c>
      <c r="N402" s="3" t="str">
        <f>IFERROR(__xludf.DUMMYFUNCTION("MID(REGEXEXTRACT(H402,"" [^ ]* [^ ]*""),2,300)"),"#REF!")</f>
        <v>#REF!</v>
      </c>
      <c r="O402" s="3" t="str">
        <f>IFERROR(__xludf.DUMMYFUNCTION("INDEX(SPLIT(I402,"" ""),1)"),"#REF!")</f>
        <v>#REF!</v>
      </c>
      <c r="P402" s="3" t="str">
        <f>IFERROR(__xludf.DUMMYFUNCTION("MID(REGEXEXTRACT(I402,"" [^ ]* [^ ]*""),2,300)"),"#REF!")</f>
        <v>#REF!</v>
      </c>
      <c r="Q402" s="3" t="str">
        <f>IFERROR(__xludf.DUMMYFUNCTION("INDEX(SPLIT(J402,"" ""),1)"),"#REF!")</f>
        <v>#REF!</v>
      </c>
      <c r="R402" s="3" t="str">
        <f>IFERROR(__xludf.DUMMYFUNCTION("MID(REGEXEXTRACT(J402,"" [^ ]* [^ ]*""),2,300)"),"#REF!")</f>
        <v>#REF!</v>
      </c>
      <c r="S402" s="3">
        <f t="shared" si="2"/>
        <v>5</v>
      </c>
      <c r="T402" s="3" t="str">
        <f t="shared" si="3"/>
        <v>dim maroon</v>
      </c>
      <c r="U402" s="3" t="str">
        <f t="shared" si="4"/>
        <v/>
      </c>
      <c r="V402" s="3" t="str">
        <f t="shared" si="5"/>
        <v/>
      </c>
      <c r="W402" s="3" t="str">
        <f t="shared" si="6"/>
        <v/>
      </c>
      <c r="X402" s="3" t="str">
        <f t="shared" si="7"/>
        <v/>
      </c>
      <c r="Y402" s="3" t="str">
        <f t="shared" si="8"/>
        <v/>
      </c>
      <c r="Z402" s="3" t="str">
        <f t="shared" si="9"/>
        <v/>
      </c>
      <c r="AA402" s="13">
        <f t="shared" si="10"/>
        <v>60166</v>
      </c>
      <c r="AB402" s="3">
        <f t="shared" si="11"/>
        <v>60165</v>
      </c>
      <c r="AC402" s="3">
        <f t="shared" si="12"/>
        <v>5</v>
      </c>
      <c r="AD402" s="3">
        <f t="shared" si="13"/>
        <v>12033</v>
      </c>
      <c r="AE402" s="3" t="str">
        <f t="shared" si="14"/>
        <v/>
      </c>
      <c r="AF402" s="3">
        <f t="shared" si="15"/>
        <v>0</v>
      </c>
      <c r="AG402" s="3" t="str">
        <f t="shared" si="16"/>
        <v/>
      </c>
      <c r="AH402" s="3">
        <f t="shared" si="17"/>
        <v>0</v>
      </c>
      <c r="AI402" s="3" t="str">
        <f t="shared" si="18"/>
        <v/>
      </c>
      <c r="AJ402" s="3">
        <f t="shared" si="19"/>
        <v>0</v>
      </c>
    </row>
    <row r="403">
      <c r="C403" s="6" t="s">
        <v>403</v>
      </c>
      <c r="D403" s="3">
        <f t="shared" si="1"/>
        <v>2</v>
      </c>
      <c r="E403" s="3" t="str">
        <f>IFERROR(__xludf.DUMMYFUNCTION("REGEXEXTRACT(C403,""[^ ]* [^ ]*"")"),"wavy bronze")</f>
        <v>wavy bronze</v>
      </c>
      <c r="F403" s="3" t="str">
        <f>IFERROR(__xludf.DUMMYFUNCTION("MID(REGEXEXTRACT(C403,""contain.*$""),9,300)"),"5 wavy plum bags, 1 bright cyan bag, 2 drab chartreuse bags.")</f>
        <v>5 wavy plum bags, 1 bright cyan bag, 2 drab chartreuse bags.</v>
      </c>
      <c r="G403" s="3" t="str">
        <f>IFERROR(__xludf.DUMMYFUNCTION("INDEX(SPLIT($F403,"",""),COLUMN()-6)"),"5 wavy plum bags")</f>
        <v>5 wavy plum bags</v>
      </c>
      <c r="H403" s="3" t="str">
        <f>IFERROR(__xludf.DUMMYFUNCTION("MID(INDEX(SPLIT($F403,"",""),COLUMN()-6),2,300)"),"1 bright cyan bag")</f>
        <v>1 bright cyan bag</v>
      </c>
      <c r="I403" s="3" t="str">
        <f>IFERROR(__xludf.DUMMYFUNCTION("MID(INDEX(SPLIT($F403,"",""),COLUMN()-6),2,300)"),"2 drab chartreuse bags.")</f>
        <v>2 drab chartreuse bags.</v>
      </c>
      <c r="J403" s="3" t="str">
        <f>IFERROR(__xludf.DUMMYFUNCTION("MID(INDEX(SPLIT($F403,"",""),COLUMN()-6),2,300)"),"#REF!")</f>
        <v>#REF!</v>
      </c>
      <c r="K403" s="3">
        <f>IFERROR(__xludf.DUMMYFUNCTION("INDEX(SPLIT(G403,"" ""),1)"),5.0)</f>
        <v>5</v>
      </c>
      <c r="L403" s="3" t="str">
        <f>IFERROR(__xludf.DUMMYFUNCTION("REGEXEXTRACT(G403,"" [^ ]* [^ ]* "")")," wavy plum ")</f>
        <v> wavy plum </v>
      </c>
      <c r="M403" s="3">
        <f>IFERROR(__xludf.DUMMYFUNCTION("INDEX(SPLIT(H403,"" ""),1)"),1.0)</f>
        <v>1</v>
      </c>
      <c r="N403" s="3" t="str">
        <f>IFERROR(__xludf.DUMMYFUNCTION("MID(REGEXEXTRACT(H403,"" [^ ]* [^ ]*""),2,300)"),"bright cyan")</f>
        <v>bright cyan</v>
      </c>
      <c r="O403" s="3">
        <f>IFERROR(__xludf.DUMMYFUNCTION("INDEX(SPLIT(I403,"" ""),1)"),2.0)</f>
        <v>2</v>
      </c>
      <c r="P403" s="3" t="str">
        <f>IFERROR(__xludf.DUMMYFUNCTION("MID(REGEXEXTRACT(I403,"" [^ ]* [^ ]*""),2,300)"),"drab chartreuse")</f>
        <v>drab chartreuse</v>
      </c>
      <c r="Q403" s="3" t="str">
        <f>IFERROR(__xludf.DUMMYFUNCTION("INDEX(SPLIT(J403,"" ""),1)"),"#REF!")</f>
        <v>#REF!</v>
      </c>
      <c r="R403" s="3" t="str">
        <f>IFERROR(__xludf.DUMMYFUNCTION("MID(REGEXEXTRACT(J403,"" [^ ]* [^ ]*""),2,300)"),"#REF!")</f>
        <v>#REF!</v>
      </c>
      <c r="S403" s="3">
        <f t="shared" si="2"/>
        <v>5</v>
      </c>
      <c r="T403" s="3" t="str">
        <f t="shared" si="3"/>
        <v>wavy plum</v>
      </c>
      <c r="U403" s="3">
        <f t="shared" si="4"/>
        <v>1</v>
      </c>
      <c r="V403" s="3" t="str">
        <f t="shared" si="5"/>
        <v>bright cyan</v>
      </c>
      <c r="W403" s="3">
        <f t="shared" si="6"/>
        <v>2</v>
      </c>
      <c r="X403" s="3" t="str">
        <f t="shared" si="7"/>
        <v>drab chartreuse</v>
      </c>
      <c r="Y403" s="3" t="str">
        <f t="shared" si="8"/>
        <v/>
      </c>
      <c r="Z403" s="3" t="str">
        <f t="shared" si="9"/>
        <v/>
      </c>
      <c r="AA403" s="13">
        <f t="shared" si="10"/>
        <v>795360</v>
      </c>
      <c r="AB403" s="3">
        <f t="shared" si="11"/>
        <v>795359</v>
      </c>
      <c r="AC403" s="3">
        <f t="shared" si="12"/>
        <v>5</v>
      </c>
      <c r="AD403" s="3">
        <f t="shared" si="13"/>
        <v>148186</v>
      </c>
      <c r="AE403" s="3">
        <f t="shared" si="14"/>
        <v>1</v>
      </c>
      <c r="AF403" s="3">
        <f t="shared" si="15"/>
        <v>531</v>
      </c>
      <c r="AG403" s="3">
        <f t="shared" si="16"/>
        <v>2</v>
      </c>
      <c r="AH403" s="3">
        <f t="shared" si="17"/>
        <v>26949</v>
      </c>
      <c r="AI403" s="3" t="str">
        <f t="shared" si="18"/>
        <v/>
      </c>
      <c r="AJ403" s="3">
        <f t="shared" si="19"/>
        <v>0</v>
      </c>
    </row>
    <row r="404">
      <c r="C404" s="6" t="s">
        <v>404</v>
      </c>
      <c r="D404" s="3">
        <f t="shared" si="1"/>
        <v>2</v>
      </c>
      <c r="E404" s="3" t="str">
        <f>IFERROR(__xludf.DUMMYFUNCTION("REGEXEXTRACT(C404,""[^ ]* [^ ]*"")"),"muted plum")</f>
        <v>muted plum</v>
      </c>
      <c r="F404" s="3" t="str">
        <f>IFERROR(__xludf.DUMMYFUNCTION("MID(REGEXEXTRACT(C404,""contain.*$""),9,300)"),"3 plaid silver bags, 5 faded black bags, 3 drab maroon bags.")</f>
        <v>3 plaid silver bags, 5 faded black bags, 3 drab maroon bags.</v>
      </c>
      <c r="G404" s="3" t="str">
        <f>IFERROR(__xludf.DUMMYFUNCTION("INDEX(SPLIT($F404,"",""),COLUMN()-6)"),"3 plaid silver bags")</f>
        <v>3 plaid silver bags</v>
      </c>
      <c r="H404" s="3" t="str">
        <f>IFERROR(__xludf.DUMMYFUNCTION("MID(INDEX(SPLIT($F404,"",""),COLUMN()-6),2,300)"),"5 faded black bags")</f>
        <v>5 faded black bags</v>
      </c>
      <c r="I404" s="3" t="str">
        <f>IFERROR(__xludf.DUMMYFUNCTION("MID(INDEX(SPLIT($F404,"",""),COLUMN()-6),2,300)"),"3 drab maroon bags.")</f>
        <v>3 drab maroon bags.</v>
      </c>
      <c r="J404" s="3" t="str">
        <f>IFERROR(__xludf.DUMMYFUNCTION("MID(INDEX(SPLIT($F404,"",""),COLUMN()-6),2,300)"),"#REF!")</f>
        <v>#REF!</v>
      </c>
      <c r="K404" s="3">
        <f>IFERROR(__xludf.DUMMYFUNCTION("INDEX(SPLIT(G404,"" ""),1)"),3.0)</f>
        <v>3</v>
      </c>
      <c r="L404" s="3" t="str">
        <f>IFERROR(__xludf.DUMMYFUNCTION("REGEXEXTRACT(G404,"" [^ ]* [^ ]* "")")," plaid silver ")</f>
        <v> plaid silver </v>
      </c>
      <c r="M404" s="3">
        <f>IFERROR(__xludf.DUMMYFUNCTION("INDEX(SPLIT(H404,"" ""),1)"),5.0)</f>
        <v>5</v>
      </c>
      <c r="N404" s="3" t="str">
        <f>IFERROR(__xludf.DUMMYFUNCTION("MID(REGEXEXTRACT(H404,"" [^ ]* [^ ]*""),2,300)"),"faded black")</f>
        <v>faded black</v>
      </c>
      <c r="O404" s="3">
        <f>IFERROR(__xludf.DUMMYFUNCTION("INDEX(SPLIT(I404,"" ""),1)"),3.0)</f>
        <v>3</v>
      </c>
      <c r="P404" s="3" t="str">
        <f>IFERROR(__xludf.DUMMYFUNCTION("MID(REGEXEXTRACT(I404,"" [^ ]* [^ ]*""),2,300)"),"drab maroon")</f>
        <v>drab maroon</v>
      </c>
      <c r="Q404" s="3" t="str">
        <f>IFERROR(__xludf.DUMMYFUNCTION("INDEX(SPLIT(J404,"" ""),1)"),"#REF!")</f>
        <v>#REF!</v>
      </c>
      <c r="R404" s="3" t="str">
        <f>IFERROR(__xludf.DUMMYFUNCTION("MID(REGEXEXTRACT(J404,"" [^ ]* [^ ]*""),2,300)"),"#REF!")</f>
        <v>#REF!</v>
      </c>
      <c r="S404" s="3">
        <f t="shared" si="2"/>
        <v>3</v>
      </c>
      <c r="T404" s="3" t="str">
        <f t="shared" si="3"/>
        <v>plaid silver</v>
      </c>
      <c r="U404" s="3">
        <f t="shared" si="4"/>
        <v>5</v>
      </c>
      <c r="V404" s="3" t="str">
        <f t="shared" si="5"/>
        <v>faded black</v>
      </c>
      <c r="W404" s="3">
        <f t="shared" si="6"/>
        <v>3</v>
      </c>
      <c r="X404" s="3" t="str">
        <f t="shared" si="7"/>
        <v>drab maroon</v>
      </c>
      <c r="Y404" s="3" t="str">
        <f t="shared" si="8"/>
        <v/>
      </c>
      <c r="Z404" s="3" t="str">
        <f t="shared" si="9"/>
        <v/>
      </c>
      <c r="AA404" s="13">
        <f t="shared" si="10"/>
        <v>3100003</v>
      </c>
      <c r="AB404" s="3">
        <f t="shared" si="11"/>
        <v>3100002</v>
      </c>
      <c r="AC404" s="3">
        <f t="shared" si="12"/>
        <v>3</v>
      </c>
      <c r="AD404" s="3">
        <f t="shared" si="13"/>
        <v>86617</v>
      </c>
      <c r="AE404" s="3">
        <f t="shared" si="14"/>
        <v>5</v>
      </c>
      <c r="AF404" s="3">
        <f t="shared" si="15"/>
        <v>565872</v>
      </c>
      <c r="AG404" s="3">
        <f t="shared" si="16"/>
        <v>3</v>
      </c>
      <c r="AH404" s="3">
        <f t="shared" si="17"/>
        <v>3597</v>
      </c>
      <c r="AI404" s="3" t="str">
        <f t="shared" si="18"/>
        <v/>
      </c>
      <c r="AJ404" s="3">
        <f t="shared" si="19"/>
        <v>0</v>
      </c>
    </row>
    <row r="405">
      <c r="C405" s="6" t="s">
        <v>405</v>
      </c>
      <c r="D405" s="3">
        <f t="shared" si="1"/>
        <v>0</v>
      </c>
      <c r="E405" s="3" t="str">
        <f>IFERROR(__xludf.DUMMYFUNCTION("REGEXEXTRACT(C405,""[^ ]* [^ ]*"")"),"dull turquoise")</f>
        <v>dull turquoise</v>
      </c>
      <c r="F405" s="3" t="str">
        <f>IFERROR(__xludf.DUMMYFUNCTION("MID(REGEXEXTRACT(C405,""contain.*$""),9,300)"),"4 plaid silver bags.")</f>
        <v>4 plaid silver bags.</v>
      </c>
      <c r="G405" s="3" t="str">
        <f>IFERROR(__xludf.DUMMYFUNCTION("INDEX(SPLIT($F405,"",""),COLUMN()-6)"),"4 plaid silver bags.")</f>
        <v>4 plaid silver bags.</v>
      </c>
      <c r="H405" s="3" t="str">
        <f>IFERROR(__xludf.DUMMYFUNCTION("MID(INDEX(SPLIT($F405,"",""),COLUMN()-6),2,300)"),"#REF!")</f>
        <v>#REF!</v>
      </c>
      <c r="I405" s="3" t="str">
        <f>IFERROR(__xludf.DUMMYFUNCTION("MID(INDEX(SPLIT($F405,"",""),COLUMN()-6),2,300)"),"#REF!")</f>
        <v>#REF!</v>
      </c>
      <c r="J405" s="3" t="str">
        <f>IFERROR(__xludf.DUMMYFUNCTION("MID(INDEX(SPLIT($F405,"",""),COLUMN()-6),2,300)"),"#REF!")</f>
        <v>#REF!</v>
      </c>
      <c r="K405" s="3">
        <f>IFERROR(__xludf.DUMMYFUNCTION("INDEX(SPLIT(G405,"" ""),1)"),4.0)</f>
        <v>4</v>
      </c>
      <c r="L405" s="3" t="str">
        <f>IFERROR(__xludf.DUMMYFUNCTION("REGEXEXTRACT(G405,"" [^ ]* [^ ]* "")")," plaid silver ")</f>
        <v> plaid silver </v>
      </c>
      <c r="M405" s="3" t="str">
        <f>IFERROR(__xludf.DUMMYFUNCTION("INDEX(SPLIT(H405,"" ""),1)"),"#REF!")</f>
        <v>#REF!</v>
      </c>
      <c r="N405" s="3" t="str">
        <f>IFERROR(__xludf.DUMMYFUNCTION("MID(REGEXEXTRACT(H405,"" [^ ]* [^ ]*""),2,300)"),"#REF!")</f>
        <v>#REF!</v>
      </c>
      <c r="O405" s="3" t="str">
        <f>IFERROR(__xludf.DUMMYFUNCTION("INDEX(SPLIT(I405,"" ""),1)"),"#REF!")</f>
        <v>#REF!</v>
      </c>
      <c r="P405" s="3" t="str">
        <f>IFERROR(__xludf.DUMMYFUNCTION("MID(REGEXEXTRACT(I405,"" [^ ]* [^ ]*""),2,300)"),"#REF!")</f>
        <v>#REF!</v>
      </c>
      <c r="Q405" s="3" t="str">
        <f>IFERROR(__xludf.DUMMYFUNCTION("INDEX(SPLIT(J405,"" ""),1)"),"#REF!")</f>
        <v>#REF!</v>
      </c>
      <c r="R405" s="3" t="str">
        <f>IFERROR(__xludf.DUMMYFUNCTION("MID(REGEXEXTRACT(J405,"" [^ ]* [^ ]*""),2,300)"),"#REF!")</f>
        <v>#REF!</v>
      </c>
      <c r="S405" s="3">
        <f t="shared" si="2"/>
        <v>4</v>
      </c>
      <c r="T405" s="3" t="str">
        <f t="shared" si="3"/>
        <v>plaid silver</v>
      </c>
      <c r="U405" s="3" t="str">
        <f t="shared" si="4"/>
        <v/>
      </c>
      <c r="V405" s="3" t="str">
        <f t="shared" si="5"/>
        <v/>
      </c>
      <c r="W405" s="3" t="str">
        <f t="shared" si="6"/>
        <v/>
      </c>
      <c r="X405" s="3" t="str">
        <f t="shared" si="7"/>
        <v/>
      </c>
      <c r="Y405" s="3" t="str">
        <f t="shared" si="8"/>
        <v/>
      </c>
      <c r="Z405" s="3" t="str">
        <f t="shared" si="9"/>
        <v/>
      </c>
      <c r="AA405" s="13">
        <f t="shared" si="10"/>
        <v>346469</v>
      </c>
      <c r="AB405" s="3">
        <f t="shared" si="11"/>
        <v>346468</v>
      </c>
      <c r="AC405" s="3">
        <f t="shared" si="12"/>
        <v>4</v>
      </c>
      <c r="AD405" s="3">
        <f t="shared" si="13"/>
        <v>86617</v>
      </c>
      <c r="AE405" s="3" t="str">
        <f t="shared" si="14"/>
        <v/>
      </c>
      <c r="AF405" s="3">
        <f t="shared" si="15"/>
        <v>0</v>
      </c>
      <c r="AG405" s="3" t="str">
        <f t="shared" si="16"/>
        <v/>
      </c>
      <c r="AH405" s="3">
        <f t="shared" si="17"/>
        <v>0</v>
      </c>
      <c r="AI405" s="3" t="str">
        <f t="shared" si="18"/>
        <v/>
      </c>
      <c r="AJ405" s="3">
        <f t="shared" si="19"/>
        <v>0</v>
      </c>
    </row>
    <row r="406">
      <c r="C406" s="6" t="s">
        <v>406</v>
      </c>
      <c r="D406" s="3">
        <f t="shared" si="1"/>
        <v>0</v>
      </c>
      <c r="E406" s="3" t="str">
        <f>IFERROR(__xludf.DUMMYFUNCTION("REGEXEXTRACT(C406,""[^ ]* [^ ]*"")"),"plaid blue")</f>
        <v>plaid blue</v>
      </c>
      <c r="F406" s="3" t="str">
        <f>IFERROR(__xludf.DUMMYFUNCTION("MID(REGEXEXTRACT(C406,""contain.*$""),9,300)"),"3 plaid purple bags.")</f>
        <v>3 plaid purple bags.</v>
      </c>
      <c r="G406" s="3" t="str">
        <f>IFERROR(__xludf.DUMMYFUNCTION("INDEX(SPLIT($F406,"",""),COLUMN()-6)"),"3 plaid purple bags.")</f>
        <v>3 plaid purple bags.</v>
      </c>
      <c r="H406" s="3" t="str">
        <f>IFERROR(__xludf.DUMMYFUNCTION("MID(INDEX(SPLIT($F406,"",""),COLUMN()-6),2,300)"),"#REF!")</f>
        <v>#REF!</v>
      </c>
      <c r="I406" s="3" t="str">
        <f>IFERROR(__xludf.DUMMYFUNCTION("MID(INDEX(SPLIT($F406,"",""),COLUMN()-6),2,300)"),"#REF!")</f>
        <v>#REF!</v>
      </c>
      <c r="J406" s="3" t="str">
        <f>IFERROR(__xludf.DUMMYFUNCTION("MID(INDEX(SPLIT($F406,"",""),COLUMN()-6),2,300)"),"#REF!")</f>
        <v>#REF!</v>
      </c>
      <c r="K406" s="3">
        <f>IFERROR(__xludf.DUMMYFUNCTION("INDEX(SPLIT(G406,"" ""),1)"),3.0)</f>
        <v>3</v>
      </c>
      <c r="L406" s="3" t="str">
        <f>IFERROR(__xludf.DUMMYFUNCTION("REGEXEXTRACT(G406,"" [^ ]* [^ ]* "")")," plaid purple ")</f>
        <v> plaid purple </v>
      </c>
      <c r="M406" s="3" t="str">
        <f>IFERROR(__xludf.DUMMYFUNCTION("INDEX(SPLIT(H406,"" ""),1)"),"#REF!")</f>
        <v>#REF!</v>
      </c>
      <c r="N406" s="3" t="str">
        <f>IFERROR(__xludf.DUMMYFUNCTION("MID(REGEXEXTRACT(H406,"" [^ ]* [^ ]*""),2,300)"),"#REF!")</f>
        <v>#REF!</v>
      </c>
      <c r="O406" s="3" t="str">
        <f>IFERROR(__xludf.DUMMYFUNCTION("INDEX(SPLIT(I406,"" ""),1)"),"#REF!")</f>
        <v>#REF!</v>
      </c>
      <c r="P406" s="3" t="str">
        <f>IFERROR(__xludf.DUMMYFUNCTION("MID(REGEXEXTRACT(I406,"" [^ ]* [^ ]*""),2,300)"),"#REF!")</f>
        <v>#REF!</v>
      </c>
      <c r="Q406" s="3" t="str">
        <f>IFERROR(__xludf.DUMMYFUNCTION("INDEX(SPLIT(J406,"" ""),1)"),"#REF!")</f>
        <v>#REF!</v>
      </c>
      <c r="R406" s="3" t="str">
        <f>IFERROR(__xludf.DUMMYFUNCTION("MID(REGEXEXTRACT(J406,"" [^ ]* [^ ]*""),2,300)"),"#REF!")</f>
        <v>#REF!</v>
      </c>
      <c r="S406" s="3">
        <f t="shared" si="2"/>
        <v>3</v>
      </c>
      <c r="T406" s="3" t="str">
        <f t="shared" si="3"/>
        <v>plaid purple</v>
      </c>
      <c r="U406" s="3" t="str">
        <f t="shared" si="4"/>
        <v/>
      </c>
      <c r="V406" s="3" t="str">
        <f t="shared" si="5"/>
        <v/>
      </c>
      <c r="W406" s="3" t="str">
        <f t="shared" si="6"/>
        <v/>
      </c>
      <c r="X406" s="3" t="str">
        <f t="shared" si="7"/>
        <v/>
      </c>
      <c r="Y406" s="3" t="str">
        <f t="shared" si="8"/>
        <v/>
      </c>
      <c r="Z406" s="3" t="str">
        <f t="shared" si="9"/>
        <v/>
      </c>
      <c r="AA406" s="13">
        <f t="shared" si="10"/>
        <v>81694</v>
      </c>
      <c r="AB406" s="3">
        <f t="shared" si="11"/>
        <v>81693</v>
      </c>
      <c r="AC406" s="3">
        <f t="shared" si="12"/>
        <v>3</v>
      </c>
      <c r="AD406" s="3">
        <f t="shared" si="13"/>
        <v>27231</v>
      </c>
      <c r="AE406" s="3" t="str">
        <f t="shared" si="14"/>
        <v/>
      </c>
      <c r="AF406" s="3">
        <f t="shared" si="15"/>
        <v>0</v>
      </c>
      <c r="AG406" s="3" t="str">
        <f t="shared" si="16"/>
        <v/>
      </c>
      <c r="AH406" s="3">
        <f t="shared" si="17"/>
        <v>0</v>
      </c>
      <c r="AI406" s="3" t="str">
        <f t="shared" si="18"/>
        <v/>
      </c>
      <c r="AJ406" s="3">
        <f t="shared" si="19"/>
        <v>0</v>
      </c>
    </row>
    <row r="407">
      <c r="C407" s="6" t="s">
        <v>407</v>
      </c>
      <c r="D407" s="3">
        <f t="shared" si="1"/>
        <v>3</v>
      </c>
      <c r="E407" s="3" t="str">
        <f>IFERROR(__xludf.DUMMYFUNCTION("REGEXEXTRACT(C407,""[^ ]* [^ ]*"")"),"dotted tan")</f>
        <v>dotted tan</v>
      </c>
      <c r="F407" s="3" t="str">
        <f>IFERROR(__xludf.DUMMYFUNCTION("MID(REGEXEXTRACT(C407,""contain.*$""),9,300)"),"5 plaid chartreuse bags, 4 dotted coral bags, 4 posh green bags, 1 striped turquoise bag.")</f>
        <v>5 plaid chartreuse bags, 4 dotted coral bags, 4 posh green bags, 1 striped turquoise bag.</v>
      </c>
      <c r="G407" s="3" t="str">
        <f>IFERROR(__xludf.DUMMYFUNCTION("INDEX(SPLIT($F407,"",""),COLUMN()-6)"),"5 plaid chartreuse bags")</f>
        <v>5 plaid chartreuse bags</v>
      </c>
      <c r="H407" s="3" t="str">
        <f>IFERROR(__xludf.DUMMYFUNCTION("MID(INDEX(SPLIT($F407,"",""),COLUMN()-6),2,300)"),"4 dotted coral bags")</f>
        <v>4 dotted coral bags</v>
      </c>
      <c r="I407" s="3" t="str">
        <f>IFERROR(__xludf.DUMMYFUNCTION("MID(INDEX(SPLIT($F407,"",""),COLUMN()-6),2,300)"),"4 posh green bags")</f>
        <v>4 posh green bags</v>
      </c>
      <c r="J407" s="3" t="str">
        <f>IFERROR(__xludf.DUMMYFUNCTION("MID(INDEX(SPLIT($F407,"",""),COLUMN()-6),2,300)"),"1 striped turquoise bag.")</f>
        <v>1 striped turquoise bag.</v>
      </c>
      <c r="K407" s="3">
        <f>IFERROR(__xludf.DUMMYFUNCTION("INDEX(SPLIT(G407,"" ""),1)"),5.0)</f>
        <v>5</v>
      </c>
      <c r="L407" s="3" t="str">
        <f>IFERROR(__xludf.DUMMYFUNCTION("REGEXEXTRACT(G407,"" [^ ]* [^ ]* "")")," plaid chartreuse ")</f>
        <v> plaid chartreuse </v>
      </c>
      <c r="M407" s="3">
        <f>IFERROR(__xludf.DUMMYFUNCTION("INDEX(SPLIT(H407,"" ""),1)"),4.0)</f>
        <v>4</v>
      </c>
      <c r="N407" s="3" t="str">
        <f>IFERROR(__xludf.DUMMYFUNCTION("MID(REGEXEXTRACT(H407,"" [^ ]* [^ ]*""),2,300)"),"dotted coral")</f>
        <v>dotted coral</v>
      </c>
      <c r="O407" s="3">
        <f>IFERROR(__xludf.DUMMYFUNCTION("INDEX(SPLIT(I407,"" ""),1)"),4.0)</f>
        <v>4</v>
      </c>
      <c r="P407" s="3" t="str">
        <f>IFERROR(__xludf.DUMMYFUNCTION("MID(REGEXEXTRACT(I407,"" [^ ]* [^ ]*""),2,300)"),"posh green")</f>
        <v>posh green</v>
      </c>
      <c r="Q407" s="3">
        <f>IFERROR(__xludf.DUMMYFUNCTION("INDEX(SPLIT(J407,"" ""),1)"),1.0)</f>
        <v>1</v>
      </c>
      <c r="R407" s="3" t="str">
        <f>IFERROR(__xludf.DUMMYFUNCTION("MID(REGEXEXTRACT(J407,"" [^ ]* [^ ]*""),2,300)"),"striped turquoise")</f>
        <v>striped turquoise</v>
      </c>
      <c r="S407" s="3">
        <f t="shared" si="2"/>
        <v>5</v>
      </c>
      <c r="T407" s="3" t="str">
        <f t="shared" si="3"/>
        <v>plaid chartreuse</v>
      </c>
      <c r="U407" s="3">
        <f t="shared" si="4"/>
        <v>4</v>
      </c>
      <c r="V407" s="3" t="str">
        <f t="shared" si="5"/>
        <v>dotted coral</v>
      </c>
      <c r="W407" s="3">
        <f t="shared" si="6"/>
        <v>4</v>
      </c>
      <c r="X407" s="3" t="str">
        <f t="shared" si="7"/>
        <v>posh green</v>
      </c>
      <c r="Y407" s="3">
        <f t="shared" si="8"/>
        <v>1</v>
      </c>
      <c r="Z407" s="3" t="str">
        <f t="shared" si="9"/>
        <v>striped turquoise</v>
      </c>
      <c r="AA407" s="13">
        <f t="shared" si="10"/>
        <v>5517995297</v>
      </c>
      <c r="AB407" s="3">
        <f t="shared" si="11"/>
        <v>5517995296</v>
      </c>
      <c r="AC407" s="3">
        <f t="shared" si="12"/>
        <v>5</v>
      </c>
      <c r="AD407" s="3">
        <f t="shared" si="13"/>
        <v>199699352</v>
      </c>
      <c r="AE407" s="3">
        <f t="shared" si="14"/>
        <v>4</v>
      </c>
      <c r="AF407" s="3">
        <f t="shared" si="15"/>
        <v>10803</v>
      </c>
      <c r="AG407" s="3">
        <f t="shared" si="16"/>
        <v>4</v>
      </c>
      <c r="AH407" s="3">
        <f t="shared" si="17"/>
        <v>6367</v>
      </c>
      <c r="AI407" s="3">
        <f t="shared" si="18"/>
        <v>1</v>
      </c>
      <c r="AJ407" s="3">
        <f t="shared" si="19"/>
        <v>4519429856</v>
      </c>
    </row>
    <row r="408">
      <c r="C408" s="6" t="s">
        <v>408</v>
      </c>
      <c r="D408" s="3">
        <f t="shared" si="1"/>
        <v>1</v>
      </c>
      <c r="E408" s="3" t="str">
        <f>IFERROR(__xludf.DUMMYFUNCTION("REGEXEXTRACT(C408,""[^ ]* [^ ]*"")"),"plaid black")</f>
        <v>plaid black</v>
      </c>
      <c r="F408" s="3" t="str">
        <f>IFERROR(__xludf.DUMMYFUNCTION("MID(REGEXEXTRACT(C408,""contain.*$""),9,300)"),"2 drab salmon bags, 5 posh maroon bags.")</f>
        <v>2 drab salmon bags, 5 posh maroon bags.</v>
      </c>
      <c r="G408" s="3" t="str">
        <f>IFERROR(__xludf.DUMMYFUNCTION("INDEX(SPLIT($F408,"",""),COLUMN()-6)"),"2 drab salmon bags")</f>
        <v>2 drab salmon bags</v>
      </c>
      <c r="H408" s="3" t="str">
        <f>IFERROR(__xludf.DUMMYFUNCTION("MID(INDEX(SPLIT($F408,"",""),COLUMN()-6),2,300)"),"5 posh maroon bags.")</f>
        <v>5 posh maroon bags.</v>
      </c>
      <c r="I408" s="3" t="str">
        <f>IFERROR(__xludf.DUMMYFUNCTION("MID(INDEX(SPLIT($F408,"",""),COLUMN()-6),2,300)"),"#REF!")</f>
        <v>#REF!</v>
      </c>
      <c r="J408" s="3" t="str">
        <f>IFERROR(__xludf.DUMMYFUNCTION("MID(INDEX(SPLIT($F408,"",""),COLUMN()-6),2,300)"),"#REF!")</f>
        <v>#REF!</v>
      </c>
      <c r="K408" s="3">
        <f>IFERROR(__xludf.DUMMYFUNCTION("INDEX(SPLIT(G408,"" ""),1)"),2.0)</f>
        <v>2</v>
      </c>
      <c r="L408" s="3" t="str">
        <f>IFERROR(__xludf.DUMMYFUNCTION("REGEXEXTRACT(G408,"" [^ ]* [^ ]* "")")," drab salmon ")</f>
        <v> drab salmon </v>
      </c>
      <c r="M408" s="3">
        <f>IFERROR(__xludf.DUMMYFUNCTION("INDEX(SPLIT(H408,"" ""),1)"),5.0)</f>
        <v>5</v>
      </c>
      <c r="N408" s="3" t="str">
        <f>IFERROR(__xludf.DUMMYFUNCTION("MID(REGEXEXTRACT(H408,"" [^ ]* [^ ]*""),2,300)"),"posh maroon")</f>
        <v>posh maroon</v>
      </c>
      <c r="O408" s="3" t="str">
        <f>IFERROR(__xludf.DUMMYFUNCTION("INDEX(SPLIT(I408,"" ""),1)"),"#REF!")</f>
        <v>#REF!</v>
      </c>
      <c r="P408" s="3" t="str">
        <f>IFERROR(__xludf.DUMMYFUNCTION("MID(REGEXEXTRACT(I408,"" [^ ]* [^ ]*""),2,300)"),"#REF!")</f>
        <v>#REF!</v>
      </c>
      <c r="Q408" s="3" t="str">
        <f>IFERROR(__xludf.DUMMYFUNCTION("INDEX(SPLIT(J408,"" ""),1)"),"#REF!")</f>
        <v>#REF!</v>
      </c>
      <c r="R408" s="3" t="str">
        <f>IFERROR(__xludf.DUMMYFUNCTION("MID(REGEXEXTRACT(J408,"" [^ ]* [^ ]*""),2,300)"),"#REF!")</f>
        <v>#REF!</v>
      </c>
      <c r="S408" s="3">
        <f t="shared" si="2"/>
        <v>2</v>
      </c>
      <c r="T408" s="3" t="str">
        <f t="shared" si="3"/>
        <v>drab salmon</v>
      </c>
      <c r="U408" s="3">
        <f t="shared" si="4"/>
        <v>5</v>
      </c>
      <c r="V408" s="3" t="str">
        <f t="shared" si="5"/>
        <v>posh maroon</v>
      </c>
      <c r="W408" s="3" t="str">
        <f t="shared" si="6"/>
        <v/>
      </c>
      <c r="X408" s="3" t="str">
        <f t="shared" si="7"/>
        <v/>
      </c>
      <c r="Y408" s="3" t="str">
        <f t="shared" si="8"/>
        <v/>
      </c>
      <c r="Z408" s="3" t="str">
        <f t="shared" si="9"/>
        <v/>
      </c>
      <c r="AA408" s="13">
        <f t="shared" si="10"/>
        <v>134718206</v>
      </c>
      <c r="AB408" s="3">
        <f t="shared" si="11"/>
        <v>134718205</v>
      </c>
      <c r="AC408" s="3">
        <f t="shared" si="12"/>
        <v>2</v>
      </c>
      <c r="AD408" s="3">
        <f t="shared" si="13"/>
        <v>15045</v>
      </c>
      <c r="AE408" s="3">
        <f t="shared" si="14"/>
        <v>5</v>
      </c>
      <c r="AF408" s="3">
        <f t="shared" si="15"/>
        <v>26937623</v>
      </c>
      <c r="AG408" s="3" t="str">
        <f t="shared" si="16"/>
        <v/>
      </c>
      <c r="AH408" s="3">
        <f t="shared" si="17"/>
        <v>0</v>
      </c>
      <c r="AI408" s="3" t="str">
        <f t="shared" si="18"/>
        <v/>
      </c>
      <c r="AJ408" s="3">
        <f t="shared" si="19"/>
        <v>0</v>
      </c>
    </row>
    <row r="409">
      <c r="C409" s="6" t="s">
        <v>409</v>
      </c>
      <c r="D409" s="3">
        <f t="shared" si="1"/>
        <v>2</v>
      </c>
      <c r="E409" s="3" t="str">
        <f>IFERROR(__xludf.DUMMYFUNCTION("REGEXEXTRACT(C409,""[^ ]* [^ ]*"")"),"light cyan")</f>
        <v>light cyan</v>
      </c>
      <c r="F409" s="3" t="str">
        <f>IFERROR(__xludf.DUMMYFUNCTION("MID(REGEXEXTRACT(C409,""contain.*$""),9,300)"),"2 dotted orange bags, 5 drab green bags, 1 bright lavender bag.")</f>
        <v>2 dotted orange bags, 5 drab green bags, 1 bright lavender bag.</v>
      </c>
      <c r="G409" s="3" t="str">
        <f>IFERROR(__xludf.DUMMYFUNCTION("INDEX(SPLIT($F409,"",""),COLUMN()-6)"),"2 dotted orange bags")</f>
        <v>2 dotted orange bags</v>
      </c>
      <c r="H409" s="3" t="str">
        <f>IFERROR(__xludf.DUMMYFUNCTION("MID(INDEX(SPLIT($F409,"",""),COLUMN()-6),2,300)"),"5 drab green bags")</f>
        <v>5 drab green bags</v>
      </c>
      <c r="I409" s="3" t="str">
        <f>IFERROR(__xludf.DUMMYFUNCTION("MID(INDEX(SPLIT($F409,"",""),COLUMN()-6),2,300)"),"1 bright lavender bag.")</f>
        <v>1 bright lavender bag.</v>
      </c>
      <c r="J409" s="3" t="str">
        <f>IFERROR(__xludf.DUMMYFUNCTION("MID(INDEX(SPLIT($F409,"",""),COLUMN()-6),2,300)"),"#REF!")</f>
        <v>#REF!</v>
      </c>
      <c r="K409" s="3">
        <f>IFERROR(__xludf.DUMMYFUNCTION("INDEX(SPLIT(G409,"" ""),1)"),2.0)</f>
        <v>2</v>
      </c>
      <c r="L409" s="3" t="str">
        <f>IFERROR(__xludf.DUMMYFUNCTION("REGEXEXTRACT(G409,"" [^ ]* [^ ]* "")")," dotted orange ")</f>
        <v> dotted orange </v>
      </c>
      <c r="M409" s="3">
        <f>IFERROR(__xludf.DUMMYFUNCTION("INDEX(SPLIT(H409,"" ""),1)"),5.0)</f>
        <v>5</v>
      </c>
      <c r="N409" s="3" t="str">
        <f>IFERROR(__xludf.DUMMYFUNCTION("MID(REGEXEXTRACT(H409,"" [^ ]* [^ ]*""),2,300)"),"drab green")</f>
        <v>drab green</v>
      </c>
      <c r="O409" s="3">
        <f>IFERROR(__xludf.DUMMYFUNCTION("INDEX(SPLIT(I409,"" ""),1)"),1.0)</f>
        <v>1</v>
      </c>
      <c r="P409" s="3" t="str">
        <f>IFERROR(__xludf.DUMMYFUNCTION("MID(REGEXEXTRACT(I409,"" [^ ]* [^ ]*""),2,300)"),"bright lavender")</f>
        <v>bright lavender</v>
      </c>
      <c r="Q409" s="3" t="str">
        <f>IFERROR(__xludf.DUMMYFUNCTION("INDEX(SPLIT(J409,"" ""),1)"),"#REF!")</f>
        <v>#REF!</v>
      </c>
      <c r="R409" s="3" t="str">
        <f>IFERROR(__xludf.DUMMYFUNCTION("MID(REGEXEXTRACT(J409,"" [^ ]* [^ ]*""),2,300)"),"#REF!")</f>
        <v>#REF!</v>
      </c>
      <c r="S409" s="3">
        <f t="shared" si="2"/>
        <v>2</v>
      </c>
      <c r="T409" s="3" t="str">
        <f t="shared" si="3"/>
        <v>dotted orange</v>
      </c>
      <c r="U409" s="3">
        <f t="shared" si="4"/>
        <v>5</v>
      </c>
      <c r="V409" s="3" t="str">
        <f t="shared" si="5"/>
        <v>drab green</v>
      </c>
      <c r="W409" s="3">
        <f t="shared" si="6"/>
        <v>1</v>
      </c>
      <c r="X409" s="3" t="str">
        <f t="shared" si="7"/>
        <v>bright lavender</v>
      </c>
      <c r="Y409" s="3" t="str">
        <f t="shared" si="8"/>
        <v/>
      </c>
      <c r="Z409" s="3" t="str">
        <f t="shared" si="9"/>
        <v/>
      </c>
      <c r="AA409" s="13">
        <f t="shared" si="10"/>
        <v>3750</v>
      </c>
      <c r="AB409" s="3">
        <f t="shared" si="11"/>
        <v>3749</v>
      </c>
      <c r="AC409" s="3">
        <f t="shared" si="12"/>
        <v>2</v>
      </c>
      <c r="AD409" s="3">
        <f t="shared" si="13"/>
        <v>1780</v>
      </c>
      <c r="AE409" s="3">
        <f t="shared" si="14"/>
        <v>5</v>
      </c>
      <c r="AF409" s="3">
        <f t="shared" si="15"/>
        <v>5</v>
      </c>
      <c r="AG409" s="3">
        <f t="shared" si="16"/>
        <v>1</v>
      </c>
      <c r="AH409" s="3">
        <f t="shared" si="17"/>
        <v>164</v>
      </c>
      <c r="AI409" s="3" t="str">
        <f t="shared" si="18"/>
        <v/>
      </c>
      <c r="AJ409" s="3">
        <f t="shared" si="19"/>
        <v>0</v>
      </c>
    </row>
    <row r="410">
      <c r="C410" s="6" t="s">
        <v>410</v>
      </c>
      <c r="D410" s="3">
        <f t="shared" si="1"/>
        <v>3</v>
      </c>
      <c r="E410" s="3" t="str">
        <f>IFERROR(__xludf.DUMMYFUNCTION("REGEXEXTRACT(C410,""[^ ]* [^ ]*"")"),"dull fuchsia")</f>
        <v>dull fuchsia</v>
      </c>
      <c r="F410" s="3" t="str">
        <f>IFERROR(__xludf.DUMMYFUNCTION("MID(REGEXEXTRACT(C410,""contain.*$""),9,300)"),"2 posh red bags, 4 mirrored beige bags, 2 dull salmon bags, 4 striped purple bags.")</f>
        <v>2 posh red bags, 4 mirrored beige bags, 2 dull salmon bags, 4 striped purple bags.</v>
      </c>
      <c r="G410" s="3" t="str">
        <f>IFERROR(__xludf.DUMMYFUNCTION("INDEX(SPLIT($F410,"",""),COLUMN()-6)"),"2 posh red bags")</f>
        <v>2 posh red bags</v>
      </c>
      <c r="H410" s="3" t="str">
        <f>IFERROR(__xludf.DUMMYFUNCTION("MID(INDEX(SPLIT($F410,"",""),COLUMN()-6),2,300)"),"4 mirrored beige bags")</f>
        <v>4 mirrored beige bags</v>
      </c>
      <c r="I410" s="3" t="str">
        <f>IFERROR(__xludf.DUMMYFUNCTION("MID(INDEX(SPLIT($F410,"",""),COLUMN()-6),2,300)"),"2 dull salmon bags")</f>
        <v>2 dull salmon bags</v>
      </c>
      <c r="J410" s="3" t="str">
        <f>IFERROR(__xludf.DUMMYFUNCTION("MID(INDEX(SPLIT($F410,"",""),COLUMN()-6),2,300)"),"4 striped purple bags.")</f>
        <v>4 striped purple bags.</v>
      </c>
      <c r="K410" s="3">
        <f>IFERROR(__xludf.DUMMYFUNCTION("INDEX(SPLIT(G410,"" ""),1)"),2.0)</f>
        <v>2</v>
      </c>
      <c r="L410" s="3" t="str">
        <f>IFERROR(__xludf.DUMMYFUNCTION("REGEXEXTRACT(G410,"" [^ ]* [^ ]* "")")," posh red ")</f>
        <v> posh red </v>
      </c>
      <c r="M410" s="3">
        <f>IFERROR(__xludf.DUMMYFUNCTION("INDEX(SPLIT(H410,"" ""),1)"),4.0)</f>
        <v>4</v>
      </c>
      <c r="N410" s="3" t="str">
        <f>IFERROR(__xludf.DUMMYFUNCTION("MID(REGEXEXTRACT(H410,"" [^ ]* [^ ]*""),2,300)"),"mirrored beige")</f>
        <v>mirrored beige</v>
      </c>
      <c r="O410" s="3">
        <f>IFERROR(__xludf.DUMMYFUNCTION("INDEX(SPLIT(I410,"" ""),1)"),2.0)</f>
        <v>2</v>
      </c>
      <c r="P410" s="3" t="str">
        <f>IFERROR(__xludf.DUMMYFUNCTION("MID(REGEXEXTRACT(I410,"" [^ ]* [^ ]*""),2,300)"),"dull salmon")</f>
        <v>dull salmon</v>
      </c>
      <c r="Q410" s="3">
        <f>IFERROR(__xludf.DUMMYFUNCTION("INDEX(SPLIT(J410,"" ""),1)"),4.0)</f>
        <v>4</v>
      </c>
      <c r="R410" s="3" t="str">
        <f>IFERROR(__xludf.DUMMYFUNCTION("MID(REGEXEXTRACT(J410,"" [^ ]* [^ ]*""),2,300)"),"striped purple")</f>
        <v>striped purple</v>
      </c>
      <c r="S410" s="3">
        <f t="shared" si="2"/>
        <v>2</v>
      </c>
      <c r="T410" s="3" t="str">
        <f t="shared" si="3"/>
        <v>posh red</v>
      </c>
      <c r="U410" s="3">
        <f t="shared" si="4"/>
        <v>4</v>
      </c>
      <c r="V410" s="3" t="str">
        <f t="shared" si="5"/>
        <v>mirrored beige</v>
      </c>
      <c r="W410" s="3">
        <f t="shared" si="6"/>
        <v>2</v>
      </c>
      <c r="X410" s="3" t="str">
        <f t="shared" si="7"/>
        <v>dull salmon</v>
      </c>
      <c r="Y410" s="3">
        <f t="shared" si="8"/>
        <v>4</v>
      </c>
      <c r="Z410" s="3" t="str">
        <f t="shared" si="9"/>
        <v>striped purple</v>
      </c>
      <c r="AA410" s="13">
        <f t="shared" si="10"/>
        <v>395534963</v>
      </c>
      <c r="AB410" s="3">
        <f t="shared" si="11"/>
        <v>395534962</v>
      </c>
      <c r="AC410" s="3">
        <f t="shared" si="12"/>
        <v>2</v>
      </c>
      <c r="AD410" s="3">
        <f t="shared" si="13"/>
        <v>367934</v>
      </c>
      <c r="AE410" s="3">
        <f t="shared" si="14"/>
        <v>4</v>
      </c>
      <c r="AF410" s="3">
        <f t="shared" si="15"/>
        <v>598224</v>
      </c>
      <c r="AG410" s="3">
        <f t="shared" si="16"/>
        <v>2</v>
      </c>
      <c r="AH410" s="3">
        <f t="shared" si="17"/>
        <v>2893451</v>
      </c>
      <c r="AI410" s="3">
        <f t="shared" si="18"/>
        <v>4</v>
      </c>
      <c r="AJ410" s="3">
        <f t="shared" si="19"/>
        <v>96654824</v>
      </c>
    </row>
    <row r="411">
      <c r="C411" s="6" t="s">
        <v>411</v>
      </c>
      <c r="D411" s="3">
        <f t="shared" si="1"/>
        <v>3</v>
      </c>
      <c r="E411" s="3" t="str">
        <f>IFERROR(__xludf.DUMMYFUNCTION("REGEXEXTRACT(C411,""[^ ]* [^ ]*"")"),"dark turquoise")</f>
        <v>dark turquoise</v>
      </c>
      <c r="F411" s="3" t="str">
        <f>IFERROR(__xludf.DUMMYFUNCTION("MID(REGEXEXTRACT(C411,""contain.*$""),9,300)"),"4 drab tomato bags, 3 dotted chartreuse bags, 5 muted salmon bags, 4 posh magenta bags.")</f>
        <v>4 drab tomato bags, 3 dotted chartreuse bags, 5 muted salmon bags, 4 posh magenta bags.</v>
      </c>
      <c r="G411" s="3" t="str">
        <f>IFERROR(__xludf.DUMMYFUNCTION("INDEX(SPLIT($F411,"",""),COLUMN()-6)"),"4 drab tomato bags")</f>
        <v>4 drab tomato bags</v>
      </c>
      <c r="H411" s="3" t="str">
        <f>IFERROR(__xludf.DUMMYFUNCTION("MID(INDEX(SPLIT($F411,"",""),COLUMN()-6),2,300)"),"3 dotted chartreuse bags")</f>
        <v>3 dotted chartreuse bags</v>
      </c>
      <c r="I411" s="3" t="str">
        <f>IFERROR(__xludf.DUMMYFUNCTION("MID(INDEX(SPLIT($F411,"",""),COLUMN()-6),2,300)"),"5 muted salmon bags")</f>
        <v>5 muted salmon bags</v>
      </c>
      <c r="J411" s="3" t="str">
        <f>IFERROR(__xludf.DUMMYFUNCTION("MID(INDEX(SPLIT($F411,"",""),COLUMN()-6),2,300)"),"4 posh magenta bags.")</f>
        <v>4 posh magenta bags.</v>
      </c>
      <c r="K411" s="3">
        <f>IFERROR(__xludf.DUMMYFUNCTION("INDEX(SPLIT(G411,"" ""),1)"),4.0)</f>
        <v>4</v>
      </c>
      <c r="L411" s="3" t="str">
        <f>IFERROR(__xludf.DUMMYFUNCTION("REGEXEXTRACT(G411,"" [^ ]* [^ ]* "")")," drab tomato ")</f>
        <v> drab tomato </v>
      </c>
      <c r="M411" s="3">
        <f>IFERROR(__xludf.DUMMYFUNCTION("INDEX(SPLIT(H411,"" ""),1)"),3.0)</f>
        <v>3</v>
      </c>
      <c r="N411" s="3" t="str">
        <f>IFERROR(__xludf.DUMMYFUNCTION("MID(REGEXEXTRACT(H411,"" [^ ]* [^ ]*""),2,300)"),"dotted chartreuse")</f>
        <v>dotted chartreuse</v>
      </c>
      <c r="O411" s="3">
        <f>IFERROR(__xludf.DUMMYFUNCTION("INDEX(SPLIT(I411,"" ""),1)"),5.0)</f>
        <v>5</v>
      </c>
      <c r="P411" s="3" t="str">
        <f>IFERROR(__xludf.DUMMYFUNCTION("MID(REGEXEXTRACT(I411,"" [^ ]* [^ ]*""),2,300)"),"muted salmon")</f>
        <v>muted salmon</v>
      </c>
      <c r="Q411" s="3">
        <f>IFERROR(__xludf.DUMMYFUNCTION("INDEX(SPLIT(J411,"" ""),1)"),4.0)</f>
        <v>4</v>
      </c>
      <c r="R411" s="3" t="str">
        <f>IFERROR(__xludf.DUMMYFUNCTION("MID(REGEXEXTRACT(J411,"" [^ ]* [^ ]*""),2,300)"),"posh magenta")</f>
        <v>posh magenta</v>
      </c>
      <c r="S411" s="3">
        <f t="shared" si="2"/>
        <v>4</v>
      </c>
      <c r="T411" s="3" t="str">
        <f t="shared" si="3"/>
        <v>drab tomato</v>
      </c>
      <c r="U411" s="3">
        <f t="shared" si="4"/>
        <v>3</v>
      </c>
      <c r="V411" s="3" t="str">
        <f t="shared" si="5"/>
        <v>dotted chartreuse</v>
      </c>
      <c r="W411" s="3">
        <f t="shared" si="6"/>
        <v>5</v>
      </c>
      <c r="X411" s="3" t="str">
        <f t="shared" si="7"/>
        <v>muted salmon</v>
      </c>
      <c r="Y411" s="3">
        <f t="shared" si="8"/>
        <v>4</v>
      </c>
      <c r="Z411" s="3" t="str">
        <f t="shared" si="9"/>
        <v>posh magenta</v>
      </c>
      <c r="AA411" s="13">
        <f t="shared" si="10"/>
        <v>385699</v>
      </c>
      <c r="AB411" s="3">
        <f t="shared" si="11"/>
        <v>385698</v>
      </c>
      <c r="AC411" s="3">
        <f t="shared" si="12"/>
        <v>4</v>
      </c>
      <c r="AD411" s="3">
        <f t="shared" si="13"/>
        <v>38687</v>
      </c>
      <c r="AE411" s="3">
        <f t="shared" si="14"/>
        <v>3</v>
      </c>
      <c r="AF411" s="3">
        <f t="shared" si="15"/>
        <v>71962</v>
      </c>
      <c r="AG411" s="3">
        <f t="shared" si="16"/>
        <v>5</v>
      </c>
      <c r="AH411" s="3">
        <f t="shared" si="17"/>
        <v>3012</v>
      </c>
      <c r="AI411" s="3">
        <f t="shared" si="18"/>
        <v>4</v>
      </c>
      <c r="AJ411" s="3">
        <f t="shared" si="19"/>
        <v>1</v>
      </c>
    </row>
    <row r="412">
      <c r="C412" s="6" t="s">
        <v>412</v>
      </c>
      <c r="D412" s="3">
        <f t="shared" si="1"/>
        <v>3</v>
      </c>
      <c r="E412" s="3" t="str">
        <f>IFERROR(__xludf.DUMMYFUNCTION("REGEXEXTRACT(C412,""[^ ]* [^ ]*"")"),"vibrant silver")</f>
        <v>vibrant silver</v>
      </c>
      <c r="F412" s="3" t="str">
        <f>IFERROR(__xludf.DUMMYFUNCTION("MID(REGEXEXTRACT(C412,""contain.*$""),9,300)"),"3 dark brown bags, 2 wavy beige bags, 5 dull turquoise bags, 2 drab tan bags.")</f>
        <v>3 dark brown bags, 2 wavy beige bags, 5 dull turquoise bags, 2 drab tan bags.</v>
      </c>
      <c r="G412" s="3" t="str">
        <f>IFERROR(__xludf.DUMMYFUNCTION("INDEX(SPLIT($F412,"",""),COLUMN()-6)"),"3 dark brown bags")</f>
        <v>3 dark brown bags</v>
      </c>
      <c r="H412" s="3" t="str">
        <f>IFERROR(__xludf.DUMMYFUNCTION("MID(INDEX(SPLIT($F412,"",""),COLUMN()-6),2,300)"),"2 wavy beige bags")</f>
        <v>2 wavy beige bags</v>
      </c>
      <c r="I412" s="3" t="str">
        <f>IFERROR(__xludf.DUMMYFUNCTION("MID(INDEX(SPLIT($F412,"",""),COLUMN()-6),2,300)"),"5 dull turquoise bags")</f>
        <v>5 dull turquoise bags</v>
      </c>
      <c r="J412" s="3" t="str">
        <f>IFERROR(__xludf.DUMMYFUNCTION("MID(INDEX(SPLIT($F412,"",""),COLUMN()-6),2,300)"),"2 drab tan bags.")</f>
        <v>2 drab tan bags.</v>
      </c>
      <c r="K412" s="3">
        <f>IFERROR(__xludf.DUMMYFUNCTION("INDEX(SPLIT(G412,"" ""),1)"),3.0)</f>
        <v>3</v>
      </c>
      <c r="L412" s="3" t="str">
        <f>IFERROR(__xludf.DUMMYFUNCTION("REGEXEXTRACT(G412,"" [^ ]* [^ ]* "")")," dark brown ")</f>
        <v> dark brown </v>
      </c>
      <c r="M412" s="3">
        <f>IFERROR(__xludf.DUMMYFUNCTION("INDEX(SPLIT(H412,"" ""),1)"),2.0)</f>
        <v>2</v>
      </c>
      <c r="N412" s="3" t="str">
        <f>IFERROR(__xludf.DUMMYFUNCTION("MID(REGEXEXTRACT(H412,"" [^ ]* [^ ]*""),2,300)"),"wavy beige")</f>
        <v>wavy beige</v>
      </c>
      <c r="O412" s="3">
        <f>IFERROR(__xludf.DUMMYFUNCTION("INDEX(SPLIT(I412,"" ""),1)"),5.0)</f>
        <v>5</v>
      </c>
      <c r="P412" s="3" t="str">
        <f>IFERROR(__xludf.DUMMYFUNCTION("MID(REGEXEXTRACT(I412,"" [^ ]* [^ ]*""),2,300)"),"dull turquoise")</f>
        <v>dull turquoise</v>
      </c>
      <c r="Q412" s="3">
        <f>IFERROR(__xludf.DUMMYFUNCTION("INDEX(SPLIT(J412,"" ""),1)"),2.0)</f>
        <v>2</v>
      </c>
      <c r="R412" s="3" t="str">
        <f>IFERROR(__xludf.DUMMYFUNCTION("MID(REGEXEXTRACT(J412,"" [^ ]* [^ ]*""),2,300)"),"drab tan")</f>
        <v>drab tan</v>
      </c>
      <c r="S412" s="3">
        <f t="shared" si="2"/>
        <v>3</v>
      </c>
      <c r="T412" s="3" t="str">
        <f t="shared" si="3"/>
        <v>dark brown</v>
      </c>
      <c r="U412" s="3">
        <f t="shared" si="4"/>
        <v>2</v>
      </c>
      <c r="V412" s="3" t="str">
        <f t="shared" si="5"/>
        <v>wavy beige</v>
      </c>
      <c r="W412" s="3">
        <f t="shared" si="6"/>
        <v>5</v>
      </c>
      <c r="X412" s="3" t="str">
        <f t="shared" si="7"/>
        <v>dull turquoise</v>
      </c>
      <c r="Y412" s="3">
        <f t="shared" si="8"/>
        <v>2</v>
      </c>
      <c r="Z412" s="3" t="str">
        <f t="shared" si="9"/>
        <v>drab tan</v>
      </c>
      <c r="AA412" s="13">
        <f t="shared" si="10"/>
        <v>9408683</v>
      </c>
      <c r="AB412" s="3">
        <f t="shared" si="11"/>
        <v>9408682</v>
      </c>
      <c r="AC412" s="3">
        <f t="shared" si="12"/>
        <v>3</v>
      </c>
      <c r="AD412" s="3">
        <f t="shared" si="13"/>
        <v>134569</v>
      </c>
      <c r="AE412" s="3">
        <f t="shared" si="14"/>
        <v>2</v>
      </c>
      <c r="AF412" s="3">
        <f t="shared" si="15"/>
        <v>44878</v>
      </c>
      <c r="AG412" s="3">
        <f t="shared" si="16"/>
        <v>5</v>
      </c>
      <c r="AH412" s="3">
        <f t="shared" si="17"/>
        <v>346469</v>
      </c>
      <c r="AI412" s="3">
        <f t="shared" si="18"/>
        <v>2</v>
      </c>
      <c r="AJ412" s="3">
        <f t="shared" si="19"/>
        <v>3591437</v>
      </c>
    </row>
    <row r="413">
      <c r="C413" s="6" t="s">
        <v>413</v>
      </c>
      <c r="D413" s="3">
        <f t="shared" si="1"/>
        <v>3</v>
      </c>
      <c r="E413" s="3" t="str">
        <f>IFERROR(__xludf.DUMMYFUNCTION("REGEXEXTRACT(C413,""[^ ]* [^ ]*"")"),"dotted tomato")</f>
        <v>dotted tomato</v>
      </c>
      <c r="F413" s="3" t="str">
        <f>IFERROR(__xludf.DUMMYFUNCTION("MID(REGEXEXTRACT(C413,""contain.*$""),9,300)"),"3 drab tan bags, 2 striped magenta bags, 5 dim violet bags, 4 wavy tomato bags.")</f>
        <v>3 drab tan bags, 2 striped magenta bags, 5 dim violet bags, 4 wavy tomato bags.</v>
      </c>
      <c r="G413" s="3" t="str">
        <f>IFERROR(__xludf.DUMMYFUNCTION("INDEX(SPLIT($F413,"",""),COLUMN()-6)"),"3 drab tan bags")</f>
        <v>3 drab tan bags</v>
      </c>
      <c r="H413" s="3" t="str">
        <f>IFERROR(__xludf.DUMMYFUNCTION("MID(INDEX(SPLIT($F413,"",""),COLUMN()-6),2,300)"),"2 striped magenta bags")</f>
        <v>2 striped magenta bags</v>
      </c>
      <c r="I413" s="3" t="str">
        <f>IFERROR(__xludf.DUMMYFUNCTION("MID(INDEX(SPLIT($F413,"",""),COLUMN()-6),2,300)"),"5 dim violet bags")</f>
        <v>5 dim violet bags</v>
      </c>
      <c r="J413" s="3" t="str">
        <f>IFERROR(__xludf.DUMMYFUNCTION("MID(INDEX(SPLIT($F413,"",""),COLUMN()-6),2,300)"),"4 wavy tomato bags.")</f>
        <v>4 wavy tomato bags.</v>
      </c>
      <c r="K413" s="3">
        <f>IFERROR(__xludf.DUMMYFUNCTION("INDEX(SPLIT(G413,"" ""),1)"),3.0)</f>
        <v>3</v>
      </c>
      <c r="L413" s="3" t="str">
        <f>IFERROR(__xludf.DUMMYFUNCTION("REGEXEXTRACT(G413,"" [^ ]* [^ ]* "")")," drab tan ")</f>
        <v> drab tan </v>
      </c>
      <c r="M413" s="3">
        <f>IFERROR(__xludf.DUMMYFUNCTION("INDEX(SPLIT(H413,"" ""),1)"),2.0)</f>
        <v>2</v>
      </c>
      <c r="N413" s="3" t="str">
        <f>IFERROR(__xludf.DUMMYFUNCTION("MID(REGEXEXTRACT(H413,"" [^ ]* [^ ]*""),2,300)"),"striped magenta")</f>
        <v>striped magenta</v>
      </c>
      <c r="O413" s="3">
        <f>IFERROR(__xludf.DUMMYFUNCTION("INDEX(SPLIT(I413,"" ""),1)"),5.0)</f>
        <v>5</v>
      </c>
      <c r="P413" s="3" t="str">
        <f>IFERROR(__xludf.DUMMYFUNCTION("MID(REGEXEXTRACT(I413,"" [^ ]* [^ ]*""),2,300)"),"dim violet")</f>
        <v>dim violet</v>
      </c>
      <c r="Q413" s="3">
        <f>IFERROR(__xludf.DUMMYFUNCTION("INDEX(SPLIT(J413,"" ""),1)"),4.0)</f>
        <v>4</v>
      </c>
      <c r="R413" s="3" t="str">
        <f>IFERROR(__xludf.DUMMYFUNCTION("MID(REGEXEXTRACT(J413,"" [^ ]* [^ ]*""),2,300)"),"wavy tomato")</f>
        <v>wavy tomato</v>
      </c>
      <c r="S413" s="3">
        <f t="shared" si="2"/>
        <v>3</v>
      </c>
      <c r="T413" s="3" t="str">
        <f t="shared" si="3"/>
        <v>drab tan</v>
      </c>
      <c r="U413" s="3">
        <f t="shared" si="4"/>
        <v>2</v>
      </c>
      <c r="V413" s="3" t="str">
        <f t="shared" si="5"/>
        <v>striped magenta</v>
      </c>
      <c r="W413" s="3">
        <f t="shared" si="6"/>
        <v>5</v>
      </c>
      <c r="X413" s="3" t="str">
        <f t="shared" si="7"/>
        <v>dim violet</v>
      </c>
      <c r="Y413" s="3">
        <f t="shared" si="8"/>
        <v>4</v>
      </c>
      <c r="Z413" s="3" t="str">
        <f t="shared" si="9"/>
        <v>wavy tomato</v>
      </c>
      <c r="AA413" s="13">
        <f t="shared" si="10"/>
        <v>11056167</v>
      </c>
      <c r="AB413" s="3">
        <f t="shared" si="11"/>
        <v>11056166</v>
      </c>
      <c r="AC413" s="3">
        <f t="shared" si="12"/>
        <v>3</v>
      </c>
      <c r="AD413" s="3">
        <f t="shared" si="13"/>
        <v>3591437</v>
      </c>
      <c r="AE413" s="3">
        <f t="shared" si="14"/>
        <v>2</v>
      </c>
      <c r="AF413" s="3">
        <f t="shared" si="15"/>
        <v>140015</v>
      </c>
      <c r="AG413" s="3">
        <f t="shared" si="16"/>
        <v>5</v>
      </c>
      <c r="AH413" s="3">
        <f t="shared" si="17"/>
        <v>153</v>
      </c>
      <c r="AI413" s="3">
        <f t="shared" si="18"/>
        <v>4</v>
      </c>
      <c r="AJ413" s="3">
        <f t="shared" si="19"/>
        <v>265</v>
      </c>
    </row>
    <row r="414">
      <c r="C414" s="6" t="s">
        <v>414</v>
      </c>
      <c r="D414" s="3">
        <f t="shared" si="1"/>
        <v>3</v>
      </c>
      <c r="E414" s="3" t="str">
        <f>IFERROR(__xludf.DUMMYFUNCTION("REGEXEXTRACT(C414,""[^ ]* [^ ]*"")"),"vibrant white")</f>
        <v>vibrant white</v>
      </c>
      <c r="F414" s="3" t="str">
        <f>IFERROR(__xludf.DUMMYFUNCTION("MID(REGEXEXTRACT(C414,""contain.*$""),9,300)"),"5 bright crimson bags, 2 mirrored white bags, 5 mirrored indigo bags, 4 wavy teal bags.")</f>
        <v>5 bright crimson bags, 2 mirrored white bags, 5 mirrored indigo bags, 4 wavy teal bags.</v>
      </c>
      <c r="G414" s="3" t="str">
        <f>IFERROR(__xludf.DUMMYFUNCTION("INDEX(SPLIT($F414,"",""),COLUMN()-6)"),"5 bright crimson bags")</f>
        <v>5 bright crimson bags</v>
      </c>
      <c r="H414" s="3" t="str">
        <f>IFERROR(__xludf.DUMMYFUNCTION("MID(INDEX(SPLIT($F414,"",""),COLUMN()-6),2,300)"),"2 mirrored white bags")</f>
        <v>2 mirrored white bags</v>
      </c>
      <c r="I414" s="3" t="str">
        <f>IFERROR(__xludf.DUMMYFUNCTION("MID(INDEX(SPLIT($F414,"",""),COLUMN()-6),2,300)"),"5 mirrored indigo bags")</f>
        <v>5 mirrored indigo bags</v>
      </c>
      <c r="J414" s="3" t="str">
        <f>IFERROR(__xludf.DUMMYFUNCTION("MID(INDEX(SPLIT($F414,"",""),COLUMN()-6),2,300)"),"4 wavy teal bags.")</f>
        <v>4 wavy teal bags.</v>
      </c>
      <c r="K414" s="3">
        <f>IFERROR(__xludf.DUMMYFUNCTION("INDEX(SPLIT(G414,"" ""),1)"),5.0)</f>
        <v>5</v>
      </c>
      <c r="L414" s="3" t="str">
        <f>IFERROR(__xludf.DUMMYFUNCTION("REGEXEXTRACT(G414,"" [^ ]* [^ ]* "")")," bright crimson ")</f>
        <v> bright crimson </v>
      </c>
      <c r="M414" s="3">
        <f>IFERROR(__xludf.DUMMYFUNCTION("INDEX(SPLIT(H414,"" ""),1)"),2.0)</f>
        <v>2</v>
      </c>
      <c r="N414" s="3" t="str">
        <f>IFERROR(__xludf.DUMMYFUNCTION("MID(REGEXEXTRACT(H414,"" [^ ]* [^ ]*""),2,300)"),"mirrored white")</f>
        <v>mirrored white</v>
      </c>
      <c r="O414" s="3">
        <f>IFERROR(__xludf.DUMMYFUNCTION("INDEX(SPLIT(I414,"" ""),1)"),5.0)</f>
        <v>5</v>
      </c>
      <c r="P414" s="3" t="str">
        <f>IFERROR(__xludf.DUMMYFUNCTION("MID(REGEXEXTRACT(I414,"" [^ ]* [^ ]*""),2,300)"),"mirrored indigo")</f>
        <v>mirrored indigo</v>
      </c>
      <c r="Q414" s="3">
        <f>IFERROR(__xludf.DUMMYFUNCTION("INDEX(SPLIT(J414,"" ""),1)"),4.0)</f>
        <v>4</v>
      </c>
      <c r="R414" s="3" t="str">
        <f>IFERROR(__xludf.DUMMYFUNCTION("MID(REGEXEXTRACT(J414,"" [^ ]* [^ ]*""),2,300)"),"wavy teal")</f>
        <v>wavy teal</v>
      </c>
      <c r="S414" s="3">
        <f t="shared" si="2"/>
        <v>5</v>
      </c>
      <c r="T414" s="3" t="str">
        <f t="shared" si="3"/>
        <v>bright crimson</v>
      </c>
      <c r="U414" s="3">
        <f t="shared" si="4"/>
        <v>2</v>
      </c>
      <c r="V414" s="3" t="str">
        <f t="shared" si="5"/>
        <v>mirrored white</v>
      </c>
      <c r="W414" s="3">
        <f t="shared" si="6"/>
        <v>5</v>
      </c>
      <c r="X414" s="3" t="str">
        <f t="shared" si="7"/>
        <v>mirrored indigo</v>
      </c>
      <c r="Y414" s="3">
        <f t="shared" si="8"/>
        <v>4</v>
      </c>
      <c r="Z414" s="3" t="str">
        <f t="shared" si="9"/>
        <v>wavy teal</v>
      </c>
      <c r="AA414" s="13">
        <f t="shared" si="10"/>
        <v>1249859</v>
      </c>
      <c r="AB414" s="3">
        <f t="shared" si="11"/>
        <v>1249858</v>
      </c>
      <c r="AC414" s="3">
        <f t="shared" si="12"/>
        <v>5</v>
      </c>
      <c r="AD414" s="3">
        <f t="shared" si="13"/>
        <v>773</v>
      </c>
      <c r="AE414" s="3">
        <f t="shared" si="14"/>
        <v>2</v>
      </c>
      <c r="AF414" s="3">
        <f t="shared" si="15"/>
        <v>319</v>
      </c>
      <c r="AG414" s="3">
        <f t="shared" si="16"/>
        <v>5</v>
      </c>
      <c r="AH414" s="3">
        <f t="shared" si="17"/>
        <v>181271</v>
      </c>
      <c r="AI414" s="3">
        <f t="shared" si="18"/>
        <v>4</v>
      </c>
      <c r="AJ414" s="3">
        <f t="shared" si="19"/>
        <v>84750</v>
      </c>
    </row>
    <row r="415">
      <c r="C415" s="6" t="s">
        <v>415</v>
      </c>
      <c r="D415" s="3">
        <f t="shared" si="1"/>
        <v>0</v>
      </c>
      <c r="E415" s="3" t="str">
        <f>IFERROR(__xludf.DUMMYFUNCTION("REGEXEXTRACT(C415,""[^ ]* [^ ]*"")"),"shiny fuchsia")</f>
        <v>shiny fuchsia</v>
      </c>
      <c r="F415" s="3" t="str">
        <f>IFERROR(__xludf.DUMMYFUNCTION("MID(REGEXEXTRACT(C415,""contain.*$""),9,300)"),"1 pale lime bag.")</f>
        <v>1 pale lime bag.</v>
      </c>
      <c r="G415" s="3" t="str">
        <f>IFERROR(__xludf.DUMMYFUNCTION("INDEX(SPLIT($F415,"",""),COLUMN()-6)"),"1 pale lime bag.")</f>
        <v>1 pale lime bag.</v>
      </c>
      <c r="H415" s="3" t="str">
        <f>IFERROR(__xludf.DUMMYFUNCTION("MID(INDEX(SPLIT($F415,"",""),COLUMN()-6),2,300)"),"#REF!")</f>
        <v>#REF!</v>
      </c>
      <c r="I415" s="3" t="str">
        <f>IFERROR(__xludf.DUMMYFUNCTION("MID(INDEX(SPLIT($F415,"",""),COLUMN()-6),2,300)"),"#REF!")</f>
        <v>#REF!</v>
      </c>
      <c r="J415" s="3" t="str">
        <f>IFERROR(__xludf.DUMMYFUNCTION("MID(INDEX(SPLIT($F415,"",""),COLUMN()-6),2,300)"),"#REF!")</f>
        <v>#REF!</v>
      </c>
      <c r="K415" s="3">
        <f>IFERROR(__xludf.DUMMYFUNCTION("INDEX(SPLIT(G415,"" ""),1)"),1.0)</f>
        <v>1</v>
      </c>
      <c r="L415" s="3" t="str">
        <f>IFERROR(__xludf.DUMMYFUNCTION("REGEXEXTRACT(G415,"" [^ ]* [^ ]* "")")," pale lime ")</f>
        <v> pale lime </v>
      </c>
      <c r="M415" s="3" t="str">
        <f>IFERROR(__xludf.DUMMYFUNCTION("INDEX(SPLIT(H415,"" ""),1)"),"#REF!")</f>
        <v>#REF!</v>
      </c>
      <c r="N415" s="3" t="str">
        <f>IFERROR(__xludf.DUMMYFUNCTION("MID(REGEXEXTRACT(H415,"" [^ ]* [^ ]*""),2,300)"),"#REF!")</f>
        <v>#REF!</v>
      </c>
      <c r="O415" s="3" t="str">
        <f>IFERROR(__xludf.DUMMYFUNCTION("INDEX(SPLIT(I415,"" ""),1)"),"#REF!")</f>
        <v>#REF!</v>
      </c>
      <c r="P415" s="3" t="str">
        <f>IFERROR(__xludf.DUMMYFUNCTION("MID(REGEXEXTRACT(I415,"" [^ ]* [^ ]*""),2,300)"),"#REF!")</f>
        <v>#REF!</v>
      </c>
      <c r="Q415" s="3" t="str">
        <f>IFERROR(__xludf.DUMMYFUNCTION("INDEX(SPLIT(J415,"" ""),1)"),"#REF!")</f>
        <v>#REF!</v>
      </c>
      <c r="R415" s="3" t="str">
        <f>IFERROR(__xludf.DUMMYFUNCTION("MID(REGEXEXTRACT(J415,"" [^ ]* [^ ]*""),2,300)"),"#REF!")</f>
        <v>#REF!</v>
      </c>
      <c r="S415" s="3">
        <f t="shared" si="2"/>
        <v>1</v>
      </c>
      <c r="T415" s="3" t="str">
        <f t="shared" si="3"/>
        <v>pale lime</v>
      </c>
      <c r="U415" s="3" t="str">
        <f t="shared" si="4"/>
        <v/>
      </c>
      <c r="V415" s="3" t="str">
        <f t="shared" si="5"/>
        <v/>
      </c>
      <c r="W415" s="3" t="str">
        <f t="shared" si="6"/>
        <v/>
      </c>
      <c r="X415" s="3" t="str">
        <f t="shared" si="7"/>
        <v/>
      </c>
      <c r="Y415" s="3" t="str">
        <f t="shared" si="8"/>
        <v/>
      </c>
      <c r="Z415" s="3" t="str">
        <f t="shared" si="9"/>
        <v/>
      </c>
      <c r="AA415" s="13">
        <f t="shared" si="10"/>
        <v>5334</v>
      </c>
      <c r="AB415" s="3">
        <f t="shared" si="11"/>
        <v>5333</v>
      </c>
      <c r="AC415" s="3">
        <f t="shared" si="12"/>
        <v>1</v>
      </c>
      <c r="AD415" s="3">
        <f t="shared" si="13"/>
        <v>5333</v>
      </c>
      <c r="AE415" s="3" t="str">
        <f t="shared" si="14"/>
        <v/>
      </c>
      <c r="AF415" s="3">
        <f t="shared" si="15"/>
        <v>0</v>
      </c>
      <c r="AG415" s="3" t="str">
        <f t="shared" si="16"/>
        <v/>
      </c>
      <c r="AH415" s="3">
        <f t="shared" si="17"/>
        <v>0</v>
      </c>
      <c r="AI415" s="3" t="str">
        <f t="shared" si="18"/>
        <v/>
      </c>
      <c r="AJ415" s="3">
        <f t="shared" si="19"/>
        <v>0</v>
      </c>
    </row>
    <row r="416">
      <c r="C416" s="6" t="s">
        <v>416</v>
      </c>
      <c r="D416" s="3">
        <f t="shared" si="1"/>
        <v>0</v>
      </c>
      <c r="E416" s="3" t="str">
        <f>IFERROR(__xludf.DUMMYFUNCTION("REGEXEXTRACT(C416,""[^ ]* [^ ]*"")"),"wavy fuchsia")</f>
        <v>wavy fuchsia</v>
      </c>
      <c r="F416" s="3" t="str">
        <f>IFERROR(__xludf.DUMMYFUNCTION("MID(REGEXEXTRACT(C416,""contain.*$""),9,300)"),"4 clear cyan bags.")</f>
        <v>4 clear cyan bags.</v>
      </c>
      <c r="G416" s="3" t="str">
        <f>IFERROR(__xludf.DUMMYFUNCTION("INDEX(SPLIT($F416,"",""),COLUMN()-6)"),"4 clear cyan bags.")</f>
        <v>4 clear cyan bags.</v>
      </c>
      <c r="H416" s="3" t="str">
        <f>IFERROR(__xludf.DUMMYFUNCTION("MID(INDEX(SPLIT($F416,"",""),COLUMN()-6),2,300)"),"#REF!")</f>
        <v>#REF!</v>
      </c>
      <c r="I416" s="3" t="str">
        <f>IFERROR(__xludf.DUMMYFUNCTION("MID(INDEX(SPLIT($F416,"",""),COLUMN()-6),2,300)"),"#REF!")</f>
        <v>#REF!</v>
      </c>
      <c r="J416" s="3" t="str">
        <f>IFERROR(__xludf.DUMMYFUNCTION("MID(INDEX(SPLIT($F416,"",""),COLUMN()-6),2,300)"),"#REF!")</f>
        <v>#REF!</v>
      </c>
      <c r="K416" s="3">
        <f>IFERROR(__xludf.DUMMYFUNCTION("INDEX(SPLIT(G416,"" ""),1)"),4.0)</f>
        <v>4</v>
      </c>
      <c r="L416" s="3" t="str">
        <f>IFERROR(__xludf.DUMMYFUNCTION("REGEXEXTRACT(G416,"" [^ ]* [^ ]* "")")," clear cyan ")</f>
        <v> clear cyan </v>
      </c>
      <c r="M416" s="3" t="str">
        <f>IFERROR(__xludf.DUMMYFUNCTION("INDEX(SPLIT(H416,"" ""),1)"),"#REF!")</f>
        <v>#REF!</v>
      </c>
      <c r="N416" s="3" t="str">
        <f>IFERROR(__xludf.DUMMYFUNCTION("MID(REGEXEXTRACT(H416,"" [^ ]* [^ ]*""),2,300)"),"#REF!")</f>
        <v>#REF!</v>
      </c>
      <c r="O416" s="3" t="str">
        <f>IFERROR(__xludf.DUMMYFUNCTION("INDEX(SPLIT(I416,"" ""),1)"),"#REF!")</f>
        <v>#REF!</v>
      </c>
      <c r="P416" s="3" t="str">
        <f>IFERROR(__xludf.DUMMYFUNCTION("MID(REGEXEXTRACT(I416,"" [^ ]* [^ ]*""),2,300)"),"#REF!")</f>
        <v>#REF!</v>
      </c>
      <c r="Q416" s="3" t="str">
        <f>IFERROR(__xludf.DUMMYFUNCTION("INDEX(SPLIT(J416,"" ""),1)"),"#REF!")</f>
        <v>#REF!</v>
      </c>
      <c r="R416" s="3" t="str">
        <f>IFERROR(__xludf.DUMMYFUNCTION("MID(REGEXEXTRACT(J416,"" [^ ]* [^ ]*""),2,300)"),"#REF!")</f>
        <v>#REF!</v>
      </c>
      <c r="S416" s="3">
        <f t="shared" si="2"/>
        <v>4</v>
      </c>
      <c r="T416" s="3" t="str">
        <f t="shared" si="3"/>
        <v>clear cyan</v>
      </c>
      <c r="U416" s="3" t="str">
        <f t="shared" si="4"/>
        <v/>
      </c>
      <c r="V416" s="3" t="str">
        <f t="shared" si="5"/>
        <v/>
      </c>
      <c r="W416" s="3" t="str">
        <f t="shared" si="6"/>
        <v/>
      </c>
      <c r="X416" s="3" t="str">
        <f t="shared" si="7"/>
        <v/>
      </c>
      <c r="Y416" s="3" t="str">
        <f t="shared" si="8"/>
        <v/>
      </c>
      <c r="Z416" s="3" t="str">
        <f t="shared" si="9"/>
        <v/>
      </c>
      <c r="AA416" s="13">
        <f t="shared" si="10"/>
        <v>3596221</v>
      </c>
      <c r="AB416" s="3">
        <f t="shared" si="11"/>
        <v>3596220</v>
      </c>
      <c r="AC416" s="3">
        <f t="shared" si="12"/>
        <v>4</v>
      </c>
      <c r="AD416" s="3">
        <f t="shared" si="13"/>
        <v>899055</v>
      </c>
      <c r="AE416" s="3" t="str">
        <f t="shared" si="14"/>
        <v/>
      </c>
      <c r="AF416" s="3">
        <f t="shared" si="15"/>
        <v>0</v>
      </c>
      <c r="AG416" s="3" t="str">
        <f t="shared" si="16"/>
        <v/>
      </c>
      <c r="AH416" s="3">
        <f t="shared" si="17"/>
        <v>0</v>
      </c>
      <c r="AI416" s="3" t="str">
        <f t="shared" si="18"/>
        <v/>
      </c>
      <c r="AJ416" s="3">
        <f t="shared" si="19"/>
        <v>0</v>
      </c>
    </row>
    <row r="417">
      <c r="C417" s="6" t="s">
        <v>417</v>
      </c>
      <c r="D417" s="3">
        <f t="shared" si="1"/>
        <v>1</v>
      </c>
      <c r="E417" s="3" t="str">
        <f>IFERROR(__xludf.DUMMYFUNCTION("REGEXEXTRACT(C417,""[^ ]* [^ ]*"")"),"dotted gray")</f>
        <v>dotted gray</v>
      </c>
      <c r="F417" s="3" t="str">
        <f>IFERROR(__xludf.DUMMYFUNCTION("MID(REGEXEXTRACT(C417,""contain.*$""),9,300)"),"3 striped chartreuse bags, 1 dark fuchsia bag.")</f>
        <v>3 striped chartreuse bags, 1 dark fuchsia bag.</v>
      </c>
      <c r="G417" s="3" t="str">
        <f>IFERROR(__xludf.DUMMYFUNCTION("INDEX(SPLIT($F417,"",""),COLUMN()-6)"),"3 striped chartreuse bags")</f>
        <v>3 striped chartreuse bags</v>
      </c>
      <c r="H417" s="3" t="str">
        <f>IFERROR(__xludf.DUMMYFUNCTION("MID(INDEX(SPLIT($F417,"",""),COLUMN()-6),2,300)"),"1 dark fuchsia bag.")</f>
        <v>1 dark fuchsia bag.</v>
      </c>
      <c r="I417" s="3" t="str">
        <f>IFERROR(__xludf.DUMMYFUNCTION("MID(INDEX(SPLIT($F417,"",""),COLUMN()-6),2,300)"),"#REF!")</f>
        <v>#REF!</v>
      </c>
      <c r="J417" s="3" t="str">
        <f>IFERROR(__xludf.DUMMYFUNCTION("MID(INDEX(SPLIT($F417,"",""),COLUMN()-6),2,300)"),"#REF!")</f>
        <v>#REF!</v>
      </c>
      <c r="K417" s="3">
        <f>IFERROR(__xludf.DUMMYFUNCTION("INDEX(SPLIT(G417,"" ""),1)"),3.0)</f>
        <v>3</v>
      </c>
      <c r="L417" s="3" t="str">
        <f>IFERROR(__xludf.DUMMYFUNCTION("REGEXEXTRACT(G417,"" [^ ]* [^ ]* "")")," striped chartreuse ")</f>
        <v> striped chartreuse </v>
      </c>
      <c r="M417" s="3">
        <f>IFERROR(__xludf.DUMMYFUNCTION("INDEX(SPLIT(H417,"" ""),1)"),1.0)</f>
        <v>1</v>
      </c>
      <c r="N417" s="3" t="str">
        <f>IFERROR(__xludf.DUMMYFUNCTION("MID(REGEXEXTRACT(H417,"" [^ ]* [^ ]*""),2,300)"),"dark fuchsia")</f>
        <v>dark fuchsia</v>
      </c>
      <c r="O417" s="3" t="str">
        <f>IFERROR(__xludf.DUMMYFUNCTION("INDEX(SPLIT(I417,"" ""),1)"),"#REF!")</f>
        <v>#REF!</v>
      </c>
      <c r="P417" s="3" t="str">
        <f>IFERROR(__xludf.DUMMYFUNCTION("MID(REGEXEXTRACT(I417,"" [^ ]* [^ ]*""),2,300)"),"#REF!")</f>
        <v>#REF!</v>
      </c>
      <c r="Q417" s="3" t="str">
        <f>IFERROR(__xludf.DUMMYFUNCTION("INDEX(SPLIT(J417,"" ""),1)"),"#REF!")</f>
        <v>#REF!</v>
      </c>
      <c r="R417" s="3" t="str">
        <f>IFERROR(__xludf.DUMMYFUNCTION("MID(REGEXEXTRACT(J417,"" [^ ]* [^ ]*""),2,300)"),"#REF!")</f>
        <v>#REF!</v>
      </c>
      <c r="S417" s="3">
        <f t="shared" si="2"/>
        <v>3</v>
      </c>
      <c r="T417" s="3" t="str">
        <f t="shared" si="3"/>
        <v>striped chartreuse</v>
      </c>
      <c r="U417" s="3">
        <f t="shared" si="4"/>
        <v>1</v>
      </c>
      <c r="V417" s="3" t="str">
        <f t="shared" si="5"/>
        <v>dark fuchsia</v>
      </c>
      <c r="W417" s="3" t="str">
        <f t="shared" si="6"/>
        <v/>
      </c>
      <c r="X417" s="3" t="str">
        <f t="shared" si="7"/>
        <v/>
      </c>
      <c r="Y417" s="3" t="str">
        <f t="shared" si="8"/>
        <v/>
      </c>
      <c r="Z417" s="3" t="str">
        <f t="shared" si="9"/>
        <v/>
      </c>
      <c r="AA417" s="13">
        <f t="shared" si="10"/>
        <v>953436</v>
      </c>
      <c r="AB417" s="3">
        <f t="shared" si="11"/>
        <v>953435</v>
      </c>
      <c r="AC417" s="3">
        <f t="shared" si="12"/>
        <v>3</v>
      </c>
      <c r="AD417" s="3">
        <f t="shared" si="13"/>
        <v>4053</v>
      </c>
      <c r="AE417" s="3">
        <f t="shared" si="14"/>
        <v>1</v>
      </c>
      <c r="AF417" s="3">
        <f t="shared" si="15"/>
        <v>941276</v>
      </c>
      <c r="AG417" s="3" t="str">
        <f t="shared" si="16"/>
        <v/>
      </c>
      <c r="AH417" s="3">
        <f t="shared" si="17"/>
        <v>0</v>
      </c>
      <c r="AI417" s="3" t="str">
        <f t="shared" si="18"/>
        <v/>
      </c>
      <c r="AJ417" s="3">
        <f t="shared" si="19"/>
        <v>0</v>
      </c>
    </row>
    <row r="418">
      <c r="C418" s="6" t="s">
        <v>418</v>
      </c>
      <c r="D418" s="3">
        <f t="shared" si="1"/>
        <v>3</v>
      </c>
      <c r="E418" s="3" t="str">
        <f>IFERROR(__xludf.DUMMYFUNCTION("REGEXEXTRACT(C418,""[^ ]* [^ ]*"")"),"bright tomato")</f>
        <v>bright tomato</v>
      </c>
      <c r="F418" s="3" t="str">
        <f>IFERROR(__xludf.DUMMYFUNCTION("MID(REGEXEXTRACT(C418,""contain.*$""),9,300)"),"4 wavy orange bags, 2 dotted salmon bags, 1 striped gray bag, 3 pale tomato bags.")</f>
        <v>4 wavy orange bags, 2 dotted salmon bags, 1 striped gray bag, 3 pale tomato bags.</v>
      </c>
      <c r="G418" s="3" t="str">
        <f>IFERROR(__xludf.DUMMYFUNCTION("INDEX(SPLIT($F418,"",""),COLUMN()-6)"),"4 wavy orange bags")</f>
        <v>4 wavy orange bags</v>
      </c>
      <c r="H418" s="3" t="str">
        <f>IFERROR(__xludf.DUMMYFUNCTION("MID(INDEX(SPLIT($F418,"",""),COLUMN()-6),2,300)"),"2 dotted salmon bags")</f>
        <v>2 dotted salmon bags</v>
      </c>
      <c r="I418" s="3" t="str">
        <f>IFERROR(__xludf.DUMMYFUNCTION("MID(INDEX(SPLIT($F418,"",""),COLUMN()-6),2,300)"),"1 striped gray bag")</f>
        <v>1 striped gray bag</v>
      </c>
      <c r="J418" s="3" t="str">
        <f>IFERROR(__xludf.DUMMYFUNCTION("MID(INDEX(SPLIT($F418,"",""),COLUMN()-6),2,300)"),"3 pale tomato bags.")</f>
        <v>3 pale tomato bags.</v>
      </c>
      <c r="K418" s="3">
        <f>IFERROR(__xludf.DUMMYFUNCTION("INDEX(SPLIT(G418,"" ""),1)"),4.0)</f>
        <v>4</v>
      </c>
      <c r="L418" s="3" t="str">
        <f>IFERROR(__xludf.DUMMYFUNCTION("REGEXEXTRACT(G418,"" [^ ]* [^ ]* "")")," wavy orange ")</f>
        <v> wavy orange </v>
      </c>
      <c r="M418" s="3">
        <f>IFERROR(__xludf.DUMMYFUNCTION("INDEX(SPLIT(H418,"" ""),1)"),2.0)</f>
        <v>2</v>
      </c>
      <c r="N418" s="3" t="str">
        <f>IFERROR(__xludf.DUMMYFUNCTION("MID(REGEXEXTRACT(H418,"" [^ ]* [^ ]*""),2,300)"),"dotted salmon")</f>
        <v>dotted salmon</v>
      </c>
      <c r="O418" s="3">
        <f>IFERROR(__xludf.DUMMYFUNCTION("INDEX(SPLIT(I418,"" ""),1)"),1.0)</f>
        <v>1</v>
      </c>
      <c r="P418" s="3" t="str">
        <f>IFERROR(__xludf.DUMMYFUNCTION("MID(REGEXEXTRACT(I418,"" [^ ]* [^ ]*""),2,300)"),"striped gray")</f>
        <v>striped gray</v>
      </c>
      <c r="Q418" s="3">
        <f>IFERROR(__xludf.DUMMYFUNCTION("INDEX(SPLIT(J418,"" ""),1)"),3.0)</f>
        <v>3</v>
      </c>
      <c r="R418" s="3" t="str">
        <f>IFERROR(__xludf.DUMMYFUNCTION("MID(REGEXEXTRACT(J418,"" [^ ]* [^ ]*""),2,300)"),"pale tomato")</f>
        <v>pale tomato</v>
      </c>
      <c r="S418" s="3">
        <f t="shared" si="2"/>
        <v>4</v>
      </c>
      <c r="T418" s="3" t="str">
        <f t="shared" si="3"/>
        <v>wavy orange</v>
      </c>
      <c r="U418" s="3">
        <f t="shared" si="4"/>
        <v>2</v>
      </c>
      <c r="V418" s="3" t="str">
        <f t="shared" si="5"/>
        <v>dotted salmon</v>
      </c>
      <c r="W418" s="3">
        <f t="shared" si="6"/>
        <v>1</v>
      </c>
      <c r="X418" s="3" t="str">
        <f t="shared" si="7"/>
        <v>striped gray</v>
      </c>
      <c r="Y418" s="3">
        <f t="shared" si="8"/>
        <v>3</v>
      </c>
      <c r="Z418" s="3" t="str">
        <f t="shared" si="9"/>
        <v>pale tomato</v>
      </c>
      <c r="AA418" s="13">
        <f t="shared" si="10"/>
        <v>30973004</v>
      </c>
      <c r="AB418" s="3">
        <f t="shared" si="11"/>
        <v>30973003</v>
      </c>
      <c r="AC418" s="3">
        <f t="shared" si="12"/>
        <v>4</v>
      </c>
      <c r="AD418" s="3">
        <f t="shared" si="13"/>
        <v>7433534</v>
      </c>
      <c r="AE418" s="3">
        <f t="shared" si="14"/>
        <v>2</v>
      </c>
      <c r="AF418" s="3">
        <f t="shared" si="15"/>
        <v>97296</v>
      </c>
      <c r="AG418" s="3">
        <f t="shared" si="16"/>
        <v>1</v>
      </c>
      <c r="AH418" s="3">
        <f t="shared" si="17"/>
        <v>203468</v>
      </c>
      <c r="AI418" s="3">
        <f t="shared" si="18"/>
        <v>3</v>
      </c>
      <c r="AJ418" s="3">
        <f t="shared" si="19"/>
        <v>280269</v>
      </c>
    </row>
    <row r="419">
      <c r="C419" s="6" t="s">
        <v>419</v>
      </c>
      <c r="D419" s="3">
        <f t="shared" si="1"/>
        <v>0</v>
      </c>
      <c r="E419" s="3" t="str">
        <f>IFERROR(__xludf.DUMMYFUNCTION("REGEXEXTRACT(C419,""[^ ]* [^ ]*"")"),"clear chartreuse")</f>
        <v>clear chartreuse</v>
      </c>
      <c r="F419" s="3" t="str">
        <f>IFERROR(__xludf.DUMMYFUNCTION("MID(REGEXEXTRACT(C419,""contain.*$""),9,300)"),"3 clear purple bags.")</f>
        <v>3 clear purple bags.</v>
      </c>
      <c r="G419" s="3" t="str">
        <f>IFERROR(__xludf.DUMMYFUNCTION("INDEX(SPLIT($F419,"",""),COLUMN()-6)"),"3 clear purple bags.")</f>
        <v>3 clear purple bags.</v>
      </c>
      <c r="H419" s="3" t="str">
        <f>IFERROR(__xludf.DUMMYFUNCTION("MID(INDEX(SPLIT($F419,"",""),COLUMN()-6),2,300)"),"#REF!")</f>
        <v>#REF!</v>
      </c>
      <c r="I419" s="3" t="str">
        <f>IFERROR(__xludf.DUMMYFUNCTION("MID(INDEX(SPLIT($F419,"",""),COLUMN()-6),2,300)"),"#REF!")</f>
        <v>#REF!</v>
      </c>
      <c r="J419" s="3" t="str">
        <f>IFERROR(__xludf.DUMMYFUNCTION("MID(INDEX(SPLIT($F419,"",""),COLUMN()-6),2,300)"),"#REF!")</f>
        <v>#REF!</v>
      </c>
      <c r="K419" s="3">
        <f>IFERROR(__xludf.DUMMYFUNCTION("INDEX(SPLIT(G419,"" ""),1)"),3.0)</f>
        <v>3</v>
      </c>
      <c r="L419" s="3" t="str">
        <f>IFERROR(__xludf.DUMMYFUNCTION("REGEXEXTRACT(G419,"" [^ ]* [^ ]* "")")," clear purple ")</f>
        <v> clear purple </v>
      </c>
      <c r="M419" s="3" t="str">
        <f>IFERROR(__xludf.DUMMYFUNCTION("INDEX(SPLIT(H419,"" ""),1)"),"#REF!")</f>
        <v>#REF!</v>
      </c>
      <c r="N419" s="3" t="str">
        <f>IFERROR(__xludf.DUMMYFUNCTION("MID(REGEXEXTRACT(H419,"" [^ ]* [^ ]*""),2,300)"),"#REF!")</f>
        <v>#REF!</v>
      </c>
      <c r="O419" s="3" t="str">
        <f>IFERROR(__xludf.DUMMYFUNCTION("INDEX(SPLIT(I419,"" ""),1)"),"#REF!")</f>
        <v>#REF!</v>
      </c>
      <c r="P419" s="3" t="str">
        <f>IFERROR(__xludf.DUMMYFUNCTION("MID(REGEXEXTRACT(I419,"" [^ ]* [^ ]*""),2,300)"),"#REF!")</f>
        <v>#REF!</v>
      </c>
      <c r="Q419" s="3" t="str">
        <f>IFERROR(__xludf.DUMMYFUNCTION("INDEX(SPLIT(J419,"" ""),1)"),"#REF!")</f>
        <v>#REF!</v>
      </c>
      <c r="R419" s="3" t="str">
        <f>IFERROR(__xludf.DUMMYFUNCTION("MID(REGEXEXTRACT(J419,"" [^ ]* [^ ]*""),2,300)"),"#REF!")</f>
        <v>#REF!</v>
      </c>
      <c r="S419" s="3">
        <f t="shared" si="2"/>
        <v>3</v>
      </c>
      <c r="T419" s="3" t="str">
        <f t="shared" si="3"/>
        <v>clear purple</v>
      </c>
      <c r="U419" s="3" t="str">
        <f t="shared" si="4"/>
        <v/>
      </c>
      <c r="V419" s="3" t="str">
        <f t="shared" si="5"/>
        <v/>
      </c>
      <c r="W419" s="3" t="str">
        <f t="shared" si="6"/>
        <v/>
      </c>
      <c r="X419" s="3" t="str">
        <f t="shared" si="7"/>
        <v/>
      </c>
      <c r="Y419" s="3" t="str">
        <f t="shared" si="8"/>
        <v/>
      </c>
      <c r="Z419" s="3" t="str">
        <f t="shared" si="9"/>
        <v/>
      </c>
      <c r="AA419" s="13">
        <f t="shared" si="10"/>
        <v>52325344</v>
      </c>
      <c r="AB419" s="3">
        <f t="shared" si="11"/>
        <v>52325343</v>
      </c>
      <c r="AC419" s="3">
        <f t="shared" si="12"/>
        <v>3</v>
      </c>
      <c r="AD419" s="3">
        <f t="shared" si="13"/>
        <v>17441781</v>
      </c>
      <c r="AE419" s="3" t="str">
        <f t="shared" si="14"/>
        <v/>
      </c>
      <c r="AF419" s="3">
        <f t="shared" si="15"/>
        <v>0</v>
      </c>
      <c r="AG419" s="3" t="str">
        <f t="shared" si="16"/>
        <v/>
      </c>
      <c r="AH419" s="3">
        <f t="shared" si="17"/>
        <v>0</v>
      </c>
      <c r="AI419" s="3" t="str">
        <f t="shared" si="18"/>
        <v/>
      </c>
      <c r="AJ419" s="3">
        <f t="shared" si="19"/>
        <v>0</v>
      </c>
    </row>
    <row r="420">
      <c r="C420" s="6" t="s">
        <v>420</v>
      </c>
      <c r="D420" s="3">
        <f t="shared" si="1"/>
        <v>2</v>
      </c>
      <c r="E420" s="3" t="str">
        <f>IFERROR(__xludf.DUMMYFUNCTION("REGEXEXTRACT(C420,""[^ ]* [^ ]*"")"),"dim teal")</f>
        <v>dim teal</v>
      </c>
      <c r="F420" s="3" t="str">
        <f>IFERROR(__xludf.DUMMYFUNCTION("MID(REGEXEXTRACT(C420,""contain.*$""),9,300)"),"3 faded silver bags, 5 vibrant silver bags, 2 wavy fuchsia bags.")</f>
        <v>3 faded silver bags, 5 vibrant silver bags, 2 wavy fuchsia bags.</v>
      </c>
      <c r="G420" s="3" t="str">
        <f>IFERROR(__xludf.DUMMYFUNCTION("INDEX(SPLIT($F420,"",""),COLUMN()-6)"),"3 faded silver bags")</f>
        <v>3 faded silver bags</v>
      </c>
      <c r="H420" s="3" t="str">
        <f>IFERROR(__xludf.DUMMYFUNCTION("MID(INDEX(SPLIT($F420,"",""),COLUMN()-6),2,300)"),"5 vibrant silver bags")</f>
        <v>5 vibrant silver bags</v>
      </c>
      <c r="I420" s="3" t="str">
        <f>IFERROR(__xludf.DUMMYFUNCTION("MID(INDEX(SPLIT($F420,"",""),COLUMN()-6),2,300)"),"2 wavy fuchsia bags.")</f>
        <v>2 wavy fuchsia bags.</v>
      </c>
      <c r="J420" s="3" t="str">
        <f>IFERROR(__xludf.DUMMYFUNCTION("MID(INDEX(SPLIT($F420,"",""),COLUMN()-6),2,300)"),"#REF!")</f>
        <v>#REF!</v>
      </c>
      <c r="K420" s="3">
        <f>IFERROR(__xludf.DUMMYFUNCTION("INDEX(SPLIT(G420,"" ""),1)"),3.0)</f>
        <v>3</v>
      </c>
      <c r="L420" s="3" t="str">
        <f>IFERROR(__xludf.DUMMYFUNCTION("REGEXEXTRACT(G420,"" [^ ]* [^ ]* "")")," faded silver ")</f>
        <v> faded silver </v>
      </c>
      <c r="M420" s="3">
        <f>IFERROR(__xludf.DUMMYFUNCTION("INDEX(SPLIT(H420,"" ""),1)"),5.0)</f>
        <v>5</v>
      </c>
      <c r="N420" s="3" t="str">
        <f>IFERROR(__xludf.DUMMYFUNCTION("MID(REGEXEXTRACT(H420,"" [^ ]* [^ ]*""),2,300)"),"vibrant silver")</f>
        <v>vibrant silver</v>
      </c>
      <c r="O420" s="3">
        <f>IFERROR(__xludf.DUMMYFUNCTION("INDEX(SPLIT(I420,"" ""),1)"),2.0)</f>
        <v>2</v>
      </c>
      <c r="P420" s="3" t="str">
        <f>IFERROR(__xludf.DUMMYFUNCTION("MID(REGEXEXTRACT(I420,"" [^ ]* [^ ]*""),2,300)"),"wavy fuchsia")</f>
        <v>wavy fuchsia</v>
      </c>
      <c r="Q420" s="3" t="str">
        <f>IFERROR(__xludf.DUMMYFUNCTION("INDEX(SPLIT(J420,"" ""),1)"),"#REF!")</f>
        <v>#REF!</v>
      </c>
      <c r="R420" s="3" t="str">
        <f>IFERROR(__xludf.DUMMYFUNCTION("MID(REGEXEXTRACT(J420,"" [^ ]* [^ ]*""),2,300)"),"#REF!")</f>
        <v>#REF!</v>
      </c>
      <c r="S420" s="3">
        <f t="shared" si="2"/>
        <v>3</v>
      </c>
      <c r="T420" s="3" t="str">
        <f t="shared" si="3"/>
        <v>faded silver</v>
      </c>
      <c r="U420" s="3">
        <f t="shared" si="4"/>
        <v>5</v>
      </c>
      <c r="V420" s="3" t="str">
        <f t="shared" si="5"/>
        <v>vibrant silver</v>
      </c>
      <c r="W420" s="3">
        <f t="shared" si="6"/>
        <v>2</v>
      </c>
      <c r="X420" s="3" t="str">
        <f t="shared" si="7"/>
        <v>wavy fuchsia</v>
      </c>
      <c r="Y420" s="3" t="str">
        <f t="shared" si="8"/>
        <v/>
      </c>
      <c r="Z420" s="3" t="str">
        <f t="shared" si="9"/>
        <v/>
      </c>
      <c r="AA420" s="13">
        <f t="shared" si="10"/>
        <v>62425747</v>
      </c>
      <c r="AB420" s="3">
        <f t="shared" si="11"/>
        <v>62425746</v>
      </c>
      <c r="AC420" s="3">
        <f t="shared" si="12"/>
        <v>3</v>
      </c>
      <c r="AD420" s="3">
        <f t="shared" si="13"/>
        <v>2729963</v>
      </c>
      <c r="AE420" s="3">
        <f t="shared" si="14"/>
        <v>5</v>
      </c>
      <c r="AF420" s="3">
        <f t="shared" si="15"/>
        <v>9408683</v>
      </c>
      <c r="AG420" s="3">
        <f t="shared" si="16"/>
        <v>2</v>
      </c>
      <c r="AH420" s="3">
        <f t="shared" si="17"/>
        <v>3596221</v>
      </c>
      <c r="AI420" s="3" t="str">
        <f t="shared" si="18"/>
        <v/>
      </c>
      <c r="AJ420" s="3">
        <f t="shared" si="19"/>
        <v>0</v>
      </c>
    </row>
    <row r="421">
      <c r="C421" s="6" t="s">
        <v>421</v>
      </c>
      <c r="D421" s="3">
        <f t="shared" si="1"/>
        <v>1</v>
      </c>
      <c r="E421" s="3" t="str">
        <f>IFERROR(__xludf.DUMMYFUNCTION("REGEXEXTRACT(C421,""[^ ]* [^ ]*"")"),"dotted yellow")</f>
        <v>dotted yellow</v>
      </c>
      <c r="F421" s="3" t="str">
        <f>IFERROR(__xludf.DUMMYFUNCTION("MID(REGEXEXTRACT(C421,""contain.*$""),9,300)"),"5 bright bronze bags, 4 drab teal bags.")</f>
        <v>5 bright bronze bags, 4 drab teal bags.</v>
      </c>
      <c r="G421" s="3" t="str">
        <f>IFERROR(__xludf.DUMMYFUNCTION("INDEX(SPLIT($F421,"",""),COLUMN()-6)"),"5 bright bronze bags")</f>
        <v>5 bright bronze bags</v>
      </c>
      <c r="H421" s="3" t="str">
        <f>IFERROR(__xludf.DUMMYFUNCTION("MID(INDEX(SPLIT($F421,"",""),COLUMN()-6),2,300)"),"4 drab teal bags.")</f>
        <v>4 drab teal bags.</v>
      </c>
      <c r="I421" s="3" t="str">
        <f>IFERROR(__xludf.DUMMYFUNCTION("MID(INDEX(SPLIT($F421,"",""),COLUMN()-6),2,300)"),"#REF!")</f>
        <v>#REF!</v>
      </c>
      <c r="J421" s="3" t="str">
        <f>IFERROR(__xludf.DUMMYFUNCTION("MID(INDEX(SPLIT($F421,"",""),COLUMN()-6),2,300)"),"#REF!")</f>
        <v>#REF!</v>
      </c>
      <c r="K421" s="3">
        <f>IFERROR(__xludf.DUMMYFUNCTION("INDEX(SPLIT(G421,"" ""),1)"),5.0)</f>
        <v>5</v>
      </c>
      <c r="L421" s="3" t="str">
        <f>IFERROR(__xludf.DUMMYFUNCTION("REGEXEXTRACT(G421,"" [^ ]* [^ ]* "")")," bright bronze ")</f>
        <v> bright bronze </v>
      </c>
      <c r="M421" s="3">
        <f>IFERROR(__xludf.DUMMYFUNCTION("INDEX(SPLIT(H421,"" ""),1)"),4.0)</f>
        <v>4</v>
      </c>
      <c r="N421" s="3" t="str">
        <f>IFERROR(__xludf.DUMMYFUNCTION("MID(REGEXEXTRACT(H421,"" [^ ]* [^ ]*""),2,300)"),"drab teal")</f>
        <v>drab teal</v>
      </c>
      <c r="O421" s="3" t="str">
        <f>IFERROR(__xludf.DUMMYFUNCTION("INDEX(SPLIT(I421,"" ""),1)"),"#REF!")</f>
        <v>#REF!</v>
      </c>
      <c r="P421" s="3" t="str">
        <f>IFERROR(__xludf.DUMMYFUNCTION("MID(REGEXEXTRACT(I421,"" [^ ]* [^ ]*""),2,300)"),"#REF!")</f>
        <v>#REF!</v>
      </c>
      <c r="Q421" s="3" t="str">
        <f>IFERROR(__xludf.DUMMYFUNCTION("INDEX(SPLIT(J421,"" ""),1)"),"#REF!")</f>
        <v>#REF!</v>
      </c>
      <c r="R421" s="3" t="str">
        <f>IFERROR(__xludf.DUMMYFUNCTION("MID(REGEXEXTRACT(J421,"" [^ ]* [^ ]*""),2,300)"),"#REF!")</f>
        <v>#REF!</v>
      </c>
      <c r="S421" s="3">
        <f t="shared" si="2"/>
        <v>5</v>
      </c>
      <c r="T421" s="3" t="str">
        <f t="shared" si="3"/>
        <v>bright bronze</v>
      </c>
      <c r="U421" s="3">
        <f t="shared" si="4"/>
        <v>4</v>
      </c>
      <c r="V421" s="3" t="str">
        <f t="shared" si="5"/>
        <v>drab teal</v>
      </c>
      <c r="W421" s="3" t="str">
        <f t="shared" si="6"/>
        <v/>
      </c>
      <c r="X421" s="3" t="str">
        <f t="shared" si="7"/>
        <v/>
      </c>
      <c r="Y421" s="3" t="str">
        <f t="shared" si="8"/>
        <v/>
      </c>
      <c r="Z421" s="3" t="str">
        <f t="shared" si="9"/>
        <v/>
      </c>
      <c r="AA421" s="13">
        <f t="shared" si="10"/>
        <v>47862843</v>
      </c>
      <c r="AB421" s="3">
        <f t="shared" si="11"/>
        <v>47862842</v>
      </c>
      <c r="AC421" s="3">
        <f t="shared" si="12"/>
        <v>5</v>
      </c>
      <c r="AD421" s="3">
        <f t="shared" si="13"/>
        <v>9540014</v>
      </c>
      <c r="AE421" s="3">
        <f t="shared" si="14"/>
        <v>4</v>
      </c>
      <c r="AF421" s="3">
        <f t="shared" si="15"/>
        <v>40693</v>
      </c>
      <c r="AG421" s="3" t="str">
        <f t="shared" si="16"/>
        <v/>
      </c>
      <c r="AH421" s="3">
        <f t="shared" si="17"/>
        <v>0</v>
      </c>
      <c r="AI421" s="3" t="str">
        <f t="shared" si="18"/>
        <v/>
      </c>
      <c r="AJ421" s="3">
        <f t="shared" si="19"/>
        <v>0</v>
      </c>
    </row>
    <row r="422">
      <c r="C422" s="6" t="s">
        <v>422</v>
      </c>
      <c r="D422" s="3">
        <f t="shared" si="1"/>
        <v>1</v>
      </c>
      <c r="E422" s="3" t="str">
        <f>IFERROR(__xludf.DUMMYFUNCTION("REGEXEXTRACT(C422,""[^ ]* [^ ]*"")"),"dark indigo")</f>
        <v>dark indigo</v>
      </c>
      <c r="F422" s="3" t="str">
        <f>IFERROR(__xludf.DUMMYFUNCTION("MID(REGEXEXTRACT(C422,""contain.*$""),9,300)"),"5 plaid red bags, 5 dim purple bags.")</f>
        <v>5 plaid red bags, 5 dim purple bags.</v>
      </c>
      <c r="G422" s="3" t="str">
        <f>IFERROR(__xludf.DUMMYFUNCTION("INDEX(SPLIT($F422,"",""),COLUMN()-6)"),"5 plaid red bags")</f>
        <v>5 plaid red bags</v>
      </c>
      <c r="H422" s="3" t="str">
        <f>IFERROR(__xludf.DUMMYFUNCTION("MID(INDEX(SPLIT($F422,"",""),COLUMN()-6),2,300)"),"5 dim purple bags.")</f>
        <v>5 dim purple bags.</v>
      </c>
      <c r="I422" s="3" t="str">
        <f>IFERROR(__xludf.DUMMYFUNCTION("MID(INDEX(SPLIT($F422,"",""),COLUMN()-6),2,300)"),"#REF!")</f>
        <v>#REF!</v>
      </c>
      <c r="J422" s="3" t="str">
        <f>IFERROR(__xludf.DUMMYFUNCTION("MID(INDEX(SPLIT($F422,"",""),COLUMN()-6),2,300)"),"#REF!")</f>
        <v>#REF!</v>
      </c>
      <c r="K422" s="3">
        <f>IFERROR(__xludf.DUMMYFUNCTION("INDEX(SPLIT(G422,"" ""),1)"),5.0)</f>
        <v>5</v>
      </c>
      <c r="L422" s="3" t="str">
        <f>IFERROR(__xludf.DUMMYFUNCTION("REGEXEXTRACT(G422,"" [^ ]* [^ ]* "")")," plaid red ")</f>
        <v> plaid red </v>
      </c>
      <c r="M422" s="3">
        <f>IFERROR(__xludf.DUMMYFUNCTION("INDEX(SPLIT(H422,"" ""),1)"),5.0)</f>
        <v>5</v>
      </c>
      <c r="N422" s="3" t="str">
        <f>IFERROR(__xludf.DUMMYFUNCTION("MID(REGEXEXTRACT(H422,"" [^ ]* [^ ]*""),2,300)"),"dim purple")</f>
        <v>dim purple</v>
      </c>
      <c r="O422" s="3" t="str">
        <f>IFERROR(__xludf.DUMMYFUNCTION("INDEX(SPLIT(I422,"" ""),1)"),"#REF!")</f>
        <v>#REF!</v>
      </c>
      <c r="P422" s="3" t="str">
        <f>IFERROR(__xludf.DUMMYFUNCTION("MID(REGEXEXTRACT(I422,"" [^ ]* [^ ]*""),2,300)"),"#REF!")</f>
        <v>#REF!</v>
      </c>
      <c r="Q422" s="3" t="str">
        <f>IFERROR(__xludf.DUMMYFUNCTION("INDEX(SPLIT(J422,"" ""),1)"),"#REF!")</f>
        <v>#REF!</v>
      </c>
      <c r="R422" s="3" t="str">
        <f>IFERROR(__xludf.DUMMYFUNCTION("MID(REGEXEXTRACT(J422,"" [^ ]* [^ ]*""),2,300)"),"#REF!")</f>
        <v>#REF!</v>
      </c>
      <c r="S422" s="3">
        <f t="shared" si="2"/>
        <v>5</v>
      </c>
      <c r="T422" s="3" t="str">
        <f t="shared" si="3"/>
        <v>plaid red</v>
      </c>
      <c r="U422" s="3">
        <f t="shared" si="4"/>
        <v>5</v>
      </c>
      <c r="V422" s="3" t="str">
        <f t="shared" si="5"/>
        <v>dim purple</v>
      </c>
      <c r="W422" s="3" t="str">
        <f t="shared" si="6"/>
        <v/>
      </c>
      <c r="X422" s="3" t="str">
        <f t="shared" si="7"/>
        <v/>
      </c>
      <c r="Y422" s="3" t="str">
        <f t="shared" si="8"/>
        <v/>
      </c>
      <c r="Z422" s="3" t="str">
        <f t="shared" si="9"/>
        <v/>
      </c>
      <c r="AA422" s="13">
        <f t="shared" si="10"/>
        <v>756963601</v>
      </c>
      <c r="AB422" s="3">
        <f t="shared" si="11"/>
        <v>756963600</v>
      </c>
      <c r="AC422" s="3">
        <f t="shared" si="12"/>
        <v>5</v>
      </c>
      <c r="AD422" s="3">
        <f t="shared" si="13"/>
        <v>150232603</v>
      </c>
      <c r="AE422" s="3">
        <f t="shared" si="14"/>
        <v>5</v>
      </c>
      <c r="AF422" s="3">
        <f t="shared" si="15"/>
        <v>1160117</v>
      </c>
      <c r="AG422" s="3" t="str">
        <f t="shared" si="16"/>
        <v/>
      </c>
      <c r="AH422" s="3">
        <f t="shared" si="17"/>
        <v>0</v>
      </c>
      <c r="AI422" s="3" t="str">
        <f t="shared" si="18"/>
        <v/>
      </c>
      <c r="AJ422" s="3">
        <f t="shared" si="19"/>
        <v>0</v>
      </c>
    </row>
    <row r="423">
      <c r="C423" s="6" t="s">
        <v>423</v>
      </c>
      <c r="D423" s="3">
        <f t="shared" si="1"/>
        <v>3</v>
      </c>
      <c r="E423" s="3" t="str">
        <f>IFERROR(__xludf.DUMMYFUNCTION("REGEXEXTRACT(C423,""[^ ]* [^ ]*"")"),"wavy black")</f>
        <v>wavy black</v>
      </c>
      <c r="F423" s="3" t="str">
        <f>IFERROR(__xludf.DUMMYFUNCTION("MID(REGEXEXTRACT(C423,""contain.*$""),9,300)"),"5 shiny tomato bags, 2 clear gray bags, 4 dim lavender bags, 3 clear blue bags.")</f>
        <v>5 shiny tomato bags, 2 clear gray bags, 4 dim lavender bags, 3 clear blue bags.</v>
      </c>
      <c r="G423" s="3" t="str">
        <f>IFERROR(__xludf.DUMMYFUNCTION("INDEX(SPLIT($F423,"",""),COLUMN()-6)"),"5 shiny tomato bags")</f>
        <v>5 shiny tomato bags</v>
      </c>
      <c r="H423" s="3" t="str">
        <f>IFERROR(__xludf.DUMMYFUNCTION("MID(INDEX(SPLIT($F423,"",""),COLUMN()-6),2,300)"),"2 clear gray bags")</f>
        <v>2 clear gray bags</v>
      </c>
      <c r="I423" s="3" t="str">
        <f>IFERROR(__xludf.DUMMYFUNCTION("MID(INDEX(SPLIT($F423,"",""),COLUMN()-6),2,300)"),"4 dim lavender bags")</f>
        <v>4 dim lavender bags</v>
      </c>
      <c r="J423" s="3" t="str">
        <f>IFERROR(__xludf.DUMMYFUNCTION("MID(INDEX(SPLIT($F423,"",""),COLUMN()-6),2,300)"),"3 clear blue bags.")</f>
        <v>3 clear blue bags.</v>
      </c>
      <c r="K423" s="3">
        <f>IFERROR(__xludf.DUMMYFUNCTION("INDEX(SPLIT(G423,"" ""),1)"),5.0)</f>
        <v>5</v>
      </c>
      <c r="L423" s="3" t="str">
        <f>IFERROR(__xludf.DUMMYFUNCTION("REGEXEXTRACT(G423,"" [^ ]* [^ ]* "")")," shiny tomato ")</f>
        <v> shiny tomato </v>
      </c>
      <c r="M423" s="3">
        <f>IFERROR(__xludf.DUMMYFUNCTION("INDEX(SPLIT(H423,"" ""),1)"),2.0)</f>
        <v>2</v>
      </c>
      <c r="N423" s="3" t="str">
        <f>IFERROR(__xludf.DUMMYFUNCTION("MID(REGEXEXTRACT(H423,"" [^ ]* [^ ]*""),2,300)"),"clear gray")</f>
        <v>clear gray</v>
      </c>
      <c r="O423" s="3">
        <f>IFERROR(__xludf.DUMMYFUNCTION("INDEX(SPLIT(I423,"" ""),1)"),4.0)</f>
        <v>4</v>
      </c>
      <c r="P423" s="3" t="str">
        <f>IFERROR(__xludf.DUMMYFUNCTION("MID(REGEXEXTRACT(I423,"" [^ ]* [^ ]*""),2,300)"),"dim lavender")</f>
        <v>dim lavender</v>
      </c>
      <c r="Q423" s="3">
        <f>IFERROR(__xludf.DUMMYFUNCTION("INDEX(SPLIT(J423,"" ""),1)"),3.0)</f>
        <v>3</v>
      </c>
      <c r="R423" s="3" t="str">
        <f>IFERROR(__xludf.DUMMYFUNCTION("MID(REGEXEXTRACT(J423,"" [^ ]* [^ ]*""),2,300)"),"clear blue")</f>
        <v>clear blue</v>
      </c>
      <c r="S423" s="3">
        <f t="shared" si="2"/>
        <v>5</v>
      </c>
      <c r="T423" s="3" t="str">
        <f t="shared" si="3"/>
        <v>shiny tomato</v>
      </c>
      <c r="U423" s="3">
        <f t="shared" si="4"/>
        <v>2</v>
      </c>
      <c r="V423" s="3" t="str">
        <f t="shared" si="5"/>
        <v>clear gray</v>
      </c>
      <c r="W423" s="3">
        <f t="shared" si="6"/>
        <v>4</v>
      </c>
      <c r="X423" s="3" t="str">
        <f t="shared" si="7"/>
        <v>dim lavender</v>
      </c>
      <c r="Y423" s="3">
        <f t="shared" si="8"/>
        <v>3</v>
      </c>
      <c r="Z423" s="3" t="str">
        <f t="shared" si="9"/>
        <v>clear blue</v>
      </c>
      <c r="AA423" s="13">
        <f t="shared" si="10"/>
        <v>242332348</v>
      </c>
      <c r="AB423" s="3">
        <f t="shared" si="11"/>
        <v>242332347</v>
      </c>
      <c r="AC423" s="3">
        <f t="shared" si="12"/>
        <v>5</v>
      </c>
      <c r="AD423" s="3">
        <f t="shared" si="13"/>
        <v>47611663</v>
      </c>
      <c r="AE423" s="3">
        <f t="shared" si="14"/>
        <v>2</v>
      </c>
      <c r="AF423" s="3">
        <f t="shared" si="15"/>
        <v>594104</v>
      </c>
      <c r="AG423" s="3">
        <f t="shared" si="16"/>
        <v>4</v>
      </c>
      <c r="AH423" s="3">
        <f t="shared" si="17"/>
        <v>771399</v>
      </c>
      <c r="AI423" s="3">
        <f t="shared" si="18"/>
        <v>3</v>
      </c>
      <c r="AJ423" s="3">
        <f t="shared" si="19"/>
        <v>76</v>
      </c>
    </row>
    <row r="424">
      <c r="C424" s="6" t="s">
        <v>424</v>
      </c>
      <c r="D424" s="3">
        <f t="shared" si="1"/>
        <v>3</v>
      </c>
      <c r="E424" s="3" t="str">
        <f>IFERROR(__xludf.DUMMYFUNCTION("REGEXEXTRACT(C424,""[^ ]* [^ ]*"")"),"striped green")</f>
        <v>striped green</v>
      </c>
      <c r="F424" s="3" t="str">
        <f>IFERROR(__xludf.DUMMYFUNCTION("MID(REGEXEXTRACT(C424,""contain.*$""),9,300)"),"3 light crimson bags, 5 mirrored cyan bags, 2 mirrored maroon bags, 2 faded yellow bags.")</f>
        <v>3 light crimson bags, 5 mirrored cyan bags, 2 mirrored maroon bags, 2 faded yellow bags.</v>
      </c>
      <c r="G424" s="3" t="str">
        <f>IFERROR(__xludf.DUMMYFUNCTION("INDEX(SPLIT($F424,"",""),COLUMN()-6)"),"3 light crimson bags")</f>
        <v>3 light crimson bags</v>
      </c>
      <c r="H424" s="3" t="str">
        <f>IFERROR(__xludf.DUMMYFUNCTION("MID(INDEX(SPLIT($F424,"",""),COLUMN()-6),2,300)"),"5 mirrored cyan bags")</f>
        <v>5 mirrored cyan bags</v>
      </c>
      <c r="I424" s="3" t="str">
        <f>IFERROR(__xludf.DUMMYFUNCTION("MID(INDEX(SPLIT($F424,"",""),COLUMN()-6),2,300)"),"2 mirrored maroon bags")</f>
        <v>2 mirrored maroon bags</v>
      </c>
      <c r="J424" s="3" t="str">
        <f>IFERROR(__xludf.DUMMYFUNCTION("MID(INDEX(SPLIT($F424,"",""),COLUMN()-6),2,300)"),"2 faded yellow bags.")</f>
        <v>2 faded yellow bags.</v>
      </c>
      <c r="K424" s="3">
        <f>IFERROR(__xludf.DUMMYFUNCTION("INDEX(SPLIT(G424,"" ""),1)"),3.0)</f>
        <v>3</v>
      </c>
      <c r="L424" s="3" t="str">
        <f>IFERROR(__xludf.DUMMYFUNCTION("REGEXEXTRACT(G424,"" [^ ]* [^ ]* "")")," light crimson ")</f>
        <v> light crimson </v>
      </c>
      <c r="M424" s="3">
        <f>IFERROR(__xludf.DUMMYFUNCTION("INDEX(SPLIT(H424,"" ""),1)"),5.0)</f>
        <v>5</v>
      </c>
      <c r="N424" s="3" t="str">
        <f>IFERROR(__xludf.DUMMYFUNCTION("MID(REGEXEXTRACT(H424,"" [^ ]* [^ ]*""),2,300)"),"mirrored cyan")</f>
        <v>mirrored cyan</v>
      </c>
      <c r="O424" s="3">
        <f>IFERROR(__xludf.DUMMYFUNCTION("INDEX(SPLIT(I424,"" ""),1)"),2.0)</f>
        <v>2</v>
      </c>
      <c r="P424" s="3" t="str">
        <f>IFERROR(__xludf.DUMMYFUNCTION("MID(REGEXEXTRACT(I424,"" [^ ]* [^ ]*""),2,300)"),"mirrored maroon")</f>
        <v>mirrored maroon</v>
      </c>
      <c r="Q424" s="3">
        <f>IFERROR(__xludf.DUMMYFUNCTION("INDEX(SPLIT(J424,"" ""),1)"),2.0)</f>
        <v>2</v>
      </c>
      <c r="R424" s="3" t="str">
        <f>IFERROR(__xludf.DUMMYFUNCTION("MID(REGEXEXTRACT(J424,"" [^ ]* [^ ]*""),2,300)"),"faded yellow")</f>
        <v>faded yellow</v>
      </c>
      <c r="S424" s="3">
        <f t="shared" si="2"/>
        <v>3</v>
      </c>
      <c r="T424" s="3" t="str">
        <f t="shared" si="3"/>
        <v>light crimson</v>
      </c>
      <c r="U424" s="3">
        <f t="shared" si="4"/>
        <v>5</v>
      </c>
      <c r="V424" s="3" t="str">
        <f t="shared" si="5"/>
        <v>mirrored cyan</v>
      </c>
      <c r="W424" s="3">
        <f t="shared" si="6"/>
        <v>2</v>
      </c>
      <c r="X424" s="3" t="str">
        <f t="shared" si="7"/>
        <v>mirrored maroon</v>
      </c>
      <c r="Y424" s="3">
        <f t="shared" si="8"/>
        <v>2</v>
      </c>
      <c r="Z424" s="3" t="str">
        <f t="shared" si="9"/>
        <v>faded yellow</v>
      </c>
      <c r="AA424" s="13">
        <f t="shared" si="10"/>
        <v>11964728</v>
      </c>
      <c r="AB424" s="3">
        <f t="shared" si="11"/>
        <v>11964727</v>
      </c>
      <c r="AC424" s="3">
        <f t="shared" si="12"/>
        <v>3</v>
      </c>
      <c r="AD424" s="3">
        <f t="shared" si="13"/>
        <v>2442329</v>
      </c>
      <c r="AE424" s="3">
        <f t="shared" si="14"/>
        <v>5</v>
      </c>
      <c r="AF424" s="3">
        <f t="shared" si="15"/>
        <v>1854</v>
      </c>
      <c r="AG424" s="3">
        <f t="shared" si="16"/>
        <v>2</v>
      </c>
      <c r="AH424" s="3">
        <f t="shared" si="17"/>
        <v>2263272</v>
      </c>
      <c r="AI424" s="3">
        <f t="shared" si="18"/>
        <v>2</v>
      </c>
      <c r="AJ424" s="3">
        <f t="shared" si="19"/>
        <v>50963</v>
      </c>
    </row>
    <row r="425">
      <c r="C425" s="6" t="s">
        <v>425</v>
      </c>
      <c r="D425" s="3">
        <f t="shared" si="1"/>
        <v>0</v>
      </c>
      <c r="E425" s="3" t="str">
        <f>IFERROR(__xludf.DUMMYFUNCTION("REGEXEXTRACT(C425,""[^ ]* [^ ]*"")"),"dull lime")</f>
        <v>dull lime</v>
      </c>
      <c r="F425" s="3" t="str">
        <f>IFERROR(__xludf.DUMMYFUNCTION("MID(REGEXEXTRACT(C425,""contain.*$""),9,300)"),"3 pale yellow bags.")</f>
        <v>3 pale yellow bags.</v>
      </c>
      <c r="G425" s="3" t="str">
        <f>IFERROR(__xludf.DUMMYFUNCTION("INDEX(SPLIT($F425,"",""),COLUMN()-6)"),"3 pale yellow bags.")</f>
        <v>3 pale yellow bags.</v>
      </c>
      <c r="H425" s="3" t="str">
        <f>IFERROR(__xludf.DUMMYFUNCTION("MID(INDEX(SPLIT($F425,"",""),COLUMN()-6),2,300)"),"#REF!")</f>
        <v>#REF!</v>
      </c>
      <c r="I425" s="3" t="str">
        <f>IFERROR(__xludf.DUMMYFUNCTION("MID(INDEX(SPLIT($F425,"",""),COLUMN()-6),2,300)"),"#REF!")</f>
        <v>#REF!</v>
      </c>
      <c r="J425" s="3" t="str">
        <f>IFERROR(__xludf.DUMMYFUNCTION("MID(INDEX(SPLIT($F425,"",""),COLUMN()-6),2,300)"),"#REF!")</f>
        <v>#REF!</v>
      </c>
      <c r="K425" s="3">
        <f>IFERROR(__xludf.DUMMYFUNCTION("INDEX(SPLIT(G425,"" ""),1)"),3.0)</f>
        <v>3</v>
      </c>
      <c r="L425" s="3" t="str">
        <f>IFERROR(__xludf.DUMMYFUNCTION("REGEXEXTRACT(G425,"" [^ ]* [^ ]* "")")," pale yellow ")</f>
        <v> pale yellow </v>
      </c>
      <c r="M425" s="3" t="str">
        <f>IFERROR(__xludf.DUMMYFUNCTION("INDEX(SPLIT(H425,"" ""),1)"),"#REF!")</f>
        <v>#REF!</v>
      </c>
      <c r="N425" s="3" t="str">
        <f>IFERROR(__xludf.DUMMYFUNCTION("MID(REGEXEXTRACT(H425,"" [^ ]* [^ ]*""),2,300)"),"#REF!")</f>
        <v>#REF!</v>
      </c>
      <c r="O425" s="3" t="str">
        <f>IFERROR(__xludf.DUMMYFUNCTION("INDEX(SPLIT(I425,"" ""),1)"),"#REF!")</f>
        <v>#REF!</v>
      </c>
      <c r="P425" s="3" t="str">
        <f>IFERROR(__xludf.DUMMYFUNCTION("MID(REGEXEXTRACT(I425,"" [^ ]* [^ ]*""),2,300)"),"#REF!")</f>
        <v>#REF!</v>
      </c>
      <c r="Q425" s="3" t="str">
        <f>IFERROR(__xludf.DUMMYFUNCTION("INDEX(SPLIT(J425,"" ""),1)"),"#REF!")</f>
        <v>#REF!</v>
      </c>
      <c r="R425" s="3" t="str">
        <f>IFERROR(__xludf.DUMMYFUNCTION("MID(REGEXEXTRACT(J425,"" [^ ]* [^ ]*""),2,300)"),"#REF!")</f>
        <v>#REF!</v>
      </c>
      <c r="S425" s="3">
        <f t="shared" si="2"/>
        <v>3</v>
      </c>
      <c r="T425" s="3" t="str">
        <f t="shared" si="3"/>
        <v>pale yellow</v>
      </c>
      <c r="U425" s="3" t="str">
        <f t="shared" si="4"/>
        <v/>
      </c>
      <c r="V425" s="3" t="str">
        <f t="shared" si="5"/>
        <v/>
      </c>
      <c r="W425" s="3" t="str">
        <f t="shared" si="6"/>
        <v/>
      </c>
      <c r="X425" s="3" t="str">
        <f t="shared" si="7"/>
        <v/>
      </c>
      <c r="Y425" s="3" t="str">
        <f t="shared" si="8"/>
        <v/>
      </c>
      <c r="Z425" s="3" t="str">
        <f t="shared" si="9"/>
        <v/>
      </c>
      <c r="AA425" s="13">
        <f t="shared" si="10"/>
        <v>988</v>
      </c>
      <c r="AB425" s="3">
        <f t="shared" si="11"/>
        <v>987</v>
      </c>
      <c r="AC425" s="3">
        <f t="shared" si="12"/>
        <v>3</v>
      </c>
      <c r="AD425" s="3">
        <f t="shared" si="13"/>
        <v>329</v>
      </c>
      <c r="AE425" s="3" t="str">
        <f t="shared" si="14"/>
        <v/>
      </c>
      <c r="AF425" s="3">
        <f t="shared" si="15"/>
        <v>0</v>
      </c>
      <c r="AG425" s="3" t="str">
        <f t="shared" si="16"/>
        <v/>
      </c>
      <c r="AH425" s="3">
        <f t="shared" si="17"/>
        <v>0</v>
      </c>
      <c r="AI425" s="3" t="str">
        <f t="shared" si="18"/>
        <v/>
      </c>
      <c r="AJ425" s="3">
        <f t="shared" si="19"/>
        <v>0</v>
      </c>
    </row>
    <row r="426">
      <c r="C426" s="6" t="s">
        <v>426</v>
      </c>
      <c r="D426" s="3">
        <f t="shared" si="1"/>
        <v>3</v>
      </c>
      <c r="E426" s="3" t="str">
        <f>IFERROR(__xludf.DUMMYFUNCTION("REGEXEXTRACT(C426,""[^ ]* [^ ]*"")"),"faded chartreuse")</f>
        <v>faded chartreuse</v>
      </c>
      <c r="F426" s="3" t="str">
        <f>IFERROR(__xludf.DUMMYFUNCTION("MID(REGEXEXTRACT(C426,""contain.*$""),9,300)"),"2 wavy teal bags, 3 dim olive bags, 2 dull purple bags, 5 vibrant plum bags.")</f>
        <v>2 wavy teal bags, 3 dim olive bags, 2 dull purple bags, 5 vibrant plum bags.</v>
      </c>
      <c r="G426" s="3" t="str">
        <f>IFERROR(__xludf.DUMMYFUNCTION("INDEX(SPLIT($F426,"",""),COLUMN()-6)"),"2 wavy teal bags")</f>
        <v>2 wavy teal bags</v>
      </c>
      <c r="H426" s="3" t="str">
        <f>IFERROR(__xludf.DUMMYFUNCTION("MID(INDEX(SPLIT($F426,"",""),COLUMN()-6),2,300)"),"3 dim olive bags")</f>
        <v>3 dim olive bags</v>
      </c>
      <c r="I426" s="3" t="str">
        <f>IFERROR(__xludf.DUMMYFUNCTION("MID(INDEX(SPLIT($F426,"",""),COLUMN()-6),2,300)"),"2 dull purple bags")</f>
        <v>2 dull purple bags</v>
      </c>
      <c r="J426" s="3" t="str">
        <f>IFERROR(__xludf.DUMMYFUNCTION("MID(INDEX(SPLIT($F426,"",""),COLUMN()-6),2,300)"),"5 vibrant plum bags.")</f>
        <v>5 vibrant plum bags.</v>
      </c>
      <c r="K426" s="3">
        <f>IFERROR(__xludf.DUMMYFUNCTION("INDEX(SPLIT(G426,"" ""),1)"),2.0)</f>
        <v>2</v>
      </c>
      <c r="L426" s="3" t="str">
        <f>IFERROR(__xludf.DUMMYFUNCTION("REGEXEXTRACT(G426,"" [^ ]* [^ ]* "")")," wavy teal ")</f>
        <v> wavy teal </v>
      </c>
      <c r="M426" s="3">
        <f>IFERROR(__xludf.DUMMYFUNCTION("INDEX(SPLIT(H426,"" ""),1)"),3.0)</f>
        <v>3</v>
      </c>
      <c r="N426" s="3" t="str">
        <f>IFERROR(__xludf.DUMMYFUNCTION("MID(REGEXEXTRACT(H426,"" [^ ]* [^ ]*""),2,300)"),"dim olive")</f>
        <v>dim olive</v>
      </c>
      <c r="O426" s="3">
        <f>IFERROR(__xludf.DUMMYFUNCTION("INDEX(SPLIT(I426,"" ""),1)"),2.0)</f>
        <v>2</v>
      </c>
      <c r="P426" s="3" t="str">
        <f>IFERROR(__xludf.DUMMYFUNCTION("MID(REGEXEXTRACT(I426,"" [^ ]* [^ ]*""),2,300)"),"dull purple")</f>
        <v>dull purple</v>
      </c>
      <c r="Q426" s="3">
        <f>IFERROR(__xludf.DUMMYFUNCTION("INDEX(SPLIT(J426,"" ""),1)"),5.0)</f>
        <v>5</v>
      </c>
      <c r="R426" s="3" t="str">
        <f>IFERROR(__xludf.DUMMYFUNCTION("MID(REGEXEXTRACT(J426,"" [^ ]* [^ ]*""),2,300)"),"vibrant plum")</f>
        <v>vibrant plum</v>
      </c>
      <c r="S426" s="3">
        <f t="shared" si="2"/>
        <v>2</v>
      </c>
      <c r="T426" s="3" t="str">
        <f t="shared" si="3"/>
        <v>wavy teal</v>
      </c>
      <c r="U426" s="3">
        <f t="shared" si="4"/>
        <v>3</v>
      </c>
      <c r="V426" s="3" t="str">
        <f t="shared" si="5"/>
        <v>dim olive</v>
      </c>
      <c r="W426" s="3">
        <f t="shared" si="6"/>
        <v>2</v>
      </c>
      <c r="X426" s="3" t="str">
        <f t="shared" si="7"/>
        <v>dull purple</v>
      </c>
      <c r="Y426" s="3">
        <f t="shared" si="8"/>
        <v>5</v>
      </c>
      <c r="Z426" s="3" t="str">
        <f t="shared" si="9"/>
        <v>vibrant plum</v>
      </c>
      <c r="AA426" s="13">
        <f t="shared" si="10"/>
        <v>305892</v>
      </c>
      <c r="AB426" s="3">
        <f t="shared" si="11"/>
        <v>305891</v>
      </c>
      <c r="AC426" s="3">
        <f t="shared" si="12"/>
        <v>2</v>
      </c>
      <c r="AD426" s="3">
        <f t="shared" si="13"/>
        <v>84750</v>
      </c>
      <c r="AE426" s="3">
        <f t="shared" si="14"/>
        <v>3</v>
      </c>
      <c r="AF426" s="3">
        <f t="shared" si="15"/>
        <v>1</v>
      </c>
      <c r="AG426" s="3">
        <f t="shared" si="16"/>
        <v>2</v>
      </c>
      <c r="AH426" s="3">
        <f t="shared" si="17"/>
        <v>1589</v>
      </c>
      <c r="AI426" s="3">
        <f t="shared" si="18"/>
        <v>5</v>
      </c>
      <c r="AJ426" s="3">
        <f t="shared" si="19"/>
        <v>26642</v>
      </c>
    </row>
    <row r="427">
      <c r="C427" s="6" t="s">
        <v>427</v>
      </c>
      <c r="D427" s="3">
        <f t="shared" si="1"/>
        <v>0</v>
      </c>
      <c r="E427" s="3" t="str">
        <f>IFERROR(__xludf.DUMMYFUNCTION("REGEXEXTRACT(C427,""[^ ]* [^ ]*"")"),"dark yellow")</f>
        <v>dark yellow</v>
      </c>
      <c r="F427" s="3" t="str">
        <f>IFERROR(__xludf.DUMMYFUNCTION("MID(REGEXEXTRACT(C427,""contain.*$""),9,300)"),"2 muted brown bags.")</f>
        <v>2 muted brown bags.</v>
      </c>
      <c r="G427" s="3" t="str">
        <f>IFERROR(__xludf.DUMMYFUNCTION("INDEX(SPLIT($F427,"",""),COLUMN()-6)"),"2 muted brown bags.")</f>
        <v>2 muted brown bags.</v>
      </c>
      <c r="H427" s="3" t="str">
        <f>IFERROR(__xludf.DUMMYFUNCTION("MID(INDEX(SPLIT($F427,"",""),COLUMN()-6),2,300)"),"#REF!")</f>
        <v>#REF!</v>
      </c>
      <c r="I427" s="3" t="str">
        <f>IFERROR(__xludf.DUMMYFUNCTION("MID(INDEX(SPLIT($F427,"",""),COLUMN()-6),2,300)"),"#REF!")</f>
        <v>#REF!</v>
      </c>
      <c r="J427" s="3" t="str">
        <f>IFERROR(__xludf.DUMMYFUNCTION("MID(INDEX(SPLIT($F427,"",""),COLUMN()-6),2,300)"),"#REF!")</f>
        <v>#REF!</v>
      </c>
      <c r="K427" s="3">
        <f>IFERROR(__xludf.DUMMYFUNCTION("INDEX(SPLIT(G427,"" ""),1)"),2.0)</f>
        <v>2</v>
      </c>
      <c r="L427" s="3" t="str">
        <f>IFERROR(__xludf.DUMMYFUNCTION("REGEXEXTRACT(G427,"" [^ ]* [^ ]* "")")," muted brown ")</f>
        <v> muted brown </v>
      </c>
      <c r="M427" s="3" t="str">
        <f>IFERROR(__xludf.DUMMYFUNCTION("INDEX(SPLIT(H427,"" ""),1)"),"#REF!")</f>
        <v>#REF!</v>
      </c>
      <c r="N427" s="3" t="str">
        <f>IFERROR(__xludf.DUMMYFUNCTION("MID(REGEXEXTRACT(H427,"" [^ ]* [^ ]*""),2,300)"),"#REF!")</f>
        <v>#REF!</v>
      </c>
      <c r="O427" s="3" t="str">
        <f>IFERROR(__xludf.DUMMYFUNCTION("INDEX(SPLIT(I427,"" ""),1)"),"#REF!")</f>
        <v>#REF!</v>
      </c>
      <c r="P427" s="3" t="str">
        <f>IFERROR(__xludf.DUMMYFUNCTION("MID(REGEXEXTRACT(I427,"" [^ ]* [^ ]*""),2,300)"),"#REF!")</f>
        <v>#REF!</v>
      </c>
      <c r="Q427" s="3" t="str">
        <f>IFERROR(__xludf.DUMMYFUNCTION("INDEX(SPLIT(J427,"" ""),1)"),"#REF!")</f>
        <v>#REF!</v>
      </c>
      <c r="R427" s="3" t="str">
        <f>IFERROR(__xludf.DUMMYFUNCTION("MID(REGEXEXTRACT(J427,"" [^ ]* [^ ]*""),2,300)"),"#REF!")</f>
        <v>#REF!</v>
      </c>
      <c r="S427" s="3">
        <f t="shared" si="2"/>
        <v>2</v>
      </c>
      <c r="T427" s="3" t="str">
        <f t="shared" si="3"/>
        <v>muted brown</v>
      </c>
      <c r="U427" s="3" t="str">
        <f t="shared" si="4"/>
        <v/>
      </c>
      <c r="V427" s="3" t="str">
        <f t="shared" si="5"/>
        <v/>
      </c>
      <c r="W427" s="3" t="str">
        <f t="shared" si="6"/>
        <v/>
      </c>
      <c r="X427" s="3" t="str">
        <f t="shared" si="7"/>
        <v/>
      </c>
      <c r="Y427" s="3" t="str">
        <f t="shared" si="8"/>
        <v/>
      </c>
      <c r="Z427" s="3" t="str">
        <f t="shared" si="9"/>
        <v/>
      </c>
      <c r="AA427" s="13">
        <f t="shared" si="10"/>
        <v>1182161</v>
      </c>
      <c r="AB427" s="3">
        <f t="shared" si="11"/>
        <v>1182160</v>
      </c>
      <c r="AC427" s="3">
        <f t="shared" si="12"/>
        <v>2</v>
      </c>
      <c r="AD427" s="3">
        <f t="shared" si="13"/>
        <v>591080</v>
      </c>
      <c r="AE427" s="3" t="str">
        <f t="shared" si="14"/>
        <v/>
      </c>
      <c r="AF427" s="3">
        <f t="shared" si="15"/>
        <v>0</v>
      </c>
      <c r="AG427" s="3" t="str">
        <f t="shared" si="16"/>
        <v/>
      </c>
      <c r="AH427" s="3">
        <f t="shared" si="17"/>
        <v>0</v>
      </c>
      <c r="AI427" s="3" t="str">
        <f t="shared" si="18"/>
        <v/>
      </c>
      <c r="AJ427" s="3">
        <f t="shared" si="19"/>
        <v>0</v>
      </c>
    </row>
    <row r="428">
      <c r="C428" s="6" t="s">
        <v>428</v>
      </c>
      <c r="D428" s="3">
        <f t="shared" si="1"/>
        <v>3</v>
      </c>
      <c r="E428" s="3" t="str">
        <f>IFERROR(__xludf.DUMMYFUNCTION("REGEXEXTRACT(C428,""[^ ]* [^ ]*"")"),"plaid beige")</f>
        <v>plaid beige</v>
      </c>
      <c r="F428" s="3" t="str">
        <f>IFERROR(__xludf.DUMMYFUNCTION("MID(REGEXEXTRACT(C428,""contain.*$""),9,300)"),"3 pale green bags, 3 bright purple bags, 5 faded black bags, 1 drab brown bag.")</f>
        <v>3 pale green bags, 3 bright purple bags, 5 faded black bags, 1 drab brown bag.</v>
      </c>
      <c r="G428" s="3" t="str">
        <f>IFERROR(__xludf.DUMMYFUNCTION("INDEX(SPLIT($F428,"",""),COLUMN()-6)"),"3 pale green bags")</f>
        <v>3 pale green bags</v>
      </c>
      <c r="H428" s="3" t="str">
        <f>IFERROR(__xludf.DUMMYFUNCTION("MID(INDEX(SPLIT($F428,"",""),COLUMN()-6),2,300)"),"3 bright purple bags")</f>
        <v>3 bright purple bags</v>
      </c>
      <c r="I428" s="3" t="str">
        <f>IFERROR(__xludf.DUMMYFUNCTION("MID(INDEX(SPLIT($F428,"",""),COLUMN()-6),2,300)"),"5 faded black bags")</f>
        <v>5 faded black bags</v>
      </c>
      <c r="J428" s="3" t="str">
        <f>IFERROR(__xludf.DUMMYFUNCTION("MID(INDEX(SPLIT($F428,"",""),COLUMN()-6),2,300)"),"1 drab brown bag.")</f>
        <v>1 drab brown bag.</v>
      </c>
      <c r="K428" s="3">
        <f>IFERROR(__xludf.DUMMYFUNCTION("INDEX(SPLIT(G428,"" ""),1)"),3.0)</f>
        <v>3</v>
      </c>
      <c r="L428" s="3" t="str">
        <f>IFERROR(__xludf.DUMMYFUNCTION("REGEXEXTRACT(G428,"" [^ ]* [^ ]* "")")," pale green ")</f>
        <v> pale green </v>
      </c>
      <c r="M428" s="3">
        <f>IFERROR(__xludf.DUMMYFUNCTION("INDEX(SPLIT(H428,"" ""),1)"),3.0)</f>
        <v>3</v>
      </c>
      <c r="N428" s="3" t="str">
        <f>IFERROR(__xludf.DUMMYFUNCTION("MID(REGEXEXTRACT(H428,"" [^ ]* [^ ]*""),2,300)"),"bright purple")</f>
        <v>bright purple</v>
      </c>
      <c r="O428" s="3">
        <f>IFERROR(__xludf.DUMMYFUNCTION("INDEX(SPLIT(I428,"" ""),1)"),5.0)</f>
        <v>5</v>
      </c>
      <c r="P428" s="3" t="str">
        <f>IFERROR(__xludf.DUMMYFUNCTION("MID(REGEXEXTRACT(I428,"" [^ ]* [^ ]*""),2,300)"),"faded black")</f>
        <v>faded black</v>
      </c>
      <c r="Q428" s="3">
        <f>IFERROR(__xludf.DUMMYFUNCTION("INDEX(SPLIT(J428,"" ""),1)"),1.0)</f>
        <v>1</v>
      </c>
      <c r="R428" s="3" t="str">
        <f>IFERROR(__xludf.DUMMYFUNCTION("MID(REGEXEXTRACT(J428,"" [^ ]* [^ ]*""),2,300)"),"drab brown")</f>
        <v>drab brown</v>
      </c>
      <c r="S428" s="3">
        <f t="shared" si="2"/>
        <v>3</v>
      </c>
      <c r="T428" s="3" t="str">
        <f t="shared" si="3"/>
        <v>pale green</v>
      </c>
      <c r="U428" s="3">
        <f t="shared" si="4"/>
        <v>3</v>
      </c>
      <c r="V428" s="3" t="str">
        <f t="shared" si="5"/>
        <v>bright purple</v>
      </c>
      <c r="W428" s="3">
        <f t="shared" si="6"/>
        <v>5</v>
      </c>
      <c r="X428" s="3" t="str">
        <f t="shared" si="7"/>
        <v>faded black</v>
      </c>
      <c r="Y428" s="3">
        <f t="shared" si="8"/>
        <v>1</v>
      </c>
      <c r="Z428" s="3" t="str">
        <f t="shared" si="9"/>
        <v>drab brown</v>
      </c>
      <c r="AA428" s="13">
        <f t="shared" si="10"/>
        <v>47706683</v>
      </c>
      <c r="AB428" s="3">
        <f t="shared" si="11"/>
        <v>47706682</v>
      </c>
      <c r="AC428" s="3">
        <f t="shared" si="12"/>
        <v>3</v>
      </c>
      <c r="AD428" s="3">
        <f t="shared" si="13"/>
        <v>8485185</v>
      </c>
      <c r="AE428" s="3">
        <f t="shared" si="14"/>
        <v>3</v>
      </c>
      <c r="AF428" s="3">
        <f t="shared" si="15"/>
        <v>6441642</v>
      </c>
      <c r="AG428" s="3">
        <f t="shared" si="16"/>
        <v>5</v>
      </c>
      <c r="AH428" s="3">
        <f t="shared" si="17"/>
        <v>565872</v>
      </c>
      <c r="AI428" s="3">
        <f t="shared" si="18"/>
        <v>1</v>
      </c>
      <c r="AJ428" s="3">
        <f t="shared" si="19"/>
        <v>96841</v>
      </c>
    </row>
    <row r="429">
      <c r="C429" s="6" t="s">
        <v>429</v>
      </c>
      <c r="D429" s="3">
        <f t="shared" si="1"/>
        <v>0</v>
      </c>
      <c r="E429" s="3" t="str">
        <f>IFERROR(__xludf.DUMMYFUNCTION("REGEXEXTRACT(C429,""[^ ]* [^ ]*"")"),"faded maroon")</f>
        <v>faded maroon</v>
      </c>
      <c r="F429" s="3" t="str">
        <f>IFERROR(__xludf.DUMMYFUNCTION("MID(REGEXEXTRACT(C429,""contain.*$""),9,300)"),"5 drab tomato bags.")</f>
        <v>5 drab tomato bags.</v>
      </c>
      <c r="G429" s="3" t="str">
        <f>IFERROR(__xludf.DUMMYFUNCTION("INDEX(SPLIT($F429,"",""),COLUMN()-6)"),"5 drab tomato bags.")</f>
        <v>5 drab tomato bags.</v>
      </c>
      <c r="H429" s="3" t="str">
        <f>IFERROR(__xludf.DUMMYFUNCTION("MID(INDEX(SPLIT($F429,"",""),COLUMN()-6),2,300)"),"#REF!")</f>
        <v>#REF!</v>
      </c>
      <c r="I429" s="3" t="str">
        <f>IFERROR(__xludf.DUMMYFUNCTION("MID(INDEX(SPLIT($F429,"",""),COLUMN()-6),2,300)"),"#REF!")</f>
        <v>#REF!</v>
      </c>
      <c r="J429" s="3" t="str">
        <f>IFERROR(__xludf.DUMMYFUNCTION("MID(INDEX(SPLIT($F429,"",""),COLUMN()-6),2,300)"),"#REF!")</f>
        <v>#REF!</v>
      </c>
      <c r="K429" s="3">
        <f>IFERROR(__xludf.DUMMYFUNCTION("INDEX(SPLIT(G429,"" ""),1)"),5.0)</f>
        <v>5</v>
      </c>
      <c r="L429" s="3" t="str">
        <f>IFERROR(__xludf.DUMMYFUNCTION("REGEXEXTRACT(G429,"" [^ ]* [^ ]* "")")," drab tomato ")</f>
        <v> drab tomato </v>
      </c>
      <c r="M429" s="3" t="str">
        <f>IFERROR(__xludf.DUMMYFUNCTION("INDEX(SPLIT(H429,"" ""),1)"),"#REF!")</f>
        <v>#REF!</v>
      </c>
      <c r="N429" s="3" t="str">
        <f>IFERROR(__xludf.DUMMYFUNCTION("MID(REGEXEXTRACT(H429,"" [^ ]* [^ ]*""),2,300)"),"#REF!")</f>
        <v>#REF!</v>
      </c>
      <c r="O429" s="3" t="str">
        <f>IFERROR(__xludf.DUMMYFUNCTION("INDEX(SPLIT(I429,"" ""),1)"),"#REF!")</f>
        <v>#REF!</v>
      </c>
      <c r="P429" s="3" t="str">
        <f>IFERROR(__xludf.DUMMYFUNCTION("MID(REGEXEXTRACT(I429,"" [^ ]* [^ ]*""),2,300)"),"#REF!")</f>
        <v>#REF!</v>
      </c>
      <c r="Q429" s="3" t="str">
        <f>IFERROR(__xludf.DUMMYFUNCTION("INDEX(SPLIT(J429,"" ""),1)"),"#REF!")</f>
        <v>#REF!</v>
      </c>
      <c r="R429" s="3" t="str">
        <f>IFERROR(__xludf.DUMMYFUNCTION("MID(REGEXEXTRACT(J429,"" [^ ]* [^ ]*""),2,300)"),"#REF!")</f>
        <v>#REF!</v>
      </c>
      <c r="S429" s="3">
        <f t="shared" si="2"/>
        <v>5</v>
      </c>
      <c r="T429" s="3" t="str">
        <f t="shared" si="3"/>
        <v>drab tomato</v>
      </c>
      <c r="U429" s="3" t="str">
        <f t="shared" si="4"/>
        <v/>
      </c>
      <c r="V429" s="3" t="str">
        <f t="shared" si="5"/>
        <v/>
      </c>
      <c r="W429" s="3" t="str">
        <f t="shared" si="6"/>
        <v/>
      </c>
      <c r="X429" s="3" t="str">
        <f t="shared" si="7"/>
        <v/>
      </c>
      <c r="Y429" s="3" t="str">
        <f t="shared" si="8"/>
        <v/>
      </c>
      <c r="Z429" s="3" t="str">
        <f t="shared" si="9"/>
        <v/>
      </c>
      <c r="AA429" s="13">
        <f t="shared" si="10"/>
        <v>193436</v>
      </c>
      <c r="AB429" s="3">
        <f t="shared" si="11"/>
        <v>193435</v>
      </c>
      <c r="AC429" s="3">
        <f t="shared" si="12"/>
        <v>5</v>
      </c>
      <c r="AD429" s="3">
        <f t="shared" si="13"/>
        <v>38687</v>
      </c>
      <c r="AE429" s="3" t="str">
        <f t="shared" si="14"/>
        <v/>
      </c>
      <c r="AF429" s="3">
        <f t="shared" si="15"/>
        <v>0</v>
      </c>
      <c r="AG429" s="3" t="str">
        <f t="shared" si="16"/>
        <v/>
      </c>
      <c r="AH429" s="3">
        <f t="shared" si="17"/>
        <v>0</v>
      </c>
      <c r="AI429" s="3" t="str">
        <f t="shared" si="18"/>
        <v/>
      </c>
      <c r="AJ429" s="3">
        <f t="shared" si="19"/>
        <v>0</v>
      </c>
    </row>
    <row r="430">
      <c r="C430" s="6" t="s">
        <v>430</v>
      </c>
      <c r="D430" s="3">
        <f t="shared" si="1"/>
        <v>3</v>
      </c>
      <c r="E430" s="3" t="str">
        <f>IFERROR(__xludf.DUMMYFUNCTION("REGEXEXTRACT(C430,""[^ ]* [^ ]*"")"),"muted silver")</f>
        <v>muted silver</v>
      </c>
      <c r="F430" s="3" t="str">
        <f>IFERROR(__xludf.DUMMYFUNCTION("MID(REGEXEXTRACT(C430,""contain.*$""),9,300)"),"3 striped lime bags, 3 dim orange bags, 3 muted aqua bags, 1 plaid black bag.")</f>
        <v>3 striped lime bags, 3 dim orange bags, 3 muted aqua bags, 1 plaid black bag.</v>
      </c>
      <c r="G430" s="3" t="str">
        <f>IFERROR(__xludf.DUMMYFUNCTION("INDEX(SPLIT($F430,"",""),COLUMN()-6)"),"3 striped lime bags")</f>
        <v>3 striped lime bags</v>
      </c>
      <c r="H430" s="3" t="str">
        <f>IFERROR(__xludf.DUMMYFUNCTION("MID(INDEX(SPLIT($F430,"",""),COLUMN()-6),2,300)"),"3 dim orange bags")</f>
        <v>3 dim orange bags</v>
      </c>
      <c r="I430" s="3" t="str">
        <f>IFERROR(__xludf.DUMMYFUNCTION("MID(INDEX(SPLIT($F430,"",""),COLUMN()-6),2,300)"),"3 muted aqua bags")</f>
        <v>3 muted aqua bags</v>
      </c>
      <c r="J430" s="3" t="str">
        <f>IFERROR(__xludf.DUMMYFUNCTION("MID(INDEX(SPLIT($F430,"",""),COLUMN()-6),2,300)"),"1 plaid black bag.")</f>
        <v>1 plaid black bag.</v>
      </c>
      <c r="K430" s="3">
        <f>IFERROR(__xludf.DUMMYFUNCTION("INDEX(SPLIT(G430,"" ""),1)"),3.0)</f>
        <v>3</v>
      </c>
      <c r="L430" s="3" t="str">
        <f>IFERROR(__xludf.DUMMYFUNCTION("REGEXEXTRACT(G430,"" [^ ]* [^ ]* "")")," striped lime ")</f>
        <v> striped lime </v>
      </c>
      <c r="M430" s="3">
        <f>IFERROR(__xludf.DUMMYFUNCTION("INDEX(SPLIT(H430,"" ""),1)"),3.0)</f>
        <v>3</v>
      </c>
      <c r="N430" s="3" t="str">
        <f>IFERROR(__xludf.DUMMYFUNCTION("MID(REGEXEXTRACT(H430,"" [^ ]* [^ ]*""),2,300)"),"dim orange")</f>
        <v>dim orange</v>
      </c>
      <c r="O430" s="3">
        <f>IFERROR(__xludf.DUMMYFUNCTION("INDEX(SPLIT(I430,"" ""),1)"),3.0)</f>
        <v>3</v>
      </c>
      <c r="P430" s="3" t="str">
        <f>IFERROR(__xludf.DUMMYFUNCTION("MID(REGEXEXTRACT(I430,"" [^ ]* [^ ]*""),2,300)"),"muted aqua")</f>
        <v>muted aqua</v>
      </c>
      <c r="Q430" s="3">
        <f>IFERROR(__xludf.DUMMYFUNCTION("INDEX(SPLIT(J430,"" ""),1)"),1.0)</f>
        <v>1</v>
      </c>
      <c r="R430" s="3" t="str">
        <f>IFERROR(__xludf.DUMMYFUNCTION("MID(REGEXEXTRACT(J430,"" [^ ]* [^ ]*""),2,300)"),"plaid black")</f>
        <v>plaid black</v>
      </c>
      <c r="S430" s="3">
        <f t="shared" si="2"/>
        <v>3</v>
      </c>
      <c r="T430" s="3" t="str">
        <f t="shared" si="3"/>
        <v>striped lime</v>
      </c>
      <c r="U430" s="3">
        <f t="shared" si="4"/>
        <v>3</v>
      </c>
      <c r="V430" s="3" t="str">
        <f t="shared" si="5"/>
        <v>dim orange</v>
      </c>
      <c r="W430" s="3">
        <f t="shared" si="6"/>
        <v>3</v>
      </c>
      <c r="X430" s="3" t="str">
        <f t="shared" si="7"/>
        <v>muted aqua</v>
      </c>
      <c r="Y430" s="3">
        <f t="shared" si="8"/>
        <v>1</v>
      </c>
      <c r="Z430" s="3" t="str">
        <f t="shared" si="9"/>
        <v>plaid black</v>
      </c>
      <c r="AA430" s="13">
        <f t="shared" si="10"/>
        <v>5232754824</v>
      </c>
      <c r="AB430" s="3">
        <f t="shared" si="11"/>
        <v>5232754823</v>
      </c>
      <c r="AC430" s="3">
        <f t="shared" si="12"/>
        <v>3</v>
      </c>
      <c r="AD430" s="3">
        <f t="shared" si="13"/>
        <v>12130</v>
      </c>
      <c r="AE430" s="3">
        <f t="shared" si="14"/>
        <v>3</v>
      </c>
      <c r="AF430" s="3">
        <f t="shared" si="15"/>
        <v>1699303326</v>
      </c>
      <c r="AG430" s="3">
        <f t="shared" si="16"/>
        <v>3</v>
      </c>
      <c r="AH430" s="3">
        <f t="shared" si="17"/>
        <v>30083</v>
      </c>
      <c r="AI430" s="3">
        <f t="shared" si="18"/>
        <v>1</v>
      </c>
      <c r="AJ430" s="3">
        <f t="shared" si="19"/>
        <v>134718206</v>
      </c>
    </row>
    <row r="431">
      <c r="C431" s="6" t="s">
        <v>431</v>
      </c>
      <c r="D431" s="3">
        <f t="shared" si="1"/>
        <v>3</v>
      </c>
      <c r="E431" s="3" t="str">
        <f>IFERROR(__xludf.DUMMYFUNCTION("REGEXEXTRACT(C431,""[^ ]* [^ ]*"")"),"pale violet")</f>
        <v>pale violet</v>
      </c>
      <c r="F431" s="3" t="str">
        <f>IFERROR(__xludf.DUMMYFUNCTION("MID(REGEXEXTRACT(C431,""contain.*$""),9,300)"),"1 mirrored gray bag, 1 dull gold bag, 1 wavy crimson bag, 1 pale magenta bag.")</f>
        <v>1 mirrored gray bag, 1 dull gold bag, 1 wavy crimson bag, 1 pale magenta bag.</v>
      </c>
      <c r="G431" s="3" t="str">
        <f>IFERROR(__xludf.DUMMYFUNCTION("INDEX(SPLIT($F431,"",""),COLUMN()-6)"),"1 mirrored gray bag")</f>
        <v>1 mirrored gray bag</v>
      </c>
      <c r="H431" s="3" t="str">
        <f>IFERROR(__xludf.DUMMYFUNCTION("MID(INDEX(SPLIT($F431,"",""),COLUMN()-6),2,300)"),"1 dull gold bag")</f>
        <v>1 dull gold bag</v>
      </c>
      <c r="I431" s="3" t="str">
        <f>IFERROR(__xludf.DUMMYFUNCTION("MID(INDEX(SPLIT($F431,"",""),COLUMN()-6),2,300)"),"1 wavy crimson bag")</f>
        <v>1 wavy crimson bag</v>
      </c>
      <c r="J431" s="3" t="str">
        <f>IFERROR(__xludf.DUMMYFUNCTION("MID(INDEX(SPLIT($F431,"",""),COLUMN()-6),2,300)"),"1 pale magenta bag.")</f>
        <v>1 pale magenta bag.</v>
      </c>
      <c r="K431" s="3">
        <f>IFERROR(__xludf.DUMMYFUNCTION("INDEX(SPLIT(G431,"" ""),1)"),1.0)</f>
        <v>1</v>
      </c>
      <c r="L431" s="3" t="str">
        <f>IFERROR(__xludf.DUMMYFUNCTION("REGEXEXTRACT(G431,"" [^ ]* [^ ]* "")")," mirrored gray ")</f>
        <v> mirrored gray </v>
      </c>
      <c r="M431" s="3">
        <f>IFERROR(__xludf.DUMMYFUNCTION("INDEX(SPLIT(H431,"" ""),1)"),1.0)</f>
        <v>1</v>
      </c>
      <c r="N431" s="3" t="str">
        <f>IFERROR(__xludf.DUMMYFUNCTION("MID(REGEXEXTRACT(H431,"" [^ ]* [^ ]*""),2,300)"),"dull gold")</f>
        <v>dull gold</v>
      </c>
      <c r="O431" s="3">
        <f>IFERROR(__xludf.DUMMYFUNCTION("INDEX(SPLIT(I431,"" ""),1)"),1.0)</f>
        <v>1</v>
      </c>
      <c r="P431" s="3" t="str">
        <f>IFERROR(__xludf.DUMMYFUNCTION("MID(REGEXEXTRACT(I431,"" [^ ]* [^ ]*""),2,300)"),"wavy crimson")</f>
        <v>wavy crimson</v>
      </c>
      <c r="Q431" s="3">
        <f>IFERROR(__xludf.DUMMYFUNCTION("INDEX(SPLIT(J431,"" ""),1)"),1.0)</f>
        <v>1</v>
      </c>
      <c r="R431" s="3" t="str">
        <f>IFERROR(__xludf.DUMMYFUNCTION("MID(REGEXEXTRACT(J431,"" [^ ]* [^ ]*""),2,300)"),"pale magenta")</f>
        <v>pale magenta</v>
      </c>
      <c r="S431" s="3">
        <f t="shared" si="2"/>
        <v>1</v>
      </c>
      <c r="T431" s="3" t="str">
        <f t="shared" si="3"/>
        <v>mirrored gray</v>
      </c>
      <c r="U431" s="3">
        <f t="shared" si="4"/>
        <v>1</v>
      </c>
      <c r="V431" s="3" t="str">
        <f t="shared" si="5"/>
        <v>dull gold</v>
      </c>
      <c r="W431" s="3">
        <f t="shared" si="6"/>
        <v>1</v>
      </c>
      <c r="X431" s="3" t="str">
        <f t="shared" si="7"/>
        <v>wavy crimson</v>
      </c>
      <c r="Y431" s="3">
        <f t="shared" si="8"/>
        <v>1</v>
      </c>
      <c r="Z431" s="3" t="str">
        <f t="shared" si="9"/>
        <v>pale magenta</v>
      </c>
      <c r="AA431" s="13">
        <f t="shared" si="10"/>
        <v>985224380</v>
      </c>
      <c r="AB431" s="3">
        <f t="shared" si="11"/>
        <v>985224379</v>
      </c>
      <c r="AC431" s="3">
        <f t="shared" si="12"/>
        <v>1</v>
      </c>
      <c r="AD431" s="3">
        <f t="shared" si="13"/>
        <v>8</v>
      </c>
      <c r="AE431" s="3">
        <f t="shared" si="14"/>
        <v>1</v>
      </c>
      <c r="AF431" s="3">
        <f t="shared" si="15"/>
        <v>1781</v>
      </c>
      <c r="AG431" s="3">
        <f t="shared" si="16"/>
        <v>1</v>
      </c>
      <c r="AH431" s="3">
        <f t="shared" si="17"/>
        <v>75933549</v>
      </c>
      <c r="AI431" s="3">
        <f t="shared" si="18"/>
        <v>1</v>
      </c>
      <c r="AJ431" s="3">
        <f t="shared" si="19"/>
        <v>909289041</v>
      </c>
    </row>
    <row r="432">
      <c r="C432" s="6" t="s">
        <v>432</v>
      </c>
      <c r="D432" s="3">
        <f t="shared" si="1"/>
        <v>0</v>
      </c>
      <c r="E432" s="3" t="str">
        <f>IFERROR(__xludf.DUMMYFUNCTION("REGEXEXTRACT(C432,""[^ ]* [^ ]*"")"),"dim olive")</f>
        <v>dim olive</v>
      </c>
      <c r="F432" s="3" t="str">
        <f>IFERROR(__xludf.DUMMYFUNCTION("MID(REGEXEXTRACT(C432,""contain.*$""),9,300)"),"no other bags.")</f>
        <v>no other bags.</v>
      </c>
      <c r="G432" s="3" t="str">
        <f>IFERROR(__xludf.DUMMYFUNCTION("INDEX(SPLIT($F432,"",""),COLUMN()-6)"),"no other bags.")</f>
        <v>no other bags.</v>
      </c>
      <c r="H432" s="3" t="str">
        <f>IFERROR(__xludf.DUMMYFUNCTION("MID(INDEX(SPLIT($F432,"",""),COLUMN()-6),2,300)"),"#REF!")</f>
        <v>#REF!</v>
      </c>
      <c r="I432" s="3" t="str">
        <f>IFERROR(__xludf.DUMMYFUNCTION("MID(INDEX(SPLIT($F432,"",""),COLUMN()-6),2,300)"),"#REF!")</f>
        <v>#REF!</v>
      </c>
      <c r="J432" s="3" t="str">
        <f>IFERROR(__xludf.DUMMYFUNCTION("MID(INDEX(SPLIT($F432,"",""),COLUMN()-6),2,300)"),"#REF!")</f>
        <v>#REF!</v>
      </c>
      <c r="K432" s="3" t="str">
        <f>IFERROR(__xludf.DUMMYFUNCTION("INDEX(SPLIT(G432,"" ""),1)"),"no")</f>
        <v>no</v>
      </c>
      <c r="L432" s="3" t="str">
        <f>IFERROR(__xludf.DUMMYFUNCTION("REGEXEXTRACT(G432,"" [^ ]* [^ ]* "")"),"#N/A")</f>
        <v>#N/A</v>
      </c>
      <c r="M432" s="3" t="str">
        <f>IFERROR(__xludf.DUMMYFUNCTION("INDEX(SPLIT(H432,"" ""),1)"),"#REF!")</f>
        <v>#REF!</v>
      </c>
      <c r="N432" s="3" t="str">
        <f>IFERROR(__xludf.DUMMYFUNCTION("MID(REGEXEXTRACT(H432,"" [^ ]* [^ ]*""),2,300)"),"#REF!")</f>
        <v>#REF!</v>
      </c>
      <c r="O432" s="3" t="str">
        <f>IFERROR(__xludf.DUMMYFUNCTION("INDEX(SPLIT(I432,"" ""),1)"),"#REF!")</f>
        <v>#REF!</v>
      </c>
      <c r="P432" s="3" t="str">
        <f>IFERROR(__xludf.DUMMYFUNCTION("MID(REGEXEXTRACT(I432,"" [^ ]* [^ ]*""),2,300)"),"#REF!")</f>
        <v>#REF!</v>
      </c>
      <c r="Q432" s="3" t="str">
        <f>IFERROR(__xludf.DUMMYFUNCTION("INDEX(SPLIT(J432,"" ""),1)"),"#REF!")</f>
        <v>#REF!</v>
      </c>
      <c r="R432" s="3" t="str">
        <f>IFERROR(__xludf.DUMMYFUNCTION("MID(REGEXEXTRACT(J432,"" [^ ]* [^ ]*""),2,300)"),"#REF!")</f>
        <v>#REF!</v>
      </c>
      <c r="S432" s="3" t="str">
        <f t="shared" si="2"/>
        <v/>
      </c>
      <c r="T432" s="3" t="str">
        <f t="shared" si="3"/>
        <v/>
      </c>
      <c r="U432" s="3" t="str">
        <f t="shared" si="4"/>
        <v/>
      </c>
      <c r="V432" s="3" t="str">
        <f t="shared" si="5"/>
        <v/>
      </c>
      <c r="W432" s="3" t="str">
        <f t="shared" si="6"/>
        <v/>
      </c>
      <c r="X432" s="3" t="str">
        <f t="shared" si="7"/>
        <v/>
      </c>
      <c r="Y432" s="3" t="str">
        <f t="shared" si="8"/>
        <v/>
      </c>
      <c r="Z432" s="3" t="str">
        <f t="shared" si="9"/>
        <v/>
      </c>
      <c r="AA432" s="13">
        <f t="shared" si="10"/>
        <v>1</v>
      </c>
      <c r="AB432" s="3">
        <f t="shared" si="11"/>
        <v>0</v>
      </c>
      <c r="AC432" s="3" t="str">
        <f t="shared" si="12"/>
        <v/>
      </c>
      <c r="AD432" s="3">
        <f t="shared" si="13"/>
        <v>0</v>
      </c>
      <c r="AE432" s="3" t="str">
        <f t="shared" si="14"/>
        <v/>
      </c>
      <c r="AF432" s="3">
        <f t="shared" si="15"/>
        <v>0</v>
      </c>
      <c r="AG432" s="3" t="str">
        <f t="shared" si="16"/>
        <v/>
      </c>
      <c r="AH432" s="3">
        <f t="shared" si="17"/>
        <v>0</v>
      </c>
      <c r="AI432" s="3" t="str">
        <f t="shared" si="18"/>
        <v/>
      </c>
      <c r="AJ432" s="3">
        <f t="shared" si="19"/>
        <v>0</v>
      </c>
    </row>
    <row r="433">
      <c r="C433" s="6" t="s">
        <v>433</v>
      </c>
      <c r="D433" s="3">
        <f t="shared" si="1"/>
        <v>0</v>
      </c>
      <c r="E433" s="3" t="str">
        <f>IFERROR(__xludf.DUMMYFUNCTION("REGEXEXTRACT(C433,""[^ ]* [^ ]*"")"),"mirrored bronze")</f>
        <v>mirrored bronze</v>
      </c>
      <c r="F433" s="3" t="str">
        <f>IFERROR(__xludf.DUMMYFUNCTION("MID(REGEXEXTRACT(C433,""contain.*$""),9,300)"),"2 drab white bags.")</f>
        <v>2 drab white bags.</v>
      </c>
      <c r="G433" s="3" t="str">
        <f>IFERROR(__xludf.DUMMYFUNCTION("INDEX(SPLIT($F433,"",""),COLUMN()-6)"),"2 drab white bags.")</f>
        <v>2 drab white bags.</v>
      </c>
      <c r="H433" s="3" t="str">
        <f>IFERROR(__xludf.DUMMYFUNCTION("MID(INDEX(SPLIT($F433,"",""),COLUMN()-6),2,300)"),"#REF!")</f>
        <v>#REF!</v>
      </c>
      <c r="I433" s="3" t="str">
        <f>IFERROR(__xludf.DUMMYFUNCTION("MID(INDEX(SPLIT($F433,"",""),COLUMN()-6),2,300)"),"#REF!")</f>
        <v>#REF!</v>
      </c>
      <c r="J433" s="3" t="str">
        <f>IFERROR(__xludf.DUMMYFUNCTION("MID(INDEX(SPLIT($F433,"",""),COLUMN()-6),2,300)"),"#REF!")</f>
        <v>#REF!</v>
      </c>
      <c r="K433" s="3">
        <f>IFERROR(__xludf.DUMMYFUNCTION("INDEX(SPLIT(G433,"" ""),1)"),2.0)</f>
        <v>2</v>
      </c>
      <c r="L433" s="3" t="str">
        <f>IFERROR(__xludf.DUMMYFUNCTION("REGEXEXTRACT(G433,"" [^ ]* [^ ]* "")")," drab white ")</f>
        <v> drab white </v>
      </c>
      <c r="M433" s="3" t="str">
        <f>IFERROR(__xludf.DUMMYFUNCTION("INDEX(SPLIT(H433,"" ""),1)"),"#REF!")</f>
        <v>#REF!</v>
      </c>
      <c r="N433" s="3" t="str">
        <f>IFERROR(__xludf.DUMMYFUNCTION("MID(REGEXEXTRACT(H433,"" [^ ]* [^ ]*""),2,300)"),"#REF!")</f>
        <v>#REF!</v>
      </c>
      <c r="O433" s="3" t="str">
        <f>IFERROR(__xludf.DUMMYFUNCTION("INDEX(SPLIT(I433,"" ""),1)"),"#REF!")</f>
        <v>#REF!</v>
      </c>
      <c r="P433" s="3" t="str">
        <f>IFERROR(__xludf.DUMMYFUNCTION("MID(REGEXEXTRACT(I433,"" [^ ]* [^ ]*""),2,300)"),"#REF!")</f>
        <v>#REF!</v>
      </c>
      <c r="Q433" s="3" t="str">
        <f>IFERROR(__xludf.DUMMYFUNCTION("INDEX(SPLIT(J433,"" ""),1)"),"#REF!")</f>
        <v>#REF!</v>
      </c>
      <c r="R433" s="3" t="str">
        <f>IFERROR(__xludf.DUMMYFUNCTION("MID(REGEXEXTRACT(J433,"" [^ ]* [^ ]*""),2,300)"),"#REF!")</f>
        <v>#REF!</v>
      </c>
      <c r="S433" s="3">
        <f t="shared" si="2"/>
        <v>2</v>
      </c>
      <c r="T433" s="3" t="str">
        <f t="shared" si="3"/>
        <v>drab white</v>
      </c>
      <c r="U433" s="3" t="str">
        <f t="shared" si="4"/>
        <v/>
      </c>
      <c r="V433" s="3" t="str">
        <f t="shared" si="5"/>
        <v/>
      </c>
      <c r="W433" s="3" t="str">
        <f t="shared" si="6"/>
        <v/>
      </c>
      <c r="X433" s="3" t="str">
        <f t="shared" si="7"/>
        <v/>
      </c>
      <c r="Y433" s="3" t="str">
        <f t="shared" si="8"/>
        <v/>
      </c>
      <c r="Z433" s="3" t="str">
        <f t="shared" si="9"/>
        <v/>
      </c>
      <c r="AA433" s="13">
        <f t="shared" si="10"/>
        <v>29923</v>
      </c>
      <c r="AB433" s="3">
        <f t="shared" si="11"/>
        <v>29922</v>
      </c>
      <c r="AC433" s="3">
        <f t="shared" si="12"/>
        <v>2</v>
      </c>
      <c r="AD433" s="3">
        <f t="shared" si="13"/>
        <v>14961</v>
      </c>
      <c r="AE433" s="3" t="str">
        <f t="shared" si="14"/>
        <v/>
      </c>
      <c r="AF433" s="3">
        <f t="shared" si="15"/>
        <v>0</v>
      </c>
      <c r="AG433" s="3" t="str">
        <f t="shared" si="16"/>
        <v/>
      </c>
      <c r="AH433" s="3">
        <f t="shared" si="17"/>
        <v>0</v>
      </c>
      <c r="AI433" s="3" t="str">
        <f t="shared" si="18"/>
        <v/>
      </c>
      <c r="AJ433" s="3">
        <f t="shared" si="19"/>
        <v>0</v>
      </c>
    </row>
    <row r="434">
      <c r="C434" s="6" t="s">
        <v>434</v>
      </c>
      <c r="D434" s="3">
        <f t="shared" si="1"/>
        <v>3</v>
      </c>
      <c r="E434" s="3" t="str">
        <f>IFERROR(__xludf.DUMMYFUNCTION("REGEXEXTRACT(C434,""[^ ]* [^ ]*"")"),"dull green")</f>
        <v>dull green</v>
      </c>
      <c r="F434" s="3" t="str">
        <f>IFERROR(__xludf.DUMMYFUNCTION("MID(REGEXEXTRACT(C434,""contain.*$""),9,300)"),"1 striped silver bag, 2 bright orange bags, 4 dull yellow bags, 4 dotted chartreuse bags.")</f>
        <v>1 striped silver bag, 2 bright orange bags, 4 dull yellow bags, 4 dotted chartreuse bags.</v>
      </c>
      <c r="G434" s="3" t="str">
        <f>IFERROR(__xludf.DUMMYFUNCTION("INDEX(SPLIT($F434,"",""),COLUMN()-6)"),"1 striped silver bag")</f>
        <v>1 striped silver bag</v>
      </c>
      <c r="H434" s="3" t="str">
        <f>IFERROR(__xludf.DUMMYFUNCTION("MID(INDEX(SPLIT($F434,"",""),COLUMN()-6),2,300)"),"2 bright orange bags")</f>
        <v>2 bright orange bags</v>
      </c>
      <c r="I434" s="3" t="str">
        <f>IFERROR(__xludf.DUMMYFUNCTION("MID(INDEX(SPLIT($F434,"",""),COLUMN()-6),2,300)"),"4 dull yellow bags")</f>
        <v>4 dull yellow bags</v>
      </c>
      <c r="J434" s="3" t="str">
        <f>IFERROR(__xludf.DUMMYFUNCTION("MID(INDEX(SPLIT($F434,"",""),COLUMN()-6),2,300)"),"4 dotted chartreuse bags.")</f>
        <v>4 dotted chartreuse bags.</v>
      </c>
      <c r="K434" s="3">
        <f>IFERROR(__xludf.DUMMYFUNCTION("INDEX(SPLIT(G434,"" ""),1)"),1.0)</f>
        <v>1</v>
      </c>
      <c r="L434" s="3" t="str">
        <f>IFERROR(__xludf.DUMMYFUNCTION("REGEXEXTRACT(G434,"" [^ ]* [^ ]* "")")," striped silver ")</f>
        <v> striped silver </v>
      </c>
      <c r="M434" s="3">
        <f>IFERROR(__xludf.DUMMYFUNCTION("INDEX(SPLIT(H434,"" ""),1)"),2.0)</f>
        <v>2</v>
      </c>
      <c r="N434" s="3" t="str">
        <f>IFERROR(__xludf.DUMMYFUNCTION("MID(REGEXEXTRACT(H434,"" [^ ]* [^ ]*""),2,300)"),"bright orange")</f>
        <v>bright orange</v>
      </c>
      <c r="O434" s="3">
        <f>IFERROR(__xludf.DUMMYFUNCTION("INDEX(SPLIT(I434,"" ""),1)"),4.0)</f>
        <v>4</v>
      </c>
      <c r="P434" s="3" t="str">
        <f>IFERROR(__xludf.DUMMYFUNCTION("MID(REGEXEXTRACT(I434,"" [^ ]* [^ ]*""),2,300)"),"dull yellow")</f>
        <v>dull yellow</v>
      </c>
      <c r="Q434" s="3">
        <f>IFERROR(__xludf.DUMMYFUNCTION("INDEX(SPLIT(J434,"" ""),1)"),4.0)</f>
        <v>4</v>
      </c>
      <c r="R434" s="3" t="str">
        <f>IFERROR(__xludf.DUMMYFUNCTION("MID(REGEXEXTRACT(J434,"" [^ ]* [^ ]*""),2,300)"),"dotted chartreuse")</f>
        <v>dotted chartreuse</v>
      </c>
      <c r="S434" s="3">
        <f t="shared" si="2"/>
        <v>1</v>
      </c>
      <c r="T434" s="3" t="str">
        <f t="shared" si="3"/>
        <v>striped silver</v>
      </c>
      <c r="U434" s="3">
        <f t="shared" si="4"/>
        <v>2</v>
      </c>
      <c r="V434" s="3" t="str">
        <f t="shared" si="5"/>
        <v>bright orange</v>
      </c>
      <c r="W434" s="3">
        <f t="shared" si="6"/>
        <v>4</v>
      </c>
      <c r="X434" s="3" t="str">
        <f t="shared" si="7"/>
        <v>dull yellow</v>
      </c>
      <c r="Y434" s="3">
        <f t="shared" si="8"/>
        <v>4</v>
      </c>
      <c r="Z434" s="3" t="str">
        <f t="shared" si="9"/>
        <v>dotted chartreuse</v>
      </c>
      <c r="AA434" s="13">
        <f t="shared" si="10"/>
        <v>1072376</v>
      </c>
      <c r="AB434" s="3">
        <f t="shared" si="11"/>
        <v>1072375</v>
      </c>
      <c r="AC434" s="3">
        <f t="shared" si="12"/>
        <v>1</v>
      </c>
      <c r="AD434" s="3">
        <f t="shared" si="13"/>
        <v>19119</v>
      </c>
      <c r="AE434" s="3">
        <f t="shared" si="14"/>
        <v>2</v>
      </c>
      <c r="AF434" s="3">
        <f t="shared" si="15"/>
        <v>2666</v>
      </c>
      <c r="AG434" s="3">
        <f t="shared" si="16"/>
        <v>4</v>
      </c>
      <c r="AH434" s="3">
        <f t="shared" si="17"/>
        <v>190019</v>
      </c>
      <c r="AI434" s="3">
        <f t="shared" si="18"/>
        <v>4</v>
      </c>
      <c r="AJ434" s="3">
        <f t="shared" si="19"/>
        <v>71962</v>
      </c>
    </row>
    <row r="435">
      <c r="C435" s="6" t="s">
        <v>435</v>
      </c>
      <c r="D435" s="3">
        <f t="shared" si="1"/>
        <v>3</v>
      </c>
      <c r="E435" s="3" t="str">
        <f>IFERROR(__xludf.DUMMYFUNCTION("REGEXEXTRACT(C435,""[^ ]* [^ ]*"")"),"bright gray")</f>
        <v>bright gray</v>
      </c>
      <c r="F435" s="3" t="str">
        <f>IFERROR(__xludf.DUMMYFUNCTION("MID(REGEXEXTRACT(C435,""contain.*$""),9,300)"),"1 striped gray bag, 5 dull teal bags, 4 light beige bags, 2 vibrant orange bags.")</f>
        <v>1 striped gray bag, 5 dull teal bags, 4 light beige bags, 2 vibrant orange bags.</v>
      </c>
      <c r="G435" s="3" t="str">
        <f>IFERROR(__xludf.DUMMYFUNCTION("INDEX(SPLIT($F435,"",""),COLUMN()-6)"),"1 striped gray bag")</f>
        <v>1 striped gray bag</v>
      </c>
      <c r="H435" s="3" t="str">
        <f>IFERROR(__xludf.DUMMYFUNCTION("MID(INDEX(SPLIT($F435,"",""),COLUMN()-6),2,300)"),"5 dull teal bags")</f>
        <v>5 dull teal bags</v>
      </c>
      <c r="I435" s="3" t="str">
        <f>IFERROR(__xludf.DUMMYFUNCTION("MID(INDEX(SPLIT($F435,"",""),COLUMN()-6),2,300)"),"4 light beige bags")</f>
        <v>4 light beige bags</v>
      </c>
      <c r="J435" s="3" t="str">
        <f>IFERROR(__xludf.DUMMYFUNCTION("MID(INDEX(SPLIT($F435,"",""),COLUMN()-6),2,300)"),"2 vibrant orange bags.")</f>
        <v>2 vibrant orange bags.</v>
      </c>
      <c r="K435" s="3">
        <f>IFERROR(__xludf.DUMMYFUNCTION("INDEX(SPLIT(G435,"" ""),1)"),1.0)</f>
        <v>1</v>
      </c>
      <c r="L435" s="3" t="str">
        <f>IFERROR(__xludf.DUMMYFUNCTION("REGEXEXTRACT(G435,"" [^ ]* [^ ]* "")")," striped gray ")</f>
        <v> striped gray </v>
      </c>
      <c r="M435" s="3">
        <f>IFERROR(__xludf.DUMMYFUNCTION("INDEX(SPLIT(H435,"" ""),1)"),5.0)</f>
        <v>5</v>
      </c>
      <c r="N435" s="3" t="str">
        <f>IFERROR(__xludf.DUMMYFUNCTION("MID(REGEXEXTRACT(H435,"" [^ ]* [^ ]*""),2,300)"),"dull teal")</f>
        <v>dull teal</v>
      </c>
      <c r="O435" s="3">
        <f>IFERROR(__xludf.DUMMYFUNCTION("INDEX(SPLIT(I435,"" ""),1)"),4.0)</f>
        <v>4</v>
      </c>
      <c r="P435" s="3" t="str">
        <f>IFERROR(__xludf.DUMMYFUNCTION("MID(REGEXEXTRACT(I435,"" [^ ]* [^ ]*""),2,300)"),"light beige")</f>
        <v>light beige</v>
      </c>
      <c r="Q435" s="3">
        <f>IFERROR(__xludf.DUMMYFUNCTION("INDEX(SPLIT(J435,"" ""),1)"),2.0)</f>
        <v>2</v>
      </c>
      <c r="R435" s="3" t="str">
        <f>IFERROR(__xludf.DUMMYFUNCTION("MID(REGEXEXTRACT(J435,"" [^ ]* [^ ]*""),2,300)"),"vibrant orange")</f>
        <v>vibrant orange</v>
      </c>
      <c r="S435" s="3">
        <f t="shared" si="2"/>
        <v>1</v>
      </c>
      <c r="T435" s="3" t="str">
        <f t="shared" si="3"/>
        <v>striped gray</v>
      </c>
      <c r="U435" s="3">
        <f t="shared" si="4"/>
        <v>5</v>
      </c>
      <c r="V435" s="3" t="str">
        <f t="shared" si="5"/>
        <v>dull teal</v>
      </c>
      <c r="W435" s="3">
        <f t="shared" si="6"/>
        <v>4</v>
      </c>
      <c r="X435" s="3" t="str">
        <f t="shared" si="7"/>
        <v>light beige</v>
      </c>
      <c r="Y435" s="3">
        <f t="shared" si="8"/>
        <v>2</v>
      </c>
      <c r="Z435" s="3" t="str">
        <f t="shared" si="9"/>
        <v>vibrant orange</v>
      </c>
      <c r="AA435" s="13">
        <f t="shared" si="10"/>
        <v>31045906438</v>
      </c>
      <c r="AB435" s="3">
        <f t="shared" si="11"/>
        <v>31045906437</v>
      </c>
      <c r="AC435" s="3">
        <f t="shared" si="12"/>
        <v>1</v>
      </c>
      <c r="AD435" s="3">
        <f t="shared" si="13"/>
        <v>203468</v>
      </c>
      <c r="AE435" s="3">
        <f t="shared" si="14"/>
        <v>5</v>
      </c>
      <c r="AF435" s="3">
        <f t="shared" si="15"/>
        <v>6184519899</v>
      </c>
      <c r="AG435" s="3">
        <f t="shared" si="16"/>
        <v>4</v>
      </c>
      <c r="AH435" s="3">
        <f t="shared" si="17"/>
        <v>30775348</v>
      </c>
      <c r="AI435" s="3">
        <f t="shared" si="18"/>
        <v>2</v>
      </c>
      <c r="AJ435" s="3">
        <f t="shared" si="19"/>
        <v>1041</v>
      </c>
    </row>
    <row r="436">
      <c r="C436" s="6" t="s">
        <v>436</v>
      </c>
      <c r="D436" s="3">
        <f t="shared" si="1"/>
        <v>3</v>
      </c>
      <c r="E436" s="3" t="str">
        <f>IFERROR(__xludf.DUMMYFUNCTION("REGEXEXTRACT(C436,""[^ ]* [^ ]*"")"),"light indigo")</f>
        <v>light indigo</v>
      </c>
      <c r="F436" s="3" t="str">
        <f>IFERROR(__xludf.DUMMYFUNCTION("MID(REGEXEXTRACT(C436,""contain.*$""),9,300)"),"1 dim maroon bag, 4 dark indigo bags, 1 dark brown bag, 2 muted beige bags.")</f>
        <v>1 dim maroon bag, 4 dark indigo bags, 1 dark brown bag, 2 muted beige bags.</v>
      </c>
      <c r="G436" s="3" t="str">
        <f>IFERROR(__xludf.DUMMYFUNCTION("INDEX(SPLIT($F436,"",""),COLUMN()-6)"),"1 dim maroon bag")</f>
        <v>1 dim maroon bag</v>
      </c>
      <c r="H436" s="3" t="str">
        <f>IFERROR(__xludf.DUMMYFUNCTION("MID(INDEX(SPLIT($F436,"",""),COLUMN()-6),2,300)"),"4 dark indigo bags")</f>
        <v>4 dark indigo bags</v>
      </c>
      <c r="I436" s="3" t="str">
        <f>IFERROR(__xludf.DUMMYFUNCTION("MID(INDEX(SPLIT($F436,"",""),COLUMN()-6),2,300)"),"1 dark brown bag")</f>
        <v>1 dark brown bag</v>
      </c>
      <c r="J436" s="3" t="str">
        <f>IFERROR(__xludf.DUMMYFUNCTION("MID(INDEX(SPLIT($F436,"",""),COLUMN()-6),2,300)"),"2 muted beige bags.")</f>
        <v>2 muted beige bags.</v>
      </c>
      <c r="K436" s="3">
        <f>IFERROR(__xludf.DUMMYFUNCTION("INDEX(SPLIT(G436,"" ""),1)"),1.0)</f>
        <v>1</v>
      </c>
      <c r="L436" s="3" t="str">
        <f>IFERROR(__xludf.DUMMYFUNCTION("REGEXEXTRACT(G436,"" [^ ]* [^ ]* "")")," dim maroon ")</f>
        <v> dim maroon </v>
      </c>
      <c r="M436" s="3">
        <f>IFERROR(__xludf.DUMMYFUNCTION("INDEX(SPLIT(H436,"" ""),1)"),4.0)</f>
        <v>4</v>
      </c>
      <c r="N436" s="3" t="str">
        <f>IFERROR(__xludf.DUMMYFUNCTION("MID(REGEXEXTRACT(H436,"" [^ ]* [^ ]*""),2,300)"),"dark indigo")</f>
        <v>dark indigo</v>
      </c>
      <c r="O436" s="3">
        <f>IFERROR(__xludf.DUMMYFUNCTION("INDEX(SPLIT(I436,"" ""),1)"),1.0)</f>
        <v>1</v>
      </c>
      <c r="P436" s="3" t="str">
        <f>IFERROR(__xludf.DUMMYFUNCTION("MID(REGEXEXTRACT(I436,"" [^ ]* [^ ]*""),2,300)"),"dark brown")</f>
        <v>dark brown</v>
      </c>
      <c r="Q436" s="3">
        <f>IFERROR(__xludf.DUMMYFUNCTION("INDEX(SPLIT(J436,"" ""),1)"),2.0)</f>
        <v>2</v>
      </c>
      <c r="R436" s="3" t="str">
        <f>IFERROR(__xludf.DUMMYFUNCTION("MID(REGEXEXTRACT(J436,"" [^ ]* [^ ]*""),2,300)"),"muted beige")</f>
        <v>muted beige</v>
      </c>
      <c r="S436" s="3">
        <f t="shared" si="2"/>
        <v>1</v>
      </c>
      <c r="T436" s="3" t="str">
        <f t="shared" si="3"/>
        <v>dim maroon</v>
      </c>
      <c r="U436" s="3">
        <f t="shared" si="4"/>
        <v>4</v>
      </c>
      <c r="V436" s="3" t="str">
        <f t="shared" si="5"/>
        <v>dark indigo</v>
      </c>
      <c r="W436" s="3">
        <f t="shared" si="6"/>
        <v>1</v>
      </c>
      <c r="X436" s="3" t="str">
        <f t="shared" si="7"/>
        <v>dark brown</v>
      </c>
      <c r="Y436" s="3">
        <f t="shared" si="8"/>
        <v>2</v>
      </c>
      <c r="Z436" s="3" t="str">
        <f t="shared" si="9"/>
        <v>muted beige</v>
      </c>
      <c r="AA436" s="13">
        <f t="shared" si="10"/>
        <v>3065952097</v>
      </c>
      <c r="AB436" s="3">
        <f t="shared" si="11"/>
        <v>3065952096</v>
      </c>
      <c r="AC436" s="3">
        <f t="shared" si="12"/>
        <v>1</v>
      </c>
      <c r="AD436" s="3">
        <f t="shared" si="13"/>
        <v>12033</v>
      </c>
      <c r="AE436" s="3">
        <f t="shared" si="14"/>
        <v>4</v>
      </c>
      <c r="AF436" s="3">
        <f t="shared" si="15"/>
        <v>756963601</v>
      </c>
      <c r="AG436" s="3">
        <f t="shared" si="16"/>
        <v>1</v>
      </c>
      <c r="AH436" s="3">
        <f t="shared" si="17"/>
        <v>134569</v>
      </c>
      <c r="AI436" s="3">
        <f t="shared" si="18"/>
        <v>2</v>
      </c>
      <c r="AJ436" s="3">
        <f t="shared" si="19"/>
        <v>18975545</v>
      </c>
    </row>
    <row r="437">
      <c r="C437" s="6" t="s">
        <v>437</v>
      </c>
      <c r="D437" s="3">
        <f t="shared" si="1"/>
        <v>0</v>
      </c>
      <c r="E437" s="3" t="str">
        <f>IFERROR(__xludf.DUMMYFUNCTION("REGEXEXTRACT(C437,""[^ ]* [^ ]*"")"),"bright magenta")</f>
        <v>bright magenta</v>
      </c>
      <c r="F437" s="3" t="str">
        <f>IFERROR(__xludf.DUMMYFUNCTION("MID(REGEXEXTRACT(C437,""contain.*$""),9,300)"),"2 muted lime bags.")</f>
        <v>2 muted lime bags.</v>
      </c>
      <c r="G437" s="3" t="str">
        <f>IFERROR(__xludf.DUMMYFUNCTION("INDEX(SPLIT($F437,"",""),COLUMN()-6)"),"2 muted lime bags.")</f>
        <v>2 muted lime bags.</v>
      </c>
      <c r="H437" s="3" t="str">
        <f>IFERROR(__xludf.DUMMYFUNCTION("MID(INDEX(SPLIT($F437,"",""),COLUMN()-6),2,300)"),"#REF!")</f>
        <v>#REF!</v>
      </c>
      <c r="I437" s="3" t="str">
        <f>IFERROR(__xludf.DUMMYFUNCTION("MID(INDEX(SPLIT($F437,"",""),COLUMN()-6),2,300)"),"#REF!")</f>
        <v>#REF!</v>
      </c>
      <c r="J437" s="3" t="str">
        <f>IFERROR(__xludf.DUMMYFUNCTION("MID(INDEX(SPLIT($F437,"",""),COLUMN()-6),2,300)"),"#REF!")</f>
        <v>#REF!</v>
      </c>
      <c r="K437" s="3">
        <f>IFERROR(__xludf.DUMMYFUNCTION("INDEX(SPLIT(G437,"" ""),1)"),2.0)</f>
        <v>2</v>
      </c>
      <c r="L437" s="3" t="str">
        <f>IFERROR(__xludf.DUMMYFUNCTION("REGEXEXTRACT(G437,"" [^ ]* [^ ]* "")")," muted lime ")</f>
        <v> muted lime </v>
      </c>
      <c r="M437" s="3" t="str">
        <f>IFERROR(__xludf.DUMMYFUNCTION("INDEX(SPLIT(H437,"" ""),1)"),"#REF!")</f>
        <v>#REF!</v>
      </c>
      <c r="N437" s="3" t="str">
        <f>IFERROR(__xludf.DUMMYFUNCTION("MID(REGEXEXTRACT(H437,"" [^ ]* [^ ]*""),2,300)"),"#REF!")</f>
        <v>#REF!</v>
      </c>
      <c r="O437" s="3" t="str">
        <f>IFERROR(__xludf.DUMMYFUNCTION("INDEX(SPLIT(I437,"" ""),1)"),"#REF!")</f>
        <v>#REF!</v>
      </c>
      <c r="P437" s="3" t="str">
        <f>IFERROR(__xludf.DUMMYFUNCTION("MID(REGEXEXTRACT(I437,"" [^ ]* [^ ]*""),2,300)"),"#REF!")</f>
        <v>#REF!</v>
      </c>
      <c r="Q437" s="3" t="str">
        <f>IFERROR(__xludf.DUMMYFUNCTION("INDEX(SPLIT(J437,"" ""),1)"),"#REF!")</f>
        <v>#REF!</v>
      </c>
      <c r="R437" s="3" t="str">
        <f>IFERROR(__xludf.DUMMYFUNCTION("MID(REGEXEXTRACT(J437,"" [^ ]* [^ ]*""),2,300)"),"#REF!")</f>
        <v>#REF!</v>
      </c>
      <c r="S437" s="3">
        <f t="shared" si="2"/>
        <v>2</v>
      </c>
      <c r="T437" s="3" t="str">
        <f t="shared" si="3"/>
        <v>muted lime</v>
      </c>
      <c r="U437" s="3" t="str">
        <f t="shared" si="4"/>
        <v/>
      </c>
      <c r="V437" s="3" t="str">
        <f t="shared" si="5"/>
        <v/>
      </c>
      <c r="W437" s="3" t="str">
        <f t="shared" si="6"/>
        <v/>
      </c>
      <c r="X437" s="3" t="str">
        <f t="shared" si="7"/>
        <v/>
      </c>
      <c r="Y437" s="3" t="str">
        <f t="shared" si="8"/>
        <v/>
      </c>
      <c r="Z437" s="3" t="str">
        <f t="shared" si="9"/>
        <v/>
      </c>
      <c r="AA437" s="13">
        <f t="shared" si="10"/>
        <v>210190173</v>
      </c>
      <c r="AB437" s="3">
        <f t="shared" si="11"/>
        <v>210190172</v>
      </c>
      <c r="AC437" s="3">
        <f t="shared" si="12"/>
        <v>2</v>
      </c>
      <c r="AD437" s="3">
        <f t="shared" si="13"/>
        <v>105095086</v>
      </c>
      <c r="AE437" s="3" t="str">
        <f t="shared" si="14"/>
        <v/>
      </c>
      <c r="AF437" s="3">
        <f t="shared" si="15"/>
        <v>0</v>
      </c>
      <c r="AG437" s="3" t="str">
        <f t="shared" si="16"/>
        <v/>
      </c>
      <c r="AH437" s="3">
        <f t="shared" si="17"/>
        <v>0</v>
      </c>
      <c r="AI437" s="3" t="str">
        <f t="shared" si="18"/>
        <v/>
      </c>
      <c r="AJ437" s="3">
        <f t="shared" si="19"/>
        <v>0</v>
      </c>
    </row>
    <row r="438">
      <c r="C438" s="6" t="s">
        <v>438</v>
      </c>
      <c r="D438" s="3">
        <f t="shared" si="1"/>
        <v>1</v>
      </c>
      <c r="E438" s="3" t="str">
        <f>IFERROR(__xludf.DUMMYFUNCTION("REGEXEXTRACT(C438,""[^ ]* [^ ]*"")"),"posh crimson")</f>
        <v>posh crimson</v>
      </c>
      <c r="F438" s="3" t="str">
        <f>IFERROR(__xludf.DUMMYFUNCTION("MID(REGEXEXTRACT(C438,""contain.*$""),9,300)"),"4 pale indigo bags, 2 faded green bags.")</f>
        <v>4 pale indigo bags, 2 faded green bags.</v>
      </c>
      <c r="G438" s="3" t="str">
        <f>IFERROR(__xludf.DUMMYFUNCTION("INDEX(SPLIT($F438,"",""),COLUMN()-6)"),"4 pale indigo bags")</f>
        <v>4 pale indigo bags</v>
      </c>
      <c r="H438" s="3" t="str">
        <f>IFERROR(__xludf.DUMMYFUNCTION("MID(INDEX(SPLIT($F438,"",""),COLUMN()-6),2,300)"),"2 faded green bags.")</f>
        <v>2 faded green bags.</v>
      </c>
      <c r="I438" s="3" t="str">
        <f>IFERROR(__xludf.DUMMYFUNCTION("MID(INDEX(SPLIT($F438,"",""),COLUMN()-6),2,300)"),"#REF!")</f>
        <v>#REF!</v>
      </c>
      <c r="J438" s="3" t="str">
        <f>IFERROR(__xludf.DUMMYFUNCTION("MID(INDEX(SPLIT($F438,"",""),COLUMN()-6),2,300)"),"#REF!")</f>
        <v>#REF!</v>
      </c>
      <c r="K438" s="3">
        <f>IFERROR(__xludf.DUMMYFUNCTION("INDEX(SPLIT(G438,"" ""),1)"),4.0)</f>
        <v>4</v>
      </c>
      <c r="L438" s="3" t="str">
        <f>IFERROR(__xludf.DUMMYFUNCTION("REGEXEXTRACT(G438,"" [^ ]* [^ ]* "")")," pale indigo ")</f>
        <v> pale indigo </v>
      </c>
      <c r="M438" s="3">
        <f>IFERROR(__xludf.DUMMYFUNCTION("INDEX(SPLIT(H438,"" ""),1)"),2.0)</f>
        <v>2</v>
      </c>
      <c r="N438" s="3" t="str">
        <f>IFERROR(__xludf.DUMMYFUNCTION("MID(REGEXEXTRACT(H438,"" [^ ]* [^ ]*""),2,300)"),"faded green")</f>
        <v>faded green</v>
      </c>
      <c r="O438" s="3" t="str">
        <f>IFERROR(__xludf.DUMMYFUNCTION("INDEX(SPLIT(I438,"" ""),1)"),"#REF!")</f>
        <v>#REF!</v>
      </c>
      <c r="P438" s="3" t="str">
        <f>IFERROR(__xludf.DUMMYFUNCTION("MID(REGEXEXTRACT(I438,"" [^ ]* [^ ]*""),2,300)"),"#REF!")</f>
        <v>#REF!</v>
      </c>
      <c r="Q438" s="3" t="str">
        <f>IFERROR(__xludf.DUMMYFUNCTION("INDEX(SPLIT(J438,"" ""),1)"),"#REF!")</f>
        <v>#REF!</v>
      </c>
      <c r="R438" s="3" t="str">
        <f>IFERROR(__xludf.DUMMYFUNCTION("MID(REGEXEXTRACT(J438,"" [^ ]* [^ ]*""),2,300)"),"#REF!")</f>
        <v>#REF!</v>
      </c>
      <c r="S438" s="3">
        <f t="shared" si="2"/>
        <v>4</v>
      </c>
      <c r="T438" s="3" t="str">
        <f t="shared" si="3"/>
        <v>pale indigo</v>
      </c>
      <c r="U438" s="3">
        <f t="shared" si="4"/>
        <v>2</v>
      </c>
      <c r="V438" s="3" t="str">
        <f t="shared" si="5"/>
        <v>faded green</v>
      </c>
      <c r="W438" s="3" t="str">
        <f t="shared" si="6"/>
        <v/>
      </c>
      <c r="X438" s="3" t="str">
        <f t="shared" si="7"/>
        <v/>
      </c>
      <c r="Y438" s="3" t="str">
        <f t="shared" si="8"/>
        <v/>
      </c>
      <c r="Z438" s="3" t="str">
        <f t="shared" si="9"/>
        <v/>
      </c>
      <c r="AA438" s="13">
        <f t="shared" si="10"/>
        <v>375299205</v>
      </c>
      <c r="AB438" s="3">
        <f t="shared" si="11"/>
        <v>375299204</v>
      </c>
      <c r="AC438" s="3">
        <f t="shared" si="12"/>
        <v>4</v>
      </c>
      <c r="AD438" s="3">
        <f t="shared" si="13"/>
        <v>93823002</v>
      </c>
      <c r="AE438" s="3">
        <f t="shared" si="14"/>
        <v>2</v>
      </c>
      <c r="AF438" s="3">
        <f t="shared" si="15"/>
        <v>3598</v>
      </c>
      <c r="AG438" s="3" t="str">
        <f t="shared" si="16"/>
        <v/>
      </c>
      <c r="AH438" s="3">
        <f t="shared" si="17"/>
        <v>0</v>
      </c>
      <c r="AI438" s="3" t="str">
        <f t="shared" si="18"/>
        <v/>
      </c>
      <c r="AJ438" s="3">
        <f t="shared" si="19"/>
        <v>0</v>
      </c>
    </row>
    <row r="439">
      <c r="C439" s="6" t="s">
        <v>439</v>
      </c>
      <c r="D439" s="3">
        <f t="shared" si="1"/>
        <v>3</v>
      </c>
      <c r="E439" s="3" t="str">
        <f>IFERROR(__xludf.DUMMYFUNCTION("REGEXEXTRACT(C439,""[^ ]* [^ ]*"")"),"vibrant plum")</f>
        <v>vibrant plum</v>
      </c>
      <c r="F439" s="3" t="str">
        <f>IFERROR(__xludf.DUMMYFUNCTION("MID(REGEXEXTRACT(C439,""contain.*$""),9,300)"),"1 posh gray bag, 3 mirrored silver bags, 4 bright brown bags, 2 posh magenta bags.")</f>
        <v>1 posh gray bag, 3 mirrored silver bags, 4 bright brown bags, 2 posh magenta bags.</v>
      </c>
      <c r="G439" s="3" t="str">
        <f>IFERROR(__xludf.DUMMYFUNCTION("INDEX(SPLIT($F439,"",""),COLUMN()-6)"),"1 posh gray bag")</f>
        <v>1 posh gray bag</v>
      </c>
      <c r="H439" s="3" t="str">
        <f>IFERROR(__xludf.DUMMYFUNCTION("MID(INDEX(SPLIT($F439,"",""),COLUMN()-6),2,300)"),"3 mirrored silver bags")</f>
        <v>3 mirrored silver bags</v>
      </c>
      <c r="I439" s="3" t="str">
        <f>IFERROR(__xludf.DUMMYFUNCTION("MID(INDEX(SPLIT($F439,"",""),COLUMN()-6),2,300)"),"4 bright brown bags")</f>
        <v>4 bright brown bags</v>
      </c>
      <c r="J439" s="3" t="str">
        <f>IFERROR(__xludf.DUMMYFUNCTION("MID(INDEX(SPLIT($F439,"",""),COLUMN()-6),2,300)"),"2 posh magenta bags.")</f>
        <v>2 posh magenta bags.</v>
      </c>
      <c r="K439" s="3">
        <f>IFERROR(__xludf.DUMMYFUNCTION("INDEX(SPLIT(G439,"" ""),1)"),1.0)</f>
        <v>1</v>
      </c>
      <c r="L439" s="3" t="str">
        <f>IFERROR(__xludf.DUMMYFUNCTION("REGEXEXTRACT(G439,"" [^ ]* [^ ]* "")")," posh gray ")</f>
        <v> posh gray </v>
      </c>
      <c r="M439" s="3">
        <f>IFERROR(__xludf.DUMMYFUNCTION("INDEX(SPLIT(H439,"" ""),1)"),3.0)</f>
        <v>3</v>
      </c>
      <c r="N439" s="3" t="str">
        <f>IFERROR(__xludf.DUMMYFUNCTION("MID(REGEXEXTRACT(H439,"" [^ ]* [^ ]*""),2,300)"),"mirrored silver")</f>
        <v>mirrored silver</v>
      </c>
      <c r="O439" s="3">
        <f>IFERROR(__xludf.DUMMYFUNCTION("INDEX(SPLIT(I439,"" ""),1)"),4.0)</f>
        <v>4</v>
      </c>
      <c r="P439" s="3" t="str">
        <f>IFERROR(__xludf.DUMMYFUNCTION("MID(REGEXEXTRACT(I439,"" [^ ]* [^ ]*""),2,300)"),"bright brown")</f>
        <v>bright brown</v>
      </c>
      <c r="Q439" s="3">
        <f>IFERROR(__xludf.DUMMYFUNCTION("INDEX(SPLIT(J439,"" ""),1)"),2.0)</f>
        <v>2</v>
      </c>
      <c r="R439" s="3" t="str">
        <f>IFERROR(__xludf.DUMMYFUNCTION("MID(REGEXEXTRACT(J439,"" [^ ]* [^ ]*""),2,300)"),"posh magenta")</f>
        <v>posh magenta</v>
      </c>
      <c r="S439" s="3">
        <f t="shared" si="2"/>
        <v>1</v>
      </c>
      <c r="T439" s="3" t="str">
        <f t="shared" si="3"/>
        <v>posh gray</v>
      </c>
      <c r="U439" s="3">
        <f t="shared" si="4"/>
        <v>3</v>
      </c>
      <c r="V439" s="3" t="str">
        <f t="shared" si="5"/>
        <v>mirrored silver</v>
      </c>
      <c r="W439" s="3">
        <f t="shared" si="6"/>
        <v>4</v>
      </c>
      <c r="X439" s="3" t="str">
        <f t="shared" si="7"/>
        <v>bright brown</v>
      </c>
      <c r="Y439" s="3">
        <f t="shared" si="8"/>
        <v>2</v>
      </c>
      <c r="Z439" s="3" t="str">
        <f t="shared" si="9"/>
        <v>posh magenta</v>
      </c>
      <c r="AA439" s="13">
        <f t="shared" si="10"/>
        <v>26642</v>
      </c>
      <c r="AB439" s="3">
        <f t="shared" si="11"/>
        <v>26641</v>
      </c>
      <c r="AC439" s="3">
        <f t="shared" si="12"/>
        <v>1</v>
      </c>
      <c r="AD439" s="3">
        <f t="shared" si="13"/>
        <v>25477</v>
      </c>
      <c r="AE439" s="3">
        <f t="shared" si="14"/>
        <v>3</v>
      </c>
      <c r="AF439" s="3">
        <f t="shared" si="15"/>
        <v>386</v>
      </c>
      <c r="AG439" s="3">
        <f t="shared" si="16"/>
        <v>4</v>
      </c>
      <c r="AH439" s="3">
        <f t="shared" si="17"/>
        <v>1</v>
      </c>
      <c r="AI439" s="3">
        <f t="shared" si="18"/>
        <v>2</v>
      </c>
      <c r="AJ439" s="3">
        <f t="shared" si="19"/>
        <v>1</v>
      </c>
    </row>
    <row r="440">
      <c r="C440" s="6" t="s">
        <v>440</v>
      </c>
      <c r="D440" s="3">
        <f t="shared" si="1"/>
        <v>3</v>
      </c>
      <c r="E440" s="3" t="str">
        <f>IFERROR(__xludf.DUMMYFUNCTION("REGEXEXTRACT(C440,""[^ ]* [^ ]*"")"),"wavy lime")</f>
        <v>wavy lime</v>
      </c>
      <c r="F440" s="3" t="str">
        <f>IFERROR(__xludf.DUMMYFUNCTION("MID(REGEXEXTRACT(C440,""contain.*$""),9,300)"),"4 wavy black bags, 4 shiny cyan bags, 5 striped aqua bags, 4 plaid gray bags.")</f>
        <v>4 wavy black bags, 4 shiny cyan bags, 5 striped aqua bags, 4 plaid gray bags.</v>
      </c>
      <c r="G440" s="3" t="str">
        <f>IFERROR(__xludf.DUMMYFUNCTION("INDEX(SPLIT($F440,"",""),COLUMN()-6)"),"4 wavy black bags")</f>
        <v>4 wavy black bags</v>
      </c>
      <c r="H440" s="3" t="str">
        <f>IFERROR(__xludf.DUMMYFUNCTION("MID(INDEX(SPLIT($F440,"",""),COLUMN()-6),2,300)"),"4 shiny cyan bags")</f>
        <v>4 shiny cyan bags</v>
      </c>
      <c r="I440" s="3" t="str">
        <f>IFERROR(__xludf.DUMMYFUNCTION("MID(INDEX(SPLIT($F440,"",""),COLUMN()-6),2,300)"),"5 striped aqua bags")</f>
        <v>5 striped aqua bags</v>
      </c>
      <c r="J440" s="3" t="str">
        <f>IFERROR(__xludf.DUMMYFUNCTION("MID(INDEX(SPLIT($F440,"",""),COLUMN()-6),2,300)"),"4 plaid gray bags.")</f>
        <v>4 plaid gray bags.</v>
      </c>
      <c r="K440" s="3">
        <f>IFERROR(__xludf.DUMMYFUNCTION("INDEX(SPLIT(G440,"" ""),1)"),4.0)</f>
        <v>4</v>
      </c>
      <c r="L440" s="3" t="str">
        <f>IFERROR(__xludf.DUMMYFUNCTION("REGEXEXTRACT(G440,"" [^ ]* [^ ]* "")")," wavy black ")</f>
        <v> wavy black </v>
      </c>
      <c r="M440" s="3">
        <f>IFERROR(__xludf.DUMMYFUNCTION("INDEX(SPLIT(H440,"" ""),1)"),4.0)</f>
        <v>4</v>
      </c>
      <c r="N440" s="3" t="str">
        <f>IFERROR(__xludf.DUMMYFUNCTION("MID(REGEXEXTRACT(H440,"" [^ ]* [^ ]*""),2,300)"),"shiny cyan")</f>
        <v>shiny cyan</v>
      </c>
      <c r="O440" s="3">
        <f>IFERROR(__xludf.DUMMYFUNCTION("INDEX(SPLIT(I440,"" ""),1)"),5.0)</f>
        <v>5</v>
      </c>
      <c r="P440" s="3" t="str">
        <f>IFERROR(__xludf.DUMMYFUNCTION("MID(REGEXEXTRACT(I440,"" [^ ]* [^ ]*""),2,300)"),"striped aqua")</f>
        <v>striped aqua</v>
      </c>
      <c r="Q440" s="3">
        <f>IFERROR(__xludf.DUMMYFUNCTION("INDEX(SPLIT(J440,"" ""),1)"),4.0)</f>
        <v>4</v>
      </c>
      <c r="R440" s="3" t="str">
        <f>IFERROR(__xludf.DUMMYFUNCTION("MID(REGEXEXTRACT(J440,"" [^ ]* [^ ]*""),2,300)"),"plaid gray")</f>
        <v>plaid gray</v>
      </c>
      <c r="S440" s="3">
        <f t="shared" si="2"/>
        <v>4</v>
      </c>
      <c r="T440" s="3" t="str">
        <f t="shared" si="3"/>
        <v>wavy black</v>
      </c>
      <c r="U440" s="3">
        <f t="shared" si="4"/>
        <v>4</v>
      </c>
      <c r="V440" s="3" t="str">
        <f t="shared" si="5"/>
        <v>shiny cyan</v>
      </c>
      <c r="W440" s="3">
        <f t="shared" si="6"/>
        <v>5</v>
      </c>
      <c r="X440" s="3" t="str">
        <f t="shared" si="7"/>
        <v>striped aqua</v>
      </c>
      <c r="Y440" s="3">
        <f t="shared" si="8"/>
        <v>4</v>
      </c>
      <c r="Z440" s="3" t="str">
        <f t="shared" si="9"/>
        <v>plaid gray</v>
      </c>
      <c r="AA440" s="13">
        <f t="shared" si="10"/>
        <v>970267225</v>
      </c>
      <c r="AB440" s="3">
        <f t="shared" si="11"/>
        <v>970267224</v>
      </c>
      <c r="AC440" s="3">
        <f t="shared" si="12"/>
        <v>4</v>
      </c>
      <c r="AD440" s="3">
        <f t="shared" si="13"/>
        <v>242332348</v>
      </c>
      <c r="AE440" s="3">
        <f t="shared" si="14"/>
        <v>4</v>
      </c>
      <c r="AF440" s="3">
        <f t="shared" si="15"/>
        <v>4</v>
      </c>
      <c r="AG440" s="3">
        <f t="shared" si="16"/>
        <v>5</v>
      </c>
      <c r="AH440" s="3">
        <f t="shared" si="17"/>
        <v>187520</v>
      </c>
      <c r="AI440" s="3">
        <f t="shared" si="18"/>
        <v>4</v>
      </c>
      <c r="AJ440" s="3">
        <f t="shared" si="19"/>
        <v>54</v>
      </c>
    </row>
    <row r="441">
      <c r="C441" s="6" t="s">
        <v>441</v>
      </c>
      <c r="D441" s="3">
        <f t="shared" si="1"/>
        <v>2</v>
      </c>
      <c r="E441" s="3" t="str">
        <f>IFERROR(__xludf.DUMMYFUNCTION("REGEXEXTRACT(C441,""[^ ]* [^ ]*"")"),"shiny silver")</f>
        <v>shiny silver</v>
      </c>
      <c r="F441" s="3" t="str">
        <f>IFERROR(__xludf.DUMMYFUNCTION("MID(REGEXEXTRACT(C441,""contain.*$""),9,300)"),"5 dotted crimson bags, 2 wavy turquoise bags, 1 shiny coral bag.")</f>
        <v>5 dotted crimson bags, 2 wavy turquoise bags, 1 shiny coral bag.</v>
      </c>
      <c r="G441" s="3" t="str">
        <f>IFERROR(__xludf.DUMMYFUNCTION("INDEX(SPLIT($F441,"",""),COLUMN()-6)"),"5 dotted crimson bags")</f>
        <v>5 dotted crimson bags</v>
      </c>
      <c r="H441" s="3" t="str">
        <f>IFERROR(__xludf.DUMMYFUNCTION("MID(INDEX(SPLIT($F441,"",""),COLUMN()-6),2,300)"),"2 wavy turquoise bags")</f>
        <v>2 wavy turquoise bags</v>
      </c>
      <c r="I441" s="3" t="str">
        <f>IFERROR(__xludf.DUMMYFUNCTION("MID(INDEX(SPLIT($F441,"",""),COLUMN()-6),2,300)"),"1 shiny coral bag.")</f>
        <v>1 shiny coral bag.</v>
      </c>
      <c r="J441" s="3" t="str">
        <f>IFERROR(__xludf.DUMMYFUNCTION("MID(INDEX(SPLIT($F441,"",""),COLUMN()-6),2,300)"),"#REF!")</f>
        <v>#REF!</v>
      </c>
      <c r="K441" s="3">
        <f>IFERROR(__xludf.DUMMYFUNCTION("INDEX(SPLIT(G441,"" ""),1)"),5.0)</f>
        <v>5</v>
      </c>
      <c r="L441" s="3" t="str">
        <f>IFERROR(__xludf.DUMMYFUNCTION("REGEXEXTRACT(G441,"" [^ ]* [^ ]* "")")," dotted crimson ")</f>
        <v> dotted crimson </v>
      </c>
      <c r="M441" s="3">
        <f>IFERROR(__xludf.DUMMYFUNCTION("INDEX(SPLIT(H441,"" ""),1)"),2.0)</f>
        <v>2</v>
      </c>
      <c r="N441" s="3" t="str">
        <f>IFERROR(__xludf.DUMMYFUNCTION("MID(REGEXEXTRACT(H441,"" [^ ]* [^ ]*""),2,300)"),"wavy turquoise")</f>
        <v>wavy turquoise</v>
      </c>
      <c r="O441" s="3">
        <f>IFERROR(__xludf.DUMMYFUNCTION("INDEX(SPLIT(I441,"" ""),1)"),1.0)</f>
        <v>1</v>
      </c>
      <c r="P441" s="3" t="str">
        <f>IFERROR(__xludf.DUMMYFUNCTION("MID(REGEXEXTRACT(I441,"" [^ ]* [^ ]*""),2,300)"),"shiny coral")</f>
        <v>shiny coral</v>
      </c>
      <c r="Q441" s="3" t="str">
        <f>IFERROR(__xludf.DUMMYFUNCTION("INDEX(SPLIT(J441,"" ""),1)"),"#REF!")</f>
        <v>#REF!</v>
      </c>
      <c r="R441" s="3" t="str">
        <f>IFERROR(__xludf.DUMMYFUNCTION("MID(REGEXEXTRACT(J441,"" [^ ]* [^ ]*""),2,300)"),"#REF!")</f>
        <v>#REF!</v>
      </c>
      <c r="S441" s="3">
        <f t="shared" si="2"/>
        <v>5</v>
      </c>
      <c r="T441" s="3" t="str">
        <f t="shared" si="3"/>
        <v>dotted crimson</v>
      </c>
      <c r="U441" s="3">
        <f t="shared" si="4"/>
        <v>2</v>
      </c>
      <c r="V441" s="3" t="str">
        <f t="shared" si="5"/>
        <v>wavy turquoise</v>
      </c>
      <c r="W441" s="3">
        <f t="shared" si="6"/>
        <v>1</v>
      </c>
      <c r="X441" s="3" t="str">
        <f t="shared" si="7"/>
        <v>shiny coral</v>
      </c>
      <c r="Y441" s="3" t="str">
        <f t="shared" si="8"/>
        <v/>
      </c>
      <c r="Z441" s="3" t="str">
        <f t="shared" si="9"/>
        <v/>
      </c>
      <c r="AA441" s="13">
        <f t="shared" si="10"/>
        <v>29367</v>
      </c>
      <c r="AB441" s="3">
        <f t="shared" si="11"/>
        <v>29366</v>
      </c>
      <c r="AC441" s="3">
        <f t="shared" si="12"/>
        <v>5</v>
      </c>
      <c r="AD441" s="3">
        <f t="shared" si="13"/>
        <v>1279</v>
      </c>
      <c r="AE441" s="3">
        <f t="shared" si="14"/>
        <v>2</v>
      </c>
      <c r="AF441" s="3">
        <f t="shared" si="15"/>
        <v>11485</v>
      </c>
      <c r="AG441" s="3">
        <f t="shared" si="16"/>
        <v>1</v>
      </c>
      <c r="AH441" s="3">
        <f t="shared" si="17"/>
        <v>1</v>
      </c>
      <c r="AI441" s="3" t="str">
        <f t="shared" si="18"/>
        <v/>
      </c>
      <c r="AJ441" s="3">
        <f t="shared" si="19"/>
        <v>0</v>
      </c>
    </row>
    <row r="442">
      <c r="C442" s="6" t="s">
        <v>442</v>
      </c>
      <c r="D442" s="3">
        <f t="shared" si="1"/>
        <v>0</v>
      </c>
      <c r="E442" s="3" t="str">
        <f>IFERROR(__xludf.DUMMYFUNCTION("REGEXEXTRACT(C442,""[^ ]* [^ ]*"")"),"dark tan")</f>
        <v>dark tan</v>
      </c>
      <c r="F442" s="3" t="str">
        <f>IFERROR(__xludf.DUMMYFUNCTION("MID(REGEXEXTRACT(C442,""contain.*$""),9,300)"),"5 clear silver bags.")</f>
        <v>5 clear silver bags.</v>
      </c>
      <c r="G442" s="3" t="str">
        <f>IFERROR(__xludf.DUMMYFUNCTION("INDEX(SPLIT($F442,"",""),COLUMN()-6)"),"5 clear silver bags.")</f>
        <v>5 clear silver bags.</v>
      </c>
      <c r="H442" s="3" t="str">
        <f>IFERROR(__xludf.DUMMYFUNCTION("MID(INDEX(SPLIT($F442,"",""),COLUMN()-6),2,300)"),"#REF!")</f>
        <v>#REF!</v>
      </c>
      <c r="I442" s="3" t="str">
        <f>IFERROR(__xludf.DUMMYFUNCTION("MID(INDEX(SPLIT($F442,"",""),COLUMN()-6),2,300)"),"#REF!")</f>
        <v>#REF!</v>
      </c>
      <c r="J442" s="3" t="str">
        <f>IFERROR(__xludf.DUMMYFUNCTION("MID(INDEX(SPLIT($F442,"",""),COLUMN()-6),2,300)"),"#REF!")</f>
        <v>#REF!</v>
      </c>
      <c r="K442" s="3">
        <f>IFERROR(__xludf.DUMMYFUNCTION("INDEX(SPLIT(G442,"" ""),1)"),5.0)</f>
        <v>5</v>
      </c>
      <c r="L442" s="3" t="str">
        <f>IFERROR(__xludf.DUMMYFUNCTION("REGEXEXTRACT(G442,"" [^ ]* [^ ]* "")")," clear silver ")</f>
        <v> clear silver </v>
      </c>
      <c r="M442" s="3" t="str">
        <f>IFERROR(__xludf.DUMMYFUNCTION("INDEX(SPLIT(H442,"" ""),1)"),"#REF!")</f>
        <v>#REF!</v>
      </c>
      <c r="N442" s="3" t="str">
        <f>IFERROR(__xludf.DUMMYFUNCTION("MID(REGEXEXTRACT(H442,"" [^ ]* [^ ]*""),2,300)"),"#REF!")</f>
        <v>#REF!</v>
      </c>
      <c r="O442" s="3" t="str">
        <f>IFERROR(__xludf.DUMMYFUNCTION("INDEX(SPLIT(I442,"" ""),1)"),"#REF!")</f>
        <v>#REF!</v>
      </c>
      <c r="P442" s="3" t="str">
        <f>IFERROR(__xludf.DUMMYFUNCTION("MID(REGEXEXTRACT(I442,"" [^ ]* [^ ]*""),2,300)"),"#REF!")</f>
        <v>#REF!</v>
      </c>
      <c r="Q442" s="3" t="str">
        <f>IFERROR(__xludf.DUMMYFUNCTION("INDEX(SPLIT(J442,"" ""),1)"),"#REF!")</f>
        <v>#REF!</v>
      </c>
      <c r="R442" s="3" t="str">
        <f>IFERROR(__xludf.DUMMYFUNCTION("MID(REGEXEXTRACT(J442,"" [^ ]* [^ ]*""),2,300)"),"#REF!")</f>
        <v>#REF!</v>
      </c>
      <c r="S442" s="3">
        <f t="shared" si="2"/>
        <v>5</v>
      </c>
      <c r="T442" s="3" t="str">
        <f t="shared" si="3"/>
        <v>clear silver</v>
      </c>
      <c r="U442" s="3" t="str">
        <f t="shared" si="4"/>
        <v/>
      </c>
      <c r="V442" s="3" t="str">
        <f t="shared" si="5"/>
        <v/>
      </c>
      <c r="W442" s="3" t="str">
        <f t="shared" si="6"/>
        <v/>
      </c>
      <c r="X442" s="3" t="str">
        <f t="shared" si="7"/>
        <v/>
      </c>
      <c r="Y442" s="3" t="str">
        <f t="shared" si="8"/>
        <v/>
      </c>
      <c r="Z442" s="3" t="str">
        <f t="shared" si="9"/>
        <v/>
      </c>
      <c r="AA442" s="13">
        <f t="shared" si="10"/>
        <v>1086</v>
      </c>
      <c r="AB442" s="3">
        <f t="shared" si="11"/>
        <v>1085</v>
      </c>
      <c r="AC442" s="3">
        <f t="shared" si="12"/>
        <v>5</v>
      </c>
      <c r="AD442" s="3">
        <f t="shared" si="13"/>
        <v>217</v>
      </c>
      <c r="AE442" s="3" t="str">
        <f t="shared" si="14"/>
        <v/>
      </c>
      <c r="AF442" s="3">
        <f t="shared" si="15"/>
        <v>0</v>
      </c>
      <c r="AG442" s="3" t="str">
        <f t="shared" si="16"/>
        <v/>
      </c>
      <c r="AH442" s="3">
        <f t="shared" si="17"/>
        <v>0</v>
      </c>
      <c r="AI442" s="3" t="str">
        <f t="shared" si="18"/>
        <v/>
      </c>
      <c r="AJ442" s="3">
        <f t="shared" si="19"/>
        <v>0</v>
      </c>
    </row>
    <row r="443">
      <c r="C443" s="6" t="s">
        <v>443</v>
      </c>
      <c r="D443" s="3">
        <f t="shared" si="1"/>
        <v>3</v>
      </c>
      <c r="E443" s="3" t="str">
        <f>IFERROR(__xludf.DUMMYFUNCTION("REGEXEXTRACT(C443,""[^ ]* [^ ]*"")"),"mirrored brown")</f>
        <v>mirrored brown</v>
      </c>
      <c r="F443" s="3" t="str">
        <f>IFERROR(__xludf.DUMMYFUNCTION("MID(REGEXEXTRACT(C443,""contain.*$""),9,300)"),"1 dotted brown bag, 2 plaid gray bags, 5 dull tomato bags, 5 clear black bags.")</f>
        <v>1 dotted brown bag, 2 plaid gray bags, 5 dull tomato bags, 5 clear black bags.</v>
      </c>
      <c r="G443" s="3" t="str">
        <f>IFERROR(__xludf.DUMMYFUNCTION("INDEX(SPLIT($F443,"",""),COLUMN()-6)"),"1 dotted brown bag")</f>
        <v>1 dotted brown bag</v>
      </c>
      <c r="H443" s="3" t="str">
        <f>IFERROR(__xludf.DUMMYFUNCTION("MID(INDEX(SPLIT($F443,"",""),COLUMN()-6),2,300)"),"2 plaid gray bags")</f>
        <v>2 plaid gray bags</v>
      </c>
      <c r="I443" s="3" t="str">
        <f>IFERROR(__xludf.DUMMYFUNCTION("MID(INDEX(SPLIT($F443,"",""),COLUMN()-6),2,300)"),"5 dull tomato bags")</f>
        <v>5 dull tomato bags</v>
      </c>
      <c r="J443" s="3" t="str">
        <f>IFERROR(__xludf.DUMMYFUNCTION("MID(INDEX(SPLIT($F443,"",""),COLUMN()-6),2,300)"),"5 clear black bags.")</f>
        <v>5 clear black bags.</v>
      </c>
      <c r="K443" s="3">
        <f>IFERROR(__xludf.DUMMYFUNCTION("INDEX(SPLIT(G443,"" ""),1)"),1.0)</f>
        <v>1</v>
      </c>
      <c r="L443" s="3" t="str">
        <f>IFERROR(__xludf.DUMMYFUNCTION("REGEXEXTRACT(G443,"" [^ ]* [^ ]* "")")," dotted brown ")</f>
        <v> dotted brown </v>
      </c>
      <c r="M443" s="3">
        <f>IFERROR(__xludf.DUMMYFUNCTION("INDEX(SPLIT(H443,"" ""),1)"),2.0)</f>
        <v>2</v>
      </c>
      <c r="N443" s="3" t="str">
        <f>IFERROR(__xludf.DUMMYFUNCTION("MID(REGEXEXTRACT(H443,"" [^ ]* [^ ]*""),2,300)"),"plaid gray")</f>
        <v>plaid gray</v>
      </c>
      <c r="O443" s="3">
        <f>IFERROR(__xludf.DUMMYFUNCTION("INDEX(SPLIT(I443,"" ""),1)"),5.0)</f>
        <v>5</v>
      </c>
      <c r="P443" s="3" t="str">
        <f>IFERROR(__xludf.DUMMYFUNCTION("MID(REGEXEXTRACT(I443,"" [^ ]* [^ ]*""),2,300)"),"dull tomato")</f>
        <v>dull tomato</v>
      </c>
      <c r="Q443" s="3">
        <f>IFERROR(__xludf.DUMMYFUNCTION("INDEX(SPLIT(J443,"" ""),1)"),5.0)</f>
        <v>5</v>
      </c>
      <c r="R443" s="3" t="str">
        <f>IFERROR(__xludf.DUMMYFUNCTION("MID(REGEXEXTRACT(J443,"" [^ ]* [^ ]*""),2,300)"),"clear black")</f>
        <v>clear black</v>
      </c>
      <c r="S443" s="3">
        <f t="shared" si="2"/>
        <v>1</v>
      </c>
      <c r="T443" s="3" t="str">
        <f t="shared" si="3"/>
        <v>dotted brown</v>
      </c>
      <c r="U443" s="3">
        <f t="shared" si="4"/>
        <v>2</v>
      </c>
      <c r="V443" s="3" t="str">
        <f t="shared" si="5"/>
        <v>plaid gray</v>
      </c>
      <c r="W443" s="3">
        <f t="shared" si="6"/>
        <v>5</v>
      </c>
      <c r="X443" s="3" t="str">
        <f t="shared" si="7"/>
        <v>dull tomato</v>
      </c>
      <c r="Y443" s="3">
        <f t="shared" si="8"/>
        <v>5</v>
      </c>
      <c r="Z443" s="3" t="str">
        <f t="shared" si="9"/>
        <v>clear black</v>
      </c>
      <c r="AA443" s="13">
        <f t="shared" si="10"/>
        <v>529</v>
      </c>
      <c r="AB443" s="3">
        <f t="shared" si="11"/>
        <v>528</v>
      </c>
      <c r="AC443" s="3">
        <f t="shared" si="12"/>
        <v>1</v>
      </c>
      <c r="AD443" s="3">
        <f t="shared" si="13"/>
        <v>305</v>
      </c>
      <c r="AE443" s="3">
        <f t="shared" si="14"/>
        <v>2</v>
      </c>
      <c r="AF443" s="3">
        <f t="shared" si="15"/>
        <v>54</v>
      </c>
      <c r="AG443" s="3">
        <f t="shared" si="16"/>
        <v>5</v>
      </c>
      <c r="AH443" s="3">
        <f t="shared" si="17"/>
        <v>11</v>
      </c>
      <c r="AI443" s="3">
        <f t="shared" si="18"/>
        <v>5</v>
      </c>
      <c r="AJ443" s="3">
        <f t="shared" si="19"/>
        <v>12</v>
      </c>
    </row>
    <row r="444">
      <c r="C444" s="6" t="s">
        <v>444</v>
      </c>
      <c r="D444" s="3">
        <f t="shared" si="1"/>
        <v>2</v>
      </c>
      <c r="E444" s="3" t="str">
        <f>IFERROR(__xludf.DUMMYFUNCTION("REGEXEXTRACT(C444,""[^ ]* [^ ]*"")"),"muted brown")</f>
        <v>muted brown</v>
      </c>
      <c r="F444" s="3" t="str">
        <f>IFERROR(__xludf.DUMMYFUNCTION("MID(REGEXEXTRACT(C444,""contain.*$""),9,300)"),"3 drab magenta bags, 4 plaid aqua bags, 5 dim black bags.")</f>
        <v>3 drab magenta bags, 4 plaid aqua bags, 5 dim black bags.</v>
      </c>
      <c r="G444" s="3" t="str">
        <f>IFERROR(__xludf.DUMMYFUNCTION("INDEX(SPLIT($F444,"",""),COLUMN()-6)"),"3 drab magenta bags")</f>
        <v>3 drab magenta bags</v>
      </c>
      <c r="H444" s="3" t="str">
        <f>IFERROR(__xludf.DUMMYFUNCTION("MID(INDEX(SPLIT($F444,"",""),COLUMN()-6),2,300)"),"4 plaid aqua bags")</f>
        <v>4 plaid aqua bags</v>
      </c>
      <c r="I444" s="3" t="str">
        <f>IFERROR(__xludf.DUMMYFUNCTION("MID(INDEX(SPLIT($F444,"",""),COLUMN()-6),2,300)"),"5 dim black bags.")</f>
        <v>5 dim black bags.</v>
      </c>
      <c r="J444" s="3" t="str">
        <f>IFERROR(__xludf.DUMMYFUNCTION("MID(INDEX(SPLIT($F444,"",""),COLUMN()-6),2,300)"),"#REF!")</f>
        <v>#REF!</v>
      </c>
      <c r="K444" s="3">
        <f>IFERROR(__xludf.DUMMYFUNCTION("INDEX(SPLIT(G444,"" ""),1)"),3.0)</f>
        <v>3</v>
      </c>
      <c r="L444" s="3" t="str">
        <f>IFERROR(__xludf.DUMMYFUNCTION("REGEXEXTRACT(G444,"" [^ ]* [^ ]* "")")," drab magenta ")</f>
        <v> drab magenta </v>
      </c>
      <c r="M444" s="3">
        <f>IFERROR(__xludf.DUMMYFUNCTION("INDEX(SPLIT(H444,"" ""),1)"),4.0)</f>
        <v>4</v>
      </c>
      <c r="N444" s="3" t="str">
        <f>IFERROR(__xludf.DUMMYFUNCTION("MID(REGEXEXTRACT(H444,"" [^ ]* [^ ]*""),2,300)"),"plaid aqua")</f>
        <v>plaid aqua</v>
      </c>
      <c r="O444" s="3">
        <f>IFERROR(__xludf.DUMMYFUNCTION("INDEX(SPLIT(I444,"" ""),1)"),5.0)</f>
        <v>5</v>
      </c>
      <c r="P444" s="3" t="str">
        <f>IFERROR(__xludf.DUMMYFUNCTION("MID(REGEXEXTRACT(I444,"" [^ ]* [^ ]*""),2,300)"),"dim black")</f>
        <v>dim black</v>
      </c>
      <c r="Q444" s="3" t="str">
        <f>IFERROR(__xludf.DUMMYFUNCTION("INDEX(SPLIT(J444,"" ""),1)"),"#REF!")</f>
        <v>#REF!</v>
      </c>
      <c r="R444" s="3" t="str">
        <f>IFERROR(__xludf.DUMMYFUNCTION("MID(REGEXEXTRACT(J444,"" [^ ]* [^ ]*""),2,300)"),"#REF!")</f>
        <v>#REF!</v>
      </c>
      <c r="S444" s="3">
        <f t="shared" si="2"/>
        <v>3</v>
      </c>
      <c r="T444" s="3" t="str">
        <f t="shared" si="3"/>
        <v>drab magenta</v>
      </c>
      <c r="U444" s="3">
        <f t="shared" si="4"/>
        <v>4</v>
      </c>
      <c r="V444" s="3" t="str">
        <f t="shared" si="5"/>
        <v>plaid aqua</v>
      </c>
      <c r="W444" s="3">
        <f t="shared" si="6"/>
        <v>5</v>
      </c>
      <c r="X444" s="3" t="str">
        <f t="shared" si="7"/>
        <v>dim black</v>
      </c>
      <c r="Y444" s="3" t="str">
        <f t="shared" si="8"/>
        <v/>
      </c>
      <c r="Z444" s="3" t="str">
        <f t="shared" si="9"/>
        <v/>
      </c>
      <c r="AA444" s="13">
        <f t="shared" si="10"/>
        <v>591080</v>
      </c>
      <c r="AB444" s="3">
        <f t="shared" si="11"/>
        <v>591079</v>
      </c>
      <c r="AC444" s="3">
        <f t="shared" si="12"/>
        <v>3</v>
      </c>
      <c r="AD444" s="3">
        <f t="shared" si="13"/>
        <v>1225</v>
      </c>
      <c r="AE444" s="3">
        <f t="shared" si="14"/>
        <v>4</v>
      </c>
      <c r="AF444" s="3">
        <f t="shared" si="15"/>
        <v>1</v>
      </c>
      <c r="AG444" s="3">
        <f t="shared" si="16"/>
        <v>5</v>
      </c>
      <c r="AH444" s="3">
        <f t="shared" si="17"/>
        <v>117480</v>
      </c>
      <c r="AI444" s="3" t="str">
        <f t="shared" si="18"/>
        <v/>
      </c>
      <c r="AJ444" s="3">
        <f t="shared" si="19"/>
        <v>0</v>
      </c>
    </row>
    <row r="445">
      <c r="C445" s="6" t="s">
        <v>445</v>
      </c>
      <c r="D445" s="3">
        <f t="shared" si="1"/>
        <v>2</v>
      </c>
      <c r="E445" s="3" t="str">
        <f>IFERROR(__xludf.DUMMYFUNCTION("REGEXEXTRACT(C445,""[^ ]* [^ ]*"")"),"posh black")</f>
        <v>posh black</v>
      </c>
      <c r="F445" s="3" t="str">
        <f>IFERROR(__xludf.DUMMYFUNCTION("MID(REGEXEXTRACT(C445,""contain.*$""),9,300)"),"2 bright turquoise bags, 3 mirrored maroon bags, 1 dull white bag.")</f>
        <v>2 bright turquoise bags, 3 mirrored maroon bags, 1 dull white bag.</v>
      </c>
      <c r="G445" s="3" t="str">
        <f>IFERROR(__xludf.DUMMYFUNCTION("INDEX(SPLIT($F445,"",""),COLUMN()-6)"),"2 bright turquoise bags")</f>
        <v>2 bright turquoise bags</v>
      </c>
      <c r="H445" s="3" t="str">
        <f>IFERROR(__xludf.DUMMYFUNCTION("MID(INDEX(SPLIT($F445,"",""),COLUMN()-6),2,300)"),"3 mirrored maroon bags")</f>
        <v>3 mirrored maroon bags</v>
      </c>
      <c r="I445" s="3" t="str">
        <f>IFERROR(__xludf.DUMMYFUNCTION("MID(INDEX(SPLIT($F445,"",""),COLUMN()-6),2,300)"),"1 dull white bag.")</f>
        <v>1 dull white bag.</v>
      </c>
      <c r="J445" s="3" t="str">
        <f>IFERROR(__xludf.DUMMYFUNCTION("MID(INDEX(SPLIT($F445,"",""),COLUMN()-6),2,300)"),"#REF!")</f>
        <v>#REF!</v>
      </c>
      <c r="K445" s="3">
        <f>IFERROR(__xludf.DUMMYFUNCTION("INDEX(SPLIT(G445,"" ""),1)"),2.0)</f>
        <v>2</v>
      </c>
      <c r="L445" s="3" t="str">
        <f>IFERROR(__xludf.DUMMYFUNCTION("REGEXEXTRACT(G445,"" [^ ]* [^ ]* "")")," bright turquoise ")</f>
        <v> bright turquoise </v>
      </c>
      <c r="M445" s="3">
        <f>IFERROR(__xludf.DUMMYFUNCTION("INDEX(SPLIT(H445,"" ""),1)"),3.0)</f>
        <v>3</v>
      </c>
      <c r="N445" s="3" t="str">
        <f>IFERROR(__xludf.DUMMYFUNCTION("MID(REGEXEXTRACT(H445,"" [^ ]* [^ ]*""),2,300)"),"mirrored maroon")</f>
        <v>mirrored maroon</v>
      </c>
      <c r="O445" s="3">
        <f>IFERROR(__xludf.DUMMYFUNCTION("INDEX(SPLIT(I445,"" ""),1)"),1.0)</f>
        <v>1</v>
      </c>
      <c r="P445" s="3" t="str">
        <f>IFERROR(__xludf.DUMMYFUNCTION("MID(REGEXEXTRACT(I445,"" [^ ]* [^ ]*""),2,300)"),"dull white")</f>
        <v>dull white</v>
      </c>
      <c r="Q445" s="3" t="str">
        <f>IFERROR(__xludf.DUMMYFUNCTION("INDEX(SPLIT(J445,"" ""),1)"),"#REF!")</f>
        <v>#REF!</v>
      </c>
      <c r="R445" s="3" t="str">
        <f>IFERROR(__xludf.DUMMYFUNCTION("MID(REGEXEXTRACT(J445,"" [^ ]* [^ ]*""),2,300)"),"#REF!")</f>
        <v>#REF!</v>
      </c>
      <c r="S445" s="3">
        <f t="shared" si="2"/>
        <v>2</v>
      </c>
      <c r="T445" s="3" t="str">
        <f t="shared" si="3"/>
        <v>bright turquoise</v>
      </c>
      <c r="U445" s="3">
        <f t="shared" si="4"/>
        <v>3</v>
      </c>
      <c r="V445" s="3" t="str">
        <f t="shared" si="5"/>
        <v>mirrored maroon</v>
      </c>
      <c r="W445" s="3">
        <f t="shared" si="6"/>
        <v>1</v>
      </c>
      <c r="X445" s="3" t="str">
        <f t="shared" si="7"/>
        <v>dull white</v>
      </c>
      <c r="Y445" s="3" t="str">
        <f t="shared" si="8"/>
        <v/>
      </c>
      <c r="Z445" s="3" t="str">
        <f t="shared" si="9"/>
        <v/>
      </c>
      <c r="AA445" s="13">
        <f t="shared" si="10"/>
        <v>828853501</v>
      </c>
      <c r="AB445" s="3">
        <f t="shared" si="11"/>
        <v>828853500</v>
      </c>
      <c r="AC445" s="3">
        <f t="shared" si="12"/>
        <v>2</v>
      </c>
      <c r="AD445" s="3">
        <f t="shared" si="13"/>
        <v>12227506</v>
      </c>
      <c r="AE445" s="3">
        <f t="shared" si="14"/>
        <v>3</v>
      </c>
      <c r="AF445" s="3">
        <f t="shared" si="15"/>
        <v>2263272</v>
      </c>
      <c r="AG445" s="3">
        <f t="shared" si="16"/>
        <v>1</v>
      </c>
      <c r="AH445" s="3">
        <f t="shared" si="17"/>
        <v>797608672</v>
      </c>
      <c r="AI445" s="3" t="str">
        <f t="shared" si="18"/>
        <v/>
      </c>
      <c r="AJ445" s="3">
        <f t="shared" si="19"/>
        <v>0</v>
      </c>
    </row>
    <row r="446">
      <c r="C446" s="6" t="s">
        <v>446</v>
      </c>
      <c r="D446" s="3">
        <f t="shared" si="1"/>
        <v>1</v>
      </c>
      <c r="E446" s="3" t="str">
        <f>IFERROR(__xludf.DUMMYFUNCTION("REGEXEXTRACT(C446,""[^ ]* [^ ]*"")"),"wavy aqua")</f>
        <v>wavy aqua</v>
      </c>
      <c r="F446" s="3" t="str">
        <f>IFERROR(__xludf.DUMMYFUNCTION("MID(REGEXEXTRACT(C446,""contain.*$""),9,300)"),"3 drab green bags, 3 clear magenta bags.")</f>
        <v>3 drab green bags, 3 clear magenta bags.</v>
      </c>
      <c r="G446" s="3" t="str">
        <f>IFERROR(__xludf.DUMMYFUNCTION("INDEX(SPLIT($F446,"",""),COLUMN()-6)"),"3 drab green bags")</f>
        <v>3 drab green bags</v>
      </c>
      <c r="H446" s="3" t="str">
        <f>IFERROR(__xludf.DUMMYFUNCTION("MID(INDEX(SPLIT($F446,"",""),COLUMN()-6),2,300)"),"3 clear magenta bags.")</f>
        <v>3 clear magenta bags.</v>
      </c>
      <c r="I446" s="3" t="str">
        <f>IFERROR(__xludf.DUMMYFUNCTION("MID(INDEX(SPLIT($F446,"",""),COLUMN()-6),2,300)"),"#REF!")</f>
        <v>#REF!</v>
      </c>
      <c r="J446" s="3" t="str">
        <f>IFERROR(__xludf.DUMMYFUNCTION("MID(INDEX(SPLIT($F446,"",""),COLUMN()-6),2,300)"),"#REF!")</f>
        <v>#REF!</v>
      </c>
      <c r="K446" s="3">
        <f>IFERROR(__xludf.DUMMYFUNCTION("INDEX(SPLIT(G446,"" ""),1)"),3.0)</f>
        <v>3</v>
      </c>
      <c r="L446" s="3" t="str">
        <f>IFERROR(__xludf.DUMMYFUNCTION("REGEXEXTRACT(G446,"" [^ ]* [^ ]* "")")," drab green ")</f>
        <v> drab green </v>
      </c>
      <c r="M446" s="3">
        <f>IFERROR(__xludf.DUMMYFUNCTION("INDEX(SPLIT(H446,"" ""),1)"),3.0)</f>
        <v>3</v>
      </c>
      <c r="N446" s="3" t="str">
        <f>IFERROR(__xludf.DUMMYFUNCTION("MID(REGEXEXTRACT(H446,"" [^ ]* [^ ]*""),2,300)"),"clear magenta")</f>
        <v>clear magenta</v>
      </c>
      <c r="O446" s="3" t="str">
        <f>IFERROR(__xludf.DUMMYFUNCTION("INDEX(SPLIT(I446,"" ""),1)"),"#REF!")</f>
        <v>#REF!</v>
      </c>
      <c r="P446" s="3" t="str">
        <f>IFERROR(__xludf.DUMMYFUNCTION("MID(REGEXEXTRACT(I446,"" [^ ]* [^ ]*""),2,300)"),"#REF!")</f>
        <v>#REF!</v>
      </c>
      <c r="Q446" s="3" t="str">
        <f>IFERROR(__xludf.DUMMYFUNCTION("INDEX(SPLIT(J446,"" ""),1)"),"#REF!")</f>
        <v>#REF!</v>
      </c>
      <c r="R446" s="3" t="str">
        <f>IFERROR(__xludf.DUMMYFUNCTION("MID(REGEXEXTRACT(J446,"" [^ ]* [^ ]*""),2,300)"),"#REF!")</f>
        <v>#REF!</v>
      </c>
      <c r="S446" s="3">
        <f t="shared" si="2"/>
        <v>3</v>
      </c>
      <c r="T446" s="3" t="str">
        <f t="shared" si="3"/>
        <v>drab green</v>
      </c>
      <c r="U446" s="3">
        <f t="shared" si="4"/>
        <v>3</v>
      </c>
      <c r="V446" s="3" t="str">
        <f t="shared" si="5"/>
        <v>clear magenta</v>
      </c>
      <c r="W446" s="3" t="str">
        <f t="shared" si="6"/>
        <v/>
      </c>
      <c r="X446" s="3" t="str">
        <f t="shared" si="7"/>
        <v/>
      </c>
      <c r="Y446" s="3" t="str">
        <f t="shared" si="8"/>
        <v/>
      </c>
      <c r="Z446" s="3" t="str">
        <f t="shared" si="9"/>
        <v/>
      </c>
      <c r="AA446" s="13">
        <f t="shared" si="10"/>
        <v>666381979</v>
      </c>
      <c r="AB446" s="3">
        <f t="shared" si="11"/>
        <v>666381978</v>
      </c>
      <c r="AC446" s="3">
        <f t="shared" si="12"/>
        <v>3</v>
      </c>
      <c r="AD446" s="3">
        <f t="shared" si="13"/>
        <v>5</v>
      </c>
      <c r="AE446" s="3">
        <f t="shared" si="14"/>
        <v>3</v>
      </c>
      <c r="AF446" s="3">
        <f t="shared" si="15"/>
        <v>222127321</v>
      </c>
      <c r="AG446" s="3" t="str">
        <f t="shared" si="16"/>
        <v/>
      </c>
      <c r="AH446" s="3">
        <f t="shared" si="17"/>
        <v>0</v>
      </c>
      <c r="AI446" s="3" t="str">
        <f t="shared" si="18"/>
        <v/>
      </c>
      <c r="AJ446" s="3">
        <f t="shared" si="19"/>
        <v>0</v>
      </c>
    </row>
    <row r="447">
      <c r="C447" s="6" t="s">
        <v>447</v>
      </c>
      <c r="D447" s="3">
        <f t="shared" si="1"/>
        <v>0</v>
      </c>
      <c r="E447" s="3" t="str">
        <f>IFERROR(__xludf.DUMMYFUNCTION("REGEXEXTRACT(C447,""[^ ]* [^ ]*"")"),"vibrant chartreuse")</f>
        <v>vibrant chartreuse</v>
      </c>
      <c r="F447" s="3" t="str">
        <f>IFERROR(__xludf.DUMMYFUNCTION("MID(REGEXEXTRACT(C447,""contain.*$""),9,300)"),"3 muted violet bags.")</f>
        <v>3 muted violet bags.</v>
      </c>
      <c r="G447" s="3" t="str">
        <f>IFERROR(__xludf.DUMMYFUNCTION("INDEX(SPLIT($F447,"",""),COLUMN()-6)"),"3 muted violet bags.")</f>
        <v>3 muted violet bags.</v>
      </c>
      <c r="H447" s="3" t="str">
        <f>IFERROR(__xludf.DUMMYFUNCTION("MID(INDEX(SPLIT($F447,"",""),COLUMN()-6),2,300)"),"#REF!")</f>
        <v>#REF!</v>
      </c>
      <c r="I447" s="3" t="str">
        <f>IFERROR(__xludf.DUMMYFUNCTION("MID(INDEX(SPLIT($F447,"",""),COLUMN()-6),2,300)"),"#REF!")</f>
        <v>#REF!</v>
      </c>
      <c r="J447" s="3" t="str">
        <f>IFERROR(__xludf.DUMMYFUNCTION("MID(INDEX(SPLIT($F447,"",""),COLUMN()-6),2,300)"),"#REF!")</f>
        <v>#REF!</v>
      </c>
      <c r="K447" s="3">
        <f>IFERROR(__xludf.DUMMYFUNCTION("INDEX(SPLIT(G447,"" ""),1)"),3.0)</f>
        <v>3</v>
      </c>
      <c r="L447" s="3" t="str">
        <f>IFERROR(__xludf.DUMMYFUNCTION("REGEXEXTRACT(G447,"" [^ ]* [^ ]* "")")," muted violet ")</f>
        <v> muted violet </v>
      </c>
      <c r="M447" s="3" t="str">
        <f>IFERROR(__xludf.DUMMYFUNCTION("INDEX(SPLIT(H447,"" ""),1)"),"#REF!")</f>
        <v>#REF!</v>
      </c>
      <c r="N447" s="3" t="str">
        <f>IFERROR(__xludf.DUMMYFUNCTION("MID(REGEXEXTRACT(H447,"" [^ ]* [^ ]*""),2,300)"),"#REF!")</f>
        <v>#REF!</v>
      </c>
      <c r="O447" s="3" t="str">
        <f>IFERROR(__xludf.DUMMYFUNCTION("INDEX(SPLIT(I447,"" ""),1)"),"#REF!")</f>
        <v>#REF!</v>
      </c>
      <c r="P447" s="3" t="str">
        <f>IFERROR(__xludf.DUMMYFUNCTION("MID(REGEXEXTRACT(I447,"" [^ ]* [^ ]*""),2,300)"),"#REF!")</f>
        <v>#REF!</v>
      </c>
      <c r="Q447" s="3" t="str">
        <f>IFERROR(__xludf.DUMMYFUNCTION("INDEX(SPLIT(J447,"" ""),1)"),"#REF!")</f>
        <v>#REF!</v>
      </c>
      <c r="R447" s="3" t="str">
        <f>IFERROR(__xludf.DUMMYFUNCTION("MID(REGEXEXTRACT(J447,"" [^ ]* [^ ]*""),2,300)"),"#REF!")</f>
        <v>#REF!</v>
      </c>
      <c r="S447" s="3">
        <f t="shared" si="2"/>
        <v>3</v>
      </c>
      <c r="T447" s="3" t="str">
        <f t="shared" si="3"/>
        <v>muted violet</v>
      </c>
      <c r="U447" s="3" t="str">
        <f t="shared" si="4"/>
        <v/>
      </c>
      <c r="V447" s="3" t="str">
        <f t="shared" si="5"/>
        <v/>
      </c>
      <c r="W447" s="3" t="str">
        <f t="shared" si="6"/>
        <v/>
      </c>
      <c r="X447" s="3" t="str">
        <f t="shared" si="7"/>
        <v/>
      </c>
      <c r="Y447" s="3" t="str">
        <f t="shared" si="8"/>
        <v/>
      </c>
      <c r="Z447" s="3" t="str">
        <f t="shared" si="9"/>
        <v/>
      </c>
      <c r="AA447" s="13">
        <f t="shared" si="10"/>
        <v>13</v>
      </c>
      <c r="AB447" s="3">
        <f t="shared" si="11"/>
        <v>12</v>
      </c>
      <c r="AC447" s="3">
        <f t="shared" si="12"/>
        <v>3</v>
      </c>
      <c r="AD447" s="3">
        <f t="shared" si="13"/>
        <v>4</v>
      </c>
      <c r="AE447" s="3" t="str">
        <f t="shared" si="14"/>
        <v/>
      </c>
      <c r="AF447" s="3">
        <f t="shared" si="15"/>
        <v>0</v>
      </c>
      <c r="AG447" s="3" t="str">
        <f t="shared" si="16"/>
        <v/>
      </c>
      <c r="AH447" s="3">
        <f t="shared" si="17"/>
        <v>0</v>
      </c>
      <c r="AI447" s="3" t="str">
        <f t="shared" si="18"/>
        <v/>
      </c>
      <c r="AJ447" s="3">
        <f t="shared" si="19"/>
        <v>0</v>
      </c>
    </row>
    <row r="448">
      <c r="C448" s="6" t="s">
        <v>448</v>
      </c>
      <c r="D448" s="3">
        <f t="shared" si="1"/>
        <v>1</v>
      </c>
      <c r="E448" s="3" t="str">
        <f>IFERROR(__xludf.DUMMYFUNCTION("REGEXEXTRACT(C448,""[^ ]* [^ ]*"")"),"wavy silver")</f>
        <v>wavy silver</v>
      </c>
      <c r="F448" s="3" t="str">
        <f>IFERROR(__xludf.DUMMYFUNCTION("MID(REGEXEXTRACT(C448,""contain.*$""),9,300)"),"2 muted yellow bags, 4 plaid violet bags.")</f>
        <v>2 muted yellow bags, 4 plaid violet bags.</v>
      </c>
      <c r="G448" s="3" t="str">
        <f>IFERROR(__xludf.DUMMYFUNCTION("INDEX(SPLIT($F448,"",""),COLUMN()-6)"),"2 muted yellow bags")</f>
        <v>2 muted yellow bags</v>
      </c>
      <c r="H448" s="3" t="str">
        <f>IFERROR(__xludf.DUMMYFUNCTION("MID(INDEX(SPLIT($F448,"",""),COLUMN()-6),2,300)"),"4 plaid violet bags.")</f>
        <v>4 plaid violet bags.</v>
      </c>
      <c r="I448" s="3" t="str">
        <f>IFERROR(__xludf.DUMMYFUNCTION("MID(INDEX(SPLIT($F448,"",""),COLUMN()-6),2,300)"),"#REF!")</f>
        <v>#REF!</v>
      </c>
      <c r="J448" s="3" t="str">
        <f>IFERROR(__xludf.DUMMYFUNCTION("MID(INDEX(SPLIT($F448,"",""),COLUMN()-6),2,300)"),"#REF!")</f>
        <v>#REF!</v>
      </c>
      <c r="K448" s="3">
        <f>IFERROR(__xludf.DUMMYFUNCTION("INDEX(SPLIT(G448,"" ""),1)"),2.0)</f>
        <v>2</v>
      </c>
      <c r="L448" s="3" t="str">
        <f>IFERROR(__xludf.DUMMYFUNCTION("REGEXEXTRACT(G448,"" [^ ]* [^ ]* "")")," muted yellow ")</f>
        <v> muted yellow </v>
      </c>
      <c r="M448" s="3">
        <f>IFERROR(__xludf.DUMMYFUNCTION("INDEX(SPLIT(H448,"" ""),1)"),4.0)</f>
        <v>4</v>
      </c>
      <c r="N448" s="3" t="str">
        <f>IFERROR(__xludf.DUMMYFUNCTION("MID(REGEXEXTRACT(H448,"" [^ ]* [^ ]*""),2,300)"),"plaid violet")</f>
        <v>plaid violet</v>
      </c>
      <c r="O448" s="3" t="str">
        <f>IFERROR(__xludf.DUMMYFUNCTION("INDEX(SPLIT(I448,"" ""),1)"),"#REF!")</f>
        <v>#REF!</v>
      </c>
      <c r="P448" s="3" t="str">
        <f>IFERROR(__xludf.DUMMYFUNCTION("MID(REGEXEXTRACT(I448,"" [^ ]* [^ ]*""),2,300)"),"#REF!")</f>
        <v>#REF!</v>
      </c>
      <c r="Q448" s="3" t="str">
        <f>IFERROR(__xludf.DUMMYFUNCTION("INDEX(SPLIT(J448,"" ""),1)"),"#REF!")</f>
        <v>#REF!</v>
      </c>
      <c r="R448" s="3" t="str">
        <f>IFERROR(__xludf.DUMMYFUNCTION("MID(REGEXEXTRACT(J448,"" [^ ]* [^ ]*""),2,300)"),"#REF!")</f>
        <v>#REF!</v>
      </c>
      <c r="S448" s="3">
        <f t="shared" si="2"/>
        <v>2</v>
      </c>
      <c r="T448" s="3" t="str">
        <f t="shared" si="3"/>
        <v>muted yellow</v>
      </c>
      <c r="U448" s="3">
        <f t="shared" si="4"/>
        <v>4</v>
      </c>
      <c r="V448" s="3" t="str">
        <f t="shared" si="5"/>
        <v>plaid violet</v>
      </c>
      <c r="W448" s="3" t="str">
        <f t="shared" si="6"/>
        <v/>
      </c>
      <c r="X448" s="3" t="str">
        <f t="shared" si="7"/>
        <v/>
      </c>
      <c r="Y448" s="3" t="str">
        <f t="shared" si="8"/>
        <v/>
      </c>
      <c r="Z448" s="3" t="str">
        <f t="shared" si="9"/>
        <v/>
      </c>
      <c r="AA448" s="13">
        <f t="shared" si="10"/>
        <v>101252381</v>
      </c>
      <c r="AB448" s="3">
        <f t="shared" si="11"/>
        <v>101252380</v>
      </c>
      <c r="AC448" s="3">
        <f t="shared" si="12"/>
        <v>2</v>
      </c>
      <c r="AD448" s="3">
        <f t="shared" si="13"/>
        <v>3828</v>
      </c>
      <c r="AE448" s="3">
        <f t="shared" si="14"/>
        <v>4</v>
      </c>
      <c r="AF448" s="3">
        <f t="shared" si="15"/>
        <v>25311181</v>
      </c>
      <c r="AG448" s="3" t="str">
        <f t="shared" si="16"/>
        <v/>
      </c>
      <c r="AH448" s="3">
        <f t="shared" si="17"/>
        <v>0</v>
      </c>
      <c r="AI448" s="3" t="str">
        <f t="shared" si="18"/>
        <v/>
      </c>
      <c r="AJ448" s="3">
        <f t="shared" si="19"/>
        <v>0</v>
      </c>
    </row>
    <row r="449">
      <c r="C449" s="6" t="s">
        <v>449</v>
      </c>
      <c r="D449" s="3">
        <f t="shared" si="1"/>
        <v>0</v>
      </c>
      <c r="E449" s="3" t="str">
        <f>IFERROR(__xludf.DUMMYFUNCTION("REGEXEXTRACT(C449,""[^ ]* [^ ]*"")"),"shiny salmon")</f>
        <v>shiny salmon</v>
      </c>
      <c r="F449" s="3" t="str">
        <f>IFERROR(__xludf.DUMMYFUNCTION("MID(REGEXEXTRACT(C449,""contain.*$""),9,300)"),"1 clear yellow bag.")</f>
        <v>1 clear yellow bag.</v>
      </c>
      <c r="G449" s="3" t="str">
        <f>IFERROR(__xludf.DUMMYFUNCTION("INDEX(SPLIT($F449,"",""),COLUMN()-6)"),"1 clear yellow bag.")</f>
        <v>1 clear yellow bag.</v>
      </c>
      <c r="H449" s="3" t="str">
        <f>IFERROR(__xludf.DUMMYFUNCTION("MID(INDEX(SPLIT($F449,"",""),COLUMN()-6),2,300)"),"#REF!")</f>
        <v>#REF!</v>
      </c>
      <c r="I449" s="3" t="str">
        <f>IFERROR(__xludf.DUMMYFUNCTION("MID(INDEX(SPLIT($F449,"",""),COLUMN()-6),2,300)"),"#REF!")</f>
        <v>#REF!</v>
      </c>
      <c r="J449" s="3" t="str">
        <f>IFERROR(__xludf.DUMMYFUNCTION("MID(INDEX(SPLIT($F449,"",""),COLUMN()-6),2,300)"),"#REF!")</f>
        <v>#REF!</v>
      </c>
      <c r="K449" s="3">
        <f>IFERROR(__xludf.DUMMYFUNCTION("INDEX(SPLIT(G449,"" ""),1)"),1.0)</f>
        <v>1</v>
      </c>
      <c r="L449" s="3" t="str">
        <f>IFERROR(__xludf.DUMMYFUNCTION("REGEXEXTRACT(G449,"" [^ ]* [^ ]* "")")," clear yellow ")</f>
        <v> clear yellow </v>
      </c>
      <c r="M449" s="3" t="str">
        <f>IFERROR(__xludf.DUMMYFUNCTION("INDEX(SPLIT(H449,"" ""),1)"),"#REF!")</f>
        <v>#REF!</v>
      </c>
      <c r="N449" s="3" t="str">
        <f>IFERROR(__xludf.DUMMYFUNCTION("MID(REGEXEXTRACT(H449,"" [^ ]* [^ ]*""),2,300)"),"#REF!")</f>
        <v>#REF!</v>
      </c>
      <c r="O449" s="3" t="str">
        <f>IFERROR(__xludf.DUMMYFUNCTION("INDEX(SPLIT(I449,"" ""),1)"),"#REF!")</f>
        <v>#REF!</v>
      </c>
      <c r="P449" s="3" t="str">
        <f>IFERROR(__xludf.DUMMYFUNCTION("MID(REGEXEXTRACT(I449,"" [^ ]* [^ ]*""),2,300)"),"#REF!")</f>
        <v>#REF!</v>
      </c>
      <c r="Q449" s="3" t="str">
        <f>IFERROR(__xludf.DUMMYFUNCTION("INDEX(SPLIT(J449,"" ""),1)"),"#REF!")</f>
        <v>#REF!</v>
      </c>
      <c r="R449" s="3" t="str">
        <f>IFERROR(__xludf.DUMMYFUNCTION("MID(REGEXEXTRACT(J449,"" [^ ]* [^ ]*""),2,300)"),"#REF!")</f>
        <v>#REF!</v>
      </c>
      <c r="S449" s="3">
        <f t="shared" si="2"/>
        <v>1</v>
      </c>
      <c r="T449" s="3" t="str">
        <f t="shared" si="3"/>
        <v>clear yellow</v>
      </c>
      <c r="U449" s="3" t="str">
        <f t="shared" si="4"/>
        <v/>
      </c>
      <c r="V449" s="3" t="str">
        <f t="shared" si="5"/>
        <v/>
      </c>
      <c r="W449" s="3" t="str">
        <f t="shared" si="6"/>
        <v/>
      </c>
      <c r="X449" s="3" t="str">
        <f t="shared" si="7"/>
        <v/>
      </c>
      <c r="Y449" s="3" t="str">
        <f t="shared" si="8"/>
        <v/>
      </c>
      <c r="Z449" s="3" t="str">
        <f t="shared" si="9"/>
        <v/>
      </c>
      <c r="AA449" s="13">
        <f t="shared" si="10"/>
        <v>18112</v>
      </c>
      <c r="AB449" s="3">
        <f t="shared" si="11"/>
        <v>18111</v>
      </c>
      <c r="AC449" s="3">
        <f t="shared" si="12"/>
        <v>1</v>
      </c>
      <c r="AD449" s="3">
        <f t="shared" si="13"/>
        <v>18111</v>
      </c>
      <c r="AE449" s="3" t="str">
        <f t="shared" si="14"/>
        <v/>
      </c>
      <c r="AF449" s="3">
        <f t="shared" si="15"/>
        <v>0</v>
      </c>
      <c r="AG449" s="3" t="str">
        <f t="shared" si="16"/>
        <v/>
      </c>
      <c r="AH449" s="3">
        <f t="shared" si="17"/>
        <v>0</v>
      </c>
      <c r="AI449" s="3" t="str">
        <f t="shared" si="18"/>
        <v/>
      </c>
      <c r="AJ449" s="3">
        <f t="shared" si="19"/>
        <v>0</v>
      </c>
    </row>
    <row r="450">
      <c r="C450" s="6" t="s">
        <v>450</v>
      </c>
      <c r="D450" s="3">
        <f t="shared" si="1"/>
        <v>1</v>
      </c>
      <c r="E450" s="3" t="str">
        <f>IFERROR(__xludf.DUMMYFUNCTION("REGEXEXTRACT(C450,""[^ ]* [^ ]*"")"),"clear purple")</f>
        <v>clear purple</v>
      </c>
      <c r="F450" s="3" t="str">
        <f>IFERROR(__xludf.DUMMYFUNCTION("MID(REGEXEXTRACT(C450,""contain.*$""),9,300)"),"2 posh green bags, 2 muted gray bags.")</f>
        <v>2 posh green bags, 2 muted gray bags.</v>
      </c>
      <c r="G450" s="3" t="str">
        <f>IFERROR(__xludf.DUMMYFUNCTION("INDEX(SPLIT($F450,"",""),COLUMN()-6)"),"2 posh green bags")</f>
        <v>2 posh green bags</v>
      </c>
      <c r="H450" s="3" t="str">
        <f>IFERROR(__xludf.DUMMYFUNCTION("MID(INDEX(SPLIT($F450,"",""),COLUMN()-6),2,300)"),"2 muted gray bags.")</f>
        <v>2 muted gray bags.</v>
      </c>
      <c r="I450" s="3" t="str">
        <f>IFERROR(__xludf.DUMMYFUNCTION("MID(INDEX(SPLIT($F450,"",""),COLUMN()-6),2,300)"),"#REF!")</f>
        <v>#REF!</v>
      </c>
      <c r="J450" s="3" t="str">
        <f>IFERROR(__xludf.DUMMYFUNCTION("MID(INDEX(SPLIT($F450,"",""),COLUMN()-6),2,300)"),"#REF!")</f>
        <v>#REF!</v>
      </c>
      <c r="K450" s="3">
        <f>IFERROR(__xludf.DUMMYFUNCTION("INDEX(SPLIT(G450,"" ""),1)"),2.0)</f>
        <v>2</v>
      </c>
      <c r="L450" s="3" t="str">
        <f>IFERROR(__xludf.DUMMYFUNCTION("REGEXEXTRACT(G450,"" [^ ]* [^ ]* "")")," posh green ")</f>
        <v> posh green </v>
      </c>
      <c r="M450" s="3">
        <f>IFERROR(__xludf.DUMMYFUNCTION("INDEX(SPLIT(H450,"" ""),1)"),2.0)</f>
        <v>2</v>
      </c>
      <c r="N450" s="3" t="str">
        <f>IFERROR(__xludf.DUMMYFUNCTION("MID(REGEXEXTRACT(H450,"" [^ ]* [^ ]*""),2,300)"),"muted gray")</f>
        <v>muted gray</v>
      </c>
      <c r="O450" s="3" t="str">
        <f>IFERROR(__xludf.DUMMYFUNCTION("INDEX(SPLIT(I450,"" ""),1)"),"#REF!")</f>
        <v>#REF!</v>
      </c>
      <c r="P450" s="3" t="str">
        <f>IFERROR(__xludf.DUMMYFUNCTION("MID(REGEXEXTRACT(I450,"" [^ ]* [^ ]*""),2,300)"),"#REF!")</f>
        <v>#REF!</v>
      </c>
      <c r="Q450" s="3" t="str">
        <f>IFERROR(__xludf.DUMMYFUNCTION("INDEX(SPLIT(J450,"" ""),1)"),"#REF!")</f>
        <v>#REF!</v>
      </c>
      <c r="R450" s="3" t="str">
        <f>IFERROR(__xludf.DUMMYFUNCTION("MID(REGEXEXTRACT(J450,"" [^ ]* [^ ]*""),2,300)"),"#REF!")</f>
        <v>#REF!</v>
      </c>
      <c r="S450" s="3">
        <f t="shared" si="2"/>
        <v>2</v>
      </c>
      <c r="T450" s="3" t="str">
        <f t="shared" si="3"/>
        <v>posh green</v>
      </c>
      <c r="U450" s="3">
        <f t="shared" si="4"/>
        <v>2</v>
      </c>
      <c r="V450" s="3" t="str">
        <f t="shared" si="5"/>
        <v>muted gray</v>
      </c>
      <c r="W450" s="3" t="str">
        <f t="shared" si="6"/>
        <v/>
      </c>
      <c r="X450" s="3" t="str">
        <f t="shared" si="7"/>
        <v/>
      </c>
      <c r="Y450" s="3" t="str">
        <f t="shared" si="8"/>
        <v/>
      </c>
      <c r="Z450" s="3" t="str">
        <f t="shared" si="9"/>
        <v/>
      </c>
      <c r="AA450" s="13">
        <f t="shared" si="10"/>
        <v>17441781</v>
      </c>
      <c r="AB450" s="3">
        <f t="shared" si="11"/>
        <v>17441780</v>
      </c>
      <c r="AC450" s="3">
        <f t="shared" si="12"/>
        <v>2</v>
      </c>
      <c r="AD450" s="3">
        <f t="shared" si="13"/>
        <v>6367</v>
      </c>
      <c r="AE450" s="3">
        <f t="shared" si="14"/>
        <v>2</v>
      </c>
      <c r="AF450" s="3">
        <f t="shared" si="15"/>
        <v>8714523</v>
      </c>
      <c r="AG450" s="3" t="str">
        <f t="shared" si="16"/>
        <v/>
      </c>
      <c r="AH450" s="3">
        <f t="shared" si="17"/>
        <v>0</v>
      </c>
      <c r="AI450" s="3" t="str">
        <f t="shared" si="18"/>
        <v/>
      </c>
      <c r="AJ450" s="3">
        <f t="shared" si="19"/>
        <v>0</v>
      </c>
    </row>
    <row r="451">
      <c r="C451" s="6" t="s">
        <v>451</v>
      </c>
      <c r="D451" s="3">
        <f t="shared" si="1"/>
        <v>3</v>
      </c>
      <c r="E451" s="3" t="str">
        <f>IFERROR(__xludf.DUMMYFUNCTION("REGEXEXTRACT(C451,""[^ ]* [^ ]*"")"),"clear cyan")</f>
        <v>clear cyan</v>
      </c>
      <c r="F451" s="3" t="str">
        <f>IFERROR(__xludf.DUMMYFUNCTION("MID(REGEXEXTRACT(C451,""contain.*$""),9,300)"),"5 posh gray bags, 5 plaid aqua bags, 1 wavy tomato bag, 1 dim lavender bag.")</f>
        <v>5 posh gray bags, 5 plaid aqua bags, 1 wavy tomato bag, 1 dim lavender bag.</v>
      </c>
      <c r="G451" s="3" t="str">
        <f>IFERROR(__xludf.DUMMYFUNCTION("INDEX(SPLIT($F451,"",""),COLUMN()-6)"),"5 posh gray bags")</f>
        <v>5 posh gray bags</v>
      </c>
      <c r="H451" s="3" t="str">
        <f>IFERROR(__xludf.DUMMYFUNCTION("MID(INDEX(SPLIT($F451,"",""),COLUMN()-6),2,300)"),"5 plaid aqua bags")</f>
        <v>5 plaid aqua bags</v>
      </c>
      <c r="I451" s="3" t="str">
        <f>IFERROR(__xludf.DUMMYFUNCTION("MID(INDEX(SPLIT($F451,"",""),COLUMN()-6),2,300)"),"1 wavy tomato bag")</f>
        <v>1 wavy tomato bag</v>
      </c>
      <c r="J451" s="3" t="str">
        <f>IFERROR(__xludf.DUMMYFUNCTION("MID(INDEX(SPLIT($F451,"",""),COLUMN()-6),2,300)"),"1 dim lavender bag.")</f>
        <v>1 dim lavender bag.</v>
      </c>
      <c r="K451" s="3">
        <f>IFERROR(__xludf.DUMMYFUNCTION("INDEX(SPLIT(G451,"" ""),1)"),5.0)</f>
        <v>5</v>
      </c>
      <c r="L451" s="3" t="str">
        <f>IFERROR(__xludf.DUMMYFUNCTION("REGEXEXTRACT(G451,"" [^ ]* [^ ]* "")")," posh gray ")</f>
        <v> posh gray </v>
      </c>
      <c r="M451" s="3">
        <f>IFERROR(__xludf.DUMMYFUNCTION("INDEX(SPLIT(H451,"" ""),1)"),5.0)</f>
        <v>5</v>
      </c>
      <c r="N451" s="3" t="str">
        <f>IFERROR(__xludf.DUMMYFUNCTION("MID(REGEXEXTRACT(H451,"" [^ ]* [^ ]*""),2,300)"),"plaid aqua")</f>
        <v>plaid aqua</v>
      </c>
      <c r="O451" s="3">
        <f>IFERROR(__xludf.DUMMYFUNCTION("INDEX(SPLIT(I451,"" ""),1)"),1.0)</f>
        <v>1</v>
      </c>
      <c r="P451" s="3" t="str">
        <f>IFERROR(__xludf.DUMMYFUNCTION("MID(REGEXEXTRACT(I451,"" [^ ]* [^ ]*""),2,300)"),"wavy tomato")</f>
        <v>wavy tomato</v>
      </c>
      <c r="Q451" s="3">
        <f>IFERROR(__xludf.DUMMYFUNCTION("INDEX(SPLIT(J451,"" ""),1)"),1.0)</f>
        <v>1</v>
      </c>
      <c r="R451" s="3" t="str">
        <f>IFERROR(__xludf.DUMMYFUNCTION("MID(REGEXEXTRACT(J451,"" [^ ]* [^ ]*""),2,300)"),"dim lavender")</f>
        <v>dim lavender</v>
      </c>
      <c r="S451" s="3">
        <f t="shared" si="2"/>
        <v>5</v>
      </c>
      <c r="T451" s="3" t="str">
        <f t="shared" si="3"/>
        <v>posh gray</v>
      </c>
      <c r="U451" s="3">
        <f t="shared" si="4"/>
        <v>5</v>
      </c>
      <c r="V451" s="3" t="str">
        <f t="shared" si="5"/>
        <v>plaid aqua</v>
      </c>
      <c r="W451" s="3">
        <f t="shared" si="6"/>
        <v>1</v>
      </c>
      <c r="X451" s="3" t="str">
        <f t="shared" si="7"/>
        <v>wavy tomato</v>
      </c>
      <c r="Y451" s="3">
        <f t="shared" si="8"/>
        <v>1</v>
      </c>
      <c r="Z451" s="3" t="str">
        <f t="shared" si="9"/>
        <v>dim lavender</v>
      </c>
      <c r="AA451" s="13">
        <f t="shared" si="10"/>
        <v>899055</v>
      </c>
      <c r="AB451" s="3">
        <f t="shared" si="11"/>
        <v>899054</v>
      </c>
      <c r="AC451" s="3">
        <f t="shared" si="12"/>
        <v>5</v>
      </c>
      <c r="AD451" s="3">
        <f t="shared" si="13"/>
        <v>25477</v>
      </c>
      <c r="AE451" s="3">
        <f t="shared" si="14"/>
        <v>5</v>
      </c>
      <c r="AF451" s="3">
        <f t="shared" si="15"/>
        <v>1</v>
      </c>
      <c r="AG451" s="3">
        <f t="shared" si="16"/>
        <v>1</v>
      </c>
      <c r="AH451" s="3">
        <f t="shared" si="17"/>
        <v>265</v>
      </c>
      <c r="AI451" s="3">
        <f t="shared" si="18"/>
        <v>1</v>
      </c>
      <c r="AJ451" s="3">
        <f t="shared" si="19"/>
        <v>771399</v>
      </c>
    </row>
    <row r="452">
      <c r="C452" s="6" t="s">
        <v>452</v>
      </c>
      <c r="D452" s="3">
        <f t="shared" si="1"/>
        <v>1</v>
      </c>
      <c r="E452" s="3" t="str">
        <f>IFERROR(__xludf.DUMMYFUNCTION("REGEXEXTRACT(C452,""[^ ]* [^ ]*"")"),"wavy coral")</f>
        <v>wavy coral</v>
      </c>
      <c r="F452" s="3" t="str">
        <f>IFERROR(__xludf.DUMMYFUNCTION("MID(REGEXEXTRACT(C452,""contain.*$""),9,300)"),"5 dim yellow bags, 3 clear yellow bags.")</f>
        <v>5 dim yellow bags, 3 clear yellow bags.</v>
      </c>
      <c r="G452" s="3" t="str">
        <f>IFERROR(__xludf.DUMMYFUNCTION("INDEX(SPLIT($F452,"",""),COLUMN()-6)"),"5 dim yellow bags")</f>
        <v>5 dim yellow bags</v>
      </c>
      <c r="H452" s="3" t="str">
        <f>IFERROR(__xludf.DUMMYFUNCTION("MID(INDEX(SPLIT($F452,"",""),COLUMN()-6),2,300)"),"3 clear yellow bags.")</f>
        <v>3 clear yellow bags.</v>
      </c>
      <c r="I452" s="3" t="str">
        <f>IFERROR(__xludf.DUMMYFUNCTION("MID(INDEX(SPLIT($F452,"",""),COLUMN()-6),2,300)"),"#REF!")</f>
        <v>#REF!</v>
      </c>
      <c r="J452" s="3" t="str">
        <f>IFERROR(__xludf.DUMMYFUNCTION("MID(INDEX(SPLIT($F452,"",""),COLUMN()-6),2,300)"),"#REF!")</f>
        <v>#REF!</v>
      </c>
      <c r="K452" s="3">
        <f>IFERROR(__xludf.DUMMYFUNCTION("INDEX(SPLIT(G452,"" ""),1)"),5.0)</f>
        <v>5</v>
      </c>
      <c r="L452" s="3" t="str">
        <f>IFERROR(__xludf.DUMMYFUNCTION("REGEXEXTRACT(G452,"" [^ ]* [^ ]* "")")," dim yellow ")</f>
        <v> dim yellow </v>
      </c>
      <c r="M452" s="3">
        <f>IFERROR(__xludf.DUMMYFUNCTION("INDEX(SPLIT(H452,"" ""),1)"),3.0)</f>
        <v>3</v>
      </c>
      <c r="N452" s="3" t="str">
        <f>IFERROR(__xludf.DUMMYFUNCTION("MID(REGEXEXTRACT(H452,"" [^ ]* [^ ]*""),2,300)"),"clear yellow")</f>
        <v>clear yellow</v>
      </c>
      <c r="O452" s="3" t="str">
        <f>IFERROR(__xludf.DUMMYFUNCTION("INDEX(SPLIT(I452,"" ""),1)"),"#REF!")</f>
        <v>#REF!</v>
      </c>
      <c r="P452" s="3" t="str">
        <f>IFERROR(__xludf.DUMMYFUNCTION("MID(REGEXEXTRACT(I452,"" [^ ]* [^ ]*""),2,300)"),"#REF!")</f>
        <v>#REF!</v>
      </c>
      <c r="Q452" s="3" t="str">
        <f>IFERROR(__xludf.DUMMYFUNCTION("INDEX(SPLIT(J452,"" ""),1)"),"#REF!")</f>
        <v>#REF!</v>
      </c>
      <c r="R452" s="3" t="str">
        <f>IFERROR(__xludf.DUMMYFUNCTION("MID(REGEXEXTRACT(J452,"" [^ ]* [^ ]*""),2,300)"),"#REF!")</f>
        <v>#REF!</v>
      </c>
      <c r="S452" s="3">
        <f t="shared" si="2"/>
        <v>5</v>
      </c>
      <c r="T452" s="3" t="str">
        <f t="shared" si="3"/>
        <v>dim yellow</v>
      </c>
      <c r="U452" s="3">
        <f t="shared" si="4"/>
        <v>3</v>
      </c>
      <c r="V452" s="3" t="str">
        <f t="shared" si="5"/>
        <v>clear yellow</v>
      </c>
      <c r="W452" s="3" t="str">
        <f t="shared" si="6"/>
        <v/>
      </c>
      <c r="X452" s="3" t="str">
        <f t="shared" si="7"/>
        <v/>
      </c>
      <c r="Y452" s="3" t="str">
        <f t="shared" si="8"/>
        <v/>
      </c>
      <c r="Z452" s="3" t="str">
        <f t="shared" si="9"/>
        <v/>
      </c>
      <c r="AA452" s="13">
        <f t="shared" si="10"/>
        <v>1138059</v>
      </c>
      <c r="AB452" s="3">
        <f t="shared" si="11"/>
        <v>1138058</v>
      </c>
      <c r="AC452" s="3">
        <f t="shared" si="12"/>
        <v>5</v>
      </c>
      <c r="AD452" s="3">
        <f t="shared" si="13"/>
        <v>216745</v>
      </c>
      <c r="AE452" s="3">
        <f t="shared" si="14"/>
        <v>3</v>
      </c>
      <c r="AF452" s="3">
        <f t="shared" si="15"/>
        <v>18111</v>
      </c>
      <c r="AG452" s="3" t="str">
        <f t="shared" si="16"/>
        <v/>
      </c>
      <c r="AH452" s="3">
        <f t="shared" si="17"/>
        <v>0</v>
      </c>
      <c r="AI452" s="3" t="str">
        <f t="shared" si="18"/>
        <v/>
      </c>
      <c r="AJ452" s="3">
        <f t="shared" si="19"/>
        <v>0</v>
      </c>
    </row>
    <row r="453">
      <c r="C453" s="6" t="s">
        <v>453</v>
      </c>
      <c r="D453" s="3">
        <f t="shared" si="1"/>
        <v>1</v>
      </c>
      <c r="E453" s="3" t="str">
        <f>IFERROR(__xludf.DUMMYFUNCTION("REGEXEXTRACT(C453,""[^ ]* [^ ]*"")"),"wavy green")</f>
        <v>wavy green</v>
      </c>
      <c r="F453" s="3" t="str">
        <f>IFERROR(__xludf.DUMMYFUNCTION("MID(REGEXEXTRACT(C453,""contain.*$""),9,300)"),"4 plaid bronze bags, 4 dull coral bags.")</f>
        <v>4 plaid bronze bags, 4 dull coral bags.</v>
      </c>
      <c r="G453" s="3" t="str">
        <f>IFERROR(__xludf.DUMMYFUNCTION("INDEX(SPLIT($F453,"",""),COLUMN()-6)"),"4 plaid bronze bags")</f>
        <v>4 plaid bronze bags</v>
      </c>
      <c r="H453" s="3" t="str">
        <f>IFERROR(__xludf.DUMMYFUNCTION("MID(INDEX(SPLIT($F453,"",""),COLUMN()-6),2,300)"),"4 dull coral bags.")</f>
        <v>4 dull coral bags.</v>
      </c>
      <c r="I453" s="3" t="str">
        <f>IFERROR(__xludf.DUMMYFUNCTION("MID(INDEX(SPLIT($F453,"",""),COLUMN()-6),2,300)"),"#REF!")</f>
        <v>#REF!</v>
      </c>
      <c r="J453" s="3" t="str">
        <f>IFERROR(__xludf.DUMMYFUNCTION("MID(INDEX(SPLIT($F453,"",""),COLUMN()-6),2,300)"),"#REF!")</f>
        <v>#REF!</v>
      </c>
      <c r="K453" s="3">
        <f>IFERROR(__xludf.DUMMYFUNCTION("INDEX(SPLIT(G453,"" ""),1)"),4.0)</f>
        <v>4</v>
      </c>
      <c r="L453" s="3" t="str">
        <f>IFERROR(__xludf.DUMMYFUNCTION("REGEXEXTRACT(G453,"" [^ ]* [^ ]* "")")," plaid bronze ")</f>
        <v> plaid bronze </v>
      </c>
      <c r="M453" s="3">
        <f>IFERROR(__xludf.DUMMYFUNCTION("INDEX(SPLIT(H453,"" ""),1)"),4.0)</f>
        <v>4</v>
      </c>
      <c r="N453" s="3" t="str">
        <f>IFERROR(__xludf.DUMMYFUNCTION("MID(REGEXEXTRACT(H453,"" [^ ]* [^ ]*""),2,300)"),"dull coral")</f>
        <v>dull coral</v>
      </c>
      <c r="O453" s="3" t="str">
        <f>IFERROR(__xludf.DUMMYFUNCTION("INDEX(SPLIT(I453,"" ""),1)"),"#REF!")</f>
        <v>#REF!</v>
      </c>
      <c r="P453" s="3" t="str">
        <f>IFERROR(__xludf.DUMMYFUNCTION("MID(REGEXEXTRACT(I453,"" [^ ]* [^ ]*""),2,300)"),"#REF!")</f>
        <v>#REF!</v>
      </c>
      <c r="Q453" s="3" t="str">
        <f>IFERROR(__xludf.DUMMYFUNCTION("INDEX(SPLIT(J453,"" ""),1)"),"#REF!")</f>
        <v>#REF!</v>
      </c>
      <c r="R453" s="3" t="str">
        <f>IFERROR(__xludf.DUMMYFUNCTION("MID(REGEXEXTRACT(J453,"" [^ ]* [^ ]*""),2,300)"),"#REF!")</f>
        <v>#REF!</v>
      </c>
      <c r="S453" s="3">
        <f t="shared" si="2"/>
        <v>4</v>
      </c>
      <c r="T453" s="3" t="str">
        <f t="shared" si="3"/>
        <v>plaid bronze</v>
      </c>
      <c r="U453" s="3">
        <f t="shared" si="4"/>
        <v>4</v>
      </c>
      <c r="V453" s="3" t="str">
        <f t="shared" si="5"/>
        <v>dull coral</v>
      </c>
      <c r="W453" s="3" t="str">
        <f t="shared" si="6"/>
        <v/>
      </c>
      <c r="X453" s="3" t="str">
        <f t="shared" si="7"/>
        <v/>
      </c>
      <c r="Y453" s="3" t="str">
        <f t="shared" si="8"/>
        <v/>
      </c>
      <c r="Z453" s="3" t="str">
        <f t="shared" si="9"/>
        <v/>
      </c>
      <c r="AA453" s="13">
        <f t="shared" si="10"/>
        <v>831685</v>
      </c>
      <c r="AB453" s="3">
        <f t="shared" si="11"/>
        <v>831684</v>
      </c>
      <c r="AC453" s="3">
        <f t="shared" si="12"/>
        <v>4</v>
      </c>
      <c r="AD453" s="3">
        <f t="shared" si="13"/>
        <v>206997</v>
      </c>
      <c r="AE453" s="3">
        <f t="shared" si="14"/>
        <v>4</v>
      </c>
      <c r="AF453" s="3">
        <f t="shared" si="15"/>
        <v>924</v>
      </c>
      <c r="AG453" s="3" t="str">
        <f t="shared" si="16"/>
        <v/>
      </c>
      <c r="AH453" s="3">
        <f t="shared" si="17"/>
        <v>0</v>
      </c>
      <c r="AI453" s="3" t="str">
        <f t="shared" si="18"/>
        <v/>
      </c>
      <c r="AJ453" s="3">
        <f t="shared" si="19"/>
        <v>0</v>
      </c>
    </row>
    <row r="454">
      <c r="C454" s="6" t="s">
        <v>454</v>
      </c>
      <c r="D454" s="3">
        <f t="shared" si="1"/>
        <v>0</v>
      </c>
      <c r="E454" s="3" t="str">
        <f>IFERROR(__xludf.DUMMYFUNCTION("REGEXEXTRACT(C454,""[^ ]* [^ ]*"")"),"mirrored gold")</f>
        <v>mirrored gold</v>
      </c>
      <c r="F454" s="3" t="str">
        <f>IFERROR(__xludf.DUMMYFUNCTION("MID(REGEXEXTRACT(C454,""contain.*$""),9,300)"),"5 bright lavender bags.")</f>
        <v>5 bright lavender bags.</v>
      </c>
      <c r="G454" s="3" t="str">
        <f>IFERROR(__xludf.DUMMYFUNCTION("INDEX(SPLIT($F454,"",""),COLUMN()-6)"),"5 bright lavender bags.")</f>
        <v>5 bright lavender bags.</v>
      </c>
      <c r="H454" s="3" t="str">
        <f>IFERROR(__xludf.DUMMYFUNCTION("MID(INDEX(SPLIT($F454,"",""),COLUMN()-6),2,300)"),"#REF!")</f>
        <v>#REF!</v>
      </c>
      <c r="I454" s="3" t="str">
        <f>IFERROR(__xludf.DUMMYFUNCTION("MID(INDEX(SPLIT($F454,"",""),COLUMN()-6),2,300)"),"#REF!")</f>
        <v>#REF!</v>
      </c>
      <c r="J454" s="3" t="str">
        <f>IFERROR(__xludf.DUMMYFUNCTION("MID(INDEX(SPLIT($F454,"",""),COLUMN()-6),2,300)"),"#REF!")</f>
        <v>#REF!</v>
      </c>
      <c r="K454" s="3">
        <f>IFERROR(__xludf.DUMMYFUNCTION("INDEX(SPLIT(G454,"" ""),1)"),5.0)</f>
        <v>5</v>
      </c>
      <c r="L454" s="3" t="str">
        <f>IFERROR(__xludf.DUMMYFUNCTION("REGEXEXTRACT(G454,"" [^ ]* [^ ]* "")")," bright lavender ")</f>
        <v> bright lavender </v>
      </c>
      <c r="M454" s="3" t="str">
        <f>IFERROR(__xludf.DUMMYFUNCTION("INDEX(SPLIT(H454,"" ""),1)"),"#REF!")</f>
        <v>#REF!</v>
      </c>
      <c r="N454" s="3" t="str">
        <f>IFERROR(__xludf.DUMMYFUNCTION("MID(REGEXEXTRACT(H454,"" [^ ]* [^ ]*""),2,300)"),"#REF!")</f>
        <v>#REF!</v>
      </c>
      <c r="O454" s="3" t="str">
        <f>IFERROR(__xludf.DUMMYFUNCTION("INDEX(SPLIT(I454,"" ""),1)"),"#REF!")</f>
        <v>#REF!</v>
      </c>
      <c r="P454" s="3" t="str">
        <f>IFERROR(__xludf.DUMMYFUNCTION("MID(REGEXEXTRACT(I454,"" [^ ]* [^ ]*""),2,300)"),"#REF!")</f>
        <v>#REF!</v>
      </c>
      <c r="Q454" s="3" t="str">
        <f>IFERROR(__xludf.DUMMYFUNCTION("INDEX(SPLIT(J454,"" ""),1)"),"#REF!")</f>
        <v>#REF!</v>
      </c>
      <c r="R454" s="3" t="str">
        <f>IFERROR(__xludf.DUMMYFUNCTION("MID(REGEXEXTRACT(J454,"" [^ ]* [^ ]*""),2,300)"),"#REF!")</f>
        <v>#REF!</v>
      </c>
      <c r="S454" s="3">
        <f t="shared" si="2"/>
        <v>5</v>
      </c>
      <c r="T454" s="3" t="str">
        <f t="shared" si="3"/>
        <v>bright lavender</v>
      </c>
      <c r="U454" s="3" t="str">
        <f t="shared" si="4"/>
        <v/>
      </c>
      <c r="V454" s="3" t="str">
        <f t="shared" si="5"/>
        <v/>
      </c>
      <c r="W454" s="3" t="str">
        <f t="shared" si="6"/>
        <v/>
      </c>
      <c r="X454" s="3" t="str">
        <f t="shared" si="7"/>
        <v/>
      </c>
      <c r="Y454" s="3" t="str">
        <f t="shared" si="8"/>
        <v/>
      </c>
      <c r="Z454" s="3" t="str">
        <f t="shared" si="9"/>
        <v/>
      </c>
      <c r="AA454" s="13">
        <f t="shared" si="10"/>
        <v>821</v>
      </c>
      <c r="AB454" s="3">
        <f t="shared" si="11"/>
        <v>820</v>
      </c>
      <c r="AC454" s="3">
        <f t="shared" si="12"/>
        <v>5</v>
      </c>
      <c r="AD454" s="3">
        <f t="shared" si="13"/>
        <v>164</v>
      </c>
      <c r="AE454" s="3" t="str">
        <f t="shared" si="14"/>
        <v/>
      </c>
      <c r="AF454" s="3">
        <f t="shared" si="15"/>
        <v>0</v>
      </c>
      <c r="AG454" s="3" t="str">
        <f t="shared" si="16"/>
        <v/>
      </c>
      <c r="AH454" s="3">
        <f t="shared" si="17"/>
        <v>0</v>
      </c>
      <c r="AI454" s="3" t="str">
        <f t="shared" si="18"/>
        <v/>
      </c>
      <c r="AJ454" s="3">
        <f t="shared" si="19"/>
        <v>0</v>
      </c>
    </row>
    <row r="455">
      <c r="C455" s="6" t="s">
        <v>455</v>
      </c>
      <c r="D455" s="3">
        <f t="shared" si="1"/>
        <v>0</v>
      </c>
      <c r="E455" s="3" t="str">
        <f>IFERROR(__xludf.DUMMYFUNCTION("REGEXEXTRACT(C455,""[^ ]* [^ ]*"")"),"muted fuchsia")</f>
        <v>muted fuchsia</v>
      </c>
      <c r="F455" s="3" t="str">
        <f>IFERROR(__xludf.DUMMYFUNCTION("MID(REGEXEXTRACT(C455,""contain.*$""),9,300)"),"1 dotted purple bag.")</f>
        <v>1 dotted purple bag.</v>
      </c>
      <c r="G455" s="3" t="str">
        <f>IFERROR(__xludf.DUMMYFUNCTION("INDEX(SPLIT($F455,"",""),COLUMN()-6)"),"1 dotted purple bag.")</f>
        <v>1 dotted purple bag.</v>
      </c>
      <c r="H455" s="3" t="str">
        <f>IFERROR(__xludf.DUMMYFUNCTION("MID(INDEX(SPLIT($F455,"",""),COLUMN()-6),2,300)"),"#REF!")</f>
        <v>#REF!</v>
      </c>
      <c r="I455" s="3" t="str">
        <f>IFERROR(__xludf.DUMMYFUNCTION("MID(INDEX(SPLIT($F455,"",""),COLUMN()-6),2,300)"),"#REF!")</f>
        <v>#REF!</v>
      </c>
      <c r="J455" s="3" t="str">
        <f>IFERROR(__xludf.DUMMYFUNCTION("MID(INDEX(SPLIT($F455,"",""),COLUMN()-6),2,300)"),"#REF!")</f>
        <v>#REF!</v>
      </c>
      <c r="K455" s="3">
        <f>IFERROR(__xludf.DUMMYFUNCTION("INDEX(SPLIT(G455,"" ""),1)"),1.0)</f>
        <v>1</v>
      </c>
      <c r="L455" s="3" t="str">
        <f>IFERROR(__xludf.DUMMYFUNCTION("REGEXEXTRACT(G455,"" [^ ]* [^ ]* "")")," dotted purple ")</f>
        <v> dotted purple </v>
      </c>
      <c r="M455" s="3" t="str">
        <f>IFERROR(__xludf.DUMMYFUNCTION("INDEX(SPLIT(H455,"" ""),1)"),"#REF!")</f>
        <v>#REF!</v>
      </c>
      <c r="N455" s="3" t="str">
        <f>IFERROR(__xludf.DUMMYFUNCTION("MID(REGEXEXTRACT(H455,"" [^ ]* [^ ]*""),2,300)"),"#REF!")</f>
        <v>#REF!</v>
      </c>
      <c r="O455" s="3" t="str">
        <f>IFERROR(__xludf.DUMMYFUNCTION("INDEX(SPLIT(I455,"" ""),1)"),"#REF!")</f>
        <v>#REF!</v>
      </c>
      <c r="P455" s="3" t="str">
        <f>IFERROR(__xludf.DUMMYFUNCTION("MID(REGEXEXTRACT(I455,"" [^ ]* [^ ]*""),2,300)"),"#REF!")</f>
        <v>#REF!</v>
      </c>
      <c r="Q455" s="3" t="str">
        <f>IFERROR(__xludf.DUMMYFUNCTION("INDEX(SPLIT(J455,"" ""),1)"),"#REF!")</f>
        <v>#REF!</v>
      </c>
      <c r="R455" s="3" t="str">
        <f>IFERROR(__xludf.DUMMYFUNCTION("MID(REGEXEXTRACT(J455,"" [^ ]* [^ ]*""),2,300)"),"#REF!")</f>
        <v>#REF!</v>
      </c>
      <c r="S455" s="3">
        <f t="shared" si="2"/>
        <v>1</v>
      </c>
      <c r="T455" s="3" t="str">
        <f t="shared" si="3"/>
        <v>dotted purple</v>
      </c>
      <c r="U455" s="3" t="str">
        <f t="shared" si="4"/>
        <v/>
      </c>
      <c r="V455" s="3" t="str">
        <f t="shared" si="5"/>
        <v/>
      </c>
      <c r="W455" s="3" t="str">
        <f t="shared" si="6"/>
        <v/>
      </c>
      <c r="X455" s="3" t="str">
        <f t="shared" si="7"/>
        <v/>
      </c>
      <c r="Y455" s="3" t="str">
        <f t="shared" si="8"/>
        <v/>
      </c>
      <c r="Z455" s="3" t="str">
        <f t="shared" si="9"/>
        <v/>
      </c>
      <c r="AA455" s="13">
        <f t="shared" si="10"/>
        <v>19267</v>
      </c>
      <c r="AB455" s="3">
        <f t="shared" si="11"/>
        <v>19266</v>
      </c>
      <c r="AC455" s="3">
        <f t="shared" si="12"/>
        <v>1</v>
      </c>
      <c r="AD455" s="3">
        <f t="shared" si="13"/>
        <v>19266</v>
      </c>
      <c r="AE455" s="3" t="str">
        <f t="shared" si="14"/>
        <v/>
      </c>
      <c r="AF455" s="3">
        <f t="shared" si="15"/>
        <v>0</v>
      </c>
      <c r="AG455" s="3" t="str">
        <f t="shared" si="16"/>
        <v/>
      </c>
      <c r="AH455" s="3">
        <f t="shared" si="17"/>
        <v>0</v>
      </c>
      <c r="AI455" s="3" t="str">
        <f t="shared" si="18"/>
        <v/>
      </c>
      <c r="AJ455" s="3">
        <f t="shared" si="19"/>
        <v>0</v>
      </c>
    </row>
    <row r="456">
      <c r="C456" s="6" t="s">
        <v>456</v>
      </c>
      <c r="D456" s="3">
        <f t="shared" si="1"/>
        <v>2</v>
      </c>
      <c r="E456" s="3" t="str">
        <f>IFERROR(__xludf.DUMMYFUNCTION("REGEXEXTRACT(C456,""[^ ]* [^ ]*"")"),"clear maroon")</f>
        <v>clear maroon</v>
      </c>
      <c r="F456" s="3" t="str">
        <f>IFERROR(__xludf.DUMMYFUNCTION("MID(REGEXEXTRACT(C456,""contain.*$""),9,300)"),"3 muted gray bags, 2 bright chartreuse bags, 3 dotted gold bags.")</f>
        <v>3 muted gray bags, 2 bright chartreuse bags, 3 dotted gold bags.</v>
      </c>
      <c r="G456" s="3" t="str">
        <f>IFERROR(__xludf.DUMMYFUNCTION("INDEX(SPLIT($F456,"",""),COLUMN()-6)"),"3 muted gray bags")</f>
        <v>3 muted gray bags</v>
      </c>
      <c r="H456" s="3" t="str">
        <f>IFERROR(__xludf.DUMMYFUNCTION("MID(INDEX(SPLIT($F456,"",""),COLUMN()-6),2,300)"),"2 bright chartreuse bags")</f>
        <v>2 bright chartreuse bags</v>
      </c>
      <c r="I456" s="3" t="str">
        <f>IFERROR(__xludf.DUMMYFUNCTION("MID(INDEX(SPLIT($F456,"",""),COLUMN()-6),2,300)"),"3 dotted gold bags.")</f>
        <v>3 dotted gold bags.</v>
      </c>
      <c r="J456" s="3" t="str">
        <f>IFERROR(__xludf.DUMMYFUNCTION("MID(INDEX(SPLIT($F456,"",""),COLUMN()-6),2,300)"),"#REF!")</f>
        <v>#REF!</v>
      </c>
      <c r="K456" s="3">
        <f>IFERROR(__xludf.DUMMYFUNCTION("INDEX(SPLIT(G456,"" ""),1)"),3.0)</f>
        <v>3</v>
      </c>
      <c r="L456" s="3" t="str">
        <f>IFERROR(__xludf.DUMMYFUNCTION("REGEXEXTRACT(G456,"" [^ ]* [^ ]* "")")," muted gray ")</f>
        <v> muted gray </v>
      </c>
      <c r="M456" s="3">
        <f>IFERROR(__xludf.DUMMYFUNCTION("INDEX(SPLIT(H456,"" ""),1)"),2.0)</f>
        <v>2</v>
      </c>
      <c r="N456" s="3" t="str">
        <f>IFERROR(__xludf.DUMMYFUNCTION("MID(REGEXEXTRACT(H456,"" [^ ]* [^ ]*""),2,300)"),"bright chartreuse")</f>
        <v>bright chartreuse</v>
      </c>
      <c r="O456" s="3">
        <f>IFERROR(__xludf.DUMMYFUNCTION("INDEX(SPLIT(I456,"" ""),1)"),3.0)</f>
        <v>3</v>
      </c>
      <c r="P456" s="3" t="str">
        <f>IFERROR(__xludf.DUMMYFUNCTION("MID(REGEXEXTRACT(I456,"" [^ ]* [^ ]*""),2,300)"),"dotted gold")</f>
        <v>dotted gold</v>
      </c>
      <c r="Q456" s="3" t="str">
        <f>IFERROR(__xludf.DUMMYFUNCTION("INDEX(SPLIT(J456,"" ""),1)"),"#REF!")</f>
        <v>#REF!</v>
      </c>
      <c r="R456" s="3" t="str">
        <f>IFERROR(__xludf.DUMMYFUNCTION("MID(REGEXEXTRACT(J456,"" [^ ]* [^ ]*""),2,300)"),"#REF!")</f>
        <v>#REF!</v>
      </c>
      <c r="S456" s="3">
        <f t="shared" si="2"/>
        <v>3</v>
      </c>
      <c r="T456" s="3" t="str">
        <f t="shared" si="3"/>
        <v>muted gray</v>
      </c>
      <c r="U456" s="3">
        <f t="shared" si="4"/>
        <v>2</v>
      </c>
      <c r="V456" s="3" t="str">
        <f t="shared" si="5"/>
        <v>bright chartreuse</v>
      </c>
      <c r="W456" s="3">
        <f t="shared" si="6"/>
        <v>3</v>
      </c>
      <c r="X456" s="3" t="str">
        <f t="shared" si="7"/>
        <v>dotted gold</v>
      </c>
      <c r="Y456" s="3" t="str">
        <f t="shared" si="8"/>
        <v/>
      </c>
      <c r="Z456" s="3" t="str">
        <f t="shared" si="9"/>
        <v/>
      </c>
      <c r="AA456" s="13">
        <f t="shared" si="10"/>
        <v>26408808</v>
      </c>
      <c r="AB456" s="3">
        <f t="shared" si="11"/>
        <v>26408807</v>
      </c>
      <c r="AC456" s="3">
        <f t="shared" si="12"/>
        <v>3</v>
      </c>
      <c r="AD456" s="3">
        <f t="shared" si="13"/>
        <v>8714523</v>
      </c>
      <c r="AE456" s="3">
        <f t="shared" si="14"/>
        <v>2</v>
      </c>
      <c r="AF456" s="3">
        <f t="shared" si="15"/>
        <v>132604</v>
      </c>
      <c r="AG456" s="3">
        <f t="shared" si="16"/>
        <v>3</v>
      </c>
      <c r="AH456" s="3">
        <f t="shared" si="17"/>
        <v>10</v>
      </c>
      <c r="AI456" s="3" t="str">
        <f t="shared" si="18"/>
        <v/>
      </c>
      <c r="AJ456" s="3">
        <f t="shared" si="19"/>
        <v>0</v>
      </c>
    </row>
    <row r="457">
      <c r="C457" s="6" t="s">
        <v>457</v>
      </c>
      <c r="D457" s="3">
        <f t="shared" si="1"/>
        <v>0</v>
      </c>
      <c r="E457" s="3" t="str">
        <f>IFERROR(__xludf.DUMMYFUNCTION("REGEXEXTRACT(C457,""[^ ]* [^ ]*"")"),"faded salmon")</f>
        <v>faded salmon</v>
      </c>
      <c r="F457" s="3" t="str">
        <f>IFERROR(__xludf.DUMMYFUNCTION("MID(REGEXEXTRACT(C457,""contain.*$""),9,300)"),"5 clear green bags.")</f>
        <v>5 clear green bags.</v>
      </c>
      <c r="G457" s="3" t="str">
        <f>IFERROR(__xludf.DUMMYFUNCTION("INDEX(SPLIT($F457,"",""),COLUMN()-6)"),"5 clear green bags.")</f>
        <v>5 clear green bags.</v>
      </c>
      <c r="H457" s="3" t="str">
        <f>IFERROR(__xludf.DUMMYFUNCTION("MID(INDEX(SPLIT($F457,"",""),COLUMN()-6),2,300)"),"#REF!")</f>
        <v>#REF!</v>
      </c>
      <c r="I457" s="3" t="str">
        <f>IFERROR(__xludf.DUMMYFUNCTION("MID(INDEX(SPLIT($F457,"",""),COLUMN()-6),2,300)"),"#REF!")</f>
        <v>#REF!</v>
      </c>
      <c r="J457" s="3" t="str">
        <f>IFERROR(__xludf.DUMMYFUNCTION("MID(INDEX(SPLIT($F457,"",""),COLUMN()-6),2,300)"),"#REF!")</f>
        <v>#REF!</v>
      </c>
      <c r="K457" s="3">
        <f>IFERROR(__xludf.DUMMYFUNCTION("INDEX(SPLIT(G457,"" ""),1)"),5.0)</f>
        <v>5</v>
      </c>
      <c r="L457" s="3" t="str">
        <f>IFERROR(__xludf.DUMMYFUNCTION("REGEXEXTRACT(G457,"" [^ ]* [^ ]* "")")," clear green ")</f>
        <v> clear green </v>
      </c>
      <c r="M457" s="3" t="str">
        <f>IFERROR(__xludf.DUMMYFUNCTION("INDEX(SPLIT(H457,"" ""),1)"),"#REF!")</f>
        <v>#REF!</v>
      </c>
      <c r="N457" s="3" t="str">
        <f>IFERROR(__xludf.DUMMYFUNCTION("MID(REGEXEXTRACT(H457,"" [^ ]* [^ ]*""),2,300)"),"#REF!")</f>
        <v>#REF!</v>
      </c>
      <c r="O457" s="3" t="str">
        <f>IFERROR(__xludf.DUMMYFUNCTION("INDEX(SPLIT(I457,"" ""),1)"),"#REF!")</f>
        <v>#REF!</v>
      </c>
      <c r="P457" s="3" t="str">
        <f>IFERROR(__xludf.DUMMYFUNCTION("MID(REGEXEXTRACT(I457,"" [^ ]* [^ ]*""),2,300)"),"#REF!")</f>
        <v>#REF!</v>
      </c>
      <c r="Q457" s="3" t="str">
        <f>IFERROR(__xludf.DUMMYFUNCTION("INDEX(SPLIT(J457,"" ""),1)"),"#REF!")</f>
        <v>#REF!</v>
      </c>
      <c r="R457" s="3" t="str">
        <f>IFERROR(__xludf.DUMMYFUNCTION("MID(REGEXEXTRACT(J457,"" [^ ]* [^ ]*""),2,300)"),"#REF!")</f>
        <v>#REF!</v>
      </c>
      <c r="S457" s="3">
        <f t="shared" si="2"/>
        <v>5</v>
      </c>
      <c r="T457" s="3" t="str">
        <f t="shared" si="3"/>
        <v>clear green</v>
      </c>
      <c r="U457" s="3" t="str">
        <f t="shared" si="4"/>
        <v/>
      </c>
      <c r="V457" s="3" t="str">
        <f t="shared" si="5"/>
        <v/>
      </c>
      <c r="W457" s="3" t="str">
        <f t="shared" si="6"/>
        <v/>
      </c>
      <c r="X457" s="3" t="str">
        <f t="shared" si="7"/>
        <v/>
      </c>
      <c r="Y457" s="3" t="str">
        <f t="shared" si="8"/>
        <v/>
      </c>
      <c r="Z457" s="3" t="str">
        <f t="shared" si="9"/>
        <v/>
      </c>
      <c r="AA457" s="13">
        <f t="shared" si="10"/>
        <v>23596</v>
      </c>
      <c r="AB457" s="3">
        <f t="shared" si="11"/>
        <v>23595</v>
      </c>
      <c r="AC457" s="3">
        <f t="shared" si="12"/>
        <v>5</v>
      </c>
      <c r="AD457" s="3">
        <f t="shared" si="13"/>
        <v>4719</v>
      </c>
      <c r="AE457" s="3" t="str">
        <f t="shared" si="14"/>
        <v/>
      </c>
      <c r="AF457" s="3">
        <f t="shared" si="15"/>
        <v>0</v>
      </c>
      <c r="AG457" s="3" t="str">
        <f t="shared" si="16"/>
        <v/>
      </c>
      <c r="AH457" s="3">
        <f t="shared" si="17"/>
        <v>0</v>
      </c>
      <c r="AI457" s="3" t="str">
        <f t="shared" si="18"/>
        <v/>
      </c>
      <c r="AJ457" s="3">
        <f t="shared" si="19"/>
        <v>0</v>
      </c>
    </row>
    <row r="458">
      <c r="C458" s="6" t="s">
        <v>458</v>
      </c>
      <c r="D458" s="3">
        <f t="shared" si="1"/>
        <v>3</v>
      </c>
      <c r="E458" s="3" t="str">
        <f>IFERROR(__xludf.DUMMYFUNCTION("REGEXEXTRACT(C458,""[^ ]* [^ ]*"")"),"striped aqua")</f>
        <v>striped aqua</v>
      </c>
      <c r="F458" s="3" t="str">
        <f>IFERROR(__xludf.DUMMYFUNCTION("MID(REGEXEXTRACT(C458,""contain.*$""),9,300)"),"5 pale yellow bags, 1 dotted salmon bag, 1 wavy teal bag, 1 muted yellow bag.")</f>
        <v>5 pale yellow bags, 1 dotted salmon bag, 1 wavy teal bag, 1 muted yellow bag.</v>
      </c>
      <c r="G458" s="3" t="str">
        <f>IFERROR(__xludf.DUMMYFUNCTION("INDEX(SPLIT($F458,"",""),COLUMN()-6)"),"5 pale yellow bags")</f>
        <v>5 pale yellow bags</v>
      </c>
      <c r="H458" s="3" t="str">
        <f>IFERROR(__xludf.DUMMYFUNCTION("MID(INDEX(SPLIT($F458,"",""),COLUMN()-6),2,300)"),"1 dotted salmon bag")</f>
        <v>1 dotted salmon bag</v>
      </c>
      <c r="I458" s="3" t="str">
        <f>IFERROR(__xludf.DUMMYFUNCTION("MID(INDEX(SPLIT($F458,"",""),COLUMN()-6),2,300)"),"1 wavy teal bag")</f>
        <v>1 wavy teal bag</v>
      </c>
      <c r="J458" s="3" t="str">
        <f>IFERROR(__xludf.DUMMYFUNCTION("MID(INDEX(SPLIT($F458,"",""),COLUMN()-6),2,300)"),"1 muted yellow bag.")</f>
        <v>1 muted yellow bag.</v>
      </c>
      <c r="K458" s="3">
        <f>IFERROR(__xludf.DUMMYFUNCTION("INDEX(SPLIT(G458,"" ""),1)"),5.0)</f>
        <v>5</v>
      </c>
      <c r="L458" s="3" t="str">
        <f>IFERROR(__xludf.DUMMYFUNCTION("REGEXEXTRACT(G458,"" [^ ]* [^ ]* "")")," pale yellow ")</f>
        <v> pale yellow </v>
      </c>
      <c r="M458" s="3">
        <f>IFERROR(__xludf.DUMMYFUNCTION("INDEX(SPLIT(H458,"" ""),1)"),1.0)</f>
        <v>1</v>
      </c>
      <c r="N458" s="3" t="str">
        <f>IFERROR(__xludf.DUMMYFUNCTION("MID(REGEXEXTRACT(H458,"" [^ ]* [^ ]*""),2,300)"),"dotted salmon")</f>
        <v>dotted salmon</v>
      </c>
      <c r="O458" s="3">
        <f>IFERROR(__xludf.DUMMYFUNCTION("INDEX(SPLIT(I458,"" ""),1)"),1.0)</f>
        <v>1</v>
      </c>
      <c r="P458" s="3" t="str">
        <f>IFERROR(__xludf.DUMMYFUNCTION("MID(REGEXEXTRACT(I458,"" [^ ]* [^ ]*""),2,300)"),"wavy teal")</f>
        <v>wavy teal</v>
      </c>
      <c r="Q458" s="3">
        <f>IFERROR(__xludf.DUMMYFUNCTION("INDEX(SPLIT(J458,"" ""),1)"),1.0)</f>
        <v>1</v>
      </c>
      <c r="R458" s="3" t="str">
        <f>IFERROR(__xludf.DUMMYFUNCTION("MID(REGEXEXTRACT(J458,"" [^ ]* [^ ]*""),2,300)"),"muted yellow")</f>
        <v>muted yellow</v>
      </c>
      <c r="S458" s="3">
        <f t="shared" si="2"/>
        <v>5</v>
      </c>
      <c r="T458" s="3" t="str">
        <f t="shared" si="3"/>
        <v>pale yellow</v>
      </c>
      <c r="U458" s="3">
        <f t="shared" si="4"/>
        <v>1</v>
      </c>
      <c r="V458" s="3" t="str">
        <f t="shared" si="5"/>
        <v>dotted salmon</v>
      </c>
      <c r="W458" s="3">
        <f t="shared" si="6"/>
        <v>1</v>
      </c>
      <c r="X458" s="3" t="str">
        <f t="shared" si="7"/>
        <v>wavy teal</v>
      </c>
      <c r="Y458" s="3">
        <f t="shared" si="8"/>
        <v>1</v>
      </c>
      <c r="Z458" s="3" t="str">
        <f t="shared" si="9"/>
        <v>muted yellow</v>
      </c>
      <c r="AA458" s="13">
        <f t="shared" si="10"/>
        <v>187520</v>
      </c>
      <c r="AB458" s="3">
        <f t="shared" si="11"/>
        <v>187519</v>
      </c>
      <c r="AC458" s="3">
        <f t="shared" si="12"/>
        <v>5</v>
      </c>
      <c r="AD458" s="3">
        <f t="shared" si="13"/>
        <v>329</v>
      </c>
      <c r="AE458" s="3">
        <f t="shared" si="14"/>
        <v>1</v>
      </c>
      <c r="AF458" s="3">
        <f t="shared" si="15"/>
        <v>97296</v>
      </c>
      <c r="AG458" s="3">
        <f t="shared" si="16"/>
        <v>1</v>
      </c>
      <c r="AH458" s="3">
        <f t="shared" si="17"/>
        <v>84750</v>
      </c>
      <c r="AI458" s="3">
        <f t="shared" si="18"/>
        <v>1</v>
      </c>
      <c r="AJ458" s="3">
        <f t="shared" si="19"/>
        <v>3828</v>
      </c>
    </row>
    <row r="459">
      <c r="C459" s="6" t="s">
        <v>459</v>
      </c>
      <c r="D459" s="3">
        <f t="shared" si="1"/>
        <v>0</v>
      </c>
      <c r="E459" s="3" t="str">
        <f>IFERROR(__xludf.DUMMYFUNCTION("REGEXEXTRACT(C459,""[^ ]* [^ ]*"")"),"plaid fuchsia")</f>
        <v>plaid fuchsia</v>
      </c>
      <c r="F459" s="3" t="str">
        <f>IFERROR(__xludf.DUMMYFUNCTION("MID(REGEXEXTRACT(C459,""contain.*$""),9,300)"),"2 dim olive bags.")</f>
        <v>2 dim olive bags.</v>
      </c>
      <c r="G459" s="3" t="str">
        <f>IFERROR(__xludf.DUMMYFUNCTION("INDEX(SPLIT($F459,"",""),COLUMN()-6)"),"2 dim olive bags.")</f>
        <v>2 dim olive bags.</v>
      </c>
      <c r="H459" s="3" t="str">
        <f>IFERROR(__xludf.DUMMYFUNCTION("MID(INDEX(SPLIT($F459,"",""),COLUMN()-6),2,300)"),"#REF!")</f>
        <v>#REF!</v>
      </c>
      <c r="I459" s="3" t="str">
        <f>IFERROR(__xludf.DUMMYFUNCTION("MID(INDEX(SPLIT($F459,"",""),COLUMN()-6),2,300)"),"#REF!")</f>
        <v>#REF!</v>
      </c>
      <c r="J459" s="3" t="str">
        <f>IFERROR(__xludf.DUMMYFUNCTION("MID(INDEX(SPLIT($F459,"",""),COLUMN()-6),2,300)"),"#REF!")</f>
        <v>#REF!</v>
      </c>
      <c r="K459" s="3">
        <f>IFERROR(__xludf.DUMMYFUNCTION("INDEX(SPLIT(G459,"" ""),1)"),2.0)</f>
        <v>2</v>
      </c>
      <c r="L459" s="3" t="str">
        <f>IFERROR(__xludf.DUMMYFUNCTION("REGEXEXTRACT(G459,"" [^ ]* [^ ]* "")")," dim olive ")</f>
        <v> dim olive </v>
      </c>
      <c r="M459" s="3" t="str">
        <f>IFERROR(__xludf.DUMMYFUNCTION("INDEX(SPLIT(H459,"" ""),1)"),"#REF!")</f>
        <v>#REF!</v>
      </c>
      <c r="N459" s="3" t="str">
        <f>IFERROR(__xludf.DUMMYFUNCTION("MID(REGEXEXTRACT(H459,"" [^ ]* [^ ]*""),2,300)"),"#REF!")</f>
        <v>#REF!</v>
      </c>
      <c r="O459" s="3" t="str">
        <f>IFERROR(__xludf.DUMMYFUNCTION("INDEX(SPLIT(I459,"" ""),1)"),"#REF!")</f>
        <v>#REF!</v>
      </c>
      <c r="P459" s="3" t="str">
        <f>IFERROR(__xludf.DUMMYFUNCTION("MID(REGEXEXTRACT(I459,"" [^ ]* [^ ]*""),2,300)"),"#REF!")</f>
        <v>#REF!</v>
      </c>
      <c r="Q459" s="3" t="str">
        <f>IFERROR(__xludf.DUMMYFUNCTION("INDEX(SPLIT(J459,"" ""),1)"),"#REF!")</f>
        <v>#REF!</v>
      </c>
      <c r="R459" s="3" t="str">
        <f>IFERROR(__xludf.DUMMYFUNCTION("MID(REGEXEXTRACT(J459,"" [^ ]* [^ ]*""),2,300)"),"#REF!")</f>
        <v>#REF!</v>
      </c>
      <c r="S459" s="3">
        <f t="shared" si="2"/>
        <v>2</v>
      </c>
      <c r="T459" s="3" t="str">
        <f t="shared" si="3"/>
        <v>dim olive</v>
      </c>
      <c r="U459" s="3" t="str">
        <f t="shared" si="4"/>
        <v/>
      </c>
      <c r="V459" s="3" t="str">
        <f t="shared" si="5"/>
        <v/>
      </c>
      <c r="W459" s="3" t="str">
        <f t="shared" si="6"/>
        <v/>
      </c>
      <c r="X459" s="3" t="str">
        <f t="shared" si="7"/>
        <v/>
      </c>
      <c r="Y459" s="3" t="str">
        <f t="shared" si="8"/>
        <v/>
      </c>
      <c r="Z459" s="3" t="str">
        <f t="shared" si="9"/>
        <v/>
      </c>
      <c r="AA459" s="13">
        <f t="shared" si="10"/>
        <v>3</v>
      </c>
      <c r="AB459" s="3">
        <f t="shared" si="11"/>
        <v>2</v>
      </c>
      <c r="AC459" s="3">
        <f t="shared" si="12"/>
        <v>2</v>
      </c>
      <c r="AD459" s="3">
        <f t="shared" si="13"/>
        <v>1</v>
      </c>
      <c r="AE459" s="3" t="str">
        <f t="shared" si="14"/>
        <v/>
      </c>
      <c r="AF459" s="3">
        <f t="shared" si="15"/>
        <v>0</v>
      </c>
      <c r="AG459" s="3" t="str">
        <f t="shared" si="16"/>
        <v/>
      </c>
      <c r="AH459" s="3">
        <f t="shared" si="17"/>
        <v>0</v>
      </c>
      <c r="AI459" s="3" t="str">
        <f t="shared" si="18"/>
        <v/>
      </c>
      <c r="AJ459" s="3">
        <f t="shared" si="19"/>
        <v>0</v>
      </c>
    </row>
    <row r="460">
      <c r="C460" s="6" t="s">
        <v>460</v>
      </c>
      <c r="D460" s="3">
        <f t="shared" si="1"/>
        <v>1</v>
      </c>
      <c r="E460" s="3" t="str">
        <f>IFERROR(__xludf.DUMMYFUNCTION("REGEXEXTRACT(C460,""[^ ]* [^ ]*"")"),"pale chartreuse")</f>
        <v>pale chartreuse</v>
      </c>
      <c r="F460" s="3" t="str">
        <f>IFERROR(__xludf.DUMMYFUNCTION("MID(REGEXEXTRACT(C460,""contain.*$""),9,300)"),"3 posh magenta bags, 3 mirrored yellow bags.")</f>
        <v>3 posh magenta bags, 3 mirrored yellow bags.</v>
      </c>
      <c r="G460" s="3" t="str">
        <f>IFERROR(__xludf.DUMMYFUNCTION("INDEX(SPLIT($F460,"",""),COLUMN()-6)"),"3 posh magenta bags")</f>
        <v>3 posh magenta bags</v>
      </c>
      <c r="H460" s="3" t="str">
        <f>IFERROR(__xludf.DUMMYFUNCTION("MID(INDEX(SPLIT($F460,"",""),COLUMN()-6),2,300)"),"3 mirrored yellow bags.")</f>
        <v>3 mirrored yellow bags.</v>
      </c>
      <c r="I460" s="3" t="str">
        <f>IFERROR(__xludf.DUMMYFUNCTION("MID(INDEX(SPLIT($F460,"",""),COLUMN()-6),2,300)"),"#REF!")</f>
        <v>#REF!</v>
      </c>
      <c r="J460" s="3" t="str">
        <f>IFERROR(__xludf.DUMMYFUNCTION("MID(INDEX(SPLIT($F460,"",""),COLUMN()-6),2,300)"),"#REF!")</f>
        <v>#REF!</v>
      </c>
      <c r="K460" s="3">
        <f>IFERROR(__xludf.DUMMYFUNCTION("INDEX(SPLIT(G460,"" ""),1)"),3.0)</f>
        <v>3</v>
      </c>
      <c r="L460" s="3" t="str">
        <f>IFERROR(__xludf.DUMMYFUNCTION("REGEXEXTRACT(G460,"" [^ ]* [^ ]* "")")," posh magenta ")</f>
        <v> posh magenta </v>
      </c>
      <c r="M460" s="3">
        <f>IFERROR(__xludf.DUMMYFUNCTION("INDEX(SPLIT(H460,"" ""),1)"),3.0)</f>
        <v>3</v>
      </c>
      <c r="N460" s="3" t="str">
        <f>IFERROR(__xludf.DUMMYFUNCTION("MID(REGEXEXTRACT(H460,"" [^ ]* [^ ]*""),2,300)"),"mirrored yellow")</f>
        <v>mirrored yellow</v>
      </c>
      <c r="O460" s="3" t="str">
        <f>IFERROR(__xludf.DUMMYFUNCTION("INDEX(SPLIT(I460,"" ""),1)"),"#REF!")</f>
        <v>#REF!</v>
      </c>
      <c r="P460" s="3" t="str">
        <f>IFERROR(__xludf.DUMMYFUNCTION("MID(REGEXEXTRACT(I460,"" [^ ]* [^ ]*""),2,300)"),"#REF!")</f>
        <v>#REF!</v>
      </c>
      <c r="Q460" s="3" t="str">
        <f>IFERROR(__xludf.DUMMYFUNCTION("INDEX(SPLIT(J460,"" ""),1)"),"#REF!")</f>
        <v>#REF!</v>
      </c>
      <c r="R460" s="3" t="str">
        <f>IFERROR(__xludf.DUMMYFUNCTION("MID(REGEXEXTRACT(J460,"" [^ ]* [^ ]*""),2,300)"),"#REF!")</f>
        <v>#REF!</v>
      </c>
      <c r="S460" s="3">
        <f t="shared" si="2"/>
        <v>3</v>
      </c>
      <c r="T460" s="3" t="str">
        <f t="shared" si="3"/>
        <v>posh magenta</v>
      </c>
      <c r="U460" s="3">
        <f t="shared" si="4"/>
        <v>3</v>
      </c>
      <c r="V460" s="3" t="str">
        <f t="shared" si="5"/>
        <v>mirrored yellow</v>
      </c>
      <c r="W460" s="3" t="str">
        <f t="shared" si="6"/>
        <v/>
      </c>
      <c r="X460" s="3" t="str">
        <f t="shared" si="7"/>
        <v/>
      </c>
      <c r="Y460" s="3" t="str">
        <f t="shared" si="8"/>
        <v/>
      </c>
      <c r="Z460" s="3" t="str">
        <f t="shared" si="9"/>
        <v/>
      </c>
      <c r="AA460" s="13">
        <f t="shared" si="10"/>
        <v>157505668</v>
      </c>
      <c r="AB460" s="3">
        <f t="shared" si="11"/>
        <v>157505667</v>
      </c>
      <c r="AC460" s="3">
        <f t="shared" si="12"/>
        <v>3</v>
      </c>
      <c r="AD460" s="3">
        <f t="shared" si="13"/>
        <v>1</v>
      </c>
      <c r="AE460" s="3">
        <f t="shared" si="14"/>
        <v>3</v>
      </c>
      <c r="AF460" s="3">
        <f t="shared" si="15"/>
        <v>52501888</v>
      </c>
      <c r="AG460" s="3" t="str">
        <f t="shared" si="16"/>
        <v/>
      </c>
      <c r="AH460" s="3">
        <f t="shared" si="17"/>
        <v>0</v>
      </c>
      <c r="AI460" s="3" t="str">
        <f t="shared" si="18"/>
        <v/>
      </c>
      <c r="AJ460" s="3">
        <f t="shared" si="19"/>
        <v>0</v>
      </c>
    </row>
    <row r="461">
      <c r="C461" s="6" t="s">
        <v>461</v>
      </c>
      <c r="D461" s="3">
        <f t="shared" si="1"/>
        <v>0</v>
      </c>
      <c r="E461" s="3" t="str">
        <f>IFERROR(__xludf.DUMMYFUNCTION("REGEXEXTRACT(C461,""[^ ]* [^ ]*"")"),"shiny beige")</f>
        <v>shiny beige</v>
      </c>
      <c r="F461" s="3" t="str">
        <f>IFERROR(__xludf.DUMMYFUNCTION("MID(REGEXEXTRACT(C461,""contain.*$""),9,300)"),"1 mirrored indigo bag.")</f>
        <v>1 mirrored indigo bag.</v>
      </c>
      <c r="G461" s="3" t="str">
        <f>IFERROR(__xludf.DUMMYFUNCTION("INDEX(SPLIT($F461,"",""),COLUMN()-6)"),"1 mirrored indigo bag.")</f>
        <v>1 mirrored indigo bag.</v>
      </c>
      <c r="H461" s="3" t="str">
        <f>IFERROR(__xludf.DUMMYFUNCTION("MID(INDEX(SPLIT($F461,"",""),COLUMN()-6),2,300)"),"#REF!")</f>
        <v>#REF!</v>
      </c>
      <c r="I461" s="3" t="str">
        <f>IFERROR(__xludf.DUMMYFUNCTION("MID(INDEX(SPLIT($F461,"",""),COLUMN()-6),2,300)"),"#REF!")</f>
        <v>#REF!</v>
      </c>
      <c r="J461" s="3" t="str">
        <f>IFERROR(__xludf.DUMMYFUNCTION("MID(INDEX(SPLIT($F461,"",""),COLUMN()-6),2,300)"),"#REF!")</f>
        <v>#REF!</v>
      </c>
      <c r="K461" s="3">
        <f>IFERROR(__xludf.DUMMYFUNCTION("INDEX(SPLIT(G461,"" ""),1)"),1.0)</f>
        <v>1</v>
      </c>
      <c r="L461" s="3" t="str">
        <f>IFERROR(__xludf.DUMMYFUNCTION("REGEXEXTRACT(G461,"" [^ ]* [^ ]* "")")," mirrored indigo ")</f>
        <v> mirrored indigo </v>
      </c>
      <c r="M461" s="3" t="str">
        <f>IFERROR(__xludf.DUMMYFUNCTION("INDEX(SPLIT(H461,"" ""),1)"),"#REF!")</f>
        <v>#REF!</v>
      </c>
      <c r="N461" s="3" t="str">
        <f>IFERROR(__xludf.DUMMYFUNCTION("MID(REGEXEXTRACT(H461,"" [^ ]* [^ ]*""),2,300)"),"#REF!")</f>
        <v>#REF!</v>
      </c>
      <c r="O461" s="3" t="str">
        <f>IFERROR(__xludf.DUMMYFUNCTION("INDEX(SPLIT(I461,"" ""),1)"),"#REF!")</f>
        <v>#REF!</v>
      </c>
      <c r="P461" s="3" t="str">
        <f>IFERROR(__xludf.DUMMYFUNCTION("MID(REGEXEXTRACT(I461,"" [^ ]* [^ ]*""),2,300)"),"#REF!")</f>
        <v>#REF!</v>
      </c>
      <c r="Q461" s="3" t="str">
        <f>IFERROR(__xludf.DUMMYFUNCTION("INDEX(SPLIT(J461,"" ""),1)"),"#REF!")</f>
        <v>#REF!</v>
      </c>
      <c r="R461" s="3" t="str">
        <f>IFERROR(__xludf.DUMMYFUNCTION("MID(REGEXEXTRACT(J461,"" [^ ]* [^ ]*""),2,300)"),"#REF!")</f>
        <v>#REF!</v>
      </c>
      <c r="S461" s="3">
        <f t="shared" si="2"/>
        <v>1</v>
      </c>
      <c r="T461" s="3" t="str">
        <f t="shared" si="3"/>
        <v>mirrored indigo</v>
      </c>
      <c r="U461" s="3" t="str">
        <f t="shared" si="4"/>
        <v/>
      </c>
      <c r="V461" s="3" t="str">
        <f t="shared" si="5"/>
        <v/>
      </c>
      <c r="W461" s="3" t="str">
        <f t="shared" si="6"/>
        <v/>
      </c>
      <c r="X461" s="3" t="str">
        <f t="shared" si="7"/>
        <v/>
      </c>
      <c r="Y461" s="3" t="str">
        <f t="shared" si="8"/>
        <v/>
      </c>
      <c r="Z461" s="3" t="str">
        <f t="shared" si="9"/>
        <v/>
      </c>
      <c r="AA461" s="13">
        <f t="shared" si="10"/>
        <v>181272</v>
      </c>
      <c r="AB461" s="3">
        <f t="shared" si="11"/>
        <v>181271</v>
      </c>
      <c r="AC461" s="3">
        <f t="shared" si="12"/>
        <v>1</v>
      </c>
      <c r="AD461" s="3">
        <f t="shared" si="13"/>
        <v>181271</v>
      </c>
      <c r="AE461" s="3" t="str">
        <f t="shared" si="14"/>
        <v/>
      </c>
      <c r="AF461" s="3">
        <f t="shared" si="15"/>
        <v>0</v>
      </c>
      <c r="AG461" s="3" t="str">
        <f t="shared" si="16"/>
        <v/>
      </c>
      <c r="AH461" s="3">
        <f t="shared" si="17"/>
        <v>0</v>
      </c>
      <c r="AI461" s="3" t="str">
        <f t="shared" si="18"/>
        <v/>
      </c>
      <c r="AJ461" s="3">
        <f t="shared" si="19"/>
        <v>0</v>
      </c>
    </row>
    <row r="462">
      <c r="C462" s="6" t="s">
        <v>462</v>
      </c>
      <c r="D462" s="3">
        <f t="shared" si="1"/>
        <v>3</v>
      </c>
      <c r="E462" s="3" t="str">
        <f>IFERROR(__xludf.DUMMYFUNCTION("REGEXEXTRACT(C462,""[^ ]* [^ ]*"")"),"posh aqua")</f>
        <v>posh aqua</v>
      </c>
      <c r="F462" s="3" t="str">
        <f>IFERROR(__xludf.DUMMYFUNCTION("MID(REGEXEXTRACT(C462,""contain.*$""),9,300)"),"3 pale silver bags, 3 shiny tan bags, 5 striped blue bags, 5 dull salmon bags.")</f>
        <v>3 pale silver bags, 3 shiny tan bags, 5 striped blue bags, 5 dull salmon bags.</v>
      </c>
      <c r="G462" s="3" t="str">
        <f>IFERROR(__xludf.DUMMYFUNCTION("INDEX(SPLIT($F462,"",""),COLUMN()-6)"),"3 pale silver bags")</f>
        <v>3 pale silver bags</v>
      </c>
      <c r="H462" s="3" t="str">
        <f>IFERROR(__xludf.DUMMYFUNCTION("MID(INDEX(SPLIT($F462,"",""),COLUMN()-6),2,300)"),"3 shiny tan bags")</f>
        <v>3 shiny tan bags</v>
      </c>
      <c r="I462" s="3" t="str">
        <f>IFERROR(__xludf.DUMMYFUNCTION("MID(INDEX(SPLIT($F462,"",""),COLUMN()-6),2,300)"),"5 striped blue bags")</f>
        <v>5 striped blue bags</v>
      </c>
      <c r="J462" s="3" t="str">
        <f>IFERROR(__xludf.DUMMYFUNCTION("MID(INDEX(SPLIT($F462,"",""),COLUMN()-6),2,300)"),"5 dull salmon bags.")</f>
        <v>5 dull salmon bags.</v>
      </c>
      <c r="K462" s="3">
        <f>IFERROR(__xludf.DUMMYFUNCTION("INDEX(SPLIT(G462,"" ""),1)"),3.0)</f>
        <v>3</v>
      </c>
      <c r="L462" s="3" t="str">
        <f>IFERROR(__xludf.DUMMYFUNCTION("REGEXEXTRACT(G462,"" [^ ]* [^ ]* "")")," pale silver ")</f>
        <v> pale silver </v>
      </c>
      <c r="M462" s="3">
        <f>IFERROR(__xludf.DUMMYFUNCTION("INDEX(SPLIT(H462,"" ""),1)"),3.0)</f>
        <v>3</v>
      </c>
      <c r="N462" s="3" t="str">
        <f>IFERROR(__xludf.DUMMYFUNCTION("MID(REGEXEXTRACT(H462,"" [^ ]* [^ ]*""),2,300)"),"shiny tan")</f>
        <v>shiny tan</v>
      </c>
      <c r="O462" s="3">
        <f>IFERROR(__xludf.DUMMYFUNCTION("INDEX(SPLIT(I462,"" ""),1)"),5.0)</f>
        <v>5</v>
      </c>
      <c r="P462" s="3" t="str">
        <f>IFERROR(__xludf.DUMMYFUNCTION("MID(REGEXEXTRACT(I462,"" [^ ]* [^ ]*""),2,300)"),"striped blue")</f>
        <v>striped blue</v>
      </c>
      <c r="Q462" s="3">
        <f>IFERROR(__xludf.DUMMYFUNCTION("INDEX(SPLIT(J462,"" ""),1)"),5.0)</f>
        <v>5</v>
      </c>
      <c r="R462" s="3" t="str">
        <f>IFERROR(__xludf.DUMMYFUNCTION("MID(REGEXEXTRACT(J462,"" [^ ]* [^ ]*""),2,300)"),"dull salmon")</f>
        <v>dull salmon</v>
      </c>
      <c r="S462" s="3">
        <f t="shared" si="2"/>
        <v>3</v>
      </c>
      <c r="T462" s="3" t="str">
        <f t="shared" si="3"/>
        <v>pale silver</v>
      </c>
      <c r="U462" s="3">
        <f t="shared" si="4"/>
        <v>3</v>
      </c>
      <c r="V462" s="3" t="str">
        <f t="shared" si="5"/>
        <v>shiny tan</v>
      </c>
      <c r="W462" s="3">
        <f t="shared" si="6"/>
        <v>5</v>
      </c>
      <c r="X462" s="3" t="str">
        <f t="shared" si="7"/>
        <v>striped blue</v>
      </c>
      <c r="Y462" s="3">
        <f t="shared" si="8"/>
        <v>5</v>
      </c>
      <c r="Z462" s="3" t="str">
        <f t="shared" si="9"/>
        <v>dull salmon</v>
      </c>
      <c r="AA462" s="13">
        <f t="shared" si="10"/>
        <v>58950226</v>
      </c>
      <c r="AB462" s="3">
        <f t="shared" si="11"/>
        <v>58950225</v>
      </c>
      <c r="AC462" s="3">
        <f t="shared" si="12"/>
        <v>3</v>
      </c>
      <c r="AD462" s="3">
        <f t="shared" si="13"/>
        <v>14456969</v>
      </c>
      <c r="AE462" s="3">
        <f t="shared" si="14"/>
        <v>3</v>
      </c>
      <c r="AF462" s="3">
        <f t="shared" si="15"/>
        <v>69856</v>
      </c>
      <c r="AG462" s="3">
        <f t="shared" si="16"/>
        <v>5</v>
      </c>
      <c r="AH462" s="3">
        <f t="shared" si="17"/>
        <v>180499</v>
      </c>
      <c r="AI462" s="3">
        <f t="shared" si="18"/>
        <v>5</v>
      </c>
      <c r="AJ462" s="3">
        <f t="shared" si="19"/>
        <v>2893451</v>
      </c>
    </row>
    <row r="463">
      <c r="C463" s="6" t="s">
        <v>463</v>
      </c>
      <c r="D463" s="3">
        <f t="shared" si="1"/>
        <v>2</v>
      </c>
      <c r="E463" s="3" t="str">
        <f>IFERROR(__xludf.DUMMYFUNCTION("REGEXEXTRACT(C463,""[^ ]* [^ ]*"")"),"dull magenta")</f>
        <v>dull magenta</v>
      </c>
      <c r="F463" s="3" t="str">
        <f>IFERROR(__xludf.DUMMYFUNCTION("MID(REGEXEXTRACT(C463,""contain.*$""),9,300)"),"5 dotted lime bags, 4 bright plum bags, 5 vibrant turquoise bags.")</f>
        <v>5 dotted lime bags, 4 bright plum bags, 5 vibrant turquoise bags.</v>
      </c>
      <c r="G463" s="3" t="str">
        <f>IFERROR(__xludf.DUMMYFUNCTION("INDEX(SPLIT($F463,"",""),COLUMN()-6)"),"5 dotted lime bags")</f>
        <v>5 dotted lime bags</v>
      </c>
      <c r="H463" s="3" t="str">
        <f>IFERROR(__xludf.DUMMYFUNCTION("MID(INDEX(SPLIT($F463,"",""),COLUMN()-6),2,300)"),"4 bright plum bags")</f>
        <v>4 bright plum bags</v>
      </c>
      <c r="I463" s="3" t="str">
        <f>IFERROR(__xludf.DUMMYFUNCTION("MID(INDEX(SPLIT($F463,"",""),COLUMN()-6),2,300)"),"5 vibrant turquoise bags.")</f>
        <v>5 vibrant turquoise bags.</v>
      </c>
      <c r="J463" s="3" t="str">
        <f>IFERROR(__xludf.DUMMYFUNCTION("MID(INDEX(SPLIT($F463,"",""),COLUMN()-6),2,300)"),"#REF!")</f>
        <v>#REF!</v>
      </c>
      <c r="K463" s="3">
        <f>IFERROR(__xludf.DUMMYFUNCTION("INDEX(SPLIT(G463,"" ""),1)"),5.0)</f>
        <v>5</v>
      </c>
      <c r="L463" s="3" t="str">
        <f>IFERROR(__xludf.DUMMYFUNCTION("REGEXEXTRACT(G463,"" [^ ]* [^ ]* "")")," dotted lime ")</f>
        <v> dotted lime </v>
      </c>
      <c r="M463" s="3">
        <f>IFERROR(__xludf.DUMMYFUNCTION("INDEX(SPLIT(H463,"" ""),1)"),4.0)</f>
        <v>4</v>
      </c>
      <c r="N463" s="3" t="str">
        <f>IFERROR(__xludf.DUMMYFUNCTION("MID(REGEXEXTRACT(H463,"" [^ ]* [^ ]*""),2,300)"),"bright plum")</f>
        <v>bright plum</v>
      </c>
      <c r="O463" s="3">
        <f>IFERROR(__xludf.DUMMYFUNCTION("INDEX(SPLIT(I463,"" ""),1)"),5.0)</f>
        <v>5</v>
      </c>
      <c r="P463" s="3" t="str">
        <f>IFERROR(__xludf.DUMMYFUNCTION("MID(REGEXEXTRACT(I463,"" [^ ]* [^ ]*""),2,300)"),"vibrant turquoise")</f>
        <v>vibrant turquoise</v>
      </c>
      <c r="Q463" s="3" t="str">
        <f>IFERROR(__xludf.DUMMYFUNCTION("INDEX(SPLIT(J463,"" ""),1)"),"#REF!")</f>
        <v>#REF!</v>
      </c>
      <c r="R463" s="3" t="str">
        <f>IFERROR(__xludf.DUMMYFUNCTION("MID(REGEXEXTRACT(J463,"" [^ ]* [^ ]*""),2,300)"),"#REF!")</f>
        <v>#REF!</v>
      </c>
      <c r="S463" s="3">
        <f t="shared" si="2"/>
        <v>5</v>
      </c>
      <c r="T463" s="3" t="str">
        <f t="shared" si="3"/>
        <v>dotted lime</v>
      </c>
      <c r="U463" s="3">
        <f t="shared" si="4"/>
        <v>4</v>
      </c>
      <c r="V463" s="3" t="str">
        <f t="shared" si="5"/>
        <v>bright plum</v>
      </c>
      <c r="W463" s="3">
        <f t="shared" si="6"/>
        <v>5</v>
      </c>
      <c r="X463" s="3" t="str">
        <f t="shared" si="7"/>
        <v>vibrant turquoise</v>
      </c>
      <c r="Y463" s="3" t="str">
        <f t="shared" si="8"/>
        <v/>
      </c>
      <c r="Z463" s="3" t="str">
        <f t="shared" si="9"/>
        <v/>
      </c>
      <c r="AA463" s="13">
        <f t="shared" si="10"/>
        <v>35931570254</v>
      </c>
      <c r="AB463" s="3">
        <f t="shared" si="11"/>
        <v>35931570253</v>
      </c>
      <c r="AC463" s="3">
        <f t="shared" si="12"/>
        <v>5</v>
      </c>
      <c r="AD463" s="3">
        <f t="shared" si="13"/>
        <v>7182087446</v>
      </c>
      <c r="AE463" s="3">
        <f t="shared" si="14"/>
        <v>4</v>
      </c>
      <c r="AF463" s="3">
        <f t="shared" si="15"/>
        <v>150907</v>
      </c>
      <c r="AG463" s="3">
        <f t="shared" si="16"/>
        <v>5</v>
      </c>
      <c r="AH463" s="3">
        <f t="shared" si="17"/>
        <v>4105879</v>
      </c>
      <c r="AI463" s="3" t="str">
        <f t="shared" si="18"/>
        <v/>
      </c>
      <c r="AJ463" s="3">
        <f t="shared" si="19"/>
        <v>0</v>
      </c>
    </row>
    <row r="464">
      <c r="C464" s="6" t="s">
        <v>464</v>
      </c>
      <c r="D464" s="3">
        <f t="shared" si="1"/>
        <v>1</v>
      </c>
      <c r="E464" s="3" t="str">
        <f>IFERROR(__xludf.DUMMYFUNCTION("REGEXEXTRACT(C464,""[^ ]* [^ ]*"")"),"posh tomato")</f>
        <v>posh tomato</v>
      </c>
      <c r="F464" s="3" t="str">
        <f>IFERROR(__xludf.DUMMYFUNCTION("MID(REGEXEXTRACT(C464,""contain.*$""),9,300)"),"5 shiny tan bags, 1 wavy salmon bag.")</f>
        <v>5 shiny tan bags, 1 wavy salmon bag.</v>
      </c>
      <c r="G464" s="3" t="str">
        <f>IFERROR(__xludf.DUMMYFUNCTION("INDEX(SPLIT($F464,"",""),COLUMN()-6)"),"5 shiny tan bags")</f>
        <v>5 shiny tan bags</v>
      </c>
      <c r="H464" s="3" t="str">
        <f>IFERROR(__xludf.DUMMYFUNCTION("MID(INDEX(SPLIT($F464,"",""),COLUMN()-6),2,300)"),"1 wavy salmon bag.")</f>
        <v>1 wavy salmon bag.</v>
      </c>
      <c r="I464" s="3" t="str">
        <f>IFERROR(__xludf.DUMMYFUNCTION("MID(INDEX(SPLIT($F464,"",""),COLUMN()-6),2,300)"),"#REF!")</f>
        <v>#REF!</v>
      </c>
      <c r="J464" s="3" t="str">
        <f>IFERROR(__xludf.DUMMYFUNCTION("MID(INDEX(SPLIT($F464,"",""),COLUMN()-6),2,300)"),"#REF!")</f>
        <v>#REF!</v>
      </c>
      <c r="K464" s="3">
        <f>IFERROR(__xludf.DUMMYFUNCTION("INDEX(SPLIT(G464,"" ""),1)"),5.0)</f>
        <v>5</v>
      </c>
      <c r="L464" s="3" t="str">
        <f>IFERROR(__xludf.DUMMYFUNCTION("REGEXEXTRACT(G464,"" [^ ]* [^ ]* "")")," shiny tan ")</f>
        <v> shiny tan </v>
      </c>
      <c r="M464" s="3">
        <f>IFERROR(__xludf.DUMMYFUNCTION("INDEX(SPLIT(H464,"" ""),1)"),1.0)</f>
        <v>1</v>
      </c>
      <c r="N464" s="3" t="str">
        <f>IFERROR(__xludf.DUMMYFUNCTION("MID(REGEXEXTRACT(H464,"" [^ ]* [^ ]*""),2,300)"),"wavy salmon")</f>
        <v>wavy salmon</v>
      </c>
      <c r="O464" s="3" t="str">
        <f>IFERROR(__xludf.DUMMYFUNCTION("INDEX(SPLIT(I464,"" ""),1)"),"#REF!")</f>
        <v>#REF!</v>
      </c>
      <c r="P464" s="3" t="str">
        <f>IFERROR(__xludf.DUMMYFUNCTION("MID(REGEXEXTRACT(I464,"" [^ ]* [^ ]*""),2,300)"),"#REF!")</f>
        <v>#REF!</v>
      </c>
      <c r="Q464" s="3" t="str">
        <f>IFERROR(__xludf.DUMMYFUNCTION("INDEX(SPLIT(J464,"" ""),1)"),"#REF!")</f>
        <v>#REF!</v>
      </c>
      <c r="R464" s="3" t="str">
        <f>IFERROR(__xludf.DUMMYFUNCTION("MID(REGEXEXTRACT(J464,"" [^ ]* [^ ]*""),2,300)"),"#REF!")</f>
        <v>#REF!</v>
      </c>
      <c r="S464" s="3">
        <f t="shared" si="2"/>
        <v>5</v>
      </c>
      <c r="T464" s="3" t="str">
        <f t="shared" si="3"/>
        <v>shiny tan</v>
      </c>
      <c r="U464" s="3">
        <f t="shared" si="4"/>
        <v>1</v>
      </c>
      <c r="V464" s="3" t="str">
        <f t="shared" si="5"/>
        <v>wavy salmon</v>
      </c>
      <c r="W464" s="3" t="str">
        <f t="shared" si="6"/>
        <v/>
      </c>
      <c r="X464" s="3" t="str">
        <f t="shared" si="7"/>
        <v/>
      </c>
      <c r="Y464" s="3" t="str">
        <f t="shared" si="8"/>
        <v/>
      </c>
      <c r="Z464" s="3" t="str">
        <f t="shared" si="9"/>
        <v/>
      </c>
      <c r="AA464" s="13">
        <f t="shared" si="10"/>
        <v>1463326</v>
      </c>
      <c r="AB464" s="3">
        <f t="shared" si="11"/>
        <v>1463325</v>
      </c>
      <c r="AC464" s="3">
        <f t="shared" si="12"/>
        <v>5</v>
      </c>
      <c r="AD464" s="3">
        <f t="shared" si="13"/>
        <v>69856</v>
      </c>
      <c r="AE464" s="3">
        <f t="shared" si="14"/>
        <v>1</v>
      </c>
      <c r="AF464" s="3">
        <f t="shared" si="15"/>
        <v>1114045</v>
      </c>
      <c r="AG464" s="3" t="str">
        <f t="shared" si="16"/>
        <v/>
      </c>
      <c r="AH464" s="3">
        <f t="shared" si="17"/>
        <v>0</v>
      </c>
      <c r="AI464" s="3" t="str">
        <f t="shared" si="18"/>
        <v/>
      </c>
      <c r="AJ464" s="3">
        <f t="shared" si="19"/>
        <v>0</v>
      </c>
    </row>
    <row r="465">
      <c r="C465" s="6" t="s">
        <v>465</v>
      </c>
      <c r="D465" s="3">
        <f t="shared" si="1"/>
        <v>0</v>
      </c>
      <c r="E465" s="3" t="str">
        <f>IFERROR(__xludf.DUMMYFUNCTION("REGEXEXTRACT(C465,""[^ ]* [^ ]*"")"),"clear red")</f>
        <v>clear red</v>
      </c>
      <c r="F465" s="3" t="str">
        <f>IFERROR(__xludf.DUMMYFUNCTION("MID(REGEXEXTRACT(C465,""contain.*$""),9,300)"),"5 clear black bags.")</f>
        <v>5 clear black bags.</v>
      </c>
      <c r="G465" s="3" t="str">
        <f>IFERROR(__xludf.DUMMYFUNCTION("INDEX(SPLIT($F465,"",""),COLUMN()-6)"),"5 clear black bags.")</f>
        <v>5 clear black bags.</v>
      </c>
      <c r="H465" s="3" t="str">
        <f>IFERROR(__xludf.DUMMYFUNCTION("MID(INDEX(SPLIT($F465,"",""),COLUMN()-6),2,300)"),"#REF!")</f>
        <v>#REF!</v>
      </c>
      <c r="I465" s="3" t="str">
        <f>IFERROR(__xludf.DUMMYFUNCTION("MID(INDEX(SPLIT($F465,"",""),COLUMN()-6),2,300)"),"#REF!")</f>
        <v>#REF!</v>
      </c>
      <c r="J465" s="3" t="str">
        <f>IFERROR(__xludf.DUMMYFUNCTION("MID(INDEX(SPLIT($F465,"",""),COLUMN()-6),2,300)"),"#REF!")</f>
        <v>#REF!</v>
      </c>
      <c r="K465" s="3">
        <f>IFERROR(__xludf.DUMMYFUNCTION("INDEX(SPLIT(G465,"" ""),1)"),5.0)</f>
        <v>5</v>
      </c>
      <c r="L465" s="3" t="str">
        <f>IFERROR(__xludf.DUMMYFUNCTION("REGEXEXTRACT(G465,"" [^ ]* [^ ]* "")")," clear black ")</f>
        <v> clear black </v>
      </c>
      <c r="M465" s="3" t="str">
        <f>IFERROR(__xludf.DUMMYFUNCTION("INDEX(SPLIT(H465,"" ""),1)"),"#REF!")</f>
        <v>#REF!</v>
      </c>
      <c r="N465" s="3" t="str">
        <f>IFERROR(__xludf.DUMMYFUNCTION("MID(REGEXEXTRACT(H465,"" [^ ]* [^ ]*""),2,300)"),"#REF!")</f>
        <v>#REF!</v>
      </c>
      <c r="O465" s="3" t="str">
        <f>IFERROR(__xludf.DUMMYFUNCTION("INDEX(SPLIT(I465,"" ""),1)"),"#REF!")</f>
        <v>#REF!</v>
      </c>
      <c r="P465" s="3" t="str">
        <f>IFERROR(__xludf.DUMMYFUNCTION("MID(REGEXEXTRACT(I465,"" [^ ]* [^ ]*""),2,300)"),"#REF!")</f>
        <v>#REF!</v>
      </c>
      <c r="Q465" s="3" t="str">
        <f>IFERROR(__xludf.DUMMYFUNCTION("INDEX(SPLIT(J465,"" ""),1)"),"#REF!")</f>
        <v>#REF!</v>
      </c>
      <c r="R465" s="3" t="str">
        <f>IFERROR(__xludf.DUMMYFUNCTION("MID(REGEXEXTRACT(J465,"" [^ ]* [^ ]*""),2,300)"),"#REF!")</f>
        <v>#REF!</v>
      </c>
      <c r="S465" s="3">
        <f t="shared" si="2"/>
        <v>5</v>
      </c>
      <c r="T465" s="3" t="str">
        <f t="shared" si="3"/>
        <v>clear black</v>
      </c>
      <c r="U465" s="3" t="str">
        <f t="shared" si="4"/>
        <v/>
      </c>
      <c r="V465" s="3" t="str">
        <f t="shared" si="5"/>
        <v/>
      </c>
      <c r="W465" s="3" t="str">
        <f t="shared" si="6"/>
        <v/>
      </c>
      <c r="X465" s="3" t="str">
        <f t="shared" si="7"/>
        <v/>
      </c>
      <c r="Y465" s="3" t="str">
        <f t="shared" si="8"/>
        <v/>
      </c>
      <c r="Z465" s="3" t="str">
        <f t="shared" si="9"/>
        <v/>
      </c>
      <c r="AA465" s="13">
        <f t="shared" si="10"/>
        <v>61</v>
      </c>
      <c r="AB465" s="3">
        <f t="shared" si="11"/>
        <v>60</v>
      </c>
      <c r="AC465" s="3">
        <f t="shared" si="12"/>
        <v>5</v>
      </c>
      <c r="AD465" s="3">
        <f t="shared" si="13"/>
        <v>12</v>
      </c>
      <c r="AE465" s="3" t="str">
        <f t="shared" si="14"/>
        <v/>
      </c>
      <c r="AF465" s="3">
        <f t="shared" si="15"/>
        <v>0</v>
      </c>
      <c r="AG465" s="3" t="str">
        <f t="shared" si="16"/>
        <v/>
      </c>
      <c r="AH465" s="3">
        <f t="shared" si="17"/>
        <v>0</v>
      </c>
      <c r="AI465" s="3" t="str">
        <f t="shared" si="18"/>
        <v/>
      </c>
      <c r="AJ465" s="3">
        <f t="shared" si="19"/>
        <v>0</v>
      </c>
    </row>
    <row r="466">
      <c r="C466" s="6" t="s">
        <v>466</v>
      </c>
      <c r="D466" s="3">
        <f t="shared" si="1"/>
        <v>0</v>
      </c>
      <c r="E466" s="3" t="str">
        <f>IFERROR(__xludf.DUMMYFUNCTION("REGEXEXTRACT(C466,""[^ ]* [^ ]*"")"),"dotted aqua")</f>
        <v>dotted aqua</v>
      </c>
      <c r="F466" s="3" t="str">
        <f>IFERROR(__xludf.DUMMYFUNCTION("MID(REGEXEXTRACT(C466,""contain.*$""),9,300)"),"1 clear black bag.")</f>
        <v>1 clear black bag.</v>
      </c>
      <c r="G466" s="3" t="str">
        <f>IFERROR(__xludf.DUMMYFUNCTION("INDEX(SPLIT($F466,"",""),COLUMN()-6)"),"1 clear black bag.")</f>
        <v>1 clear black bag.</v>
      </c>
      <c r="H466" s="3" t="str">
        <f>IFERROR(__xludf.DUMMYFUNCTION("MID(INDEX(SPLIT($F466,"",""),COLUMN()-6),2,300)"),"#REF!")</f>
        <v>#REF!</v>
      </c>
      <c r="I466" s="3" t="str">
        <f>IFERROR(__xludf.DUMMYFUNCTION("MID(INDEX(SPLIT($F466,"",""),COLUMN()-6),2,300)"),"#REF!")</f>
        <v>#REF!</v>
      </c>
      <c r="J466" s="3" t="str">
        <f>IFERROR(__xludf.DUMMYFUNCTION("MID(INDEX(SPLIT($F466,"",""),COLUMN()-6),2,300)"),"#REF!")</f>
        <v>#REF!</v>
      </c>
      <c r="K466" s="3">
        <f>IFERROR(__xludf.DUMMYFUNCTION("INDEX(SPLIT(G466,"" ""),1)"),1.0)</f>
        <v>1</v>
      </c>
      <c r="L466" s="3" t="str">
        <f>IFERROR(__xludf.DUMMYFUNCTION("REGEXEXTRACT(G466,"" [^ ]* [^ ]* "")")," clear black ")</f>
        <v> clear black </v>
      </c>
      <c r="M466" s="3" t="str">
        <f>IFERROR(__xludf.DUMMYFUNCTION("INDEX(SPLIT(H466,"" ""),1)"),"#REF!")</f>
        <v>#REF!</v>
      </c>
      <c r="N466" s="3" t="str">
        <f>IFERROR(__xludf.DUMMYFUNCTION("MID(REGEXEXTRACT(H466,"" [^ ]* [^ ]*""),2,300)"),"#REF!")</f>
        <v>#REF!</v>
      </c>
      <c r="O466" s="3" t="str">
        <f>IFERROR(__xludf.DUMMYFUNCTION("INDEX(SPLIT(I466,"" ""),1)"),"#REF!")</f>
        <v>#REF!</v>
      </c>
      <c r="P466" s="3" t="str">
        <f>IFERROR(__xludf.DUMMYFUNCTION("MID(REGEXEXTRACT(I466,"" [^ ]* [^ ]*""),2,300)"),"#REF!")</f>
        <v>#REF!</v>
      </c>
      <c r="Q466" s="3" t="str">
        <f>IFERROR(__xludf.DUMMYFUNCTION("INDEX(SPLIT(J466,"" ""),1)"),"#REF!")</f>
        <v>#REF!</v>
      </c>
      <c r="R466" s="3" t="str">
        <f>IFERROR(__xludf.DUMMYFUNCTION("MID(REGEXEXTRACT(J466,"" [^ ]* [^ ]*""),2,300)"),"#REF!")</f>
        <v>#REF!</v>
      </c>
      <c r="S466" s="3">
        <f t="shared" si="2"/>
        <v>1</v>
      </c>
      <c r="T466" s="3" t="str">
        <f t="shared" si="3"/>
        <v>clear black</v>
      </c>
      <c r="U466" s="3" t="str">
        <f t="shared" si="4"/>
        <v/>
      </c>
      <c r="V466" s="3" t="str">
        <f t="shared" si="5"/>
        <v/>
      </c>
      <c r="W466" s="3" t="str">
        <f t="shared" si="6"/>
        <v/>
      </c>
      <c r="X466" s="3" t="str">
        <f t="shared" si="7"/>
        <v/>
      </c>
      <c r="Y466" s="3" t="str">
        <f t="shared" si="8"/>
        <v/>
      </c>
      <c r="Z466" s="3" t="str">
        <f t="shared" si="9"/>
        <v/>
      </c>
      <c r="AA466" s="13">
        <f t="shared" si="10"/>
        <v>13</v>
      </c>
      <c r="AB466" s="3">
        <f t="shared" si="11"/>
        <v>12</v>
      </c>
      <c r="AC466" s="3">
        <f t="shared" si="12"/>
        <v>1</v>
      </c>
      <c r="AD466" s="3">
        <f t="shared" si="13"/>
        <v>12</v>
      </c>
      <c r="AE466" s="3" t="str">
        <f t="shared" si="14"/>
        <v/>
      </c>
      <c r="AF466" s="3">
        <f t="shared" si="15"/>
        <v>0</v>
      </c>
      <c r="AG466" s="3" t="str">
        <f t="shared" si="16"/>
        <v/>
      </c>
      <c r="AH466" s="3">
        <f t="shared" si="17"/>
        <v>0</v>
      </c>
      <c r="AI466" s="3" t="str">
        <f t="shared" si="18"/>
        <v/>
      </c>
      <c r="AJ466" s="3">
        <f t="shared" si="19"/>
        <v>0</v>
      </c>
    </row>
    <row r="467">
      <c r="C467" s="6" t="s">
        <v>467</v>
      </c>
      <c r="D467" s="3">
        <f t="shared" si="1"/>
        <v>1</v>
      </c>
      <c r="E467" s="3" t="str">
        <f>IFERROR(__xludf.DUMMYFUNCTION("REGEXEXTRACT(C467,""[^ ]* [^ ]*"")"),"clear olive")</f>
        <v>clear olive</v>
      </c>
      <c r="F467" s="3" t="str">
        <f>IFERROR(__xludf.DUMMYFUNCTION("MID(REGEXEXTRACT(C467,""contain.*$""),9,300)"),"1 plaid gray bag, 3 clear cyan bags.")</f>
        <v>1 plaid gray bag, 3 clear cyan bags.</v>
      </c>
      <c r="G467" s="3" t="str">
        <f>IFERROR(__xludf.DUMMYFUNCTION("INDEX(SPLIT($F467,"",""),COLUMN()-6)"),"1 plaid gray bag")</f>
        <v>1 plaid gray bag</v>
      </c>
      <c r="H467" s="3" t="str">
        <f>IFERROR(__xludf.DUMMYFUNCTION("MID(INDEX(SPLIT($F467,"",""),COLUMN()-6),2,300)"),"3 clear cyan bags.")</f>
        <v>3 clear cyan bags.</v>
      </c>
      <c r="I467" s="3" t="str">
        <f>IFERROR(__xludf.DUMMYFUNCTION("MID(INDEX(SPLIT($F467,"",""),COLUMN()-6),2,300)"),"#REF!")</f>
        <v>#REF!</v>
      </c>
      <c r="J467" s="3" t="str">
        <f>IFERROR(__xludf.DUMMYFUNCTION("MID(INDEX(SPLIT($F467,"",""),COLUMN()-6),2,300)"),"#REF!")</f>
        <v>#REF!</v>
      </c>
      <c r="K467" s="3">
        <f>IFERROR(__xludf.DUMMYFUNCTION("INDEX(SPLIT(G467,"" ""),1)"),1.0)</f>
        <v>1</v>
      </c>
      <c r="L467" s="3" t="str">
        <f>IFERROR(__xludf.DUMMYFUNCTION("REGEXEXTRACT(G467,"" [^ ]* [^ ]* "")")," plaid gray ")</f>
        <v> plaid gray </v>
      </c>
      <c r="M467" s="3">
        <f>IFERROR(__xludf.DUMMYFUNCTION("INDEX(SPLIT(H467,"" ""),1)"),3.0)</f>
        <v>3</v>
      </c>
      <c r="N467" s="3" t="str">
        <f>IFERROR(__xludf.DUMMYFUNCTION("MID(REGEXEXTRACT(H467,"" [^ ]* [^ ]*""),2,300)"),"clear cyan")</f>
        <v>clear cyan</v>
      </c>
      <c r="O467" s="3" t="str">
        <f>IFERROR(__xludf.DUMMYFUNCTION("INDEX(SPLIT(I467,"" ""),1)"),"#REF!")</f>
        <v>#REF!</v>
      </c>
      <c r="P467" s="3" t="str">
        <f>IFERROR(__xludf.DUMMYFUNCTION("MID(REGEXEXTRACT(I467,"" [^ ]* [^ ]*""),2,300)"),"#REF!")</f>
        <v>#REF!</v>
      </c>
      <c r="Q467" s="3" t="str">
        <f>IFERROR(__xludf.DUMMYFUNCTION("INDEX(SPLIT(J467,"" ""),1)"),"#REF!")</f>
        <v>#REF!</v>
      </c>
      <c r="R467" s="3" t="str">
        <f>IFERROR(__xludf.DUMMYFUNCTION("MID(REGEXEXTRACT(J467,"" [^ ]* [^ ]*""),2,300)"),"#REF!")</f>
        <v>#REF!</v>
      </c>
      <c r="S467" s="3">
        <f t="shared" si="2"/>
        <v>1</v>
      </c>
      <c r="T467" s="3" t="str">
        <f t="shared" si="3"/>
        <v>plaid gray</v>
      </c>
      <c r="U467" s="3">
        <f t="shared" si="4"/>
        <v>3</v>
      </c>
      <c r="V467" s="3" t="str">
        <f t="shared" si="5"/>
        <v>clear cyan</v>
      </c>
      <c r="W467" s="3" t="str">
        <f t="shared" si="6"/>
        <v/>
      </c>
      <c r="X467" s="3" t="str">
        <f t="shared" si="7"/>
        <v/>
      </c>
      <c r="Y467" s="3" t="str">
        <f t="shared" si="8"/>
        <v/>
      </c>
      <c r="Z467" s="3" t="str">
        <f t="shared" si="9"/>
        <v/>
      </c>
      <c r="AA467" s="13">
        <f t="shared" si="10"/>
        <v>2697220</v>
      </c>
      <c r="AB467" s="3">
        <f t="shared" si="11"/>
        <v>2697219</v>
      </c>
      <c r="AC467" s="3">
        <f t="shared" si="12"/>
        <v>1</v>
      </c>
      <c r="AD467" s="3">
        <f t="shared" si="13"/>
        <v>54</v>
      </c>
      <c r="AE467" s="3">
        <f t="shared" si="14"/>
        <v>3</v>
      </c>
      <c r="AF467" s="3">
        <f t="shared" si="15"/>
        <v>899055</v>
      </c>
      <c r="AG467" s="3" t="str">
        <f t="shared" si="16"/>
        <v/>
      </c>
      <c r="AH467" s="3">
        <f t="shared" si="17"/>
        <v>0</v>
      </c>
      <c r="AI467" s="3" t="str">
        <f t="shared" si="18"/>
        <v/>
      </c>
      <c r="AJ467" s="3">
        <f t="shared" si="19"/>
        <v>0</v>
      </c>
    </row>
    <row r="468">
      <c r="C468" s="6" t="s">
        <v>468</v>
      </c>
      <c r="D468" s="3">
        <f t="shared" si="1"/>
        <v>0</v>
      </c>
      <c r="E468" s="3" t="str">
        <f>IFERROR(__xludf.DUMMYFUNCTION("REGEXEXTRACT(C468,""[^ ]* [^ ]*"")"),"dotted green")</f>
        <v>dotted green</v>
      </c>
      <c r="F468" s="3" t="str">
        <f>IFERROR(__xludf.DUMMYFUNCTION("MID(REGEXEXTRACT(C468,""contain.*$""),9,300)"),"3 light red bags.")</f>
        <v>3 light red bags.</v>
      </c>
      <c r="G468" s="3" t="str">
        <f>IFERROR(__xludf.DUMMYFUNCTION("INDEX(SPLIT($F468,"",""),COLUMN()-6)"),"3 light red bags.")</f>
        <v>3 light red bags.</v>
      </c>
      <c r="H468" s="3" t="str">
        <f>IFERROR(__xludf.DUMMYFUNCTION("MID(INDEX(SPLIT($F468,"",""),COLUMN()-6),2,300)"),"#REF!")</f>
        <v>#REF!</v>
      </c>
      <c r="I468" s="3" t="str">
        <f>IFERROR(__xludf.DUMMYFUNCTION("MID(INDEX(SPLIT($F468,"",""),COLUMN()-6),2,300)"),"#REF!")</f>
        <v>#REF!</v>
      </c>
      <c r="J468" s="3" t="str">
        <f>IFERROR(__xludf.DUMMYFUNCTION("MID(INDEX(SPLIT($F468,"",""),COLUMN()-6),2,300)"),"#REF!")</f>
        <v>#REF!</v>
      </c>
      <c r="K468" s="3">
        <f>IFERROR(__xludf.DUMMYFUNCTION("INDEX(SPLIT(G468,"" ""),1)"),3.0)</f>
        <v>3</v>
      </c>
      <c r="L468" s="3" t="str">
        <f>IFERROR(__xludf.DUMMYFUNCTION("REGEXEXTRACT(G468,"" [^ ]* [^ ]* "")")," light red ")</f>
        <v> light red </v>
      </c>
      <c r="M468" s="3" t="str">
        <f>IFERROR(__xludf.DUMMYFUNCTION("INDEX(SPLIT(H468,"" ""),1)"),"#REF!")</f>
        <v>#REF!</v>
      </c>
      <c r="N468" s="3" t="str">
        <f>IFERROR(__xludf.DUMMYFUNCTION("MID(REGEXEXTRACT(H468,"" [^ ]* [^ ]*""),2,300)"),"#REF!")</f>
        <v>#REF!</v>
      </c>
      <c r="O468" s="3" t="str">
        <f>IFERROR(__xludf.DUMMYFUNCTION("INDEX(SPLIT(I468,"" ""),1)"),"#REF!")</f>
        <v>#REF!</v>
      </c>
      <c r="P468" s="3" t="str">
        <f>IFERROR(__xludf.DUMMYFUNCTION("MID(REGEXEXTRACT(I468,"" [^ ]* [^ ]*""),2,300)"),"#REF!")</f>
        <v>#REF!</v>
      </c>
      <c r="Q468" s="3" t="str">
        <f>IFERROR(__xludf.DUMMYFUNCTION("INDEX(SPLIT(J468,"" ""),1)"),"#REF!")</f>
        <v>#REF!</v>
      </c>
      <c r="R468" s="3" t="str">
        <f>IFERROR(__xludf.DUMMYFUNCTION("MID(REGEXEXTRACT(J468,"" [^ ]* [^ ]*""),2,300)"),"#REF!")</f>
        <v>#REF!</v>
      </c>
      <c r="S468" s="3">
        <f t="shared" si="2"/>
        <v>3</v>
      </c>
      <c r="T468" s="3" t="str">
        <f t="shared" si="3"/>
        <v>light red</v>
      </c>
      <c r="U468" s="3" t="str">
        <f t="shared" si="4"/>
        <v/>
      </c>
      <c r="V468" s="3" t="str">
        <f t="shared" si="5"/>
        <v/>
      </c>
      <c r="W468" s="3" t="str">
        <f t="shared" si="6"/>
        <v/>
      </c>
      <c r="X468" s="3" t="str">
        <f t="shared" si="7"/>
        <v/>
      </c>
      <c r="Y468" s="3" t="str">
        <f t="shared" si="8"/>
        <v/>
      </c>
      <c r="Z468" s="3" t="str">
        <f t="shared" si="9"/>
        <v/>
      </c>
      <c r="AA468" s="13">
        <f t="shared" si="10"/>
        <v>34009111</v>
      </c>
      <c r="AB468" s="3">
        <f t="shared" si="11"/>
        <v>34009110</v>
      </c>
      <c r="AC468" s="3">
        <f t="shared" si="12"/>
        <v>3</v>
      </c>
      <c r="AD468" s="3">
        <f t="shared" si="13"/>
        <v>11336370</v>
      </c>
      <c r="AE468" s="3" t="str">
        <f t="shared" si="14"/>
        <v/>
      </c>
      <c r="AF468" s="3">
        <f t="shared" si="15"/>
        <v>0</v>
      </c>
      <c r="AG468" s="3" t="str">
        <f t="shared" si="16"/>
        <v/>
      </c>
      <c r="AH468" s="3">
        <f t="shared" si="17"/>
        <v>0</v>
      </c>
      <c r="AI468" s="3" t="str">
        <f t="shared" si="18"/>
        <v/>
      </c>
      <c r="AJ468" s="3">
        <f t="shared" si="19"/>
        <v>0</v>
      </c>
    </row>
    <row r="469">
      <c r="C469" s="6" t="s">
        <v>469</v>
      </c>
      <c r="D469" s="3">
        <f t="shared" si="1"/>
        <v>3</v>
      </c>
      <c r="E469" s="3" t="str">
        <f>IFERROR(__xludf.DUMMYFUNCTION("REGEXEXTRACT(C469,""[^ ]* [^ ]*"")"),"clear teal")</f>
        <v>clear teal</v>
      </c>
      <c r="F469" s="3" t="str">
        <f>IFERROR(__xludf.DUMMYFUNCTION("MID(REGEXEXTRACT(C469,""contain.*$""),9,300)"),"5 faded coral bags, 3 wavy plum bags, 5 bright orange bags, 1 clear purple bag.")</f>
        <v>5 faded coral bags, 3 wavy plum bags, 5 bright orange bags, 1 clear purple bag.</v>
      </c>
      <c r="G469" s="3" t="str">
        <f>IFERROR(__xludf.DUMMYFUNCTION("INDEX(SPLIT($F469,"",""),COLUMN()-6)"),"5 faded coral bags")</f>
        <v>5 faded coral bags</v>
      </c>
      <c r="H469" s="3" t="str">
        <f>IFERROR(__xludf.DUMMYFUNCTION("MID(INDEX(SPLIT($F469,"",""),COLUMN()-6),2,300)"),"3 wavy plum bags")</f>
        <v>3 wavy plum bags</v>
      </c>
      <c r="I469" s="3" t="str">
        <f>IFERROR(__xludf.DUMMYFUNCTION("MID(INDEX(SPLIT($F469,"",""),COLUMN()-6),2,300)"),"5 bright orange bags")</f>
        <v>5 bright orange bags</v>
      </c>
      <c r="J469" s="3" t="str">
        <f>IFERROR(__xludf.DUMMYFUNCTION("MID(INDEX(SPLIT($F469,"",""),COLUMN()-6),2,300)"),"1 clear purple bag.")</f>
        <v>1 clear purple bag.</v>
      </c>
      <c r="K469" s="3">
        <f>IFERROR(__xludf.DUMMYFUNCTION("INDEX(SPLIT(G469,"" ""),1)"),5.0)</f>
        <v>5</v>
      </c>
      <c r="L469" s="3" t="str">
        <f>IFERROR(__xludf.DUMMYFUNCTION("REGEXEXTRACT(G469,"" [^ ]* [^ ]* "")")," faded coral ")</f>
        <v> faded coral </v>
      </c>
      <c r="M469" s="3">
        <f>IFERROR(__xludf.DUMMYFUNCTION("INDEX(SPLIT(H469,"" ""),1)"),3.0)</f>
        <v>3</v>
      </c>
      <c r="N469" s="3" t="str">
        <f>IFERROR(__xludf.DUMMYFUNCTION("MID(REGEXEXTRACT(H469,"" [^ ]* [^ ]*""),2,300)"),"wavy plum")</f>
        <v>wavy plum</v>
      </c>
      <c r="O469" s="3">
        <f>IFERROR(__xludf.DUMMYFUNCTION("INDEX(SPLIT(I469,"" ""),1)"),5.0)</f>
        <v>5</v>
      </c>
      <c r="P469" s="3" t="str">
        <f>IFERROR(__xludf.DUMMYFUNCTION("MID(REGEXEXTRACT(I469,"" [^ ]* [^ ]*""),2,300)"),"bright orange")</f>
        <v>bright orange</v>
      </c>
      <c r="Q469" s="3">
        <f>IFERROR(__xludf.DUMMYFUNCTION("INDEX(SPLIT(J469,"" ""),1)"),1.0)</f>
        <v>1</v>
      </c>
      <c r="R469" s="3" t="str">
        <f>IFERROR(__xludf.DUMMYFUNCTION("MID(REGEXEXTRACT(J469,"" [^ ]* [^ ]*""),2,300)"),"clear purple")</f>
        <v>clear purple</v>
      </c>
      <c r="S469" s="3">
        <f t="shared" si="2"/>
        <v>5</v>
      </c>
      <c r="T469" s="3" t="str">
        <f t="shared" si="3"/>
        <v>faded coral</v>
      </c>
      <c r="U469" s="3">
        <f t="shared" si="4"/>
        <v>3</v>
      </c>
      <c r="V469" s="3" t="str">
        <f t="shared" si="5"/>
        <v>wavy plum</v>
      </c>
      <c r="W469" s="3">
        <f t="shared" si="6"/>
        <v>5</v>
      </c>
      <c r="X469" s="3" t="str">
        <f t="shared" si="7"/>
        <v>bright orange</v>
      </c>
      <c r="Y469" s="3">
        <f t="shared" si="8"/>
        <v>1</v>
      </c>
      <c r="Z469" s="3" t="str">
        <f t="shared" si="9"/>
        <v>clear purple</v>
      </c>
      <c r="AA469" s="13">
        <f t="shared" si="10"/>
        <v>268617925</v>
      </c>
      <c r="AB469" s="3">
        <f t="shared" si="11"/>
        <v>268617924</v>
      </c>
      <c r="AC469" s="3">
        <f t="shared" si="12"/>
        <v>5</v>
      </c>
      <c r="AD469" s="3">
        <f t="shared" si="13"/>
        <v>50143651</v>
      </c>
      <c r="AE469" s="3">
        <f t="shared" si="14"/>
        <v>3</v>
      </c>
      <c r="AF469" s="3">
        <f t="shared" si="15"/>
        <v>148186</v>
      </c>
      <c r="AG469" s="3">
        <f t="shared" si="16"/>
        <v>5</v>
      </c>
      <c r="AH469" s="3">
        <f t="shared" si="17"/>
        <v>2666</v>
      </c>
      <c r="AI469" s="3">
        <f t="shared" si="18"/>
        <v>1</v>
      </c>
      <c r="AJ469" s="3">
        <f t="shared" si="19"/>
        <v>17441781</v>
      </c>
    </row>
    <row r="470">
      <c r="C470" s="6" t="s">
        <v>470</v>
      </c>
      <c r="D470" s="3">
        <f t="shared" si="1"/>
        <v>2</v>
      </c>
      <c r="E470" s="3" t="str">
        <f>IFERROR(__xludf.DUMMYFUNCTION("REGEXEXTRACT(C470,""[^ ]* [^ ]*"")"),"plaid orange")</f>
        <v>plaid orange</v>
      </c>
      <c r="F470" s="3" t="str">
        <f>IFERROR(__xludf.DUMMYFUNCTION("MID(REGEXEXTRACT(C470,""contain.*$""),9,300)"),"4 pale chartreuse bags, 1 dark silver bag, 2 drab tomato bags.")</f>
        <v>4 pale chartreuse bags, 1 dark silver bag, 2 drab tomato bags.</v>
      </c>
      <c r="G470" s="3" t="str">
        <f>IFERROR(__xludf.DUMMYFUNCTION("INDEX(SPLIT($F470,"",""),COLUMN()-6)"),"4 pale chartreuse bags")</f>
        <v>4 pale chartreuse bags</v>
      </c>
      <c r="H470" s="3" t="str">
        <f>IFERROR(__xludf.DUMMYFUNCTION("MID(INDEX(SPLIT($F470,"",""),COLUMN()-6),2,300)"),"1 dark silver bag")</f>
        <v>1 dark silver bag</v>
      </c>
      <c r="I470" s="3" t="str">
        <f>IFERROR(__xludf.DUMMYFUNCTION("MID(INDEX(SPLIT($F470,"",""),COLUMN()-6),2,300)"),"2 drab tomato bags.")</f>
        <v>2 drab tomato bags.</v>
      </c>
      <c r="J470" s="3" t="str">
        <f>IFERROR(__xludf.DUMMYFUNCTION("MID(INDEX(SPLIT($F470,"",""),COLUMN()-6),2,300)"),"#REF!")</f>
        <v>#REF!</v>
      </c>
      <c r="K470" s="3">
        <f>IFERROR(__xludf.DUMMYFUNCTION("INDEX(SPLIT(G470,"" ""),1)"),4.0)</f>
        <v>4</v>
      </c>
      <c r="L470" s="3" t="str">
        <f>IFERROR(__xludf.DUMMYFUNCTION("REGEXEXTRACT(G470,"" [^ ]* [^ ]* "")")," pale chartreuse ")</f>
        <v> pale chartreuse </v>
      </c>
      <c r="M470" s="3">
        <f>IFERROR(__xludf.DUMMYFUNCTION("INDEX(SPLIT(H470,"" ""),1)"),1.0)</f>
        <v>1</v>
      </c>
      <c r="N470" s="3" t="str">
        <f>IFERROR(__xludf.DUMMYFUNCTION("MID(REGEXEXTRACT(H470,"" [^ ]* [^ ]*""),2,300)"),"dark silver")</f>
        <v>dark silver</v>
      </c>
      <c r="O470" s="3">
        <f>IFERROR(__xludf.DUMMYFUNCTION("INDEX(SPLIT(I470,"" ""),1)"),2.0)</f>
        <v>2</v>
      </c>
      <c r="P470" s="3" t="str">
        <f>IFERROR(__xludf.DUMMYFUNCTION("MID(REGEXEXTRACT(I470,"" [^ ]* [^ ]*""),2,300)"),"drab tomato")</f>
        <v>drab tomato</v>
      </c>
      <c r="Q470" s="3" t="str">
        <f>IFERROR(__xludf.DUMMYFUNCTION("INDEX(SPLIT(J470,"" ""),1)"),"#REF!")</f>
        <v>#REF!</v>
      </c>
      <c r="R470" s="3" t="str">
        <f>IFERROR(__xludf.DUMMYFUNCTION("MID(REGEXEXTRACT(J470,"" [^ ]* [^ ]*""),2,300)"),"#REF!")</f>
        <v>#REF!</v>
      </c>
      <c r="S470" s="3">
        <f t="shared" si="2"/>
        <v>4</v>
      </c>
      <c r="T470" s="3" t="str">
        <f t="shared" si="3"/>
        <v>pale chartreuse</v>
      </c>
      <c r="U470" s="3">
        <f t="shared" si="4"/>
        <v>1</v>
      </c>
      <c r="V470" s="3" t="str">
        <f t="shared" si="5"/>
        <v>dark silver</v>
      </c>
      <c r="W470" s="3">
        <f t="shared" si="6"/>
        <v>2</v>
      </c>
      <c r="X470" s="3" t="str">
        <f t="shared" si="7"/>
        <v>drab tomato</v>
      </c>
      <c r="Y470" s="3" t="str">
        <f t="shared" si="8"/>
        <v/>
      </c>
      <c r="Z470" s="3" t="str">
        <f t="shared" si="9"/>
        <v/>
      </c>
      <c r="AA470" s="13">
        <f t="shared" si="10"/>
        <v>1645159617</v>
      </c>
      <c r="AB470" s="3">
        <f t="shared" si="11"/>
        <v>1645159616</v>
      </c>
      <c r="AC470" s="3">
        <f t="shared" si="12"/>
        <v>4</v>
      </c>
      <c r="AD470" s="3">
        <f t="shared" si="13"/>
        <v>157505668</v>
      </c>
      <c r="AE470" s="3">
        <f t="shared" si="14"/>
        <v>1</v>
      </c>
      <c r="AF470" s="3">
        <f t="shared" si="15"/>
        <v>1015059570</v>
      </c>
      <c r="AG470" s="3">
        <f t="shared" si="16"/>
        <v>2</v>
      </c>
      <c r="AH470" s="3">
        <f t="shared" si="17"/>
        <v>38687</v>
      </c>
      <c r="AI470" s="3" t="str">
        <f t="shared" si="18"/>
        <v/>
      </c>
      <c r="AJ470" s="3">
        <f t="shared" si="19"/>
        <v>0</v>
      </c>
    </row>
    <row r="471">
      <c r="C471" s="6" t="s">
        <v>471</v>
      </c>
      <c r="D471" s="3">
        <f t="shared" si="1"/>
        <v>0</v>
      </c>
      <c r="E471" s="3" t="str">
        <f>IFERROR(__xludf.DUMMYFUNCTION("REGEXEXTRACT(C471,""[^ ]* [^ ]*"")"),"pale teal")</f>
        <v>pale teal</v>
      </c>
      <c r="F471" s="3" t="str">
        <f>IFERROR(__xludf.DUMMYFUNCTION("MID(REGEXEXTRACT(C471,""contain.*$""),9,300)"),"1 drab black bag.")</f>
        <v>1 drab black bag.</v>
      </c>
      <c r="G471" s="3" t="str">
        <f>IFERROR(__xludf.DUMMYFUNCTION("INDEX(SPLIT($F471,"",""),COLUMN()-6)"),"1 drab black bag.")</f>
        <v>1 drab black bag.</v>
      </c>
      <c r="H471" s="3" t="str">
        <f>IFERROR(__xludf.DUMMYFUNCTION("MID(INDEX(SPLIT($F471,"",""),COLUMN()-6),2,300)"),"#REF!")</f>
        <v>#REF!</v>
      </c>
      <c r="I471" s="3" t="str">
        <f>IFERROR(__xludf.DUMMYFUNCTION("MID(INDEX(SPLIT($F471,"",""),COLUMN()-6),2,300)"),"#REF!")</f>
        <v>#REF!</v>
      </c>
      <c r="J471" s="3" t="str">
        <f>IFERROR(__xludf.DUMMYFUNCTION("MID(INDEX(SPLIT($F471,"",""),COLUMN()-6),2,300)"),"#REF!")</f>
        <v>#REF!</v>
      </c>
      <c r="K471" s="3">
        <f>IFERROR(__xludf.DUMMYFUNCTION("INDEX(SPLIT(G471,"" ""),1)"),1.0)</f>
        <v>1</v>
      </c>
      <c r="L471" s="3" t="str">
        <f>IFERROR(__xludf.DUMMYFUNCTION("REGEXEXTRACT(G471,"" [^ ]* [^ ]* "")")," drab black ")</f>
        <v> drab black </v>
      </c>
      <c r="M471" s="3" t="str">
        <f>IFERROR(__xludf.DUMMYFUNCTION("INDEX(SPLIT(H471,"" ""),1)"),"#REF!")</f>
        <v>#REF!</v>
      </c>
      <c r="N471" s="3" t="str">
        <f>IFERROR(__xludf.DUMMYFUNCTION("MID(REGEXEXTRACT(H471,"" [^ ]* [^ ]*""),2,300)"),"#REF!")</f>
        <v>#REF!</v>
      </c>
      <c r="O471" s="3" t="str">
        <f>IFERROR(__xludf.DUMMYFUNCTION("INDEX(SPLIT(I471,"" ""),1)"),"#REF!")</f>
        <v>#REF!</v>
      </c>
      <c r="P471" s="3" t="str">
        <f>IFERROR(__xludf.DUMMYFUNCTION("MID(REGEXEXTRACT(I471,"" [^ ]* [^ ]*""),2,300)"),"#REF!")</f>
        <v>#REF!</v>
      </c>
      <c r="Q471" s="3" t="str">
        <f>IFERROR(__xludf.DUMMYFUNCTION("INDEX(SPLIT(J471,"" ""),1)"),"#REF!")</f>
        <v>#REF!</v>
      </c>
      <c r="R471" s="3" t="str">
        <f>IFERROR(__xludf.DUMMYFUNCTION("MID(REGEXEXTRACT(J471,"" [^ ]* [^ ]*""),2,300)"),"#REF!")</f>
        <v>#REF!</v>
      </c>
      <c r="S471" s="3">
        <f t="shared" si="2"/>
        <v>1</v>
      </c>
      <c r="T471" s="3" t="str">
        <f t="shared" si="3"/>
        <v>drab black</v>
      </c>
      <c r="U471" s="3" t="str">
        <f t="shared" si="4"/>
        <v/>
      </c>
      <c r="V471" s="3" t="str">
        <f t="shared" si="5"/>
        <v/>
      </c>
      <c r="W471" s="3" t="str">
        <f t="shared" si="6"/>
        <v/>
      </c>
      <c r="X471" s="3" t="str">
        <f t="shared" si="7"/>
        <v/>
      </c>
      <c r="Y471" s="3" t="str">
        <f t="shared" si="8"/>
        <v/>
      </c>
      <c r="Z471" s="3" t="str">
        <f t="shared" si="9"/>
        <v/>
      </c>
      <c r="AA471" s="13">
        <f t="shared" si="10"/>
        <v>314592019</v>
      </c>
      <c r="AB471" s="3">
        <f t="shared" si="11"/>
        <v>314592018</v>
      </c>
      <c r="AC471" s="3">
        <f t="shared" si="12"/>
        <v>1</v>
      </c>
      <c r="AD471" s="3">
        <f t="shared" si="13"/>
        <v>314592018</v>
      </c>
      <c r="AE471" s="3" t="str">
        <f t="shared" si="14"/>
        <v/>
      </c>
      <c r="AF471" s="3">
        <f t="shared" si="15"/>
        <v>0</v>
      </c>
      <c r="AG471" s="3" t="str">
        <f t="shared" si="16"/>
        <v/>
      </c>
      <c r="AH471" s="3">
        <f t="shared" si="17"/>
        <v>0</v>
      </c>
      <c r="AI471" s="3" t="str">
        <f t="shared" si="18"/>
        <v/>
      </c>
      <c r="AJ471" s="3">
        <f t="shared" si="19"/>
        <v>0</v>
      </c>
    </row>
    <row r="472">
      <c r="C472" s="6" t="s">
        <v>472</v>
      </c>
      <c r="D472" s="3">
        <f t="shared" si="1"/>
        <v>1</v>
      </c>
      <c r="E472" s="3" t="str">
        <f>IFERROR(__xludf.DUMMYFUNCTION("REGEXEXTRACT(C472,""[^ ]* [^ ]*"")"),"posh chartreuse")</f>
        <v>posh chartreuse</v>
      </c>
      <c r="F472" s="3" t="str">
        <f>IFERROR(__xludf.DUMMYFUNCTION("MID(REGEXEXTRACT(C472,""contain.*$""),9,300)"),"1 dotted gold bag, 4 bright salmon bags.")</f>
        <v>1 dotted gold bag, 4 bright salmon bags.</v>
      </c>
      <c r="G472" s="3" t="str">
        <f>IFERROR(__xludf.DUMMYFUNCTION("INDEX(SPLIT($F472,"",""),COLUMN()-6)"),"1 dotted gold bag")</f>
        <v>1 dotted gold bag</v>
      </c>
      <c r="H472" s="3" t="str">
        <f>IFERROR(__xludf.DUMMYFUNCTION("MID(INDEX(SPLIT($F472,"",""),COLUMN()-6),2,300)"),"4 bright salmon bags.")</f>
        <v>4 bright salmon bags.</v>
      </c>
      <c r="I472" s="3" t="str">
        <f>IFERROR(__xludf.DUMMYFUNCTION("MID(INDEX(SPLIT($F472,"",""),COLUMN()-6),2,300)"),"#REF!")</f>
        <v>#REF!</v>
      </c>
      <c r="J472" s="3" t="str">
        <f>IFERROR(__xludf.DUMMYFUNCTION("MID(INDEX(SPLIT($F472,"",""),COLUMN()-6),2,300)"),"#REF!")</f>
        <v>#REF!</v>
      </c>
      <c r="K472" s="3">
        <f>IFERROR(__xludf.DUMMYFUNCTION("INDEX(SPLIT(G472,"" ""),1)"),1.0)</f>
        <v>1</v>
      </c>
      <c r="L472" s="3" t="str">
        <f>IFERROR(__xludf.DUMMYFUNCTION("REGEXEXTRACT(G472,"" [^ ]* [^ ]* "")")," dotted gold ")</f>
        <v> dotted gold </v>
      </c>
      <c r="M472" s="3">
        <f>IFERROR(__xludf.DUMMYFUNCTION("INDEX(SPLIT(H472,"" ""),1)"),4.0)</f>
        <v>4</v>
      </c>
      <c r="N472" s="3" t="str">
        <f>IFERROR(__xludf.DUMMYFUNCTION("MID(REGEXEXTRACT(H472,"" [^ ]* [^ ]*""),2,300)"),"bright salmon")</f>
        <v>bright salmon</v>
      </c>
      <c r="O472" s="3" t="str">
        <f>IFERROR(__xludf.DUMMYFUNCTION("INDEX(SPLIT(I472,"" ""),1)"),"#REF!")</f>
        <v>#REF!</v>
      </c>
      <c r="P472" s="3" t="str">
        <f>IFERROR(__xludf.DUMMYFUNCTION("MID(REGEXEXTRACT(I472,"" [^ ]* [^ ]*""),2,300)"),"#REF!")</f>
        <v>#REF!</v>
      </c>
      <c r="Q472" s="3" t="str">
        <f>IFERROR(__xludf.DUMMYFUNCTION("INDEX(SPLIT(J472,"" ""),1)"),"#REF!")</f>
        <v>#REF!</v>
      </c>
      <c r="R472" s="3" t="str">
        <f>IFERROR(__xludf.DUMMYFUNCTION("MID(REGEXEXTRACT(J472,"" [^ ]* [^ ]*""),2,300)"),"#REF!")</f>
        <v>#REF!</v>
      </c>
      <c r="S472" s="3">
        <f t="shared" si="2"/>
        <v>1</v>
      </c>
      <c r="T472" s="3" t="str">
        <f t="shared" si="3"/>
        <v>dotted gold</v>
      </c>
      <c r="U472" s="3">
        <f t="shared" si="4"/>
        <v>4</v>
      </c>
      <c r="V472" s="3" t="str">
        <f t="shared" si="5"/>
        <v>bright salmon</v>
      </c>
      <c r="W472" s="3" t="str">
        <f t="shared" si="6"/>
        <v/>
      </c>
      <c r="X472" s="3" t="str">
        <f t="shared" si="7"/>
        <v/>
      </c>
      <c r="Y472" s="3" t="str">
        <f t="shared" si="8"/>
        <v/>
      </c>
      <c r="Z472" s="3" t="str">
        <f t="shared" si="9"/>
        <v/>
      </c>
      <c r="AA472" s="13">
        <f t="shared" si="10"/>
        <v>1471743</v>
      </c>
      <c r="AB472" s="3">
        <f t="shared" si="11"/>
        <v>1471742</v>
      </c>
      <c r="AC472" s="3">
        <f t="shared" si="12"/>
        <v>1</v>
      </c>
      <c r="AD472" s="3">
        <f t="shared" si="13"/>
        <v>10</v>
      </c>
      <c r="AE472" s="3">
        <f t="shared" si="14"/>
        <v>4</v>
      </c>
      <c r="AF472" s="3">
        <f t="shared" si="15"/>
        <v>367933</v>
      </c>
      <c r="AG472" s="3" t="str">
        <f t="shared" si="16"/>
        <v/>
      </c>
      <c r="AH472" s="3">
        <f t="shared" si="17"/>
        <v>0</v>
      </c>
      <c r="AI472" s="3" t="str">
        <f t="shared" si="18"/>
        <v/>
      </c>
      <c r="AJ472" s="3">
        <f t="shared" si="19"/>
        <v>0</v>
      </c>
    </row>
    <row r="473">
      <c r="C473" s="6" t="s">
        <v>473</v>
      </c>
      <c r="D473" s="3">
        <f t="shared" si="1"/>
        <v>3</v>
      </c>
      <c r="E473" s="3" t="str">
        <f>IFERROR(__xludf.DUMMYFUNCTION("REGEXEXTRACT(C473,""[^ ]* [^ ]*"")"),"pale red")</f>
        <v>pale red</v>
      </c>
      <c r="F473" s="3" t="str">
        <f>IFERROR(__xludf.DUMMYFUNCTION("MID(REGEXEXTRACT(C473,""contain.*$""),9,300)"),"2 vibrant plum bags, 4 wavy cyan bags, 2 dotted white bags, 1 posh silver bag.")</f>
        <v>2 vibrant plum bags, 4 wavy cyan bags, 2 dotted white bags, 1 posh silver bag.</v>
      </c>
      <c r="G473" s="3" t="str">
        <f>IFERROR(__xludf.DUMMYFUNCTION("INDEX(SPLIT($F473,"",""),COLUMN()-6)"),"2 vibrant plum bags")</f>
        <v>2 vibrant plum bags</v>
      </c>
      <c r="H473" s="3" t="str">
        <f>IFERROR(__xludf.DUMMYFUNCTION("MID(INDEX(SPLIT($F473,"",""),COLUMN()-6),2,300)"),"4 wavy cyan bags")</f>
        <v>4 wavy cyan bags</v>
      </c>
      <c r="I473" s="3" t="str">
        <f>IFERROR(__xludf.DUMMYFUNCTION("MID(INDEX(SPLIT($F473,"",""),COLUMN()-6),2,300)"),"2 dotted white bags")</f>
        <v>2 dotted white bags</v>
      </c>
      <c r="J473" s="3" t="str">
        <f>IFERROR(__xludf.DUMMYFUNCTION("MID(INDEX(SPLIT($F473,"",""),COLUMN()-6),2,300)"),"1 posh silver bag.")</f>
        <v>1 posh silver bag.</v>
      </c>
      <c r="K473" s="3">
        <f>IFERROR(__xludf.DUMMYFUNCTION("INDEX(SPLIT(G473,"" ""),1)"),2.0)</f>
        <v>2</v>
      </c>
      <c r="L473" s="3" t="str">
        <f>IFERROR(__xludf.DUMMYFUNCTION("REGEXEXTRACT(G473,"" [^ ]* [^ ]* "")")," vibrant plum ")</f>
        <v> vibrant plum </v>
      </c>
      <c r="M473" s="3">
        <f>IFERROR(__xludf.DUMMYFUNCTION("INDEX(SPLIT(H473,"" ""),1)"),4.0)</f>
        <v>4</v>
      </c>
      <c r="N473" s="3" t="str">
        <f>IFERROR(__xludf.DUMMYFUNCTION("MID(REGEXEXTRACT(H473,"" [^ ]* [^ ]*""),2,300)"),"wavy cyan")</f>
        <v>wavy cyan</v>
      </c>
      <c r="O473" s="3">
        <f>IFERROR(__xludf.DUMMYFUNCTION("INDEX(SPLIT(I473,"" ""),1)"),2.0)</f>
        <v>2</v>
      </c>
      <c r="P473" s="3" t="str">
        <f>IFERROR(__xludf.DUMMYFUNCTION("MID(REGEXEXTRACT(I473,"" [^ ]* [^ ]*""),2,300)"),"dotted white")</f>
        <v>dotted white</v>
      </c>
      <c r="Q473" s="3">
        <f>IFERROR(__xludf.DUMMYFUNCTION("INDEX(SPLIT(J473,"" ""),1)"),1.0)</f>
        <v>1</v>
      </c>
      <c r="R473" s="3" t="str">
        <f>IFERROR(__xludf.DUMMYFUNCTION("MID(REGEXEXTRACT(J473,"" [^ ]* [^ ]*""),2,300)"),"posh silver")</f>
        <v>posh silver</v>
      </c>
      <c r="S473" s="3">
        <f t="shared" si="2"/>
        <v>2</v>
      </c>
      <c r="T473" s="3" t="str">
        <f t="shared" si="3"/>
        <v>vibrant plum</v>
      </c>
      <c r="U473" s="3">
        <f t="shared" si="4"/>
        <v>4</v>
      </c>
      <c r="V473" s="3" t="str">
        <f t="shared" si="5"/>
        <v>wavy cyan</v>
      </c>
      <c r="W473" s="3">
        <f t="shared" si="6"/>
        <v>2</v>
      </c>
      <c r="X473" s="3" t="str">
        <f t="shared" si="7"/>
        <v>dotted white</v>
      </c>
      <c r="Y473" s="3">
        <f t="shared" si="8"/>
        <v>1</v>
      </c>
      <c r="Z473" s="3" t="str">
        <f t="shared" si="9"/>
        <v>posh silver</v>
      </c>
      <c r="AA473" s="13">
        <f t="shared" si="10"/>
        <v>42940706</v>
      </c>
      <c r="AB473" s="3">
        <f t="shared" si="11"/>
        <v>42940705</v>
      </c>
      <c r="AC473" s="3">
        <f t="shared" si="12"/>
        <v>2</v>
      </c>
      <c r="AD473" s="3">
        <f t="shared" si="13"/>
        <v>26642</v>
      </c>
      <c r="AE473" s="3">
        <f t="shared" si="14"/>
        <v>4</v>
      </c>
      <c r="AF473" s="3">
        <f t="shared" si="15"/>
        <v>106571</v>
      </c>
      <c r="AG473" s="3">
        <f t="shared" si="16"/>
        <v>2</v>
      </c>
      <c r="AH473" s="3">
        <f t="shared" si="17"/>
        <v>3801522</v>
      </c>
      <c r="AI473" s="3">
        <f t="shared" si="18"/>
        <v>1</v>
      </c>
      <c r="AJ473" s="3">
        <f t="shared" si="19"/>
        <v>34858093</v>
      </c>
    </row>
    <row r="474">
      <c r="C474" s="6" t="s">
        <v>474</v>
      </c>
      <c r="D474" s="3">
        <f t="shared" si="1"/>
        <v>3</v>
      </c>
      <c r="E474" s="3" t="str">
        <f>IFERROR(__xludf.DUMMYFUNCTION("REGEXEXTRACT(C474,""[^ ]* [^ ]*"")"),"faded violet")</f>
        <v>faded violet</v>
      </c>
      <c r="F474" s="3" t="str">
        <f>IFERROR(__xludf.DUMMYFUNCTION("MID(REGEXEXTRACT(C474,""contain.*$""),9,300)"),"1 mirrored white bag, 4 muted green bags, 5 mirrored olive bags, 1 dim brown bag.")</f>
        <v>1 mirrored white bag, 4 muted green bags, 5 mirrored olive bags, 1 dim brown bag.</v>
      </c>
      <c r="G474" s="3" t="str">
        <f>IFERROR(__xludf.DUMMYFUNCTION("INDEX(SPLIT($F474,"",""),COLUMN()-6)"),"1 mirrored white bag")</f>
        <v>1 mirrored white bag</v>
      </c>
      <c r="H474" s="3" t="str">
        <f>IFERROR(__xludf.DUMMYFUNCTION("MID(INDEX(SPLIT($F474,"",""),COLUMN()-6),2,300)"),"4 muted green bags")</f>
        <v>4 muted green bags</v>
      </c>
      <c r="I474" s="3" t="str">
        <f>IFERROR(__xludf.DUMMYFUNCTION("MID(INDEX(SPLIT($F474,"",""),COLUMN()-6),2,300)"),"5 mirrored olive bags")</f>
        <v>5 mirrored olive bags</v>
      </c>
      <c r="J474" s="3" t="str">
        <f>IFERROR(__xludf.DUMMYFUNCTION("MID(INDEX(SPLIT($F474,"",""),COLUMN()-6),2,300)"),"1 dim brown bag.")</f>
        <v>1 dim brown bag.</v>
      </c>
      <c r="K474" s="3">
        <f>IFERROR(__xludf.DUMMYFUNCTION("INDEX(SPLIT(G474,"" ""),1)"),1.0)</f>
        <v>1</v>
      </c>
      <c r="L474" s="3" t="str">
        <f>IFERROR(__xludf.DUMMYFUNCTION("REGEXEXTRACT(G474,"" [^ ]* [^ ]* "")")," mirrored white ")</f>
        <v> mirrored white </v>
      </c>
      <c r="M474" s="3">
        <f>IFERROR(__xludf.DUMMYFUNCTION("INDEX(SPLIT(H474,"" ""),1)"),4.0)</f>
        <v>4</v>
      </c>
      <c r="N474" s="3" t="str">
        <f>IFERROR(__xludf.DUMMYFUNCTION("MID(REGEXEXTRACT(H474,"" [^ ]* [^ ]*""),2,300)"),"muted green")</f>
        <v>muted green</v>
      </c>
      <c r="O474" s="3">
        <f>IFERROR(__xludf.DUMMYFUNCTION("INDEX(SPLIT(I474,"" ""),1)"),5.0)</f>
        <v>5</v>
      </c>
      <c r="P474" s="3" t="str">
        <f>IFERROR(__xludf.DUMMYFUNCTION("MID(REGEXEXTRACT(I474,"" [^ ]* [^ ]*""),2,300)"),"mirrored olive")</f>
        <v>mirrored olive</v>
      </c>
      <c r="Q474" s="3">
        <f>IFERROR(__xludf.DUMMYFUNCTION("INDEX(SPLIT(J474,"" ""),1)"),1.0)</f>
        <v>1</v>
      </c>
      <c r="R474" s="3" t="str">
        <f>IFERROR(__xludf.DUMMYFUNCTION("MID(REGEXEXTRACT(J474,"" [^ ]* [^ ]*""),2,300)"),"dim brown")</f>
        <v>dim brown</v>
      </c>
      <c r="S474" s="3">
        <f t="shared" si="2"/>
        <v>1</v>
      </c>
      <c r="T474" s="3" t="str">
        <f t="shared" si="3"/>
        <v>mirrored white</v>
      </c>
      <c r="U474" s="3">
        <f t="shared" si="4"/>
        <v>4</v>
      </c>
      <c r="V474" s="3" t="str">
        <f t="shared" si="5"/>
        <v>muted green</v>
      </c>
      <c r="W474" s="3">
        <f t="shared" si="6"/>
        <v>5</v>
      </c>
      <c r="X474" s="3" t="str">
        <f t="shared" si="7"/>
        <v>mirrored olive</v>
      </c>
      <c r="Y474" s="3">
        <f t="shared" si="8"/>
        <v>1</v>
      </c>
      <c r="Z474" s="3" t="str">
        <f t="shared" si="9"/>
        <v>dim brown</v>
      </c>
      <c r="AA474" s="13">
        <f t="shared" si="10"/>
        <v>115573</v>
      </c>
      <c r="AB474" s="3">
        <f t="shared" si="11"/>
        <v>115572</v>
      </c>
      <c r="AC474" s="3">
        <f t="shared" si="12"/>
        <v>1</v>
      </c>
      <c r="AD474" s="3">
        <f t="shared" si="13"/>
        <v>319</v>
      </c>
      <c r="AE474" s="3">
        <f t="shared" si="14"/>
        <v>4</v>
      </c>
      <c r="AF474" s="3">
        <f t="shared" si="15"/>
        <v>13589</v>
      </c>
      <c r="AG474" s="3">
        <f t="shared" si="16"/>
        <v>5</v>
      </c>
      <c r="AH474" s="3">
        <f t="shared" si="17"/>
        <v>7408</v>
      </c>
      <c r="AI474" s="3">
        <f t="shared" si="18"/>
        <v>1</v>
      </c>
      <c r="AJ474" s="3">
        <f t="shared" si="19"/>
        <v>23857</v>
      </c>
    </row>
    <row r="475">
      <c r="C475" s="6" t="s">
        <v>475</v>
      </c>
      <c r="D475" s="3">
        <f t="shared" si="1"/>
        <v>0</v>
      </c>
      <c r="E475" s="3" t="str">
        <f>IFERROR(__xludf.DUMMYFUNCTION("REGEXEXTRACT(C475,""[^ ]* [^ ]*"")"),"faded fuchsia")</f>
        <v>faded fuchsia</v>
      </c>
      <c r="F475" s="3" t="str">
        <f>IFERROR(__xludf.DUMMYFUNCTION("MID(REGEXEXTRACT(C475,""contain.*$""),9,300)"),"2 dark brown bags.")</f>
        <v>2 dark brown bags.</v>
      </c>
      <c r="G475" s="3" t="str">
        <f>IFERROR(__xludf.DUMMYFUNCTION("INDEX(SPLIT($F475,"",""),COLUMN()-6)"),"2 dark brown bags.")</f>
        <v>2 dark brown bags.</v>
      </c>
      <c r="H475" s="3" t="str">
        <f>IFERROR(__xludf.DUMMYFUNCTION("MID(INDEX(SPLIT($F475,"",""),COLUMN()-6),2,300)"),"#REF!")</f>
        <v>#REF!</v>
      </c>
      <c r="I475" s="3" t="str">
        <f>IFERROR(__xludf.DUMMYFUNCTION("MID(INDEX(SPLIT($F475,"",""),COLUMN()-6),2,300)"),"#REF!")</f>
        <v>#REF!</v>
      </c>
      <c r="J475" s="3" t="str">
        <f>IFERROR(__xludf.DUMMYFUNCTION("MID(INDEX(SPLIT($F475,"",""),COLUMN()-6),2,300)"),"#REF!")</f>
        <v>#REF!</v>
      </c>
      <c r="K475" s="3">
        <f>IFERROR(__xludf.DUMMYFUNCTION("INDEX(SPLIT(G475,"" ""),1)"),2.0)</f>
        <v>2</v>
      </c>
      <c r="L475" s="3" t="str">
        <f>IFERROR(__xludf.DUMMYFUNCTION("REGEXEXTRACT(G475,"" [^ ]* [^ ]* "")")," dark brown ")</f>
        <v> dark brown </v>
      </c>
      <c r="M475" s="3" t="str">
        <f>IFERROR(__xludf.DUMMYFUNCTION("INDEX(SPLIT(H475,"" ""),1)"),"#REF!")</f>
        <v>#REF!</v>
      </c>
      <c r="N475" s="3" t="str">
        <f>IFERROR(__xludf.DUMMYFUNCTION("MID(REGEXEXTRACT(H475,"" [^ ]* [^ ]*""),2,300)"),"#REF!")</f>
        <v>#REF!</v>
      </c>
      <c r="O475" s="3" t="str">
        <f>IFERROR(__xludf.DUMMYFUNCTION("INDEX(SPLIT(I475,"" ""),1)"),"#REF!")</f>
        <v>#REF!</v>
      </c>
      <c r="P475" s="3" t="str">
        <f>IFERROR(__xludf.DUMMYFUNCTION("MID(REGEXEXTRACT(I475,"" [^ ]* [^ ]*""),2,300)"),"#REF!")</f>
        <v>#REF!</v>
      </c>
      <c r="Q475" s="3" t="str">
        <f>IFERROR(__xludf.DUMMYFUNCTION("INDEX(SPLIT(J475,"" ""),1)"),"#REF!")</f>
        <v>#REF!</v>
      </c>
      <c r="R475" s="3" t="str">
        <f>IFERROR(__xludf.DUMMYFUNCTION("MID(REGEXEXTRACT(J475,"" [^ ]* [^ ]*""),2,300)"),"#REF!")</f>
        <v>#REF!</v>
      </c>
      <c r="S475" s="3">
        <f t="shared" si="2"/>
        <v>2</v>
      </c>
      <c r="T475" s="3" t="str">
        <f t="shared" si="3"/>
        <v>dark brown</v>
      </c>
      <c r="U475" s="3" t="str">
        <f t="shared" si="4"/>
        <v/>
      </c>
      <c r="V475" s="3" t="str">
        <f t="shared" si="5"/>
        <v/>
      </c>
      <c r="W475" s="3" t="str">
        <f t="shared" si="6"/>
        <v/>
      </c>
      <c r="X475" s="3" t="str">
        <f t="shared" si="7"/>
        <v/>
      </c>
      <c r="Y475" s="3" t="str">
        <f t="shared" si="8"/>
        <v/>
      </c>
      <c r="Z475" s="3" t="str">
        <f t="shared" si="9"/>
        <v/>
      </c>
      <c r="AA475" s="13">
        <f t="shared" si="10"/>
        <v>269139</v>
      </c>
      <c r="AB475" s="3">
        <f t="shared" si="11"/>
        <v>269138</v>
      </c>
      <c r="AC475" s="3">
        <f t="shared" si="12"/>
        <v>2</v>
      </c>
      <c r="AD475" s="3">
        <f t="shared" si="13"/>
        <v>134569</v>
      </c>
      <c r="AE475" s="3" t="str">
        <f t="shared" si="14"/>
        <v/>
      </c>
      <c r="AF475" s="3">
        <f t="shared" si="15"/>
        <v>0</v>
      </c>
      <c r="AG475" s="3" t="str">
        <f t="shared" si="16"/>
        <v/>
      </c>
      <c r="AH475" s="3">
        <f t="shared" si="17"/>
        <v>0</v>
      </c>
      <c r="AI475" s="3" t="str">
        <f t="shared" si="18"/>
        <v/>
      </c>
      <c r="AJ475" s="3">
        <f t="shared" si="19"/>
        <v>0</v>
      </c>
    </row>
    <row r="476">
      <c r="C476" s="6" t="s">
        <v>476</v>
      </c>
      <c r="D476" s="3">
        <f t="shared" si="1"/>
        <v>0</v>
      </c>
      <c r="E476" s="3" t="str">
        <f>IFERROR(__xludf.DUMMYFUNCTION("REGEXEXTRACT(C476,""[^ ]* [^ ]*"")"),"dotted brown")</f>
        <v>dotted brown</v>
      </c>
      <c r="F476" s="3" t="str">
        <f>IFERROR(__xludf.DUMMYFUNCTION("MID(REGEXEXTRACT(C476,""contain.*$""),9,300)"),"4 clear blue bags.")</f>
        <v>4 clear blue bags.</v>
      </c>
      <c r="G476" s="3" t="str">
        <f>IFERROR(__xludf.DUMMYFUNCTION("INDEX(SPLIT($F476,"",""),COLUMN()-6)"),"4 clear blue bags.")</f>
        <v>4 clear blue bags.</v>
      </c>
      <c r="H476" s="3" t="str">
        <f>IFERROR(__xludf.DUMMYFUNCTION("MID(INDEX(SPLIT($F476,"",""),COLUMN()-6),2,300)"),"#REF!")</f>
        <v>#REF!</v>
      </c>
      <c r="I476" s="3" t="str">
        <f>IFERROR(__xludf.DUMMYFUNCTION("MID(INDEX(SPLIT($F476,"",""),COLUMN()-6),2,300)"),"#REF!")</f>
        <v>#REF!</v>
      </c>
      <c r="J476" s="3" t="str">
        <f>IFERROR(__xludf.DUMMYFUNCTION("MID(INDEX(SPLIT($F476,"",""),COLUMN()-6),2,300)"),"#REF!")</f>
        <v>#REF!</v>
      </c>
      <c r="K476" s="3">
        <f>IFERROR(__xludf.DUMMYFUNCTION("INDEX(SPLIT(G476,"" ""),1)"),4.0)</f>
        <v>4</v>
      </c>
      <c r="L476" s="3" t="str">
        <f>IFERROR(__xludf.DUMMYFUNCTION("REGEXEXTRACT(G476,"" [^ ]* [^ ]* "")")," clear blue ")</f>
        <v> clear blue </v>
      </c>
      <c r="M476" s="3" t="str">
        <f>IFERROR(__xludf.DUMMYFUNCTION("INDEX(SPLIT(H476,"" ""),1)"),"#REF!")</f>
        <v>#REF!</v>
      </c>
      <c r="N476" s="3" t="str">
        <f>IFERROR(__xludf.DUMMYFUNCTION("MID(REGEXEXTRACT(H476,"" [^ ]* [^ ]*""),2,300)"),"#REF!")</f>
        <v>#REF!</v>
      </c>
      <c r="O476" s="3" t="str">
        <f>IFERROR(__xludf.DUMMYFUNCTION("INDEX(SPLIT(I476,"" ""),1)"),"#REF!")</f>
        <v>#REF!</v>
      </c>
      <c r="P476" s="3" t="str">
        <f>IFERROR(__xludf.DUMMYFUNCTION("MID(REGEXEXTRACT(I476,"" [^ ]* [^ ]*""),2,300)"),"#REF!")</f>
        <v>#REF!</v>
      </c>
      <c r="Q476" s="3" t="str">
        <f>IFERROR(__xludf.DUMMYFUNCTION("INDEX(SPLIT(J476,"" ""),1)"),"#REF!")</f>
        <v>#REF!</v>
      </c>
      <c r="R476" s="3" t="str">
        <f>IFERROR(__xludf.DUMMYFUNCTION("MID(REGEXEXTRACT(J476,"" [^ ]* [^ ]*""),2,300)"),"#REF!")</f>
        <v>#REF!</v>
      </c>
      <c r="S476" s="3">
        <f t="shared" si="2"/>
        <v>4</v>
      </c>
      <c r="T476" s="3" t="str">
        <f t="shared" si="3"/>
        <v>clear blue</v>
      </c>
      <c r="U476" s="3" t="str">
        <f t="shared" si="4"/>
        <v/>
      </c>
      <c r="V476" s="3" t="str">
        <f t="shared" si="5"/>
        <v/>
      </c>
      <c r="W476" s="3" t="str">
        <f t="shared" si="6"/>
        <v/>
      </c>
      <c r="X476" s="3" t="str">
        <f t="shared" si="7"/>
        <v/>
      </c>
      <c r="Y476" s="3" t="str">
        <f t="shared" si="8"/>
        <v/>
      </c>
      <c r="Z476" s="3" t="str">
        <f t="shared" si="9"/>
        <v/>
      </c>
      <c r="AA476" s="13">
        <f t="shared" si="10"/>
        <v>305</v>
      </c>
      <c r="AB476" s="3">
        <f t="shared" si="11"/>
        <v>304</v>
      </c>
      <c r="AC476" s="3">
        <f t="shared" si="12"/>
        <v>4</v>
      </c>
      <c r="AD476" s="3">
        <f t="shared" si="13"/>
        <v>76</v>
      </c>
      <c r="AE476" s="3" t="str">
        <f t="shared" si="14"/>
        <v/>
      </c>
      <c r="AF476" s="3">
        <f t="shared" si="15"/>
        <v>0</v>
      </c>
      <c r="AG476" s="3" t="str">
        <f t="shared" si="16"/>
        <v/>
      </c>
      <c r="AH476" s="3">
        <f t="shared" si="17"/>
        <v>0</v>
      </c>
      <c r="AI476" s="3" t="str">
        <f t="shared" si="18"/>
        <v/>
      </c>
      <c r="AJ476" s="3">
        <f t="shared" si="19"/>
        <v>0</v>
      </c>
    </row>
    <row r="477">
      <c r="C477" s="6" t="s">
        <v>477</v>
      </c>
      <c r="D477" s="3">
        <f t="shared" si="1"/>
        <v>0</v>
      </c>
      <c r="E477" s="3" t="str">
        <f>IFERROR(__xludf.DUMMYFUNCTION("REGEXEXTRACT(C477,""[^ ]* [^ ]*"")"),"dark teal")</f>
        <v>dark teal</v>
      </c>
      <c r="F477" s="3" t="str">
        <f>IFERROR(__xludf.DUMMYFUNCTION("MID(REGEXEXTRACT(C477,""contain.*$""),9,300)"),"5 dull cyan bags.")</f>
        <v>5 dull cyan bags.</v>
      </c>
      <c r="G477" s="3" t="str">
        <f>IFERROR(__xludf.DUMMYFUNCTION("INDEX(SPLIT($F477,"",""),COLUMN()-6)"),"5 dull cyan bags.")</f>
        <v>5 dull cyan bags.</v>
      </c>
      <c r="H477" s="3" t="str">
        <f>IFERROR(__xludf.DUMMYFUNCTION("MID(INDEX(SPLIT($F477,"",""),COLUMN()-6),2,300)"),"#REF!")</f>
        <v>#REF!</v>
      </c>
      <c r="I477" s="3" t="str">
        <f>IFERROR(__xludf.DUMMYFUNCTION("MID(INDEX(SPLIT($F477,"",""),COLUMN()-6),2,300)"),"#REF!")</f>
        <v>#REF!</v>
      </c>
      <c r="J477" s="3" t="str">
        <f>IFERROR(__xludf.DUMMYFUNCTION("MID(INDEX(SPLIT($F477,"",""),COLUMN()-6),2,300)"),"#REF!")</f>
        <v>#REF!</v>
      </c>
      <c r="K477" s="3">
        <f>IFERROR(__xludf.DUMMYFUNCTION("INDEX(SPLIT(G477,"" ""),1)"),5.0)</f>
        <v>5</v>
      </c>
      <c r="L477" s="3" t="str">
        <f>IFERROR(__xludf.DUMMYFUNCTION("REGEXEXTRACT(G477,"" [^ ]* [^ ]* "")")," dull cyan ")</f>
        <v> dull cyan </v>
      </c>
      <c r="M477" s="3" t="str">
        <f>IFERROR(__xludf.DUMMYFUNCTION("INDEX(SPLIT(H477,"" ""),1)"),"#REF!")</f>
        <v>#REF!</v>
      </c>
      <c r="N477" s="3" t="str">
        <f>IFERROR(__xludf.DUMMYFUNCTION("MID(REGEXEXTRACT(H477,"" [^ ]* [^ ]*""),2,300)"),"#REF!")</f>
        <v>#REF!</v>
      </c>
      <c r="O477" s="3" t="str">
        <f>IFERROR(__xludf.DUMMYFUNCTION("INDEX(SPLIT(I477,"" ""),1)"),"#REF!")</f>
        <v>#REF!</v>
      </c>
      <c r="P477" s="3" t="str">
        <f>IFERROR(__xludf.DUMMYFUNCTION("MID(REGEXEXTRACT(I477,"" [^ ]* [^ ]*""),2,300)"),"#REF!")</f>
        <v>#REF!</v>
      </c>
      <c r="Q477" s="3" t="str">
        <f>IFERROR(__xludf.DUMMYFUNCTION("INDEX(SPLIT(J477,"" ""),1)"),"#REF!")</f>
        <v>#REF!</v>
      </c>
      <c r="R477" s="3" t="str">
        <f>IFERROR(__xludf.DUMMYFUNCTION("MID(REGEXEXTRACT(J477,"" [^ ]* [^ ]*""),2,300)"),"#REF!")</f>
        <v>#REF!</v>
      </c>
      <c r="S477" s="3">
        <f t="shared" si="2"/>
        <v>5</v>
      </c>
      <c r="T477" s="3" t="str">
        <f t="shared" si="3"/>
        <v>dull cyan</v>
      </c>
      <c r="U477" s="3" t="str">
        <f t="shared" si="4"/>
        <v/>
      </c>
      <c r="V477" s="3" t="str">
        <f t="shared" si="5"/>
        <v/>
      </c>
      <c r="W477" s="3" t="str">
        <f t="shared" si="6"/>
        <v/>
      </c>
      <c r="X477" s="3" t="str">
        <f t="shared" si="7"/>
        <v/>
      </c>
      <c r="Y477" s="3" t="str">
        <f t="shared" si="8"/>
        <v/>
      </c>
      <c r="Z477" s="3" t="str">
        <f t="shared" si="9"/>
        <v/>
      </c>
      <c r="AA477" s="13">
        <f t="shared" si="10"/>
        <v>15041</v>
      </c>
      <c r="AB477" s="3">
        <f t="shared" si="11"/>
        <v>15040</v>
      </c>
      <c r="AC477" s="3">
        <f t="shared" si="12"/>
        <v>5</v>
      </c>
      <c r="AD477" s="3">
        <f t="shared" si="13"/>
        <v>3008</v>
      </c>
      <c r="AE477" s="3" t="str">
        <f t="shared" si="14"/>
        <v/>
      </c>
      <c r="AF477" s="3">
        <f t="shared" si="15"/>
        <v>0</v>
      </c>
      <c r="AG477" s="3" t="str">
        <f t="shared" si="16"/>
        <v/>
      </c>
      <c r="AH477" s="3">
        <f t="shared" si="17"/>
        <v>0</v>
      </c>
      <c r="AI477" s="3" t="str">
        <f t="shared" si="18"/>
        <v/>
      </c>
      <c r="AJ477" s="3">
        <f t="shared" si="19"/>
        <v>0</v>
      </c>
    </row>
    <row r="478">
      <c r="C478" s="6" t="s">
        <v>478</v>
      </c>
      <c r="D478" s="3">
        <f t="shared" si="1"/>
        <v>2</v>
      </c>
      <c r="E478" s="3" t="str">
        <f>IFERROR(__xludf.DUMMYFUNCTION("REGEXEXTRACT(C478,""[^ ]* [^ ]*"")"),"bright salmon")</f>
        <v>bright salmon</v>
      </c>
      <c r="F478" s="3" t="str">
        <f>IFERROR(__xludf.DUMMYFUNCTION("MID(REGEXEXTRACT(C478,""contain.*$""),9,300)"),"2 pale black bags, 5 dotted chartreuse bags, 2 striped chartreuse bags.")</f>
        <v>2 pale black bags, 5 dotted chartreuse bags, 2 striped chartreuse bags.</v>
      </c>
      <c r="G478" s="3" t="str">
        <f>IFERROR(__xludf.DUMMYFUNCTION("INDEX(SPLIT($F478,"",""),COLUMN()-6)"),"2 pale black bags")</f>
        <v>2 pale black bags</v>
      </c>
      <c r="H478" s="3" t="str">
        <f>IFERROR(__xludf.DUMMYFUNCTION("MID(INDEX(SPLIT($F478,"",""),COLUMN()-6),2,300)"),"5 dotted chartreuse bags")</f>
        <v>5 dotted chartreuse bags</v>
      </c>
      <c r="I478" s="3" t="str">
        <f>IFERROR(__xludf.DUMMYFUNCTION("MID(INDEX(SPLIT($F478,"",""),COLUMN()-6),2,300)"),"2 striped chartreuse bags.")</f>
        <v>2 striped chartreuse bags.</v>
      </c>
      <c r="J478" s="3" t="str">
        <f>IFERROR(__xludf.DUMMYFUNCTION("MID(INDEX(SPLIT($F478,"",""),COLUMN()-6),2,300)"),"#REF!")</f>
        <v>#REF!</v>
      </c>
      <c r="K478" s="3">
        <f>IFERROR(__xludf.DUMMYFUNCTION("INDEX(SPLIT(G478,"" ""),1)"),2.0)</f>
        <v>2</v>
      </c>
      <c r="L478" s="3" t="str">
        <f>IFERROR(__xludf.DUMMYFUNCTION("REGEXEXTRACT(G478,"" [^ ]* [^ ]* "")")," pale black ")</f>
        <v> pale black </v>
      </c>
      <c r="M478" s="3">
        <f>IFERROR(__xludf.DUMMYFUNCTION("INDEX(SPLIT(H478,"" ""),1)"),5.0)</f>
        <v>5</v>
      </c>
      <c r="N478" s="3" t="str">
        <f>IFERROR(__xludf.DUMMYFUNCTION("MID(REGEXEXTRACT(H478,"" [^ ]* [^ ]*""),2,300)"),"dotted chartreuse")</f>
        <v>dotted chartreuse</v>
      </c>
      <c r="O478" s="3">
        <f>IFERROR(__xludf.DUMMYFUNCTION("INDEX(SPLIT(I478,"" ""),1)"),2.0)</f>
        <v>2</v>
      </c>
      <c r="P478" s="3" t="str">
        <f>IFERROR(__xludf.DUMMYFUNCTION("MID(REGEXEXTRACT(I478,"" [^ ]* [^ ]*""),2,300)"),"striped chartreuse")</f>
        <v>striped chartreuse</v>
      </c>
      <c r="Q478" s="3" t="str">
        <f>IFERROR(__xludf.DUMMYFUNCTION("INDEX(SPLIT(J478,"" ""),1)"),"#REF!")</f>
        <v>#REF!</v>
      </c>
      <c r="R478" s="3" t="str">
        <f>IFERROR(__xludf.DUMMYFUNCTION("MID(REGEXEXTRACT(J478,"" [^ ]* [^ ]*""),2,300)"),"#REF!")</f>
        <v>#REF!</v>
      </c>
      <c r="S478" s="3">
        <f t="shared" si="2"/>
        <v>2</v>
      </c>
      <c r="T478" s="3" t="str">
        <f t="shared" si="3"/>
        <v>pale black</v>
      </c>
      <c r="U478" s="3">
        <f t="shared" si="4"/>
        <v>5</v>
      </c>
      <c r="V478" s="3" t="str">
        <f t="shared" si="5"/>
        <v>dotted chartreuse</v>
      </c>
      <c r="W478" s="3">
        <f t="shared" si="6"/>
        <v>2</v>
      </c>
      <c r="X478" s="3" t="str">
        <f t="shared" si="7"/>
        <v>striped chartreuse</v>
      </c>
      <c r="Y478" s="3" t="str">
        <f t="shared" si="8"/>
        <v/>
      </c>
      <c r="Z478" s="3" t="str">
        <f t="shared" si="9"/>
        <v/>
      </c>
      <c r="AA478" s="13">
        <f t="shared" si="10"/>
        <v>367933</v>
      </c>
      <c r="AB478" s="3">
        <f t="shared" si="11"/>
        <v>367932</v>
      </c>
      <c r="AC478" s="3">
        <f t="shared" si="12"/>
        <v>2</v>
      </c>
      <c r="AD478" s="3">
        <f t="shared" si="13"/>
        <v>8</v>
      </c>
      <c r="AE478" s="3">
        <f t="shared" si="14"/>
        <v>5</v>
      </c>
      <c r="AF478" s="3">
        <f t="shared" si="15"/>
        <v>71962</v>
      </c>
      <c r="AG478" s="3">
        <f t="shared" si="16"/>
        <v>2</v>
      </c>
      <c r="AH478" s="3">
        <f t="shared" si="17"/>
        <v>4053</v>
      </c>
      <c r="AI478" s="3" t="str">
        <f t="shared" si="18"/>
        <v/>
      </c>
      <c r="AJ478" s="3">
        <f t="shared" si="19"/>
        <v>0</v>
      </c>
    </row>
    <row r="479">
      <c r="C479" s="6" t="s">
        <v>479</v>
      </c>
      <c r="D479" s="3">
        <f t="shared" si="1"/>
        <v>2</v>
      </c>
      <c r="E479" s="3" t="str">
        <f>IFERROR(__xludf.DUMMYFUNCTION("REGEXEXTRACT(C479,""[^ ]* [^ ]*"")"),"pale blue")</f>
        <v>pale blue</v>
      </c>
      <c r="F479" s="3" t="str">
        <f>IFERROR(__xludf.DUMMYFUNCTION("MID(REGEXEXTRACT(C479,""contain.*$""),9,300)"),"4 shiny gold bags, 2 clear white bags, 1 dotted coral bag.")</f>
        <v>4 shiny gold bags, 2 clear white bags, 1 dotted coral bag.</v>
      </c>
      <c r="G479" s="3" t="str">
        <f>IFERROR(__xludf.DUMMYFUNCTION("INDEX(SPLIT($F479,"",""),COLUMN()-6)"),"4 shiny gold bags")</f>
        <v>4 shiny gold bags</v>
      </c>
      <c r="H479" s="3" t="str">
        <f>IFERROR(__xludf.DUMMYFUNCTION("MID(INDEX(SPLIT($F479,"",""),COLUMN()-6),2,300)"),"2 clear white bags")</f>
        <v>2 clear white bags</v>
      </c>
      <c r="I479" s="3" t="str">
        <f>IFERROR(__xludf.DUMMYFUNCTION("MID(INDEX(SPLIT($F479,"",""),COLUMN()-6),2,300)"),"1 dotted coral bag.")</f>
        <v>1 dotted coral bag.</v>
      </c>
      <c r="J479" s="3" t="str">
        <f>IFERROR(__xludf.DUMMYFUNCTION("MID(INDEX(SPLIT($F479,"",""),COLUMN()-6),2,300)"),"#REF!")</f>
        <v>#REF!</v>
      </c>
      <c r="K479" s="3">
        <f>IFERROR(__xludf.DUMMYFUNCTION("INDEX(SPLIT(G479,"" ""),1)"),4.0)</f>
        <v>4</v>
      </c>
      <c r="L479" s="3" t="str">
        <f>IFERROR(__xludf.DUMMYFUNCTION("REGEXEXTRACT(G479,"" [^ ]* [^ ]* "")")," shiny gold ")</f>
        <v> shiny gold </v>
      </c>
      <c r="M479" s="3">
        <f>IFERROR(__xludf.DUMMYFUNCTION("INDEX(SPLIT(H479,"" ""),1)"),2.0)</f>
        <v>2</v>
      </c>
      <c r="N479" s="3" t="str">
        <f>IFERROR(__xludf.DUMMYFUNCTION("MID(REGEXEXTRACT(H479,"" [^ ]* [^ ]*""),2,300)"),"clear white")</f>
        <v>clear white</v>
      </c>
      <c r="O479" s="3">
        <f>IFERROR(__xludf.DUMMYFUNCTION("INDEX(SPLIT(I479,"" ""),1)"),1.0)</f>
        <v>1</v>
      </c>
      <c r="P479" s="3" t="str">
        <f>IFERROR(__xludf.DUMMYFUNCTION("MID(REGEXEXTRACT(I479,"" [^ ]* [^ ]*""),2,300)"),"dotted coral")</f>
        <v>dotted coral</v>
      </c>
      <c r="Q479" s="3" t="str">
        <f>IFERROR(__xludf.DUMMYFUNCTION("INDEX(SPLIT(J479,"" ""),1)"),"#REF!")</f>
        <v>#REF!</v>
      </c>
      <c r="R479" s="3" t="str">
        <f>IFERROR(__xludf.DUMMYFUNCTION("MID(REGEXEXTRACT(J479,"" [^ ]* [^ ]*""),2,300)"),"#REF!")</f>
        <v>#REF!</v>
      </c>
      <c r="S479" s="3">
        <f t="shared" si="2"/>
        <v>4</v>
      </c>
      <c r="T479" s="3" t="str">
        <f t="shared" si="3"/>
        <v>shiny gold</v>
      </c>
      <c r="U479" s="3">
        <f t="shared" si="4"/>
        <v>2</v>
      </c>
      <c r="V479" s="3" t="str">
        <f t="shared" si="5"/>
        <v>clear white</v>
      </c>
      <c r="W479" s="3">
        <f t="shared" si="6"/>
        <v>1</v>
      </c>
      <c r="X479" s="3" t="str">
        <f t="shared" si="7"/>
        <v>dotted coral</v>
      </c>
      <c r="Y479" s="3" t="str">
        <f t="shared" si="8"/>
        <v/>
      </c>
      <c r="Z479" s="3" t="str">
        <f t="shared" si="9"/>
        <v/>
      </c>
      <c r="AA479" s="13">
        <f t="shared" si="10"/>
        <v>250727562</v>
      </c>
      <c r="AB479" s="3">
        <f t="shared" si="11"/>
        <v>250727561</v>
      </c>
      <c r="AC479" s="3">
        <f t="shared" si="12"/>
        <v>4</v>
      </c>
      <c r="AD479" s="3">
        <f t="shared" si="13"/>
        <v>12129</v>
      </c>
      <c r="AE479" s="3">
        <f t="shared" si="14"/>
        <v>2</v>
      </c>
      <c r="AF479" s="3">
        <f t="shared" si="15"/>
        <v>125334121</v>
      </c>
      <c r="AG479" s="3">
        <f t="shared" si="16"/>
        <v>1</v>
      </c>
      <c r="AH479" s="3">
        <f t="shared" si="17"/>
        <v>10803</v>
      </c>
      <c r="AI479" s="3" t="str">
        <f t="shared" si="18"/>
        <v/>
      </c>
      <c r="AJ479" s="3">
        <f t="shared" si="19"/>
        <v>0</v>
      </c>
    </row>
    <row r="480">
      <c r="C480" s="6" t="s">
        <v>480</v>
      </c>
      <c r="D480" s="3">
        <f t="shared" si="1"/>
        <v>2</v>
      </c>
      <c r="E480" s="3" t="str">
        <f>IFERROR(__xludf.DUMMYFUNCTION("REGEXEXTRACT(C480,""[^ ]* [^ ]*"")"),"dim tan")</f>
        <v>dim tan</v>
      </c>
      <c r="F480" s="3" t="str">
        <f>IFERROR(__xludf.DUMMYFUNCTION("MID(REGEXEXTRACT(C480,""contain.*$""),9,300)"),"3 plaid yellow bags, 5 clear blue bags, 2 clear cyan bags.")</f>
        <v>3 plaid yellow bags, 5 clear blue bags, 2 clear cyan bags.</v>
      </c>
      <c r="G480" s="3" t="str">
        <f>IFERROR(__xludf.DUMMYFUNCTION("INDEX(SPLIT($F480,"",""),COLUMN()-6)"),"3 plaid yellow bags")</f>
        <v>3 plaid yellow bags</v>
      </c>
      <c r="H480" s="3" t="str">
        <f>IFERROR(__xludf.DUMMYFUNCTION("MID(INDEX(SPLIT($F480,"",""),COLUMN()-6),2,300)"),"5 clear blue bags")</f>
        <v>5 clear blue bags</v>
      </c>
      <c r="I480" s="3" t="str">
        <f>IFERROR(__xludf.DUMMYFUNCTION("MID(INDEX(SPLIT($F480,"",""),COLUMN()-6),2,300)"),"2 clear cyan bags.")</f>
        <v>2 clear cyan bags.</v>
      </c>
      <c r="J480" s="3" t="str">
        <f>IFERROR(__xludf.DUMMYFUNCTION("MID(INDEX(SPLIT($F480,"",""),COLUMN()-6),2,300)"),"#REF!")</f>
        <v>#REF!</v>
      </c>
      <c r="K480" s="3">
        <f>IFERROR(__xludf.DUMMYFUNCTION("INDEX(SPLIT(G480,"" ""),1)"),3.0)</f>
        <v>3</v>
      </c>
      <c r="L480" s="3" t="str">
        <f>IFERROR(__xludf.DUMMYFUNCTION("REGEXEXTRACT(G480,"" [^ ]* [^ ]* "")")," plaid yellow ")</f>
        <v> plaid yellow </v>
      </c>
      <c r="M480" s="3">
        <f>IFERROR(__xludf.DUMMYFUNCTION("INDEX(SPLIT(H480,"" ""),1)"),5.0)</f>
        <v>5</v>
      </c>
      <c r="N480" s="3" t="str">
        <f>IFERROR(__xludf.DUMMYFUNCTION("MID(REGEXEXTRACT(H480,"" [^ ]* [^ ]*""),2,300)"),"clear blue")</f>
        <v>clear blue</v>
      </c>
      <c r="O480" s="3">
        <f>IFERROR(__xludf.DUMMYFUNCTION("INDEX(SPLIT(I480,"" ""),1)"),2.0)</f>
        <v>2</v>
      </c>
      <c r="P480" s="3" t="str">
        <f>IFERROR(__xludf.DUMMYFUNCTION("MID(REGEXEXTRACT(I480,"" [^ ]* [^ ]*""),2,300)"),"clear cyan")</f>
        <v>clear cyan</v>
      </c>
      <c r="Q480" s="3" t="str">
        <f>IFERROR(__xludf.DUMMYFUNCTION("INDEX(SPLIT(J480,"" ""),1)"),"#REF!")</f>
        <v>#REF!</v>
      </c>
      <c r="R480" s="3" t="str">
        <f>IFERROR(__xludf.DUMMYFUNCTION("MID(REGEXEXTRACT(J480,"" [^ ]* [^ ]*""),2,300)"),"#REF!")</f>
        <v>#REF!</v>
      </c>
      <c r="S480" s="3">
        <f t="shared" si="2"/>
        <v>3</v>
      </c>
      <c r="T480" s="3" t="str">
        <f t="shared" si="3"/>
        <v>plaid yellow</v>
      </c>
      <c r="U480" s="3">
        <f t="shared" si="4"/>
        <v>5</v>
      </c>
      <c r="V480" s="3" t="str">
        <f t="shared" si="5"/>
        <v>clear blue</v>
      </c>
      <c r="W480" s="3">
        <f t="shared" si="6"/>
        <v>2</v>
      </c>
      <c r="X480" s="3" t="str">
        <f t="shared" si="7"/>
        <v>clear cyan</v>
      </c>
      <c r="Y480" s="3" t="str">
        <f t="shared" si="8"/>
        <v/>
      </c>
      <c r="Z480" s="3" t="str">
        <f t="shared" si="9"/>
        <v/>
      </c>
      <c r="AA480" s="13">
        <f t="shared" si="10"/>
        <v>173102328</v>
      </c>
      <c r="AB480" s="3">
        <f t="shared" si="11"/>
        <v>173102327</v>
      </c>
      <c r="AC480" s="3">
        <f t="shared" si="12"/>
        <v>3</v>
      </c>
      <c r="AD480" s="3">
        <f t="shared" si="13"/>
        <v>57101279</v>
      </c>
      <c r="AE480" s="3">
        <f t="shared" si="14"/>
        <v>5</v>
      </c>
      <c r="AF480" s="3">
        <f t="shared" si="15"/>
        <v>76</v>
      </c>
      <c r="AG480" s="3">
        <f t="shared" si="16"/>
        <v>2</v>
      </c>
      <c r="AH480" s="3">
        <f t="shared" si="17"/>
        <v>899055</v>
      </c>
      <c r="AI480" s="3" t="str">
        <f t="shared" si="18"/>
        <v/>
      </c>
      <c r="AJ480" s="3">
        <f t="shared" si="19"/>
        <v>0</v>
      </c>
    </row>
    <row r="481">
      <c r="C481" s="6" t="s">
        <v>481</v>
      </c>
      <c r="D481" s="3">
        <f t="shared" si="1"/>
        <v>2</v>
      </c>
      <c r="E481" s="3" t="str">
        <f>IFERROR(__xludf.DUMMYFUNCTION("REGEXEXTRACT(C481,""[^ ]* [^ ]*"")"),"dull beige")</f>
        <v>dull beige</v>
      </c>
      <c r="F481" s="3" t="str">
        <f>IFERROR(__xludf.DUMMYFUNCTION("MID(REGEXEXTRACT(C481,""contain.*$""),9,300)"),"5 shiny maroon bags, 4 mirrored bronze bags, 4 dark plum bags.")</f>
        <v>5 shiny maroon bags, 4 mirrored bronze bags, 4 dark plum bags.</v>
      </c>
      <c r="G481" s="3" t="str">
        <f>IFERROR(__xludf.DUMMYFUNCTION("INDEX(SPLIT($F481,"",""),COLUMN()-6)"),"5 shiny maroon bags")</f>
        <v>5 shiny maroon bags</v>
      </c>
      <c r="H481" s="3" t="str">
        <f>IFERROR(__xludf.DUMMYFUNCTION("MID(INDEX(SPLIT($F481,"",""),COLUMN()-6),2,300)"),"4 mirrored bronze bags")</f>
        <v>4 mirrored bronze bags</v>
      </c>
      <c r="I481" s="3" t="str">
        <f>IFERROR(__xludf.DUMMYFUNCTION("MID(INDEX(SPLIT($F481,"",""),COLUMN()-6),2,300)"),"4 dark plum bags.")</f>
        <v>4 dark plum bags.</v>
      </c>
      <c r="J481" s="3" t="str">
        <f>IFERROR(__xludf.DUMMYFUNCTION("MID(INDEX(SPLIT($F481,"",""),COLUMN()-6),2,300)"),"#REF!")</f>
        <v>#REF!</v>
      </c>
      <c r="K481" s="3">
        <f>IFERROR(__xludf.DUMMYFUNCTION("INDEX(SPLIT(G481,"" ""),1)"),5.0)</f>
        <v>5</v>
      </c>
      <c r="L481" s="3" t="str">
        <f>IFERROR(__xludf.DUMMYFUNCTION("REGEXEXTRACT(G481,"" [^ ]* [^ ]* "")")," shiny maroon ")</f>
        <v> shiny maroon </v>
      </c>
      <c r="M481" s="3">
        <f>IFERROR(__xludf.DUMMYFUNCTION("INDEX(SPLIT(H481,"" ""),1)"),4.0)</f>
        <v>4</v>
      </c>
      <c r="N481" s="3" t="str">
        <f>IFERROR(__xludf.DUMMYFUNCTION("MID(REGEXEXTRACT(H481,"" [^ ]* [^ ]*""),2,300)"),"mirrored bronze")</f>
        <v>mirrored bronze</v>
      </c>
      <c r="O481" s="3">
        <f>IFERROR(__xludf.DUMMYFUNCTION("INDEX(SPLIT(I481,"" ""),1)"),4.0)</f>
        <v>4</v>
      </c>
      <c r="P481" s="3" t="str">
        <f>IFERROR(__xludf.DUMMYFUNCTION("MID(REGEXEXTRACT(I481,"" [^ ]* [^ ]*""),2,300)"),"dark plum")</f>
        <v>dark plum</v>
      </c>
      <c r="Q481" s="3" t="str">
        <f>IFERROR(__xludf.DUMMYFUNCTION("INDEX(SPLIT(J481,"" ""),1)"),"#REF!")</f>
        <v>#REF!</v>
      </c>
      <c r="R481" s="3" t="str">
        <f>IFERROR(__xludf.DUMMYFUNCTION("MID(REGEXEXTRACT(J481,"" [^ ]* [^ ]*""),2,300)"),"#REF!")</f>
        <v>#REF!</v>
      </c>
      <c r="S481" s="3">
        <f t="shared" si="2"/>
        <v>5</v>
      </c>
      <c r="T481" s="3" t="str">
        <f t="shared" si="3"/>
        <v>shiny maroon</v>
      </c>
      <c r="U481" s="3">
        <f t="shared" si="4"/>
        <v>4</v>
      </c>
      <c r="V481" s="3" t="str">
        <f t="shared" si="5"/>
        <v>mirrored bronze</v>
      </c>
      <c r="W481" s="3">
        <f t="shared" si="6"/>
        <v>4</v>
      </c>
      <c r="X481" s="3" t="str">
        <f t="shared" si="7"/>
        <v>dark plum</v>
      </c>
      <c r="Y481" s="3" t="str">
        <f t="shared" si="8"/>
        <v/>
      </c>
      <c r="Z481" s="3" t="str">
        <f t="shared" si="9"/>
        <v/>
      </c>
      <c r="AA481" s="13">
        <f t="shared" si="10"/>
        <v>3602375</v>
      </c>
      <c r="AB481" s="3">
        <f t="shared" si="11"/>
        <v>3602374</v>
      </c>
      <c r="AC481" s="3">
        <f t="shared" si="12"/>
        <v>5</v>
      </c>
      <c r="AD481" s="3">
        <f t="shared" si="13"/>
        <v>557022</v>
      </c>
      <c r="AE481" s="3">
        <f t="shared" si="14"/>
        <v>4</v>
      </c>
      <c r="AF481" s="3">
        <f t="shared" si="15"/>
        <v>29923</v>
      </c>
      <c r="AG481" s="3">
        <f t="shared" si="16"/>
        <v>4</v>
      </c>
      <c r="AH481" s="3">
        <f t="shared" si="17"/>
        <v>174393</v>
      </c>
      <c r="AI481" s="3" t="str">
        <f t="shared" si="18"/>
        <v/>
      </c>
      <c r="AJ481" s="3">
        <f t="shared" si="19"/>
        <v>0</v>
      </c>
    </row>
    <row r="482">
      <c r="C482" s="6" t="s">
        <v>482</v>
      </c>
      <c r="D482" s="3">
        <f t="shared" si="1"/>
        <v>1</v>
      </c>
      <c r="E482" s="3" t="str">
        <f>IFERROR(__xludf.DUMMYFUNCTION("REGEXEXTRACT(C482,""[^ ]* [^ ]*"")"),"clear magenta")</f>
        <v>clear magenta</v>
      </c>
      <c r="F482" s="3" t="str">
        <f>IFERROR(__xludf.DUMMYFUNCTION("MID(REGEXEXTRACT(C482,""contain.*$""),9,300)"),"5 dim bronze bags, 5 wavy olive bags.")</f>
        <v>5 dim bronze bags, 5 wavy olive bags.</v>
      </c>
      <c r="G482" s="3" t="str">
        <f>IFERROR(__xludf.DUMMYFUNCTION("INDEX(SPLIT($F482,"",""),COLUMN()-6)"),"5 dim bronze bags")</f>
        <v>5 dim bronze bags</v>
      </c>
      <c r="H482" s="3" t="str">
        <f>IFERROR(__xludf.DUMMYFUNCTION("MID(INDEX(SPLIT($F482,"",""),COLUMN()-6),2,300)"),"5 wavy olive bags.")</f>
        <v>5 wavy olive bags.</v>
      </c>
      <c r="I482" s="3" t="str">
        <f>IFERROR(__xludf.DUMMYFUNCTION("MID(INDEX(SPLIT($F482,"",""),COLUMN()-6),2,300)"),"#REF!")</f>
        <v>#REF!</v>
      </c>
      <c r="J482" s="3" t="str">
        <f>IFERROR(__xludf.DUMMYFUNCTION("MID(INDEX(SPLIT($F482,"",""),COLUMN()-6),2,300)"),"#REF!")</f>
        <v>#REF!</v>
      </c>
      <c r="K482" s="3">
        <f>IFERROR(__xludf.DUMMYFUNCTION("INDEX(SPLIT(G482,"" ""),1)"),5.0)</f>
        <v>5</v>
      </c>
      <c r="L482" s="3" t="str">
        <f>IFERROR(__xludf.DUMMYFUNCTION("REGEXEXTRACT(G482,"" [^ ]* [^ ]* "")")," dim bronze ")</f>
        <v> dim bronze </v>
      </c>
      <c r="M482" s="3">
        <f>IFERROR(__xludf.DUMMYFUNCTION("INDEX(SPLIT(H482,"" ""),1)"),5.0)</f>
        <v>5</v>
      </c>
      <c r="N482" s="3" t="str">
        <f>IFERROR(__xludf.DUMMYFUNCTION("MID(REGEXEXTRACT(H482,"" [^ ]* [^ ]*""),2,300)"),"wavy olive")</f>
        <v>wavy olive</v>
      </c>
      <c r="O482" s="3" t="str">
        <f>IFERROR(__xludf.DUMMYFUNCTION("INDEX(SPLIT(I482,"" ""),1)"),"#REF!")</f>
        <v>#REF!</v>
      </c>
      <c r="P482" s="3" t="str">
        <f>IFERROR(__xludf.DUMMYFUNCTION("MID(REGEXEXTRACT(I482,"" [^ ]* [^ ]*""),2,300)"),"#REF!")</f>
        <v>#REF!</v>
      </c>
      <c r="Q482" s="3" t="str">
        <f>IFERROR(__xludf.DUMMYFUNCTION("INDEX(SPLIT(J482,"" ""),1)"),"#REF!")</f>
        <v>#REF!</v>
      </c>
      <c r="R482" s="3" t="str">
        <f>IFERROR(__xludf.DUMMYFUNCTION("MID(REGEXEXTRACT(J482,"" [^ ]* [^ ]*""),2,300)"),"#REF!")</f>
        <v>#REF!</v>
      </c>
      <c r="S482" s="3">
        <f t="shared" si="2"/>
        <v>5</v>
      </c>
      <c r="T482" s="3" t="str">
        <f t="shared" si="3"/>
        <v>dim bronze</v>
      </c>
      <c r="U482" s="3">
        <f t="shared" si="4"/>
        <v>5</v>
      </c>
      <c r="V482" s="3" t="str">
        <f t="shared" si="5"/>
        <v>wavy olive</v>
      </c>
      <c r="W482" s="3" t="str">
        <f t="shared" si="6"/>
        <v/>
      </c>
      <c r="X482" s="3" t="str">
        <f t="shared" si="7"/>
        <v/>
      </c>
      <c r="Y482" s="3" t="str">
        <f t="shared" si="8"/>
        <v/>
      </c>
      <c r="Z482" s="3" t="str">
        <f t="shared" si="9"/>
        <v/>
      </c>
      <c r="AA482" s="13">
        <f t="shared" si="10"/>
        <v>222127321</v>
      </c>
      <c r="AB482" s="3">
        <f t="shared" si="11"/>
        <v>222127320</v>
      </c>
      <c r="AC482" s="3">
        <f t="shared" si="12"/>
        <v>5</v>
      </c>
      <c r="AD482" s="3">
        <f t="shared" si="13"/>
        <v>557021</v>
      </c>
      <c r="AE482" s="3">
        <f t="shared" si="14"/>
        <v>5</v>
      </c>
      <c r="AF482" s="3">
        <f t="shared" si="15"/>
        <v>43868443</v>
      </c>
      <c r="AG482" s="3" t="str">
        <f t="shared" si="16"/>
        <v/>
      </c>
      <c r="AH482" s="3">
        <f t="shared" si="17"/>
        <v>0</v>
      </c>
      <c r="AI482" s="3" t="str">
        <f t="shared" si="18"/>
        <v/>
      </c>
      <c r="AJ482" s="3">
        <f t="shared" si="19"/>
        <v>0</v>
      </c>
    </row>
    <row r="483">
      <c r="C483" s="6" t="s">
        <v>483</v>
      </c>
      <c r="D483" s="3">
        <f t="shared" si="1"/>
        <v>2</v>
      </c>
      <c r="E483" s="3" t="str">
        <f>IFERROR(__xludf.DUMMYFUNCTION("REGEXEXTRACT(C483,""[^ ]* [^ ]*"")"),"bright black")</f>
        <v>bright black</v>
      </c>
      <c r="F483" s="3" t="str">
        <f>IFERROR(__xludf.DUMMYFUNCTION("MID(REGEXEXTRACT(C483,""contain.*$""),9,300)"),"2 bright bronze bags, 5 mirrored gold bags, 4 dark yellow bags.")</f>
        <v>2 bright bronze bags, 5 mirrored gold bags, 4 dark yellow bags.</v>
      </c>
      <c r="G483" s="3" t="str">
        <f>IFERROR(__xludf.DUMMYFUNCTION("INDEX(SPLIT($F483,"",""),COLUMN()-6)"),"2 bright bronze bags")</f>
        <v>2 bright bronze bags</v>
      </c>
      <c r="H483" s="3" t="str">
        <f>IFERROR(__xludf.DUMMYFUNCTION("MID(INDEX(SPLIT($F483,"",""),COLUMN()-6),2,300)"),"5 mirrored gold bags")</f>
        <v>5 mirrored gold bags</v>
      </c>
      <c r="I483" s="3" t="str">
        <f>IFERROR(__xludf.DUMMYFUNCTION("MID(INDEX(SPLIT($F483,"",""),COLUMN()-6),2,300)"),"4 dark yellow bags.")</f>
        <v>4 dark yellow bags.</v>
      </c>
      <c r="J483" s="3" t="str">
        <f>IFERROR(__xludf.DUMMYFUNCTION("MID(INDEX(SPLIT($F483,"",""),COLUMN()-6),2,300)"),"#REF!")</f>
        <v>#REF!</v>
      </c>
      <c r="K483" s="3">
        <f>IFERROR(__xludf.DUMMYFUNCTION("INDEX(SPLIT(G483,"" ""),1)"),2.0)</f>
        <v>2</v>
      </c>
      <c r="L483" s="3" t="str">
        <f>IFERROR(__xludf.DUMMYFUNCTION("REGEXEXTRACT(G483,"" [^ ]* [^ ]* "")")," bright bronze ")</f>
        <v> bright bronze </v>
      </c>
      <c r="M483" s="3">
        <f>IFERROR(__xludf.DUMMYFUNCTION("INDEX(SPLIT(H483,"" ""),1)"),5.0)</f>
        <v>5</v>
      </c>
      <c r="N483" s="3" t="str">
        <f>IFERROR(__xludf.DUMMYFUNCTION("MID(REGEXEXTRACT(H483,"" [^ ]* [^ ]*""),2,300)"),"mirrored gold")</f>
        <v>mirrored gold</v>
      </c>
      <c r="O483" s="3">
        <f>IFERROR(__xludf.DUMMYFUNCTION("INDEX(SPLIT(I483,"" ""),1)"),4.0)</f>
        <v>4</v>
      </c>
      <c r="P483" s="3" t="str">
        <f>IFERROR(__xludf.DUMMYFUNCTION("MID(REGEXEXTRACT(I483,"" [^ ]* [^ ]*""),2,300)"),"dark yellow")</f>
        <v>dark yellow</v>
      </c>
      <c r="Q483" s="3" t="str">
        <f>IFERROR(__xludf.DUMMYFUNCTION("INDEX(SPLIT(J483,"" ""),1)"),"#REF!")</f>
        <v>#REF!</v>
      </c>
      <c r="R483" s="3" t="str">
        <f>IFERROR(__xludf.DUMMYFUNCTION("MID(REGEXEXTRACT(J483,"" [^ ]* [^ ]*""),2,300)"),"#REF!")</f>
        <v>#REF!</v>
      </c>
      <c r="S483" s="3">
        <f t="shared" si="2"/>
        <v>2</v>
      </c>
      <c r="T483" s="3" t="str">
        <f t="shared" si="3"/>
        <v>bright bronze</v>
      </c>
      <c r="U483" s="3">
        <f t="shared" si="4"/>
        <v>5</v>
      </c>
      <c r="V483" s="3" t="str">
        <f t="shared" si="5"/>
        <v>mirrored gold</v>
      </c>
      <c r="W483" s="3">
        <f t="shared" si="6"/>
        <v>4</v>
      </c>
      <c r="X483" s="3" t="str">
        <f t="shared" si="7"/>
        <v>dark yellow</v>
      </c>
      <c r="Y483" s="3" t="str">
        <f t="shared" si="8"/>
        <v/>
      </c>
      <c r="Z483" s="3" t="str">
        <f t="shared" si="9"/>
        <v/>
      </c>
      <c r="AA483" s="13">
        <f t="shared" si="10"/>
        <v>23812778</v>
      </c>
      <c r="AB483" s="3">
        <f t="shared" si="11"/>
        <v>23812777</v>
      </c>
      <c r="AC483" s="3">
        <f t="shared" si="12"/>
        <v>2</v>
      </c>
      <c r="AD483" s="3">
        <f t="shared" si="13"/>
        <v>9540014</v>
      </c>
      <c r="AE483" s="3">
        <f t="shared" si="14"/>
        <v>5</v>
      </c>
      <c r="AF483" s="3">
        <f t="shared" si="15"/>
        <v>821</v>
      </c>
      <c r="AG483" s="3">
        <f t="shared" si="16"/>
        <v>4</v>
      </c>
      <c r="AH483" s="3">
        <f t="shared" si="17"/>
        <v>1182161</v>
      </c>
      <c r="AI483" s="3" t="str">
        <f t="shared" si="18"/>
        <v/>
      </c>
      <c r="AJ483" s="3">
        <f t="shared" si="19"/>
        <v>0</v>
      </c>
    </row>
    <row r="484">
      <c r="C484" s="6" t="s">
        <v>484</v>
      </c>
      <c r="D484" s="3">
        <f t="shared" si="1"/>
        <v>0</v>
      </c>
      <c r="E484" s="3" t="str">
        <f>IFERROR(__xludf.DUMMYFUNCTION("REGEXEXTRACT(C484,""[^ ]* [^ ]*"")"),"muted aqua")</f>
        <v>muted aqua</v>
      </c>
      <c r="F484" s="3" t="str">
        <f>IFERROR(__xludf.DUMMYFUNCTION("MID(REGEXEXTRACT(C484,""contain.*$""),9,300)"),"2 dark teal bags.")</f>
        <v>2 dark teal bags.</v>
      </c>
      <c r="G484" s="3" t="str">
        <f>IFERROR(__xludf.DUMMYFUNCTION("INDEX(SPLIT($F484,"",""),COLUMN()-6)"),"2 dark teal bags.")</f>
        <v>2 dark teal bags.</v>
      </c>
      <c r="H484" s="3" t="str">
        <f>IFERROR(__xludf.DUMMYFUNCTION("MID(INDEX(SPLIT($F484,"",""),COLUMN()-6),2,300)"),"#REF!")</f>
        <v>#REF!</v>
      </c>
      <c r="I484" s="3" t="str">
        <f>IFERROR(__xludf.DUMMYFUNCTION("MID(INDEX(SPLIT($F484,"",""),COLUMN()-6),2,300)"),"#REF!")</f>
        <v>#REF!</v>
      </c>
      <c r="J484" s="3" t="str">
        <f>IFERROR(__xludf.DUMMYFUNCTION("MID(INDEX(SPLIT($F484,"",""),COLUMN()-6),2,300)"),"#REF!")</f>
        <v>#REF!</v>
      </c>
      <c r="K484" s="3">
        <f>IFERROR(__xludf.DUMMYFUNCTION("INDEX(SPLIT(G484,"" ""),1)"),2.0)</f>
        <v>2</v>
      </c>
      <c r="L484" s="3" t="str">
        <f>IFERROR(__xludf.DUMMYFUNCTION("REGEXEXTRACT(G484,"" [^ ]* [^ ]* "")")," dark teal ")</f>
        <v> dark teal </v>
      </c>
      <c r="M484" s="3" t="str">
        <f>IFERROR(__xludf.DUMMYFUNCTION("INDEX(SPLIT(H484,"" ""),1)"),"#REF!")</f>
        <v>#REF!</v>
      </c>
      <c r="N484" s="3" t="str">
        <f>IFERROR(__xludf.DUMMYFUNCTION("MID(REGEXEXTRACT(H484,"" [^ ]* [^ ]*""),2,300)"),"#REF!")</f>
        <v>#REF!</v>
      </c>
      <c r="O484" s="3" t="str">
        <f>IFERROR(__xludf.DUMMYFUNCTION("INDEX(SPLIT(I484,"" ""),1)"),"#REF!")</f>
        <v>#REF!</v>
      </c>
      <c r="P484" s="3" t="str">
        <f>IFERROR(__xludf.DUMMYFUNCTION("MID(REGEXEXTRACT(I484,"" [^ ]* [^ ]*""),2,300)"),"#REF!")</f>
        <v>#REF!</v>
      </c>
      <c r="Q484" s="3" t="str">
        <f>IFERROR(__xludf.DUMMYFUNCTION("INDEX(SPLIT(J484,"" ""),1)"),"#REF!")</f>
        <v>#REF!</v>
      </c>
      <c r="R484" s="3" t="str">
        <f>IFERROR(__xludf.DUMMYFUNCTION("MID(REGEXEXTRACT(J484,"" [^ ]* [^ ]*""),2,300)"),"#REF!")</f>
        <v>#REF!</v>
      </c>
      <c r="S484" s="3">
        <f t="shared" si="2"/>
        <v>2</v>
      </c>
      <c r="T484" s="3" t="str">
        <f t="shared" si="3"/>
        <v>dark teal</v>
      </c>
      <c r="U484" s="3" t="str">
        <f t="shared" si="4"/>
        <v/>
      </c>
      <c r="V484" s="3" t="str">
        <f t="shared" si="5"/>
        <v/>
      </c>
      <c r="W484" s="3" t="str">
        <f t="shared" si="6"/>
        <v/>
      </c>
      <c r="X484" s="3" t="str">
        <f t="shared" si="7"/>
        <v/>
      </c>
      <c r="Y484" s="3" t="str">
        <f t="shared" si="8"/>
        <v/>
      </c>
      <c r="Z484" s="3" t="str">
        <f t="shared" si="9"/>
        <v/>
      </c>
      <c r="AA484" s="13">
        <f t="shared" si="10"/>
        <v>30083</v>
      </c>
      <c r="AB484" s="3">
        <f t="shared" si="11"/>
        <v>30082</v>
      </c>
      <c r="AC484" s="3">
        <f t="shared" si="12"/>
        <v>2</v>
      </c>
      <c r="AD484" s="3">
        <f t="shared" si="13"/>
        <v>15041</v>
      </c>
      <c r="AE484" s="3" t="str">
        <f t="shared" si="14"/>
        <v/>
      </c>
      <c r="AF484" s="3">
        <f t="shared" si="15"/>
        <v>0</v>
      </c>
      <c r="AG484" s="3" t="str">
        <f t="shared" si="16"/>
        <v/>
      </c>
      <c r="AH484" s="3">
        <f t="shared" si="17"/>
        <v>0</v>
      </c>
      <c r="AI484" s="3" t="str">
        <f t="shared" si="18"/>
        <v/>
      </c>
      <c r="AJ484" s="3">
        <f t="shared" si="19"/>
        <v>0</v>
      </c>
    </row>
    <row r="485">
      <c r="C485" s="6" t="s">
        <v>485</v>
      </c>
      <c r="D485" s="3">
        <f t="shared" si="1"/>
        <v>2</v>
      </c>
      <c r="E485" s="3" t="str">
        <f>IFERROR(__xludf.DUMMYFUNCTION("REGEXEXTRACT(C485,""[^ ]* [^ ]*"")"),"faded blue")</f>
        <v>faded blue</v>
      </c>
      <c r="F485" s="3" t="str">
        <f>IFERROR(__xludf.DUMMYFUNCTION("MID(REGEXEXTRACT(C485,""contain.*$""),9,300)"),"4 clear salmon bags, 1 light cyan bag, 5 wavy tomato bags.")</f>
        <v>4 clear salmon bags, 1 light cyan bag, 5 wavy tomato bags.</v>
      </c>
      <c r="G485" s="3" t="str">
        <f>IFERROR(__xludf.DUMMYFUNCTION("INDEX(SPLIT($F485,"",""),COLUMN()-6)"),"4 clear salmon bags")</f>
        <v>4 clear salmon bags</v>
      </c>
      <c r="H485" s="3" t="str">
        <f>IFERROR(__xludf.DUMMYFUNCTION("MID(INDEX(SPLIT($F485,"",""),COLUMN()-6),2,300)"),"1 light cyan bag")</f>
        <v>1 light cyan bag</v>
      </c>
      <c r="I485" s="3" t="str">
        <f>IFERROR(__xludf.DUMMYFUNCTION("MID(INDEX(SPLIT($F485,"",""),COLUMN()-6),2,300)"),"5 wavy tomato bags.")</f>
        <v>5 wavy tomato bags.</v>
      </c>
      <c r="J485" s="3" t="str">
        <f>IFERROR(__xludf.DUMMYFUNCTION("MID(INDEX(SPLIT($F485,"",""),COLUMN()-6),2,300)"),"#REF!")</f>
        <v>#REF!</v>
      </c>
      <c r="K485" s="3">
        <f>IFERROR(__xludf.DUMMYFUNCTION("INDEX(SPLIT(G485,"" ""),1)"),4.0)</f>
        <v>4</v>
      </c>
      <c r="L485" s="3" t="str">
        <f>IFERROR(__xludf.DUMMYFUNCTION("REGEXEXTRACT(G485,"" [^ ]* [^ ]* "")")," clear salmon ")</f>
        <v> clear salmon </v>
      </c>
      <c r="M485" s="3">
        <f>IFERROR(__xludf.DUMMYFUNCTION("INDEX(SPLIT(H485,"" ""),1)"),1.0)</f>
        <v>1</v>
      </c>
      <c r="N485" s="3" t="str">
        <f>IFERROR(__xludf.DUMMYFUNCTION("MID(REGEXEXTRACT(H485,"" [^ ]* [^ ]*""),2,300)"),"light cyan")</f>
        <v>light cyan</v>
      </c>
      <c r="O485" s="3">
        <f>IFERROR(__xludf.DUMMYFUNCTION("INDEX(SPLIT(I485,"" ""),1)"),5.0)</f>
        <v>5</v>
      </c>
      <c r="P485" s="3" t="str">
        <f>IFERROR(__xludf.DUMMYFUNCTION("MID(REGEXEXTRACT(I485,"" [^ ]* [^ ]*""),2,300)"),"wavy tomato")</f>
        <v>wavy tomato</v>
      </c>
      <c r="Q485" s="3" t="str">
        <f>IFERROR(__xludf.DUMMYFUNCTION("INDEX(SPLIT(J485,"" ""),1)"),"#REF!")</f>
        <v>#REF!</v>
      </c>
      <c r="R485" s="3" t="str">
        <f>IFERROR(__xludf.DUMMYFUNCTION("MID(REGEXEXTRACT(J485,"" [^ ]* [^ ]*""),2,300)"),"#REF!")</f>
        <v>#REF!</v>
      </c>
      <c r="S485" s="3">
        <f t="shared" si="2"/>
        <v>4</v>
      </c>
      <c r="T485" s="3" t="str">
        <f t="shared" si="3"/>
        <v>clear salmon</v>
      </c>
      <c r="U485" s="3">
        <f t="shared" si="4"/>
        <v>1</v>
      </c>
      <c r="V485" s="3" t="str">
        <f t="shared" si="5"/>
        <v>light cyan</v>
      </c>
      <c r="W485" s="3">
        <f t="shared" si="6"/>
        <v>5</v>
      </c>
      <c r="X485" s="3" t="str">
        <f t="shared" si="7"/>
        <v>wavy tomato</v>
      </c>
      <c r="Y485" s="3" t="str">
        <f t="shared" si="8"/>
        <v/>
      </c>
      <c r="Z485" s="3" t="str">
        <f t="shared" si="9"/>
        <v/>
      </c>
      <c r="AA485" s="13">
        <f t="shared" si="10"/>
        <v>12631028</v>
      </c>
      <c r="AB485" s="3">
        <f t="shared" si="11"/>
        <v>12631027</v>
      </c>
      <c r="AC485" s="3">
        <f t="shared" si="12"/>
        <v>4</v>
      </c>
      <c r="AD485" s="3">
        <f t="shared" si="13"/>
        <v>3156488</v>
      </c>
      <c r="AE485" s="3">
        <f t="shared" si="14"/>
        <v>1</v>
      </c>
      <c r="AF485" s="3">
        <f t="shared" si="15"/>
        <v>3750</v>
      </c>
      <c r="AG485" s="3">
        <f t="shared" si="16"/>
        <v>5</v>
      </c>
      <c r="AH485" s="3">
        <f t="shared" si="17"/>
        <v>265</v>
      </c>
      <c r="AI485" s="3" t="str">
        <f t="shared" si="18"/>
        <v/>
      </c>
      <c r="AJ485" s="3">
        <f t="shared" si="19"/>
        <v>0</v>
      </c>
    </row>
    <row r="486">
      <c r="C486" s="6" t="s">
        <v>486</v>
      </c>
      <c r="D486" s="3">
        <f t="shared" si="1"/>
        <v>3</v>
      </c>
      <c r="E486" s="3" t="str">
        <f>IFERROR(__xludf.DUMMYFUNCTION("REGEXEXTRACT(C486,""[^ ]* [^ ]*"")"),"dotted indigo")</f>
        <v>dotted indigo</v>
      </c>
      <c r="F486" s="3" t="str">
        <f>IFERROR(__xludf.DUMMYFUNCTION("MID(REGEXEXTRACT(C486,""contain.*$""),9,300)"),"2 shiny maroon bags, 2 wavy tan bags, 4 dim tomato bags, 1 posh plum bag.")</f>
        <v>2 shiny maroon bags, 2 wavy tan bags, 4 dim tomato bags, 1 posh plum bag.</v>
      </c>
      <c r="G486" s="3" t="str">
        <f>IFERROR(__xludf.DUMMYFUNCTION("INDEX(SPLIT($F486,"",""),COLUMN()-6)"),"2 shiny maroon bags")</f>
        <v>2 shiny maroon bags</v>
      </c>
      <c r="H486" s="3" t="str">
        <f>IFERROR(__xludf.DUMMYFUNCTION("MID(INDEX(SPLIT($F486,"",""),COLUMN()-6),2,300)"),"2 wavy tan bags")</f>
        <v>2 wavy tan bags</v>
      </c>
      <c r="I486" s="3" t="str">
        <f>IFERROR(__xludf.DUMMYFUNCTION("MID(INDEX(SPLIT($F486,"",""),COLUMN()-6),2,300)"),"4 dim tomato bags")</f>
        <v>4 dim tomato bags</v>
      </c>
      <c r="J486" s="3" t="str">
        <f>IFERROR(__xludf.DUMMYFUNCTION("MID(INDEX(SPLIT($F486,"",""),COLUMN()-6),2,300)"),"1 posh plum bag.")</f>
        <v>1 posh plum bag.</v>
      </c>
      <c r="K486" s="3">
        <f>IFERROR(__xludf.DUMMYFUNCTION("INDEX(SPLIT(G486,"" ""),1)"),2.0)</f>
        <v>2</v>
      </c>
      <c r="L486" s="3" t="str">
        <f>IFERROR(__xludf.DUMMYFUNCTION("REGEXEXTRACT(G486,"" [^ ]* [^ ]* "")")," shiny maroon ")</f>
        <v> shiny maroon </v>
      </c>
      <c r="M486" s="3">
        <f>IFERROR(__xludf.DUMMYFUNCTION("INDEX(SPLIT(H486,"" ""),1)"),2.0)</f>
        <v>2</v>
      </c>
      <c r="N486" s="3" t="str">
        <f>IFERROR(__xludf.DUMMYFUNCTION("MID(REGEXEXTRACT(H486,"" [^ ]* [^ ]*""),2,300)"),"wavy tan")</f>
        <v>wavy tan</v>
      </c>
      <c r="O486" s="3">
        <f>IFERROR(__xludf.DUMMYFUNCTION("INDEX(SPLIT(I486,"" ""),1)"),4.0)</f>
        <v>4</v>
      </c>
      <c r="P486" s="3" t="str">
        <f>IFERROR(__xludf.DUMMYFUNCTION("MID(REGEXEXTRACT(I486,"" [^ ]* [^ ]*""),2,300)"),"dim tomato")</f>
        <v>dim tomato</v>
      </c>
      <c r="Q486" s="3">
        <f>IFERROR(__xludf.DUMMYFUNCTION("INDEX(SPLIT(J486,"" ""),1)"),1.0)</f>
        <v>1</v>
      </c>
      <c r="R486" s="3" t="str">
        <f>IFERROR(__xludf.DUMMYFUNCTION("MID(REGEXEXTRACT(J486,"" [^ ]* [^ ]*""),2,300)"),"posh plum")</f>
        <v>posh plum</v>
      </c>
      <c r="S486" s="3">
        <f t="shared" si="2"/>
        <v>2</v>
      </c>
      <c r="T486" s="3" t="str">
        <f t="shared" si="3"/>
        <v>shiny maroon</v>
      </c>
      <c r="U486" s="3">
        <f t="shared" si="4"/>
        <v>2</v>
      </c>
      <c r="V486" s="3" t="str">
        <f t="shared" si="5"/>
        <v>wavy tan</v>
      </c>
      <c r="W486" s="3">
        <f t="shared" si="6"/>
        <v>4</v>
      </c>
      <c r="X486" s="3" t="str">
        <f t="shared" si="7"/>
        <v>dim tomato</v>
      </c>
      <c r="Y486" s="3">
        <f t="shared" si="8"/>
        <v>1</v>
      </c>
      <c r="Z486" s="3" t="str">
        <f t="shared" si="9"/>
        <v>posh plum</v>
      </c>
      <c r="AA486" s="13">
        <f t="shared" si="10"/>
        <v>745224695</v>
      </c>
      <c r="AB486" s="3">
        <f t="shared" si="11"/>
        <v>745224694</v>
      </c>
      <c r="AC486" s="3">
        <f t="shared" si="12"/>
        <v>2</v>
      </c>
      <c r="AD486" s="3">
        <f t="shared" si="13"/>
        <v>557022</v>
      </c>
      <c r="AE486" s="3">
        <f t="shared" si="14"/>
        <v>2</v>
      </c>
      <c r="AF486" s="3">
        <f t="shared" si="15"/>
        <v>19928</v>
      </c>
      <c r="AG486" s="3">
        <f t="shared" si="16"/>
        <v>4</v>
      </c>
      <c r="AH486" s="3">
        <f t="shared" si="17"/>
        <v>186016153</v>
      </c>
      <c r="AI486" s="3">
        <f t="shared" si="18"/>
        <v>1</v>
      </c>
      <c r="AJ486" s="3">
        <f t="shared" si="19"/>
        <v>6182</v>
      </c>
    </row>
    <row r="487">
      <c r="C487" s="6" t="s">
        <v>487</v>
      </c>
      <c r="D487" s="3">
        <f t="shared" si="1"/>
        <v>1</v>
      </c>
      <c r="E487" s="3" t="str">
        <f>IFERROR(__xludf.DUMMYFUNCTION("REGEXEXTRACT(C487,""[^ ]* [^ ]*"")"),"striped chartreuse")</f>
        <v>striped chartreuse</v>
      </c>
      <c r="F487" s="3" t="str">
        <f>IFERROR(__xludf.DUMMYFUNCTION("MID(REGEXEXTRACT(C487,""contain.*$""),9,300)"),"2 dotted orange bags, 3 bright lavender bags.")</f>
        <v>2 dotted orange bags, 3 bright lavender bags.</v>
      </c>
      <c r="G487" s="3" t="str">
        <f>IFERROR(__xludf.DUMMYFUNCTION("INDEX(SPLIT($F487,"",""),COLUMN()-6)"),"2 dotted orange bags")</f>
        <v>2 dotted orange bags</v>
      </c>
      <c r="H487" s="3" t="str">
        <f>IFERROR(__xludf.DUMMYFUNCTION("MID(INDEX(SPLIT($F487,"",""),COLUMN()-6),2,300)"),"3 bright lavender bags.")</f>
        <v>3 bright lavender bags.</v>
      </c>
      <c r="I487" s="3" t="str">
        <f>IFERROR(__xludf.DUMMYFUNCTION("MID(INDEX(SPLIT($F487,"",""),COLUMN()-6),2,300)"),"#REF!")</f>
        <v>#REF!</v>
      </c>
      <c r="J487" s="3" t="str">
        <f>IFERROR(__xludf.DUMMYFUNCTION("MID(INDEX(SPLIT($F487,"",""),COLUMN()-6),2,300)"),"#REF!")</f>
        <v>#REF!</v>
      </c>
      <c r="K487" s="3">
        <f>IFERROR(__xludf.DUMMYFUNCTION("INDEX(SPLIT(G487,"" ""),1)"),2.0)</f>
        <v>2</v>
      </c>
      <c r="L487" s="3" t="str">
        <f>IFERROR(__xludf.DUMMYFUNCTION("REGEXEXTRACT(G487,"" [^ ]* [^ ]* "")")," dotted orange ")</f>
        <v> dotted orange </v>
      </c>
      <c r="M487" s="3">
        <f>IFERROR(__xludf.DUMMYFUNCTION("INDEX(SPLIT(H487,"" ""),1)"),3.0)</f>
        <v>3</v>
      </c>
      <c r="N487" s="3" t="str">
        <f>IFERROR(__xludf.DUMMYFUNCTION("MID(REGEXEXTRACT(H487,"" [^ ]* [^ ]*""),2,300)"),"bright lavender")</f>
        <v>bright lavender</v>
      </c>
      <c r="O487" s="3" t="str">
        <f>IFERROR(__xludf.DUMMYFUNCTION("INDEX(SPLIT(I487,"" ""),1)"),"#REF!")</f>
        <v>#REF!</v>
      </c>
      <c r="P487" s="3" t="str">
        <f>IFERROR(__xludf.DUMMYFUNCTION("MID(REGEXEXTRACT(I487,"" [^ ]* [^ ]*""),2,300)"),"#REF!")</f>
        <v>#REF!</v>
      </c>
      <c r="Q487" s="3" t="str">
        <f>IFERROR(__xludf.DUMMYFUNCTION("INDEX(SPLIT(J487,"" ""),1)"),"#REF!")</f>
        <v>#REF!</v>
      </c>
      <c r="R487" s="3" t="str">
        <f>IFERROR(__xludf.DUMMYFUNCTION("MID(REGEXEXTRACT(J487,"" [^ ]* [^ ]*""),2,300)"),"#REF!")</f>
        <v>#REF!</v>
      </c>
      <c r="S487" s="3">
        <f t="shared" si="2"/>
        <v>2</v>
      </c>
      <c r="T487" s="3" t="str">
        <f t="shared" si="3"/>
        <v>dotted orange</v>
      </c>
      <c r="U487" s="3">
        <f t="shared" si="4"/>
        <v>3</v>
      </c>
      <c r="V487" s="3" t="str">
        <f t="shared" si="5"/>
        <v>bright lavender</v>
      </c>
      <c r="W487" s="3" t="str">
        <f t="shared" si="6"/>
        <v/>
      </c>
      <c r="X487" s="3" t="str">
        <f t="shared" si="7"/>
        <v/>
      </c>
      <c r="Y487" s="3" t="str">
        <f t="shared" si="8"/>
        <v/>
      </c>
      <c r="Z487" s="3" t="str">
        <f t="shared" si="9"/>
        <v/>
      </c>
      <c r="AA487" s="13">
        <f t="shared" si="10"/>
        <v>4053</v>
      </c>
      <c r="AB487" s="3">
        <f t="shared" si="11"/>
        <v>4052</v>
      </c>
      <c r="AC487" s="3">
        <f t="shared" si="12"/>
        <v>2</v>
      </c>
      <c r="AD487" s="3">
        <f t="shared" si="13"/>
        <v>1780</v>
      </c>
      <c r="AE487" s="3">
        <f t="shared" si="14"/>
        <v>3</v>
      </c>
      <c r="AF487" s="3">
        <f t="shared" si="15"/>
        <v>164</v>
      </c>
      <c r="AG487" s="3" t="str">
        <f t="shared" si="16"/>
        <v/>
      </c>
      <c r="AH487" s="3">
        <f t="shared" si="17"/>
        <v>0</v>
      </c>
      <c r="AI487" s="3" t="str">
        <f t="shared" si="18"/>
        <v/>
      </c>
      <c r="AJ487" s="3">
        <f t="shared" si="19"/>
        <v>0</v>
      </c>
    </row>
    <row r="488">
      <c r="C488" s="6" t="s">
        <v>488</v>
      </c>
      <c r="D488" s="3">
        <f t="shared" si="1"/>
        <v>1</v>
      </c>
      <c r="E488" s="3" t="str">
        <f>IFERROR(__xludf.DUMMYFUNCTION("REGEXEXTRACT(C488,""[^ ]* [^ ]*"")"),"dim indigo")</f>
        <v>dim indigo</v>
      </c>
      <c r="F488" s="3" t="str">
        <f>IFERROR(__xludf.DUMMYFUNCTION("MID(REGEXEXTRACT(C488,""contain.*$""),9,300)"),"4 shiny coral bags, 4 mirrored olive bags.")</f>
        <v>4 shiny coral bags, 4 mirrored olive bags.</v>
      </c>
      <c r="G488" s="3" t="str">
        <f>IFERROR(__xludf.DUMMYFUNCTION("INDEX(SPLIT($F488,"",""),COLUMN()-6)"),"4 shiny coral bags")</f>
        <v>4 shiny coral bags</v>
      </c>
      <c r="H488" s="3" t="str">
        <f>IFERROR(__xludf.DUMMYFUNCTION("MID(INDEX(SPLIT($F488,"",""),COLUMN()-6),2,300)"),"4 mirrored olive bags.")</f>
        <v>4 mirrored olive bags.</v>
      </c>
      <c r="I488" s="3" t="str">
        <f>IFERROR(__xludf.DUMMYFUNCTION("MID(INDEX(SPLIT($F488,"",""),COLUMN()-6),2,300)"),"#REF!")</f>
        <v>#REF!</v>
      </c>
      <c r="J488" s="3" t="str">
        <f>IFERROR(__xludf.DUMMYFUNCTION("MID(INDEX(SPLIT($F488,"",""),COLUMN()-6),2,300)"),"#REF!")</f>
        <v>#REF!</v>
      </c>
      <c r="K488" s="3">
        <f>IFERROR(__xludf.DUMMYFUNCTION("INDEX(SPLIT(G488,"" ""),1)"),4.0)</f>
        <v>4</v>
      </c>
      <c r="L488" s="3" t="str">
        <f>IFERROR(__xludf.DUMMYFUNCTION("REGEXEXTRACT(G488,"" [^ ]* [^ ]* "")")," shiny coral ")</f>
        <v> shiny coral </v>
      </c>
      <c r="M488" s="3">
        <f>IFERROR(__xludf.DUMMYFUNCTION("INDEX(SPLIT(H488,"" ""),1)"),4.0)</f>
        <v>4</v>
      </c>
      <c r="N488" s="3" t="str">
        <f>IFERROR(__xludf.DUMMYFUNCTION("MID(REGEXEXTRACT(H488,"" [^ ]* [^ ]*""),2,300)"),"mirrored olive")</f>
        <v>mirrored olive</v>
      </c>
      <c r="O488" s="3" t="str">
        <f>IFERROR(__xludf.DUMMYFUNCTION("INDEX(SPLIT(I488,"" ""),1)"),"#REF!")</f>
        <v>#REF!</v>
      </c>
      <c r="P488" s="3" t="str">
        <f>IFERROR(__xludf.DUMMYFUNCTION("MID(REGEXEXTRACT(I488,"" [^ ]* [^ ]*""),2,300)"),"#REF!")</f>
        <v>#REF!</v>
      </c>
      <c r="Q488" s="3" t="str">
        <f>IFERROR(__xludf.DUMMYFUNCTION("INDEX(SPLIT(J488,"" ""),1)"),"#REF!")</f>
        <v>#REF!</v>
      </c>
      <c r="R488" s="3" t="str">
        <f>IFERROR(__xludf.DUMMYFUNCTION("MID(REGEXEXTRACT(J488,"" [^ ]* [^ ]*""),2,300)"),"#REF!")</f>
        <v>#REF!</v>
      </c>
      <c r="S488" s="3">
        <f t="shared" si="2"/>
        <v>4</v>
      </c>
      <c r="T488" s="3" t="str">
        <f t="shared" si="3"/>
        <v>shiny coral</v>
      </c>
      <c r="U488" s="3">
        <f t="shared" si="4"/>
        <v>4</v>
      </c>
      <c r="V488" s="3" t="str">
        <f t="shared" si="5"/>
        <v>mirrored olive</v>
      </c>
      <c r="W488" s="3" t="str">
        <f t="shared" si="6"/>
        <v/>
      </c>
      <c r="X488" s="3" t="str">
        <f t="shared" si="7"/>
        <v/>
      </c>
      <c r="Y488" s="3" t="str">
        <f t="shared" si="8"/>
        <v/>
      </c>
      <c r="Z488" s="3" t="str">
        <f t="shared" si="9"/>
        <v/>
      </c>
      <c r="AA488" s="13">
        <f t="shared" si="10"/>
        <v>29637</v>
      </c>
      <c r="AB488" s="3">
        <f t="shared" si="11"/>
        <v>29636</v>
      </c>
      <c r="AC488" s="3">
        <f t="shared" si="12"/>
        <v>4</v>
      </c>
      <c r="AD488" s="3">
        <f t="shared" si="13"/>
        <v>1</v>
      </c>
      <c r="AE488" s="3">
        <f t="shared" si="14"/>
        <v>4</v>
      </c>
      <c r="AF488" s="3">
        <f t="shared" si="15"/>
        <v>7408</v>
      </c>
      <c r="AG488" s="3" t="str">
        <f t="shared" si="16"/>
        <v/>
      </c>
      <c r="AH488" s="3">
        <f t="shared" si="17"/>
        <v>0</v>
      </c>
      <c r="AI488" s="3" t="str">
        <f t="shared" si="18"/>
        <v/>
      </c>
      <c r="AJ488" s="3">
        <f t="shared" si="19"/>
        <v>0</v>
      </c>
    </row>
    <row r="489">
      <c r="C489" s="6" t="s">
        <v>489</v>
      </c>
      <c r="D489" s="3">
        <f t="shared" si="1"/>
        <v>2</v>
      </c>
      <c r="E489" s="3" t="str">
        <f>IFERROR(__xludf.DUMMYFUNCTION("REGEXEXTRACT(C489,""[^ ]* [^ ]*"")"),"dotted purple")</f>
        <v>dotted purple</v>
      </c>
      <c r="F489" s="3" t="str">
        <f>IFERROR(__xludf.DUMMYFUNCTION("MID(REGEXEXTRACT(C489,""contain.*$""),9,300)"),"4 mirrored white bags, 1 posh yellow bag, 5 drab maroon bags.")</f>
        <v>4 mirrored white bags, 1 posh yellow bag, 5 drab maroon bags.</v>
      </c>
      <c r="G489" s="3" t="str">
        <f>IFERROR(__xludf.DUMMYFUNCTION("INDEX(SPLIT($F489,"",""),COLUMN()-6)"),"4 mirrored white bags")</f>
        <v>4 mirrored white bags</v>
      </c>
      <c r="H489" s="3" t="str">
        <f>IFERROR(__xludf.DUMMYFUNCTION("MID(INDEX(SPLIT($F489,"",""),COLUMN()-6),2,300)"),"1 posh yellow bag")</f>
        <v>1 posh yellow bag</v>
      </c>
      <c r="I489" s="3" t="str">
        <f>IFERROR(__xludf.DUMMYFUNCTION("MID(INDEX(SPLIT($F489,"",""),COLUMN()-6),2,300)"),"5 drab maroon bags.")</f>
        <v>5 drab maroon bags.</v>
      </c>
      <c r="J489" s="3" t="str">
        <f>IFERROR(__xludf.DUMMYFUNCTION("MID(INDEX(SPLIT($F489,"",""),COLUMN()-6),2,300)"),"#REF!")</f>
        <v>#REF!</v>
      </c>
      <c r="K489" s="3">
        <f>IFERROR(__xludf.DUMMYFUNCTION("INDEX(SPLIT(G489,"" ""),1)"),4.0)</f>
        <v>4</v>
      </c>
      <c r="L489" s="3" t="str">
        <f>IFERROR(__xludf.DUMMYFUNCTION("REGEXEXTRACT(G489,"" [^ ]* [^ ]* "")")," mirrored white ")</f>
        <v> mirrored white </v>
      </c>
      <c r="M489" s="3">
        <f>IFERROR(__xludf.DUMMYFUNCTION("INDEX(SPLIT(H489,"" ""),1)"),1.0)</f>
        <v>1</v>
      </c>
      <c r="N489" s="3" t="str">
        <f>IFERROR(__xludf.DUMMYFUNCTION("MID(REGEXEXTRACT(H489,"" [^ ]* [^ ]*""),2,300)"),"posh yellow")</f>
        <v>posh yellow</v>
      </c>
      <c r="O489" s="3">
        <f>IFERROR(__xludf.DUMMYFUNCTION("INDEX(SPLIT(I489,"" ""),1)"),5.0)</f>
        <v>5</v>
      </c>
      <c r="P489" s="3" t="str">
        <f>IFERROR(__xludf.DUMMYFUNCTION("MID(REGEXEXTRACT(I489,"" [^ ]* [^ ]*""),2,300)"),"drab maroon")</f>
        <v>drab maroon</v>
      </c>
      <c r="Q489" s="3" t="str">
        <f>IFERROR(__xludf.DUMMYFUNCTION("INDEX(SPLIT(J489,"" ""),1)"),"#REF!")</f>
        <v>#REF!</v>
      </c>
      <c r="R489" s="3" t="str">
        <f>IFERROR(__xludf.DUMMYFUNCTION("MID(REGEXEXTRACT(J489,"" [^ ]* [^ ]*""),2,300)"),"#REF!")</f>
        <v>#REF!</v>
      </c>
      <c r="S489" s="3">
        <f t="shared" si="2"/>
        <v>4</v>
      </c>
      <c r="T489" s="3" t="str">
        <f t="shared" si="3"/>
        <v>mirrored white</v>
      </c>
      <c r="U489" s="3">
        <f t="shared" si="4"/>
        <v>1</v>
      </c>
      <c r="V489" s="3" t="str">
        <f t="shared" si="5"/>
        <v>posh yellow</v>
      </c>
      <c r="W489" s="3">
        <f t="shared" si="6"/>
        <v>5</v>
      </c>
      <c r="X489" s="3" t="str">
        <f t="shared" si="7"/>
        <v>drab maroon</v>
      </c>
      <c r="Y489" s="3" t="str">
        <f t="shared" si="8"/>
        <v/>
      </c>
      <c r="Z489" s="3" t="str">
        <f t="shared" si="9"/>
        <v/>
      </c>
      <c r="AA489" s="13">
        <f t="shared" si="10"/>
        <v>19266</v>
      </c>
      <c r="AB489" s="3">
        <f t="shared" si="11"/>
        <v>19265</v>
      </c>
      <c r="AC489" s="3">
        <f t="shared" si="12"/>
        <v>4</v>
      </c>
      <c r="AD489" s="3">
        <f t="shared" si="13"/>
        <v>319</v>
      </c>
      <c r="AE489" s="3">
        <f t="shared" si="14"/>
        <v>1</v>
      </c>
      <c r="AF489" s="3">
        <f t="shared" si="15"/>
        <v>4</v>
      </c>
      <c r="AG489" s="3">
        <f t="shared" si="16"/>
        <v>5</v>
      </c>
      <c r="AH489" s="3">
        <f t="shared" si="17"/>
        <v>3597</v>
      </c>
      <c r="AI489" s="3" t="str">
        <f t="shared" si="18"/>
        <v/>
      </c>
      <c r="AJ489" s="3">
        <f t="shared" si="19"/>
        <v>0</v>
      </c>
    </row>
    <row r="490">
      <c r="C490" s="6" t="s">
        <v>490</v>
      </c>
      <c r="D490" s="3">
        <f t="shared" si="1"/>
        <v>1</v>
      </c>
      <c r="E490" s="3" t="str">
        <f>IFERROR(__xludf.DUMMYFUNCTION("REGEXEXTRACT(C490,""[^ ]* [^ ]*"")"),"muted chartreuse")</f>
        <v>muted chartreuse</v>
      </c>
      <c r="F490" s="3" t="str">
        <f>IFERROR(__xludf.DUMMYFUNCTION("MID(REGEXEXTRACT(C490,""contain.*$""),9,300)"),"5 bright silver bags, 2 bright brown bags.")</f>
        <v>5 bright silver bags, 2 bright brown bags.</v>
      </c>
      <c r="G490" s="3" t="str">
        <f>IFERROR(__xludf.DUMMYFUNCTION("INDEX(SPLIT($F490,"",""),COLUMN()-6)"),"5 bright silver bags")</f>
        <v>5 bright silver bags</v>
      </c>
      <c r="H490" s="3" t="str">
        <f>IFERROR(__xludf.DUMMYFUNCTION("MID(INDEX(SPLIT($F490,"",""),COLUMN()-6),2,300)"),"2 bright brown bags.")</f>
        <v>2 bright brown bags.</v>
      </c>
      <c r="I490" s="3" t="str">
        <f>IFERROR(__xludf.DUMMYFUNCTION("MID(INDEX(SPLIT($F490,"",""),COLUMN()-6),2,300)"),"#REF!")</f>
        <v>#REF!</v>
      </c>
      <c r="J490" s="3" t="str">
        <f>IFERROR(__xludf.DUMMYFUNCTION("MID(INDEX(SPLIT($F490,"",""),COLUMN()-6),2,300)"),"#REF!")</f>
        <v>#REF!</v>
      </c>
      <c r="K490" s="3">
        <f>IFERROR(__xludf.DUMMYFUNCTION("INDEX(SPLIT(G490,"" ""),1)"),5.0)</f>
        <v>5</v>
      </c>
      <c r="L490" s="3" t="str">
        <f>IFERROR(__xludf.DUMMYFUNCTION("REGEXEXTRACT(G490,"" [^ ]* [^ ]* "")")," bright silver ")</f>
        <v> bright silver </v>
      </c>
      <c r="M490" s="3">
        <f>IFERROR(__xludf.DUMMYFUNCTION("INDEX(SPLIT(H490,"" ""),1)"),2.0)</f>
        <v>2</v>
      </c>
      <c r="N490" s="3" t="str">
        <f>IFERROR(__xludf.DUMMYFUNCTION("MID(REGEXEXTRACT(H490,"" [^ ]* [^ ]*""),2,300)"),"bright brown")</f>
        <v>bright brown</v>
      </c>
      <c r="O490" s="3" t="str">
        <f>IFERROR(__xludf.DUMMYFUNCTION("INDEX(SPLIT(I490,"" ""),1)"),"#REF!")</f>
        <v>#REF!</v>
      </c>
      <c r="P490" s="3" t="str">
        <f>IFERROR(__xludf.DUMMYFUNCTION("MID(REGEXEXTRACT(I490,"" [^ ]* [^ ]*""),2,300)"),"#REF!")</f>
        <v>#REF!</v>
      </c>
      <c r="Q490" s="3" t="str">
        <f>IFERROR(__xludf.DUMMYFUNCTION("INDEX(SPLIT(J490,"" ""),1)"),"#REF!")</f>
        <v>#REF!</v>
      </c>
      <c r="R490" s="3" t="str">
        <f>IFERROR(__xludf.DUMMYFUNCTION("MID(REGEXEXTRACT(J490,"" [^ ]* [^ ]*""),2,300)"),"#REF!")</f>
        <v>#REF!</v>
      </c>
      <c r="S490" s="3">
        <f t="shared" si="2"/>
        <v>5</v>
      </c>
      <c r="T490" s="3" t="str">
        <f t="shared" si="3"/>
        <v>bright silver</v>
      </c>
      <c r="U490" s="3">
        <f t="shared" si="4"/>
        <v>2</v>
      </c>
      <c r="V490" s="3" t="str">
        <f t="shared" si="5"/>
        <v>bright brown</v>
      </c>
      <c r="W490" s="3" t="str">
        <f t="shared" si="6"/>
        <v/>
      </c>
      <c r="X490" s="3" t="str">
        <f t="shared" si="7"/>
        <v/>
      </c>
      <c r="Y490" s="3" t="str">
        <f t="shared" si="8"/>
        <v/>
      </c>
      <c r="Z490" s="3" t="str">
        <f t="shared" si="9"/>
        <v/>
      </c>
      <c r="AA490" s="13">
        <f t="shared" si="10"/>
        <v>208</v>
      </c>
      <c r="AB490" s="3">
        <f t="shared" si="11"/>
        <v>207</v>
      </c>
      <c r="AC490" s="3">
        <f t="shared" si="12"/>
        <v>5</v>
      </c>
      <c r="AD490" s="3">
        <f t="shared" si="13"/>
        <v>41</v>
      </c>
      <c r="AE490" s="3">
        <f t="shared" si="14"/>
        <v>2</v>
      </c>
      <c r="AF490" s="3">
        <f t="shared" si="15"/>
        <v>1</v>
      </c>
      <c r="AG490" s="3" t="str">
        <f t="shared" si="16"/>
        <v/>
      </c>
      <c r="AH490" s="3">
        <f t="shared" si="17"/>
        <v>0</v>
      </c>
      <c r="AI490" s="3" t="str">
        <f t="shared" si="18"/>
        <v/>
      </c>
      <c r="AJ490" s="3">
        <f t="shared" si="19"/>
        <v>0</v>
      </c>
    </row>
    <row r="491">
      <c r="C491" s="6" t="s">
        <v>491</v>
      </c>
      <c r="D491" s="3">
        <f t="shared" si="1"/>
        <v>3</v>
      </c>
      <c r="E491" s="3" t="str">
        <f>IFERROR(__xludf.DUMMYFUNCTION("REGEXEXTRACT(C491,""[^ ]* [^ ]*"")"),"shiny purple")</f>
        <v>shiny purple</v>
      </c>
      <c r="F491" s="3" t="str">
        <f>IFERROR(__xludf.DUMMYFUNCTION("MID(REGEXEXTRACT(C491,""contain.*$""),9,300)"),"3 dim maroon bags, 2 mirrored lime bags, 2 light lavender bags, 3 dotted salmon bags.")</f>
        <v>3 dim maroon bags, 2 mirrored lime bags, 2 light lavender bags, 3 dotted salmon bags.</v>
      </c>
      <c r="G491" s="3" t="str">
        <f>IFERROR(__xludf.DUMMYFUNCTION("INDEX(SPLIT($F491,"",""),COLUMN()-6)"),"3 dim maroon bags")</f>
        <v>3 dim maroon bags</v>
      </c>
      <c r="H491" s="3" t="str">
        <f>IFERROR(__xludf.DUMMYFUNCTION("MID(INDEX(SPLIT($F491,"",""),COLUMN()-6),2,300)"),"2 mirrored lime bags")</f>
        <v>2 mirrored lime bags</v>
      </c>
      <c r="I491" s="3" t="str">
        <f>IFERROR(__xludf.DUMMYFUNCTION("MID(INDEX(SPLIT($F491,"",""),COLUMN()-6),2,300)"),"2 light lavender bags")</f>
        <v>2 light lavender bags</v>
      </c>
      <c r="J491" s="3" t="str">
        <f>IFERROR(__xludf.DUMMYFUNCTION("MID(INDEX(SPLIT($F491,"",""),COLUMN()-6),2,300)"),"3 dotted salmon bags.")</f>
        <v>3 dotted salmon bags.</v>
      </c>
      <c r="K491" s="3">
        <f>IFERROR(__xludf.DUMMYFUNCTION("INDEX(SPLIT(G491,"" ""),1)"),3.0)</f>
        <v>3</v>
      </c>
      <c r="L491" s="3" t="str">
        <f>IFERROR(__xludf.DUMMYFUNCTION("REGEXEXTRACT(G491,"" [^ ]* [^ ]* "")")," dim maroon ")</f>
        <v> dim maroon </v>
      </c>
      <c r="M491" s="3">
        <f>IFERROR(__xludf.DUMMYFUNCTION("INDEX(SPLIT(H491,"" ""),1)"),2.0)</f>
        <v>2</v>
      </c>
      <c r="N491" s="3" t="str">
        <f>IFERROR(__xludf.DUMMYFUNCTION("MID(REGEXEXTRACT(H491,"" [^ ]* [^ ]*""),2,300)"),"mirrored lime")</f>
        <v>mirrored lime</v>
      </c>
      <c r="O491" s="3">
        <f>IFERROR(__xludf.DUMMYFUNCTION("INDEX(SPLIT(I491,"" ""),1)"),2.0)</f>
        <v>2</v>
      </c>
      <c r="P491" s="3" t="str">
        <f>IFERROR(__xludf.DUMMYFUNCTION("MID(REGEXEXTRACT(I491,"" [^ ]* [^ ]*""),2,300)"),"light lavender")</f>
        <v>light lavender</v>
      </c>
      <c r="Q491" s="3">
        <f>IFERROR(__xludf.DUMMYFUNCTION("INDEX(SPLIT(J491,"" ""),1)"),3.0)</f>
        <v>3</v>
      </c>
      <c r="R491" s="3" t="str">
        <f>IFERROR(__xludf.DUMMYFUNCTION("MID(REGEXEXTRACT(J491,"" [^ ]* [^ ]*""),2,300)"),"dotted salmon")</f>
        <v>dotted salmon</v>
      </c>
      <c r="S491" s="3">
        <f t="shared" si="2"/>
        <v>3</v>
      </c>
      <c r="T491" s="3" t="str">
        <f t="shared" si="3"/>
        <v>dim maroon</v>
      </c>
      <c r="U491" s="3">
        <f t="shared" si="4"/>
        <v>2</v>
      </c>
      <c r="V491" s="3" t="str">
        <f t="shared" si="5"/>
        <v>mirrored lime</v>
      </c>
      <c r="W491" s="3">
        <f t="shared" si="6"/>
        <v>2</v>
      </c>
      <c r="X491" s="3" t="str">
        <f t="shared" si="7"/>
        <v>light lavender</v>
      </c>
      <c r="Y491" s="3">
        <f t="shared" si="8"/>
        <v>3</v>
      </c>
      <c r="Z491" s="3" t="str">
        <f t="shared" si="9"/>
        <v>dotted salmon</v>
      </c>
      <c r="AA491" s="13">
        <f t="shared" si="10"/>
        <v>8268152</v>
      </c>
      <c r="AB491" s="3">
        <f t="shared" si="11"/>
        <v>8268151</v>
      </c>
      <c r="AC491" s="3">
        <f t="shared" si="12"/>
        <v>3</v>
      </c>
      <c r="AD491" s="3">
        <f t="shared" si="13"/>
        <v>12033</v>
      </c>
      <c r="AE491" s="3">
        <f t="shared" si="14"/>
        <v>2</v>
      </c>
      <c r="AF491" s="3">
        <f t="shared" si="15"/>
        <v>97231</v>
      </c>
      <c r="AG491" s="3">
        <f t="shared" si="16"/>
        <v>2</v>
      </c>
      <c r="AH491" s="3">
        <f t="shared" si="17"/>
        <v>3872851</v>
      </c>
      <c r="AI491" s="3">
        <f t="shared" si="18"/>
        <v>3</v>
      </c>
      <c r="AJ491" s="3">
        <f t="shared" si="19"/>
        <v>97296</v>
      </c>
    </row>
    <row r="492">
      <c r="C492" s="6" t="s">
        <v>492</v>
      </c>
      <c r="D492" s="3">
        <f t="shared" si="1"/>
        <v>1</v>
      </c>
      <c r="E492" s="3" t="str">
        <f>IFERROR(__xludf.DUMMYFUNCTION("REGEXEXTRACT(C492,""[^ ]* [^ ]*"")"),"faded white")</f>
        <v>faded white</v>
      </c>
      <c r="F492" s="3" t="str">
        <f>IFERROR(__xludf.DUMMYFUNCTION("MID(REGEXEXTRACT(C492,""contain.*$""),9,300)"),"3 vibrant white bags, 5 muted gray bags.")</f>
        <v>3 vibrant white bags, 5 muted gray bags.</v>
      </c>
      <c r="G492" s="3" t="str">
        <f>IFERROR(__xludf.DUMMYFUNCTION("INDEX(SPLIT($F492,"",""),COLUMN()-6)"),"3 vibrant white bags")</f>
        <v>3 vibrant white bags</v>
      </c>
      <c r="H492" s="3" t="str">
        <f>IFERROR(__xludf.DUMMYFUNCTION("MID(INDEX(SPLIT($F492,"",""),COLUMN()-6),2,300)"),"5 muted gray bags.")</f>
        <v>5 muted gray bags.</v>
      </c>
      <c r="I492" s="3" t="str">
        <f>IFERROR(__xludf.DUMMYFUNCTION("MID(INDEX(SPLIT($F492,"",""),COLUMN()-6),2,300)"),"#REF!")</f>
        <v>#REF!</v>
      </c>
      <c r="J492" s="3" t="str">
        <f>IFERROR(__xludf.DUMMYFUNCTION("MID(INDEX(SPLIT($F492,"",""),COLUMN()-6),2,300)"),"#REF!")</f>
        <v>#REF!</v>
      </c>
      <c r="K492" s="3">
        <f>IFERROR(__xludf.DUMMYFUNCTION("INDEX(SPLIT(G492,"" ""),1)"),3.0)</f>
        <v>3</v>
      </c>
      <c r="L492" s="3" t="str">
        <f>IFERROR(__xludf.DUMMYFUNCTION("REGEXEXTRACT(G492,"" [^ ]* [^ ]* "")")," vibrant white ")</f>
        <v> vibrant white </v>
      </c>
      <c r="M492" s="3">
        <f>IFERROR(__xludf.DUMMYFUNCTION("INDEX(SPLIT(H492,"" ""),1)"),5.0)</f>
        <v>5</v>
      </c>
      <c r="N492" s="3" t="str">
        <f>IFERROR(__xludf.DUMMYFUNCTION("MID(REGEXEXTRACT(H492,"" [^ ]* [^ ]*""),2,300)"),"muted gray")</f>
        <v>muted gray</v>
      </c>
      <c r="O492" s="3" t="str">
        <f>IFERROR(__xludf.DUMMYFUNCTION("INDEX(SPLIT(I492,"" ""),1)"),"#REF!")</f>
        <v>#REF!</v>
      </c>
      <c r="P492" s="3" t="str">
        <f>IFERROR(__xludf.DUMMYFUNCTION("MID(REGEXEXTRACT(I492,"" [^ ]* [^ ]*""),2,300)"),"#REF!")</f>
        <v>#REF!</v>
      </c>
      <c r="Q492" s="3" t="str">
        <f>IFERROR(__xludf.DUMMYFUNCTION("INDEX(SPLIT(J492,"" ""),1)"),"#REF!")</f>
        <v>#REF!</v>
      </c>
      <c r="R492" s="3" t="str">
        <f>IFERROR(__xludf.DUMMYFUNCTION("MID(REGEXEXTRACT(J492,"" [^ ]* [^ ]*""),2,300)"),"#REF!")</f>
        <v>#REF!</v>
      </c>
      <c r="S492" s="3">
        <f t="shared" si="2"/>
        <v>3</v>
      </c>
      <c r="T492" s="3" t="str">
        <f t="shared" si="3"/>
        <v>vibrant white</v>
      </c>
      <c r="U492" s="3">
        <f t="shared" si="4"/>
        <v>5</v>
      </c>
      <c r="V492" s="3" t="str">
        <f t="shared" si="5"/>
        <v>muted gray</v>
      </c>
      <c r="W492" s="3" t="str">
        <f t="shared" si="6"/>
        <v/>
      </c>
      <c r="X492" s="3" t="str">
        <f t="shared" si="7"/>
        <v/>
      </c>
      <c r="Y492" s="3" t="str">
        <f t="shared" si="8"/>
        <v/>
      </c>
      <c r="Z492" s="3" t="str">
        <f t="shared" si="9"/>
        <v/>
      </c>
      <c r="AA492" s="13">
        <f t="shared" si="10"/>
        <v>47322193</v>
      </c>
      <c r="AB492" s="3">
        <f t="shared" si="11"/>
        <v>47322192</v>
      </c>
      <c r="AC492" s="3">
        <f t="shared" si="12"/>
        <v>3</v>
      </c>
      <c r="AD492" s="3">
        <f t="shared" si="13"/>
        <v>1249859</v>
      </c>
      <c r="AE492" s="3">
        <f t="shared" si="14"/>
        <v>5</v>
      </c>
      <c r="AF492" s="3">
        <f t="shared" si="15"/>
        <v>8714523</v>
      </c>
      <c r="AG492" s="3" t="str">
        <f t="shared" si="16"/>
        <v/>
      </c>
      <c r="AH492" s="3">
        <f t="shared" si="17"/>
        <v>0</v>
      </c>
      <c r="AI492" s="3" t="str">
        <f t="shared" si="18"/>
        <v/>
      </c>
      <c r="AJ492" s="3">
        <f t="shared" si="19"/>
        <v>0</v>
      </c>
    </row>
    <row r="493">
      <c r="C493" s="6" t="s">
        <v>493</v>
      </c>
      <c r="D493" s="3">
        <f t="shared" si="1"/>
        <v>0</v>
      </c>
      <c r="E493" s="3" t="str">
        <f>IFERROR(__xludf.DUMMYFUNCTION("REGEXEXTRACT(C493,""[^ ]* [^ ]*"")"),"muted red")</f>
        <v>muted red</v>
      </c>
      <c r="F493" s="3" t="str">
        <f>IFERROR(__xludf.DUMMYFUNCTION("MID(REGEXEXTRACT(C493,""contain.*$""),9,300)"),"3 posh coral bags.")</f>
        <v>3 posh coral bags.</v>
      </c>
      <c r="G493" s="3" t="str">
        <f>IFERROR(__xludf.DUMMYFUNCTION("INDEX(SPLIT($F493,"",""),COLUMN()-6)"),"3 posh coral bags.")</f>
        <v>3 posh coral bags.</v>
      </c>
      <c r="H493" s="3" t="str">
        <f>IFERROR(__xludf.DUMMYFUNCTION("MID(INDEX(SPLIT($F493,"",""),COLUMN()-6),2,300)"),"#REF!")</f>
        <v>#REF!</v>
      </c>
      <c r="I493" s="3" t="str">
        <f>IFERROR(__xludf.DUMMYFUNCTION("MID(INDEX(SPLIT($F493,"",""),COLUMN()-6),2,300)"),"#REF!")</f>
        <v>#REF!</v>
      </c>
      <c r="J493" s="3" t="str">
        <f>IFERROR(__xludf.DUMMYFUNCTION("MID(INDEX(SPLIT($F493,"",""),COLUMN()-6),2,300)"),"#REF!")</f>
        <v>#REF!</v>
      </c>
      <c r="K493" s="3">
        <f>IFERROR(__xludf.DUMMYFUNCTION("INDEX(SPLIT(G493,"" ""),1)"),3.0)</f>
        <v>3</v>
      </c>
      <c r="L493" s="3" t="str">
        <f>IFERROR(__xludf.DUMMYFUNCTION("REGEXEXTRACT(G493,"" [^ ]* [^ ]* "")")," posh coral ")</f>
        <v> posh coral </v>
      </c>
      <c r="M493" s="3" t="str">
        <f>IFERROR(__xludf.DUMMYFUNCTION("INDEX(SPLIT(H493,"" ""),1)"),"#REF!")</f>
        <v>#REF!</v>
      </c>
      <c r="N493" s="3" t="str">
        <f>IFERROR(__xludf.DUMMYFUNCTION("MID(REGEXEXTRACT(H493,"" [^ ]* [^ ]*""),2,300)"),"#REF!")</f>
        <v>#REF!</v>
      </c>
      <c r="O493" s="3" t="str">
        <f>IFERROR(__xludf.DUMMYFUNCTION("INDEX(SPLIT(I493,"" ""),1)"),"#REF!")</f>
        <v>#REF!</v>
      </c>
      <c r="P493" s="3" t="str">
        <f>IFERROR(__xludf.DUMMYFUNCTION("MID(REGEXEXTRACT(I493,"" [^ ]* [^ ]*""),2,300)"),"#REF!")</f>
        <v>#REF!</v>
      </c>
      <c r="Q493" s="3" t="str">
        <f>IFERROR(__xludf.DUMMYFUNCTION("INDEX(SPLIT(J493,"" ""),1)"),"#REF!")</f>
        <v>#REF!</v>
      </c>
      <c r="R493" s="3" t="str">
        <f>IFERROR(__xludf.DUMMYFUNCTION("MID(REGEXEXTRACT(J493,"" [^ ]* [^ ]*""),2,300)"),"#REF!")</f>
        <v>#REF!</v>
      </c>
      <c r="S493" s="3">
        <f t="shared" si="2"/>
        <v>3</v>
      </c>
      <c r="T493" s="3" t="str">
        <f t="shared" si="3"/>
        <v>posh coral</v>
      </c>
      <c r="U493" s="3" t="str">
        <f t="shared" si="4"/>
        <v/>
      </c>
      <c r="V493" s="3" t="str">
        <f t="shared" si="5"/>
        <v/>
      </c>
      <c r="W493" s="3" t="str">
        <f t="shared" si="6"/>
        <v/>
      </c>
      <c r="X493" s="3" t="str">
        <f t="shared" si="7"/>
        <v/>
      </c>
      <c r="Y493" s="3" t="str">
        <f t="shared" si="8"/>
        <v/>
      </c>
      <c r="Z493" s="3" t="str">
        <f t="shared" si="9"/>
        <v/>
      </c>
      <c r="AA493" s="13">
        <f t="shared" si="10"/>
        <v>4</v>
      </c>
      <c r="AB493" s="3">
        <f t="shared" si="11"/>
        <v>3</v>
      </c>
      <c r="AC493" s="3">
        <f t="shared" si="12"/>
        <v>3</v>
      </c>
      <c r="AD493" s="3">
        <f t="shared" si="13"/>
        <v>1</v>
      </c>
      <c r="AE493" s="3" t="str">
        <f t="shared" si="14"/>
        <v/>
      </c>
      <c r="AF493" s="3">
        <f t="shared" si="15"/>
        <v>0</v>
      </c>
      <c r="AG493" s="3" t="str">
        <f t="shared" si="16"/>
        <v/>
      </c>
      <c r="AH493" s="3">
        <f t="shared" si="17"/>
        <v>0</v>
      </c>
      <c r="AI493" s="3" t="str">
        <f t="shared" si="18"/>
        <v/>
      </c>
      <c r="AJ493" s="3">
        <f t="shared" si="19"/>
        <v>0</v>
      </c>
    </row>
    <row r="494">
      <c r="C494" s="6" t="s">
        <v>494</v>
      </c>
      <c r="D494" s="3">
        <f t="shared" si="1"/>
        <v>2</v>
      </c>
      <c r="E494" s="3" t="str">
        <f>IFERROR(__xludf.DUMMYFUNCTION("REGEXEXTRACT(C494,""[^ ]* [^ ]*"")"),"mirrored tan")</f>
        <v>mirrored tan</v>
      </c>
      <c r="F494" s="3" t="str">
        <f>IFERROR(__xludf.DUMMYFUNCTION("MID(REGEXEXTRACT(C494,""contain.*$""),9,300)"),"1 dotted gold bag, 2 dark coral bags, 3 light purple bags.")</f>
        <v>1 dotted gold bag, 2 dark coral bags, 3 light purple bags.</v>
      </c>
      <c r="G494" s="3" t="str">
        <f>IFERROR(__xludf.DUMMYFUNCTION("INDEX(SPLIT($F494,"",""),COLUMN()-6)"),"1 dotted gold bag")</f>
        <v>1 dotted gold bag</v>
      </c>
      <c r="H494" s="3" t="str">
        <f>IFERROR(__xludf.DUMMYFUNCTION("MID(INDEX(SPLIT($F494,"",""),COLUMN()-6),2,300)"),"2 dark coral bags")</f>
        <v>2 dark coral bags</v>
      </c>
      <c r="I494" s="3" t="str">
        <f>IFERROR(__xludf.DUMMYFUNCTION("MID(INDEX(SPLIT($F494,"",""),COLUMN()-6),2,300)"),"3 light purple bags.")</f>
        <v>3 light purple bags.</v>
      </c>
      <c r="J494" s="3" t="str">
        <f>IFERROR(__xludf.DUMMYFUNCTION("MID(INDEX(SPLIT($F494,"",""),COLUMN()-6),2,300)"),"#REF!")</f>
        <v>#REF!</v>
      </c>
      <c r="K494" s="3">
        <f>IFERROR(__xludf.DUMMYFUNCTION("INDEX(SPLIT(G494,"" ""),1)"),1.0)</f>
        <v>1</v>
      </c>
      <c r="L494" s="3" t="str">
        <f>IFERROR(__xludf.DUMMYFUNCTION("REGEXEXTRACT(G494,"" [^ ]* [^ ]* "")")," dotted gold ")</f>
        <v> dotted gold </v>
      </c>
      <c r="M494" s="3">
        <f>IFERROR(__xludf.DUMMYFUNCTION("INDEX(SPLIT(H494,"" ""),1)"),2.0)</f>
        <v>2</v>
      </c>
      <c r="N494" s="3" t="str">
        <f>IFERROR(__xludf.DUMMYFUNCTION("MID(REGEXEXTRACT(H494,"" [^ ]* [^ ]*""),2,300)"),"dark coral")</f>
        <v>dark coral</v>
      </c>
      <c r="O494" s="3">
        <f>IFERROR(__xludf.DUMMYFUNCTION("INDEX(SPLIT(I494,"" ""),1)"),3.0)</f>
        <v>3</v>
      </c>
      <c r="P494" s="3" t="str">
        <f>IFERROR(__xludf.DUMMYFUNCTION("MID(REGEXEXTRACT(I494,"" [^ ]* [^ ]*""),2,300)"),"light purple")</f>
        <v>light purple</v>
      </c>
      <c r="Q494" s="3" t="str">
        <f>IFERROR(__xludf.DUMMYFUNCTION("INDEX(SPLIT(J494,"" ""),1)"),"#REF!")</f>
        <v>#REF!</v>
      </c>
      <c r="R494" s="3" t="str">
        <f>IFERROR(__xludf.DUMMYFUNCTION("MID(REGEXEXTRACT(J494,"" [^ ]* [^ ]*""),2,300)"),"#REF!")</f>
        <v>#REF!</v>
      </c>
      <c r="S494" s="3">
        <f t="shared" si="2"/>
        <v>1</v>
      </c>
      <c r="T494" s="3" t="str">
        <f t="shared" si="3"/>
        <v>dotted gold</v>
      </c>
      <c r="U494" s="3">
        <f t="shared" si="4"/>
        <v>2</v>
      </c>
      <c r="V494" s="3" t="str">
        <f t="shared" si="5"/>
        <v>dark coral</v>
      </c>
      <c r="W494" s="3">
        <f t="shared" si="6"/>
        <v>3</v>
      </c>
      <c r="X494" s="3" t="str">
        <f t="shared" si="7"/>
        <v>light purple</v>
      </c>
      <c r="Y494" s="3" t="str">
        <f t="shared" si="8"/>
        <v/>
      </c>
      <c r="Z494" s="3" t="str">
        <f t="shared" si="9"/>
        <v/>
      </c>
      <c r="AA494" s="13">
        <f t="shared" si="10"/>
        <v>7736349</v>
      </c>
      <c r="AB494" s="3">
        <f t="shared" si="11"/>
        <v>7736348</v>
      </c>
      <c r="AC494" s="3">
        <f t="shared" si="12"/>
        <v>1</v>
      </c>
      <c r="AD494" s="3">
        <f t="shared" si="13"/>
        <v>10</v>
      </c>
      <c r="AE494" s="3">
        <f t="shared" si="14"/>
        <v>2</v>
      </c>
      <c r="AF494" s="3">
        <f t="shared" si="15"/>
        <v>3753521</v>
      </c>
      <c r="AG494" s="3">
        <f t="shared" si="16"/>
        <v>3</v>
      </c>
      <c r="AH494" s="3">
        <f t="shared" si="17"/>
        <v>76432</v>
      </c>
      <c r="AI494" s="3" t="str">
        <f t="shared" si="18"/>
        <v/>
      </c>
      <c r="AJ494" s="3">
        <f t="shared" si="19"/>
        <v>0</v>
      </c>
    </row>
    <row r="495">
      <c r="C495" s="6" t="s">
        <v>495</v>
      </c>
      <c r="D495" s="3">
        <f t="shared" si="1"/>
        <v>1</v>
      </c>
      <c r="E495" s="3" t="str">
        <f>IFERROR(__xludf.DUMMYFUNCTION("REGEXEXTRACT(C495,""[^ ]* [^ ]*"")"),"dim blue")</f>
        <v>dim blue</v>
      </c>
      <c r="F495" s="3" t="str">
        <f>IFERROR(__xludf.DUMMYFUNCTION("MID(REGEXEXTRACT(C495,""contain.*$""),9,300)"),"3 dull blue bags, 4 posh plum bags.")</f>
        <v>3 dull blue bags, 4 posh plum bags.</v>
      </c>
      <c r="G495" s="3" t="str">
        <f>IFERROR(__xludf.DUMMYFUNCTION("INDEX(SPLIT($F495,"",""),COLUMN()-6)"),"3 dull blue bags")</f>
        <v>3 dull blue bags</v>
      </c>
      <c r="H495" s="3" t="str">
        <f>IFERROR(__xludf.DUMMYFUNCTION("MID(INDEX(SPLIT($F495,"",""),COLUMN()-6),2,300)"),"4 posh plum bags.")</f>
        <v>4 posh plum bags.</v>
      </c>
      <c r="I495" s="3" t="str">
        <f>IFERROR(__xludf.DUMMYFUNCTION("MID(INDEX(SPLIT($F495,"",""),COLUMN()-6),2,300)"),"#REF!")</f>
        <v>#REF!</v>
      </c>
      <c r="J495" s="3" t="str">
        <f>IFERROR(__xludf.DUMMYFUNCTION("MID(INDEX(SPLIT($F495,"",""),COLUMN()-6),2,300)"),"#REF!")</f>
        <v>#REF!</v>
      </c>
      <c r="K495" s="3">
        <f>IFERROR(__xludf.DUMMYFUNCTION("INDEX(SPLIT(G495,"" ""),1)"),3.0)</f>
        <v>3</v>
      </c>
      <c r="L495" s="3" t="str">
        <f>IFERROR(__xludf.DUMMYFUNCTION("REGEXEXTRACT(G495,"" [^ ]* [^ ]* "")")," dull blue ")</f>
        <v> dull blue </v>
      </c>
      <c r="M495" s="3">
        <f>IFERROR(__xludf.DUMMYFUNCTION("INDEX(SPLIT(H495,"" ""),1)"),4.0)</f>
        <v>4</v>
      </c>
      <c r="N495" s="3" t="str">
        <f>IFERROR(__xludf.DUMMYFUNCTION("MID(REGEXEXTRACT(H495,"" [^ ]* [^ ]*""),2,300)"),"posh plum")</f>
        <v>posh plum</v>
      </c>
      <c r="O495" s="3" t="str">
        <f>IFERROR(__xludf.DUMMYFUNCTION("INDEX(SPLIT(I495,"" ""),1)"),"#REF!")</f>
        <v>#REF!</v>
      </c>
      <c r="P495" s="3" t="str">
        <f>IFERROR(__xludf.DUMMYFUNCTION("MID(REGEXEXTRACT(I495,"" [^ ]* [^ ]*""),2,300)"),"#REF!")</f>
        <v>#REF!</v>
      </c>
      <c r="Q495" s="3" t="str">
        <f>IFERROR(__xludf.DUMMYFUNCTION("INDEX(SPLIT(J495,"" ""),1)"),"#REF!")</f>
        <v>#REF!</v>
      </c>
      <c r="R495" s="3" t="str">
        <f>IFERROR(__xludf.DUMMYFUNCTION("MID(REGEXEXTRACT(J495,"" [^ ]* [^ ]*""),2,300)"),"#REF!")</f>
        <v>#REF!</v>
      </c>
      <c r="S495" s="3">
        <f t="shared" si="2"/>
        <v>3</v>
      </c>
      <c r="T495" s="3" t="str">
        <f t="shared" si="3"/>
        <v>dull blue</v>
      </c>
      <c r="U495" s="3">
        <f t="shared" si="4"/>
        <v>4</v>
      </c>
      <c r="V495" s="3" t="str">
        <f t="shared" si="5"/>
        <v>posh plum</v>
      </c>
      <c r="W495" s="3" t="str">
        <f t="shared" si="6"/>
        <v/>
      </c>
      <c r="X495" s="3" t="str">
        <f t="shared" si="7"/>
        <v/>
      </c>
      <c r="Y495" s="3" t="str">
        <f t="shared" si="8"/>
        <v/>
      </c>
      <c r="Z495" s="3" t="str">
        <f t="shared" si="9"/>
        <v/>
      </c>
      <c r="AA495" s="13">
        <f t="shared" si="10"/>
        <v>712746</v>
      </c>
      <c r="AB495" s="3">
        <f t="shared" si="11"/>
        <v>712745</v>
      </c>
      <c r="AC495" s="3">
        <f t="shared" si="12"/>
        <v>3</v>
      </c>
      <c r="AD495" s="3">
        <f t="shared" si="13"/>
        <v>229339</v>
      </c>
      <c r="AE495" s="3">
        <f t="shared" si="14"/>
        <v>4</v>
      </c>
      <c r="AF495" s="3">
        <f t="shared" si="15"/>
        <v>6182</v>
      </c>
      <c r="AG495" s="3" t="str">
        <f t="shared" si="16"/>
        <v/>
      </c>
      <c r="AH495" s="3">
        <f t="shared" si="17"/>
        <v>0</v>
      </c>
      <c r="AI495" s="3" t="str">
        <f t="shared" si="18"/>
        <v/>
      </c>
      <c r="AJ495" s="3">
        <f t="shared" si="19"/>
        <v>0</v>
      </c>
    </row>
    <row r="496">
      <c r="C496" s="6" t="s">
        <v>496</v>
      </c>
      <c r="D496" s="3">
        <f t="shared" si="1"/>
        <v>1</v>
      </c>
      <c r="E496" s="3" t="str">
        <f>IFERROR(__xludf.DUMMYFUNCTION("REGEXEXTRACT(C496,""[^ ]* [^ ]*"")"),"bright indigo")</f>
        <v>bright indigo</v>
      </c>
      <c r="F496" s="3" t="str">
        <f>IFERROR(__xludf.DUMMYFUNCTION("MID(REGEXEXTRACT(C496,""contain.*$""),9,300)"),"1 muted white bag, 1 wavy fuchsia bag.")</f>
        <v>1 muted white bag, 1 wavy fuchsia bag.</v>
      </c>
      <c r="G496" s="3" t="str">
        <f>IFERROR(__xludf.DUMMYFUNCTION("INDEX(SPLIT($F496,"",""),COLUMN()-6)"),"1 muted white bag")</f>
        <v>1 muted white bag</v>
      </c>
      <c r="H496" s="3" t="str">
        <f>IFERROR(__xludf.DUMMYFUNCTION("MID(INDEX(SPLIT($F496,"",""),COLUMN()-6),2,300)"),"1 wavy fuchsia bag.")</f>
        <v>1 wavy fuchsia bag.</v>
      </c>
      <c r="I496" s="3" t="str">
        <f>IFERROR(__xludf.DUMMYFUNCTION("MID(INDEX(SPLIT($F496,"",""),COLUMN()-6),2,300)"),"#REF!")</f>
        <v>#REF!</v>
      </c>
      <c r="J496" s="3" t="str">
        <f>IFERROR(__xludf.DUMMYFUNCTION("MID(INDEX(SPLIT($F496,"",""),COLUMN()-6),2,300)"),"#REF!")</f>
        <v>#REF!</v>
      </c>
      <c r="K496" s="3">
        <f>IFERROR(__xludf.DUMMYFUNCTION("INDEX(SPLIT(G496,"" ""),1)"),1.0)</f>
        <v>1</v>
      </c>
      <c r="L496" s="3" t="str">
        <f>IFERROR(__xludf.DUMMYFUNCTION("REGEXEXTRACT(G496,"" [^ ]* [^ ]* "")")," muted white ")</f>
        <v> muted white </v>
      </c>
      <c r="M496" s="3">
        <f>IFERROR(__xludf.DUMMYFUNCTION("INDEX(SPLIT(H496,"" ""),1)"),1.0)</f>
        <v>1</v>
      </c>
      <c r="N496" s="3" t="str">
        <f>IFERROR(__xludf.DUMMYFUNCTION("MID(REGEXEXTRACT(H496,"" [^ ]* [^ ]*""),2,300)"),"wavy fuchsia")</f>
        <v>wavy fuchsia</v>
      </c>
      <c r="O496" s="3" t="str">
        <f>IFERROR(__xludf.DUMMYFUNCTION("INDEX(SPLIT(I496,"" ""),1)"),"#REF!")</f>
        <v>#REF!</v>
      </c>
      <c r="P496" s="3" t="str">
        <f>IFERROR(__xludf.DUMMYFUNCTION("MID(REGEXEXTRACT(I496,"" [^ ]* [^ ]*""),2,300)"),"#REF!")</f>
        <v>#REF!</v>
      </c>
      <c r="Q496" s="3" t="str">
        <f>IFERROR(__xludf.DUMMYFUNCTION("INDEX(SPLIT(J496,"" ""),1)"),"#REF!")</f>
        <v>#REF!</v>
      </c>
      <c r="R496" s="3" t="str">
        <f>IFERROR(__xludf.DUMMYFUNCTION("MID(REGEXEXTRACT(J496,"" [^ ]* [^ ]*""),2,300)"),"#REF!")</f>
        <v>#REF!</v>
      </c>
      <c r="S496" s="3">
        <f t="shared" si="2"/>
        <v>1</v>
      </c>
      <c r="T496" s="3" t="str">
        <f t="shared" si="3"/>
        <v>muted white</v>
      </c>
      <c r="U496" s="3">
        <f t="shared" si="4"/>
        <v>1</v>
      </c>
      <c r="V496" s="3" t="str">
        <f t="shared" si="5"/>
        <v>wavy fuchsia</v>
      </c>
      <c r="W496" s="3" t="str">
        <f t="shared" si="6"/>
        <v/>
      </c>
      <c r="X496" s="3" t="str">
        <f t="shared" si="7"/>
        <v/>
      </c>
      <c r="Y496" s="3" t="str">
        <f t="shared" si="8"/>
        <v/>
      </c>
      <c r="Z496" s="3" t="str">
        <f t="shared" si="9"/>
        <v/>
      </c>
      <c r="AA496" s="13">
        <f t="shared" si="10"/>
        <v>6489672</v>
      </c>
      <c r="AB496" s="3">
        <f t="shared" si="11"/>
        <v>6489671</v>
      </c>
      <c r="AC496" s="3">
        <f t="shared" si="12"/>
        <v>1</v>
      </c>
      <c r="AD496" s="3">
        <f t="shared" si="13"/>
        <v>2893450</v>
      </c>
      <c r="AE496" s="3">
        <f t="shared" si="14"/>
        <v>1</v>
      </c>
      <c r="AF496" s="3">
        <f t="shared" si="15"/>
        <v>3596221</v>
      </c>
      <c r="AG496" s="3" t="str">
        <f t="shared" si="16"/>
        <v/>
      </c>
      <c r="AH496" s="3">
        <f t="shared" si="17"/>
        <v>0</v>
      </c>
      <c r="AI496" s="3" t="str">
        <f t="shared" si="18"/>
        <v/>
      </c>
      <c r="AJ496" s="3">
        <f t="shared" si="19"/>
        <v>0</v>
      </c>
    </row>
    <row r="497">
      <c r="C497" s="6" t="s">
        <v>497</v>
      </c>
      <c r="D497" s="3">
        <f t="shared" si="1"/>
        <v>0</v>
      </c>
      <c r="E497" s="3" t="str">
        <f>IFERROR(__xludf.DUMMYFUNCTION("REGEXEXTRACT(C497,""[^ ]* [^ ]*"")"),"striped crimson")</f>
        <v>striped crimson</v>
      </c>
      <c r="F497" s="3" t="str">
        <f>IFERROR(__xludf.DUMMYFUNCTION("MID(REGEXEXTRACT(C497,""contain.*$""),9,300)"),"3 dotted coral bags.")</f>
        <v>3 dotted coral bags.</v>
      </c>
      <c r="G497" s="3" t="str">
        <f>IFERROR(__xludf.DUMMYFUNCTION("INDEX(SPLIT($F497,"",""),COLUMN()-6)"),"3 dotted coral bags.")</f>
        <v>3 dotted coral bags.</v>
      </c>
      <c r="H497" s="3" t="str">
        <f>IFERROR(__xludf.DUMMYFUNCTION("MID(INDEX(SPLIT($F497,"",""),COLUMN()-6),2,300)"),"#REF!")</f>
        <v>#REF!</v>
      </c>
      <c r="I497" s="3" t="str">
        <f>IFERROR(__xludf.DUMMYFUNCTION("MID(INDEX(SPLIT($F497,"",""),COLUMN()-6),2,300)"),"#REF!")</f>
        <v>#REF!</v>
      </c>
      <c r="J497" s="3" t="str">
        <f>IFERROR(__xludf.DUMMYFUNCTION("MID(INDEX(SPLIT($F497,"",""),COLUMN()-6),2,300)"),"#REF!")</f>
        <v>#REF!</v>
      </c>
      <c r="K497" s="3">
        <f>IFERROR(__xludf.DUMMYFUNCTION("INDEX(SPLIT(G497,"" ""),1)"),3.0)</f>
        <v>3</v>
      </c>
      <c r="L497" s="3" t="str">
        <f>IFERROR(__xludf.DUMMYFUNCTION("REGEXEXTRACT(G497,"" [^ ]* [^ ]* "")")," dotted coral ")</f>
        <v> dotted coral </v>
      </c>
      <c r="M497" s="3" t="str">
        <f>IFERROR(__xludf.DUMMYFUNCTION("INDEX(SPLIT(H497,"" ""),1)"),"#REF!")</f>
        <v>#REF!</v>
      </c>
      <c r="N497" s="3" t="str">
        <f>IFERROR(__xludf.DUMMYFUNCTION("MID(REGEXEXTRACT(H497,"" [^ ]* [^ ]*""),2,300)"),"#REF!")</f>
        <v>#REF!</v>
      </c>
      <c r="O497" s="3" t="str">
        <f>IFERROR(__xludf.DUMMYFUNCTION("INDEX(SPLIT(I497,"" ""),1)"),"#REF!")</f>
        <v>#REF!</v>
      </c>
      <c r="P497" s="3" t="str">
        <f>IFERROR(__xludf.DUMMYFUNCTION("MID(REGEXEXTRACT(I497,"" [^ ]* [^ ]*""),2,300)"),"#REF!")</f>
        <v>#REF!</v>
      </c>
      <c r="Q497" s="3" t="str">
        <f>IFERROR(__xludf.DUMMYFUNCTION("INDEX(SPLIT(J497,"" ""),1)"),"#REF!")</f>
        <v>#REF!</v>
      </c>
      <c r="R497" s="3" t="str">
        <f>IFERROR(__xludf.DUMMYFUNCTION("MID(REGEXEXTRACT(J497,"" [^ ]* [^ ]*""),2,300)"),"#REF!")</f>
        <v>#REF!</v>
      </c>
      <c r="S497" s="3">
        <f t="shared" si="2"/>
        <v>3</v>
      </c>
      <c r="T497" s="3" t="str">
        <f t="shared" si="3"/>
        <v>dotted coral</v>
      </c>
      <c r="U497" s="3" t="str">
        <f t="shared" si="4"/>
        <v/>
      </c>
      <c r="V497" s="3" t="str">
        <f t="shared" si="5"/>
        <v/>
      </c>
      <c r="W497" s="3" t="str">
        <f t="shared" si="6"/>
        <v/>
      </c>
      <c r="X497" s="3" t="str">
        <f t="shared" si="7"/>
        <v/>
      </c>
      <c r="Y497" s="3" t="str">
        <f t="shared" si="8"/>
        <v/>
      </c>
      <c r="Z497" s="3" t="str">
        <f t="shared" si="9"/>
        <v/>
      </c>
      <c r="AA497" s="13">
        <f t="shared" si="10"/>
        <v>32410</v>
      </c>
      <c r="AB497" s="3">
        <f t="shared" si="11"/>
        <v>32409</v>
      </c>
      <c r="AC497" s="3">
        <f t="shared" si="12"/>
        <v>3</v>
      </c>
      <c r="AD497" s="3">
        <f t="shared" si="13"/>
        <v>10803</v>
      </c>
      <c r="AE497" s="3" t="str">
        <f t="shared" si="14"/>
        <v/>
      </c>
      <c r="AF497" s="3">
        <f t="shared" si="15"/>
        <v>0</v>
      </c>
      <c r="AG497" s="3" t="str">
        <f t="shared" si="16"/>
        <v/>
      </c>
      <c r="AH497" s="3">
        <f t="shared" si="17"/>
        <v>0</v>
      </c>
      <c r="AI497" s="3" t="str">
        <f t="shared" si="18"/>
        <v/>
      </c>
      <c r="AJ497" s="3">
        <f t="shared" si="19"/>
        <v>0</v>
      </c>
    </row>
    <row r="498">
      <c r="C498" s="6" t="s">
        <v>498</v>
      </c>
      <c r="D498" s="3">
        <f t="shared" si="1"/>
        <v>2</v>
      </c>
      <c r="E498" s="3" t="str">
        <f>IFERROR(__xludf.DUMMYFUNCTION("REGEXEXTRACT(C498,""[^ ]* [^ ]*"")"),"light orange")</f>
        <v>light orange</v>
      </c>
      <c r="F498" s="3" t="str">
        <f>IFERROR(__xludf.DUMMYFUNCTION("MID(REGEXEXTRACT(C498,""contain.*$""),9,300)"),"3 striped chartreuse bags, 4 bright silver bags, 5 clear cyan bags.")</f>
        <v>3 striped chartreuse bags, 4 bright silver bags, 5 clear cyan bags.</v>
      </c>
      <c r="G498" s="3" t="str">
        <f>IFERROR(__xludf.DUMMYFUNCTION("INDEX(SPLIT($F498,"",""),COLUMN()-6)"),"3 striped chartreuse bags")</f>
        <v>3 striped chartreuse bags</v>
      </c>
      <c r="H498" s="3" t="str">
        <f>IFERROR(__xludf.DUMMYFUNCTION("MID(INDEX(SPLIT($F498,"",""),COLUMN()-6),2,300)"),"4 bright silver bags")</f>
        <v>4 bright silver bags</v>
      </c>
      <c r="I498" s="3" t="str">
        <f>IFERROR(__xludf.DUMMYFUNCTION("MID(INDEX(SPLIT($F498,"",""),COLUMN()-6),2,300)"),"5 clear cyan bags.")</f>
        <v>5 clear cyan bags.</v>
      </c>
      <c r="J498" s="3" t="str">
        <f>IFERROR(__xludf.DUMMYFUNCTION("MID(INDEX(SPLIT($F498,"",""),COLUMN()-6),2,300)"),"#REF!")</f>
        <v>#REF!</v>
      </c>
      <c r="K498" s="3">
        <f>IFERROR(__xludf.DUMMYFUNCTION("INDEX(SPLIT(G498,"" ""),1)"),3.0)</f>
        <v>3</v>
      </c>
      <c r="L498" s="3" t="str">
        <f>IFERROR(__xludf.DUMMYFUNCTION("REGEXEXTRACT(G498,"" [^ ]* [^ ]* "")")," striped chartreuse ")</f>
        <v> striped chartreuse </v>
      </c>
      <c r="M498" s="3">
        <f>IFERROR(__xludf.DUMMYFUNCTION("INDEX(SPLIT(H498,"" ""),1)"),4.0)</f>
        <v>4</v>
      </c>
      <c r="N498" s="3" t="str">
        <f>IFERROR(__xludf.DUMMYFUNCTION("MID(REGEXEXTRACT(H498,"" [^ ]* [^ ]*""),2,300)"),"bright silver")</f>
        <v>bright silver</v>
      </c>
      <c r="O498" s="3">
        <f>IFERROR(__xludf.DUMMYFUNCTION("INDEX(SPLIT(I498,"" ""),1)"),5.0)</f>
        <v>5</v>
      </c>
      <c r="P498" s="3" t="str">
        <f>IFERROR(__xludf.DUMMYFUNCTION("MID(REGEXEXTRACT(I498,"" [^ ]* [^ ]*""),2,300)"),"clear cyan")</f>
        <v>clear cyan</v>
      </c>
      <c r="Q498" s="3" t="str">
        <f>IFERROR(__xludf.DUMMYFUNCTION("INDEX(SPLIT(J498,"" ""),1)"),"#REF!")</f>
        <v>#REF!</v>
      </c>
      <c r="R498" s="3" t="str">
        <f>IFERROR(__xludf.DUMMYFUNCTION("MID(REGEXEXTRACT(J498,"" [^ ]* [^ ]*""),2,300)"),"#REF!")</f>
        <v>#REF!</v>
      </c>
      <c r="S498" s="3">
        <f t="shared" si="2"/>
        <v>3</v>
      </c>
      <c r="T498" s="3" t="str">
        <f t="shared" si="3"/>
        <v>striped chartreuse</v>
      </c>
      <c r="U498" s="3">
        <f t="shared" si="4"/>
        <v>4</v>
      </c>
      <c r="V498" s="3" t="str">
        <f t="shared" si="5"/>
        <v>bright silver</v>
      </c>
      <c r="W498" s="3">
        <f t="shared" si="6"/>
        <v>5</v>
      </c>
      <c r="X498" s="3" t="str">
        <f t="shared" si="7"/>
        <v>clear cyan</v>
      </c>
      <c r="Y498" s="3" t="str">
        <f t="shared" si="8"/>
        <v/>
      </c>
      <c r="Z498" s="3" t="str">
        <f t="shared" si="9"/>
        <v/>
      </c>
      <c r="AA498" s="13">
        <f t="shared" si="10"/>
        <v>4507599</v>
      </c>
      <c r="AB498" s="3">
        <f t="shared" si="11"/>
        <v>4507598</v>
      </c>
      <c r="AC498" s="3">
        <f t="shared" si="12"/>
        <v>3</v>
      </c>
      <c r="AD498" s="3">
        <f t="shared" si="13"/>
        <v>4053</v>
      </c>
      <c r="AE498" s="3">
        <f t="shared" si="14"/>
        <v>4</v>
      </c>
      <c r="AF498" s="3">
        <f t="shared" si="15"/>
        <v>41</v>
      </c>
      <c r="AG498" s="3">
        <f t="shared" si="16"/>
        <v>5</v>
      </c>
      <c r="AH498" s="3">
        <f t="shared" si="17"/>
        <v>899055</v>
      </c>
      <c r="AI498" s="3" t="str">
        <f t="shared" si="18"/>
        <v/>
      </c>
      <c r="AJ498" s="3">
        <f t="shared" si="19"/>
        <v>0</v>
      </c>
    </row>
    <row r="499">
      <c r="C499" s="6" t="s">
        <v>499</v>
      </c>
      <c r="D499" s="3">
        <f t="shared" si="1"/>
        <v>0</v>
      </c>
      <c r="E499" s="3" t="str">
        <f>IFERROR(__xludf.DUMMYFUNCTION("REGEXEXTRACT(C499,""[^ ]* [^ ]*"")"),"posh yellow")</f>
        <v>posh yellow</v>
      </c>
      <c r="F499" s="3" t="str">
        <f>IFERROR(__xludf.DUMMYFUNCTION("MID(REGEXEXTRACT(C499,""contain.*$""),9,300)"),"3 bright brown bags.")</f>
        <v>3 bright brown bags.</v>
      </c>
      <c r="G499" s="3" t="str">
        <f>IFERROR(__xludf.DUMMYFUNCTION("INDEX(SPLIT($F499,"",""),COLUMN()-6)"),"3 bright brown bags.")</f>
        <v>3 bright brown bags.</v>
      </c>
      <c r="H499" s="3" t="str">
        <f>IFERROR(__xludf.DUMMYFUNCTION("MID(INDEX(SPLIT($F499,"",""),COLUMN()-6),2,300)"),"#REF!")</f>
        <v>#REF!</v>
      </c>
      <c r="I499" s="3" t="str">
        <f>IFERROR(__xludf.DUMMYFUNCTION("MID(INDEX(SPLIT($F499,"",""),COLUMN()-6),2,300)"),"#REF!")</f>
        <v>#REF!</v>
      </c>
      <c r="J499" s="3" t="str">
        <f>IFERROR(__xludf.DUMMYFUNCTION("MID(INDEX(SPLIT($F499,"",""),COLUMN()-6),2,300)"),"#REF!")</f>
        <v>#REF!</v>
      </c>
      <c r="K499" s="3">
        <f>IFERROR(__xludf.DUMMYFUNCTION("INDEX(SPLIT(G499,"" ""),1)"),3.0)</f>
        <v>3</v>
      </c>
      <c r="L499" s="3" t="str">
        <f>IFERROR(__xludf.DUMMYFUNCTION("REGEXEXTRACT(G499,"" [^ ]* [^ ]* "")")," bright brown ")</f>
        <v> bright brown </v>
      </c>
      <c r="M499" s="3" t="str">
        <f>IFERROR(__xludf.DUMMYFUNCTION("INDEX(SPLIT(H499,"" ""),1)"),"#REF!")</f>
        <v>#REF!</v>
      </c>
      <c r="N499" s="3" t="str">
        <f>IFERROR(__xludf.DUMMYFUNCTION("MID(REGEXEXTRACT(H499,"" [^ ]* [^ ]*""),2,300)"),"#REF!")</f>
        <v>#REF!</v>
      </c>
      <c r="O499" s="3" t="str">
        <f>IFERROR(__xludf.DUMMYFUNCTION("INDEX(SPLIT(I499,"" ""),1)"),"#REF!")</f>
        <v>#REF!</v>
      </c>
      <c r="P499" s="3" t="str">
        <f>IFERROR(__xludf.DUMMYFUNCTION("MID(REGEXEXTRACT(I499,"" [^ ]* [^ ]*""),2,300)"),"#REF!")</f>
        <v>#REF!</v>
      </c>
      <c r="Q499" s="3" t="str">
        <f>IFERROR(__xludf.DUMMYFUNCTION("INDEX(SPLIT(J499,"" ""),1)"),"#REF!")</f>
        <v>#REF!</v>
      </c>
      <c r="R499" s="3" t="str">
        <f>IFERROR(__xludf.DUMMYFUNCTION("MID(REGEXEXTRACT(J499,"" [^ ]* [^ ]*""),2,300)"),"#REF!")</f>
        <v>#REF!</v>
      </c>
      <c r="S499" s="3">
        <f t="shared" si="2"/>
        <v>3</v>
      </c>
      <c r="T499" s="3" t="str">
        <f t="shared" si="3"/>
        <v>bright brown</v>
      </c>
      <c r="U499" s="3" t="str">
        <f t="shared" si="4"/>
        <v/>
      </c>
      <c r="V499" s="3" t="str">
        <f t="shared" si="5"/>
        <v/>
      </c>
      <c r="W499" s="3" t="str">
        <f t="shared" si="6"/>
        <v/>
      </c>
      <c r="X499" s="3" t="str">
        <f t="shared" si="7"/>
        <v/>
      </c>
      <c r="Y499" s="3" t="str">
        <f t="shared" si="8"/>
        <v/>
      </c>
      <c r="Z499" s="3" t="str">
        <f t="shared" si="9"/>
        <v/>
      </c>
      <c r="AA499" s="13">
        <f t="shared" si="10"/>
        <v>4</v>
      </c>
      <c r="AB499" s="3">
        <f t="shared" si="11"/>
        <v>3</v>
      </c>
      <c r="AC499" s="3">
        <f t="shared" si="12"/>
        <v>3</v>
      </c>
      <c r="AD499" s="3">
        <f t="shared" si="13"/>
        <v>1</v>
      </c>
      <c r="AE499" s="3" t="str">
        <f t="shared" si="14"/>
        <v/>
      </c>
      <c r="AF499" s="3">
        <f t="shared" si="15"/>
        <v>0</v>
      </c>
      <c r="AG499" s="3" t="str">
        <f t="shared" si="16"/>
        <v/>
      </c>
      <c r="AH499" s="3">
        <f t="shared" si="17"/>
        <v>0</v>
      </c>
      <c r="AI499" s="3" t="str">
        <f t="shared" si="18"/>
        <v/>
      </c>
      <c r="AJ499" s="3">
        <f t="shared" si="19"/>
        <v>0</v>
      </c>
    </row>
    <row r="500">
      <c r="C500" s="6" t="s">
        <v>500</v>
      </c>
      <c r="D500" s="3">
        <f t="shared" si="1"/>
        <v>0</v>
      </c>
      <c r="E500" s="3" t="str">
        <f>IFERROR(__xludf.DUMMYFUNCTION("REGEXEXTRACT(C500,""[^ ]* [^ ]*"")"),"dotted beige")</f>
        <v>dotted beige</v>
      </c>
      <c r="F500" s="3" t="str">
        <f>IFERROR(__xludf.DUMMYFUNCTION("MID(REGEXEXTRACT(C500,""contain.*$""),9,300)"),"1 plaid red bag.")</f>
        <v>1 plaid red bag.</v>
      </c>
      <c r="G500" s="3" t="str">
        <f>IFERROR(__xludf.DUMMYFUNCTION("INDEX(SPLIT($F500,"",""),COLUMN()-6)"),"1 plaid red bag.")</f>
        <v>1 plaid red bag.</v>
      </c>
      <c r="H500" s="3" t="str">
        <f>IFERROR(__xludf.DUMMYFUNCTION("MID(INDEX(SPLIT($F500,"",""),COLUMN()-6),2,300)"),"#REF!")</f>
        <v>#REF!</v>
      </c>
      <c r="I500" s="3" t="str">
        <f>IFERROR(__xludf.DUMMYFUNCTION("MID(INDEX(SPLIT($F500,"",""),COLUMN()-6),2,300)"),"#REF!")</f>
        <v>#REF!</v>
      </c>
      <c r="J500" s="3" t="str">
        <f>IFERROR(__xludf.DUMMYFUNCTION("MID(INDEX(SPLIT($F500,"",""),COLUMN()-6),2,300)"),"#REF!")</f>
        <v>#REF!</v>
      </c>
      <c r="K500" s="3">
        <f>IFERROR(__xludf.DUMMYFUNCTION("INDEX(SPLIT(G500,"" ""),1)"),1.0)</f>
        <v>1</v>
      </c>
      <c r="L500" s="3" t="str">
        <f>IFERROR(__xludf.DUMMYFUNCTION("REGEXEXTRACT(G500,"" [^ ]* [^ ]* "")")," plaid red ")</f>
        <v> plaid red </v>
      </c>
      <c r="M500" s="3" t="str">
        <f>IFERROR(__xludf.DUMMYFUNCTION("INDEX(SPLIT(H500,"" ""),1)"),"#REF!")</f>
        <v>#REF!</v>
      </c>
      <c r="N500" s="3" t="str">
        <f>IFERROR(__xludf.DUMMYFUNCTION("MID(REGEXEXTRACT(H500,"" [^ ]* [^ ]*""),2,300)"),"#REF!")</f>
        <v>#REF!</v>
      </c>
      <c r="O500" s="3" t="str">
        <f>IFERROR(__xludf.DUMMYFUNCTION("INDEX(SPLIT(I500,"" ""),1)"),"#REF!")</f>
        <v>#REF!</v>
      </c>
      <c r="P500" s="3" t="str">
        <f>IFERROR(__xludf.DUMMYFUNCTION("MID(REGEXEXTRACT(I500,"" [^ ]* [^ ]*""),2,300)"),"#REF!")</f>
        <v>#REF!</v>
      </c>
      <c r="Q500" s="3" t="str">
        <f>IFERROR(__xludf.DUMMYFUNCTION("INDEX(SPLIT(J500,"" ""),1)"),"#REF!")</f>
        <v>#REF!</v>
      </c>
      <c r="R500" s="3" t="str">
        <f>IFERROR(__xludf.DUMMYFUNCTION("MID(REGEXEXTRACT(J500,"" [^ ]* [^ ]*""),2,300)"),"#REF!")</f>
        <v>#REF!</v>
      </c>
      <c r="S500" s="3">
        <f t="shared" si="2"/>
        <v>1</v>
      </c>
      <c r="T500" s="3" t="str">
        <f t="shared" si="3"/>
        <v>plaid red</v>
      </c>
      <c r="U500" s="3" t="str">
        <f t="shared" si="4"/>
        <v/>
      </c>
      <c r="V500" s="3" t="str">
        <f t="shared" si="5"/>
        <v/>
      </c>
      <c r="W500" s="3" t="str">
        <f t="shared" si="6"/>
        <v/>
      </c>
      <c r="X500" s="3" t="str">
        <f t="shared" si="7"/>
        <v/>
      </c>
      <c r="Y500" s="3" t="str">
        <f t="shared" si="8"/>
        <v/>
      </c>
      <c r="Z500" s="3" t="str">
        <f t="shared" si="9"/>
        <v/>
      </c>
      <c r="AA500" s="13">
        <f t="shared" si="10"/>
        <v>150232604</v>
      </c>
      <c r="AB500" s="3">
        <f t="shared" si="11"/>
        <v>150232603</v>
      </c>
      <c r="AC500" s="3">
        <f t="shared" si="12"/>
        <v>1</v>
      </c>
      <c r="AD500" s="3">
        <f t="shared" si="13"/>
        <v>150232603</v>
      </c>
      <c r="AE500" s="3" t="str">
        <f t="shared" si="14"/>
        <v/>
      </c>
      <c r="AF500" s="3">
        <f t="shared" si="15"/>
        <v>0</v>
      </c>
      <c r="AG500" s="3" t="str">
        <f t="shared" si="16"/>
        <v/>
      </c>
      <c r="AH500" s="3">
        <f t="shared" si="17"/>
        <v>0</v>
      </c>
      <c r="AI500" s="3" t="str">
        <f t="shared" si="18"/>
        <v/>
      </c>
      <c r="AJ500" s="3">
        <f t="shared" si="19"/>
        <v>0</v>
      </c>
    </row>
    <row r="501">
      <c r="C501" s="6" t="s">
        <v>501</v>
      </c>
      <c r="D501" s="3">
        <f t="shared" si="1"/>
        <v>0</v>
      </c>
      <c r="E501" s="3" t="str">
        <f>IFERROR(__xludf.DUMMYFUNCTION("REGEXEXTRACT(C501,""[^ ]* [^ ]*"")"),"faded aqua")</f>
        <v>faded aqua</v>
      </c>
      <c r="F501" s="3" t="str">
        <f>IFERROR(__xludf.DUMMYFUNCTION("MID(REGEXEXTRACT(C501,""contain.*$""),9,300)"),"3 drab tan bags.")</f>
        <v>3 drab tan bags.</v>
      </c>
      <c r="G501" s="3" t="str">
        <f>IFERROR(__xludf.DUMMYFUNCTION("INDEX(SPLIT($F501,"",""),COLUMN()-6)"),"3 drab tan bags.")</f>
        <v>3 drab tan bags.</v>
      </c>
      <c r="H501" s="3" t="str">
        <f>IFERROR(__xludf.DUMMYFUNCTION("MID(INDEX(SPLIT($F501,"",""),COLUMN()-6),2,300)"),"#REF!")</f>
        <v>#REF!</v>
      </c>
      <c r="I501" s="3" t="str">
        <f>IFERROR(__xludf.DUMMYFUNCTION("MID(INDEX(SPLIT($F501,"",""),COLUMN()-6),2,300)"),"#REF!")</f>
        <v>#REF!</v>
      </c>
      <c r="J501" s="3" t="str">
        <f>IFERROR(__xludf.DUMMYFUNCTION("MID(INDEX(SPLIT($F501,"",""),COLUMN()-6),2,300)"),"#REF!")</f>
        <v>#REF!</v>
      </c>
      <c r="K501" s="3">
        <f>IFERROR(__xludf.DUMMYFUNCTION("INDEX(SPLIT(G501,"" ""),1)"),3.0)</f>
        <v>3</v>
      </c>
      <c r="L501" s="3" t="str">
        <f>IFERROR(__xludf.DUMMYFUNCTION("REGEXEXTRACT(G501,"" [^ ]* [^ ]* "")")," drab tan ")</f>
        <v> drab tan </v>
      </c>
      <c r="M501" s="3" t="str">
        <f>IFERROR(__xludf.DUMMYFUNCTION("INDEX(SPLIT(H501,"" ""),1)"),"#REF!")</f>
        <v>#REF!</v>
      </c>
      <c r="N501" s="3" t="str">
        <f>IFERROR(__xludf.DUMMYFUNCTION("MID(REGEXEXTRACT(H501,"" [^ ]* [^ ]*""),2,300)"),"#REF!")</f>
        <v>#REF!</v>
      </c>
      <c r="O501" s="3" t="str">
        <f>IFERROR(__xludf.DUMMYFUNCTION("INDEX(SPLIT(I501,"" ""),1)"),"#REF!")</f>
        <v>#REF!</v>
      </c>
      <c r="P501" s="3" t="str">
        <f>IFERROR(__xludf.DUMMYFUNCTION("MID(REGEXEXTRACT(I501,"" [^ ]* [^ ]*""),2,300)"),"#REF!")</f>
        <v>#REF!</v>
      </c>
      <c r="Q501" s="3" t="str">
        <f>IFERROR(__xludf.DUMMYFUNCTION("INDEX(SPLIT(J501,"" ""),1)"),"#REF!")</f>
        <v>#REF!</v>
      </c>
      <c r="R501" s="3" t="str">
        <f>IFERROR(__xludf.DUMMYFUNCTION("MID(REGEXEXTRACT(J501,"" [^ ]* [^ ]*""),2,300)"),"#REF!")</f>
        <v>#REF!</v>
      </c>
      <c r="S501" s="3">
        <f t="shared" si="2"/>
        <v>3</v>
      </c>
      <c r="T501" s="3" t="str">
        <f t="shared" si="3"/>
        <v>drab tan</v>
      </c>
      <c r="U501" s="3" t="str">
        <f t="shared" si="4"/>
        <v/>
      </c>
      <c r="V501" s="3" t="str">
        <f t="shared" si="5"/>
        <v/>
      </c>
      <c r="W501" s="3" t="str">
        <f t="shared" si="6"/>
        <v/>
      </c>
      <c r="X501" s="3" t="str">
        <f t="shared" si="7"/>
        <v/>
      </c>
      <c r="Y501" s="3" t="str">
        <f t="shared" si="8"/>
        <v/>
      </c>
      <c r="Z501" s="3" t="str">
        <f t="shared" si="9"/>
        <v/>
      </c>
      <c r="AA501" s="13">
        <f t="shared" si="10"/>
        <v>10774312</v>
      </c>
      <c r="AB501" s="3">
        <f t="shared" si="11"/>
        <v>10774311</v>
      </c>
      <c r="AC501" s="3">
        <f t="shared" si="12"/>
        <v>3</v>
      </c>
      <c r="AD501" s="3">
        <f t="shared" si="13"/>
        <v>3591437</v>
      </c>
      <c r="AE501" s="3" t="str">
        <f t="shared" si="14"/>
        <v/>
      </c>
      <c r="AF501" s="3">
        <f t="shared" si="15"/>
        <v>0</v>
      </c>
      <c r="AG501" s="3" t="str">
        <f t="shared" si="16"/>
        <v/>
      </c>
      <c r="AH501" s="3">
        <f t="shared" si="17"/>
        <v>0</v>
      </c>
      <c r="AI501" s="3" t="str">
        <f t="shared" si="18"/>
        <v/>
      </c>
      <c r="AJ501" s="3">
        <f t="shared" si="19"/>
        <v>0</v>
      </c>
    </row>
    <row r="502">
      <c r="C502" s="6" t="s">
        <v>502</v>
      </c>
      <c r="D502" s="3">
        <f t="shared" si="1"/>
        <v>3</v>
      </c>
      <c r="E502" s="3" t="str">
        <f>IFERROR(__xludf.DUMMYFUNCTION("REGEXEXTRACT(C502,""[^ ]* [^ ]*"")"),"shiny red")</f>
        <v>shiny red</v>
      </c>
      <c r="F502" s="3" t="str">
        <f>IFERROR(__xludf.DUMMYFUNCTION("MID(REGEXEXTRACT(C502,""contain.*$""),9,300)"),"3 striped lime bags, 5 wavy teal bags, 2 muted olive bags, 1 shiny chartreuse bag.")</f>
        <v>3 striped lime bags, 5 wavy teal bags, 2 muted olive bags, 1 shiny chartreuse bag.</v>
      </c>
      <c r="G502" s="3" t="str">
        <f>IFERROR(__xludf.DUMMYFUNCTION("INDEX(SPLIT($F502,"",""),COLUMN()-6)"),"3 striped lime bags")</f>
        <v>3 striped lime bags</v>
      </c>
      <c r="H502" s="3" t="str">
        <f>IFERROR(__xludf.DUMMYFUNCTION("MID(INDEX(SPLIT($F502,"",""),COLUMN()-6),2,300)"),"5 wavy teal bags")</f>
        <v>5 wavy teal bags</v>
      </c>
      <c r="I502" s="3" t="str">
        <f>IFERROR(__xludf.DUMMYFUNCTION("MID(INDEX(SPLIT($F502,"",""),COLUMN()-6),2,300)"),"2 muted olive bags")</f>
        <v>2 muted olive bags</v>
      </c>
      <c r="J502" s="3" t="str">
        <f>IFERROR(__xludf.DUMMYFUNCTION("MID(INDEX(SPLIT($F502,"",""),COLUMN()-6),2,300)"),"1 shiny chartreuse bag.")</f>
        <v>1 shiny chartreuse bag.</v>
      </c>
      <c r="K502" s="3">
        <f>IFERROR(__xludf.DUMMYFUNCTION("INDEX(SPLIT(G502,"" ""),1)"),3.0)</f>
        <v>3</v>
      </c>
      <c r="L502" s="3" t="str">
        <f>IFERROR(__xludf.DUMMYFUNCTION("REGEXEXTRACT(G502,"" [^ ]* [^ ]* "")")," striped lime ")</f>
        <v> striped lime </v>
      </c>
      <c r="M502" s="3">
        <f>IFERROR(__xludf.DUMMYFUNCTION("INDEX(SPLIT(H502,"" ""),1)"),5.0)</f>
        <v>5</v>
      </c>
      <c r="N502" s="3" t="str">
        <f>IFERROR(__xludf.DUMMYFUNCTION("MID(REGEXEXTRACT(H502,"" [^ ]* [^ ]*""),2,300)"),"wavy teal")</f>
        <v>wavy teal</v>
      </c>
      <c r="O502" s="3">
        <f>IFERROR(__xludf.DUMMYFUNCTION("INDEX(SPLIT(I502,"" ""),1)"),2.0)</f>
        <v>2</v>
      </c>
      <c r="P502" s="3" t="str">
        <f>IFERROR(__xludf.DUMMYFUNCTION("MID(REGEXEXTRACT(I502,"" [^ ]* [^ ]*""),2,300)"),"muted olive")</f>
        <v>muted olive</v>
      </c>
      <c r="Q502" s="3">
        <f>IFERROR(__xludf.DUMMYFUNCTION("INDEX(SPLIT(J502,"" ""),1)"),1.0)</f>
        <v>1</v>
      </c>
      <c r="R502" s="3" t="str">
        <f>IFERROR(__xludf.DUMMYFUNCTION("MID(REGEXEXTRACT(J502,"" [^ ]* [^ ]*""),2,300)"),"shiny chartreuse")</f>
        <v>shiny chartreuse</v>
      </c>
      <c r="S502" s="3">
        <f t="shared" si="2"/>
        <v>3</v>
      </c>
      <c r="T502" s="3" t="str">
        <f t="shared" si="3"/>
        <v>striped lime</v>
      </c>
      <c r="U502" s="3">
        <f t="shared" si="4"/>
        <v>5</v>
      </c>
      <c r="V502" s="3" t="str">
        <f t="shared" si="5"/>
        <v>wavy teal</v>
      </c>
      <c r="W502" s="3">
        <f t="shared" si="6"/>
        <v>2</v>
      </c>
      <c r="X502" s="3" t="str">
        <f t="shared" si="7"/>
        <v>muted olive</v>
      </c>
      <c r="Y502" s="3">
        <f t="shared" si="8"/>
        <v>1</v>
      </c>
      <c r="Z502" s="3" t="str">
        <f t="shared" si="9"/>
        <v>shiny chartreuse</v>
      </c>
      <c r="AA502" s="13">
        <f t="shared" si="10"/>
        <v>461698</v>
      </c>
      <c r="AB502" s="3">
        <f t="shared" si="11"/>
        <v>461697</v>
      </c>
      <c r="AC502" s="3">
        <f t="shared" si="12"/>
        <v>3</v>
      </c>
      <c r="AD502" s="3">
        <f t="shared" si="13"/>
        <v>12130</v>
      </c>
      <c r="AE502" s="3">
        <f t="shared" si="14"/>
        <v>5</v>
      </c>
      <c r="AF502" s="3">
        <f t="shared" si="15"/>
        <v>84750</v>
      </c>
      <c r="AG502" s="3">
        <f t="shared" si="16"/>
        <v>2</v>
      </c>
      <c r="AH502" s="3">
        <f t="shared" si="17"/>
        <v>6</v>
      </c>
      <c r="AI502" s="3">
        <f t="shared" si="18"/>
        <v>1</v>
      </c>
      <c r="AJ502" s="3">
        <f t="shared" si="19"/>
        <v>1545</v>
      </c>
    </row>
    <row r="503">
      <c r="C503" s="6" t="s">
        <v>503</v>
      </c>
      <c r="D503" s="3">
        <f t="shared" si="1"/>
        <v>0</v>
      </c>
      <c r="E503" s="3" t="str">
        <f>IFERROR(__xludf.DUMMYFUNCTION("REGEXEXTRACT(C503,""[^ ]* [^ ]*"")"),"light tomato")</f>
        <v>light tomato</v>
      </c>
      <c r="F503" s="3" t="str">
        <f>IFERROR(__xludf.DUMMYFUNCTION("MID(REGEXEXTRACT(C503,""contain.*$""),9,300)"),"4 muted green bags.")</f>
        <v>4 muted green bags.</v>
      </c>
      <c r="G503" s="3" t="str">
        <f>IFERROR(__xludf.DUMMYFUNCTION("INDEX(SPLIT($F503,"",""),COLUMN()-6)"),"4 muted green bags.")</f>
        <v>4 muted green bags.</v>
      </c>
      <c r="H503" s="3" t="str">
        <f>IFERROR(__xludf.DUMMYFUNCTION("MID(INDEX(SPLIT($F503,"",""),COLUMN()-6),2,300)"),"#REF!")</f>
        <v>#REF!</v>
      </c>
      <c r="I503" s="3" t="str">
        <f>IFERROR(__xludf.DUMMYFUNCTION("MID(INDEX(SPLIT($F503,"",""),COLUMN()-6),2,300)"),"#REF!")</f>
        <v>#REF!</v>
      </c>
      <c r="J503" s="3" t="str">
        <f>IFERROR(__xludf.DUMMYFUNCTION("MID(INDEX(SPLIT($F503,"",""),COLUMN()-6),2,300)"),"#REF!")</f>
        <v>#REF!</v>
      </c>
      <c r="K503" s="3">
        <f>IFERROR(__xludf.DUMMYFUNCTION("INDEX(SPLIT(G503,"" ""),1)"),4.0)</f>
        <v>4</v>
      </c>
      <c r="L503" s="3" t="str">
        <f>IFERROR(__xludf.DUMMYFUNCTION("REGEXEXTRACT(G503,"" [^ ]* [^ ]* "")")," muted green ")</f>
        <v> muted green </v>
      </c>
      <c r="M503" s="3" t="str">
        <f>IFERROR(__xludf.DUMMYFUNCTION("INDEX(SPLIT(H503,"" ""),1)"),"#REF!")</f>
        <v>#REF!</v>
      </c>
      <c r="N503" s="3" t="str">
        <f>IFERROR(__xludf.DUMMYFUNCTION("MID(REGEXEXTRACT(H503,"" [^ ]* [^ ]*""),2,300)"),"#REF!")</f>
        <v>#REF!</v>
      </c>
      <c r="O503" s="3" t="str">
        <f>IFERROR(__xludf.DUMMYFUNCTION("INDEX(SPLIT(I503,"" ""),1)"),"#REF!")</f>
        <v>#REF!</v>
      </c>
      <c r="P503" s="3" t="str">
        <f>IFERROR(__xludf.DUMMYFUNCTION("MID(REGEXEXTRACT(I503,"" [^ ]* [^ ]*""),2,300)"),"#REF!")</f>
        <v>#REF!</v>
      </c>
      <c r="Q503" s="3" t="str">
        <f>IFERROR(__xludf.DUMMYFUNCTION("INDEX(SPLIT(J503,"" ""),1)"),"#REF!")</f>
        <v>#REF!</v>
      </c>
      <c r="R503" s="3" t="str">
        <f>IFERROR(__xludf.DUMMYFUNCTION("MID(REGEXEXTRACT(J503,"" [^ ]* [^ ]*""),2,300)"),"#REF!")</f>
        <v>#REF!</v>
      </c>
      <c r="S503" s="3">
        <f t="shared" si="2"/>
        <v>4</v>
      </c>
      <c r="T503" s="3" t="str">
        <f t="shared" si="3"/>
        <v>muted green</v>
      </c>
      <c r="U503" s="3" t="str">
        <f t="shared" si="4"/>
        <v/>
      </c>
      <c r="V503" s="3" t="str">
        <f t="shared" si="5"/>
        <v/>
      </c>
      <c r="W503" s="3" t="str">
        <f t="shared" si="6"/>
        <v/>
      </c>
      <c r="X503" s="3" t="str">
        <f t="shared" si="7"/>
        <v/>
      </c>
      <c r="Y503" s="3" t="str">
        <f t="shared" si="8"/>
        <v/>
      </c>
      <c r="Z503" s="3" t="str">
        <f t="shared" si="9"/>
        <v/>
      </c>
      <c r="AA503" s="13">
        <f t="shared" si="10"/>
        <v>54357</v>
      </c>
      <c r="AB503" s="3">
        <f t="shared" si="11"/>
        <v>54356</v>
      </c>
      <c r="AC503" s="3">
        <f t="shared" si="12"/>
        <v>4</v>
      </c>
      <c r="AD503" s="3">
        <f t="shared" si="13"/>
        <v>13589</v>
      </c>
      <c r="AE503" s="3" t="str">
        <f t="shared" si="14"/>
        <v/>
      </c>
      <c r="AF503" s="3">
        <f t="shared" si="15"/>
        <v>0</v>
      </c>
      <c r="AG503" s="3" t="str">
        <f t="shared" si="16"/>
        <v/>
      </c>
      <c r="AH503" s="3">
        <f t="shared" si="17"/>
        <v>0</v>
      </c>
      <c r="AI503" s="3" t="str">
        <f t="shared" si="18"/>
        <v/>
      </c>
      <c r="AJ503" s="3">
        <f t="shared" si="19"/>
        <v>0</v>
      </c>
    </row>
    <row r="504">
      <c r="C504" s="6" t="s">
        <v>504</v>
      </c>
      <c r="D504" s="3">
        <f t="shared" si="1"/>
        <v>3</v>
      </c>
      <c r="E504" s="3" t="str">
        <f>IFERROR(__xludf.DUMMYFUNCTION("REGEXEXTRACT(C504,""[^ ]* [^ ]*"")"),"bright olive")</f>
        <v>bright olive</v>
      </c>
      <c r="F504" s="3" t="str">
        <f>IFERROR(__xludf.DUMMYFUNCTION("MID(REGEXEXTRACT(C504,""contain.*$""),9,300)"),"4 shiny maroon bags, 1 striped tan bag, 2 drab teal bags, 3 mirrored chartreuse bags.")</f>
        <v>4 shiny maroon bags, 1 striped tan bag, 2 drab teal bags, 3 mirrored chartreuse bags.</v>
      </c>
      <c r="G504" s="3" t="str">
        <f>IFERROR(__xludf.DUMMYFUNCTION("INDEX(SPLIT($F504,"",""),COLUMN()-6)"),"4 shiny maroon bags")</f>
        <v>4 shiny maroon bags</v>
      </c>
      <c r="H504" s="3" t="str">
        <f>IFERROR(__xludf.DUMMYFUNCTION("MID(INDEX(SPLIT($F504,"",""),COLUMN()-6),2,300)"),"1 striped tan bag")</f>
        <v>1 striped tan bag</v>
      </c>
      <c r="I504" s="3" t="str">
        <f>IFERROR(__xludf.DUMMYFUNCTION("MID(INDEX(SPLIT($F504,"",""),COLUMN()-6),2,300)"),"2 drab teal bags")</f>
        <v>2 drab teal bags</v>
      </c>
      <c r="J504" s="3" t="str">
        <f>IFERROR(__xludf.DUMMYFUNCTION("MID(INDEX(SPLIT($F504,"",""),COLUMN()-6),2,300)"),"3 mirrored chartreuse bags.")</f>
        <v>3 mirrored chartreuse bags.</v>
      </c>
      <c r="K504" s="3">
        <f>IFERROR(__xludf.DUMMYFUNCTION("INDEX(SPLIT(G504,"" ""),1)"),4.0)</f>
        <v>4</v>
      </c>
      <c r="L504" s="3" t="str">
        <f>IFERROR(__xludf.DUMMYFUNCTION("REGEXEXTRACT(G504,"" [^ ]* [^ ]* "")")," shiny maroon ")</f>
        <v> shiny maroon </v>
      </c>
      <c r="M504" s="3">
        <f>IFERROR(__xludf.DUMMYFUNCTION("INDEX(SPLIT(H504,"" ""),1)"),1.0)</f>
        <v>1</v>
      </c>
      <c r="N504" s="3" t="str">
        <f>IFERROR(__xludf.DUMMYFUNCTION("MID(REGEXEXTRACT(H504,"" [^ ]* [^ ]*""),2,300)"),"striped tan")</f>
        <v>striped tan</v>
      </c>
      <c r="O504" s="3">
        <f>IFERROR(__xludf.DUMMYFUNCTION("INDEX(SPLIT(I504,"" ""),1)"),2.0)</f>
        <v>2</v>
      </c>
      <c r="P504" s="3" t="str">
        <f>IFERROR(__xludf.DUMMYFUNCTION("MID(REGEXEXTRACT(I504,"" [^ ]* [^ ]*""),2,300)"),"drab teal")</f>
        <v>drab teal</v>
      </c>
      <c r="Q504" s="3">
        <f>IFERROR(__xludf.DUMMYFUNCTION("INDEX(SPLIT(J504,"" ""),1)"),3.0)</f>
        <v>3</v>
      </c>
      <c r="R504" s="3" t="str">
        <f>IFERROR(__xludf.DUMMYFUNCTION("MID(REGEXEXTRACT(J504,"" [^ ]* [^ ]*""),2,300)"),"mirrored chartreuse")</f>
        <v>mirrored chartreuse</v>
      </c>
      <c r="S504" s="3">
        <f t="shared" si="2"/>
        <v>4</v>
      </c>
      <c r="T504" s="3" t="str">
        <f t="shared" si="3"/>
        <v>shiny maroon</v>
      </c>
      <c r="U504" s="3">
        <f t="shared" si="4"/>
        <v>1</v>
      </c>
      <c r="V504" s="3" t="str">
        <f t="shared" si="5"/>
        <v>striped tan</v>
      </c>
      <c r="W504" s="3">
        <f t="shared" si="6"/>
        <v>2</v>
      </c>
      <c r="X504" s="3" t="str">
        <f t="shared" si="7"/>
        <v>drab teal</v>
      </c>
      <c r="Y504" s="3">
        <f t="shared" si="8"/>
        <v>3</v>
      </c>
      <c r="Z504" s="3" t="str">
        <f t="shared" si="9"/>
        <v>mirrored chartreuse</v>
      </c>
      <c r="AA504" s="13">
        <f t="shared" si="10"/>
        <v>2852291</v>
      </c>
      <c r="AB504" s="3">
        <f t="shared" si="11"/>
        <v>2852290</v>
      </c>
      <c r="AC504" s="3">
        <f t="shared" si="12"/>
        <v>4</v>
      </c>
      <c r="AD504" s="3">
        <f t="shared" si="13"/>
        <v>557022</v>
      </c>
      <c r="AE504" s="3">
        <f t="shared" si="14"/>
        <v>1</v>
      </c>
      <c r="AF504" s="3">
        <f t="shared" si="15"/>
        <v>541901</v>
      </c>
      <c r="AG504" s="3">
        <f t="shared" si="16"/>
        <v>2</v>
      </c>
      <c r="AH504" s="3">
        <f t="shared" si="17"/>
        <v>40693</v>
      </c>
      <c r="AI504" s="3">
        <f t="shared" si="18"/>
        <v>3</v>
      </c>
      <c r="AJ504" s="3">
        <f t="shared" si="19"/>
        <v>305</v>
      </c>
    </row>
    <row r="505">
      <c r="C505" s="6" t="s">
        <v>505</v>
      </c>
      <c r="D505" s="3">
        <f t="shared" si="1"/>
        <v>3</v>
      </c>
      <c r="E505" s="3" t="str">
        <f>IFERROR(__xludf.DUMMYFUNCTION("REGEXEXTRACT(C505,""[^ ]* [^ ]*"")"),"mirrored white")</f>
        <v>mirrored white</v>
      </c>
      <c r="F505" s="3" t="str">
        <f>IFERROR(__xludf.DUMMYFUNCTION("MID(REGEXEXTRACT(C505,""contain.*$""),9,300)"),"4 vibrant aqua bags, 4 clear blue bags, 4 bright violet bags, 1 muted olive bag.")</f>
        <v>4 vibrant aqua bags, 4 clear blue bags, 4 bright violet bags, 1 muted olive bag.</v>
      </c>
      <c r="G505" s="3" t="str">
        <f>IFERROR(__xludf.DUMMYFUNCTION("INDEX(SPLIT($F505,"",""),COLUMN()-6)"),"4 vibrant aqua bags")</f>
        <v>4 vibrant aqua bags</v>
      </c>
      <c r="H505" s="3" t="str">
        <f>IFERROR(__xludf.DUMMYFUNCTION("MID(INDEX(SPLIT($F505,"",""),COLUMN()-6),2,300)"),"4 clear blue bags")</f>
        <v>4 clear blue bags</v>
      </c>
      <c r="I505" s="3" t="str">
        <f>IFERROR(__xludf.DUMMYFUNCTION("MID(INDEX(SPLIT($F505,"",""),COLUMN()-6),2,300)"),"4 bright violet bags")</f>
        <v>4 bright violet bags</v>
      </c>
      <c r="J505" s="3" t="str">
        <f>IFERROR(__xludf.DUMMYFUNCTION("MID(INDEX(SPLIT($F505,"",""),COLUMN()-6),2,300)"),"1 muted olive bag.")</f>
        <v>1 muted olive bag.</v>
      </c>
      <c r="K505" s="3">
        <f>IFERROR(__xludf.DUMMYFUNCTION("INDEX(SPLIT(G505,"" ""),1)"),4.0)</f>
        <v>4</v>
      </c>
      <c r="L505" s="3" t="str">
        <f>IFERROR(__xludf.DUMMYFUNCTION("REGEXEXTRACT(G505,"" [^ ]* [^ ]* "")")," vibrant aqua ")</f>
        <v> vibrant aqua </v>
      </c>
      <c r="M505" s="3">
        <f>IFERROR(__xludf.DUMMYFUNCTION("INDEX(SPLIT(H505,"" ""),1)"),4.0)</f>
        <v>4</v>
      </c>
      <c r="N505" s="3" t="str">
        <f>IFERROR(__xludf.DUMMYFUNCTION("MID(REGEXEXTRACT(H505,"" [^ ]* [^ ]*""),2,300)"),"clear blue")</f>
        <v>clear blue</v>
      </c>
      <c r="O505" s="3">
        <f>IFERROR(__xludf.DUMMYFUNCTION("INDEX(SPLIT(I505,"" ""),1)"),4.0)</f>
        <v>4</v>
      </c>
      <c r="P505" s="3" t="str">
        <f>IFERROR(__xludf.DUMMYFUNCTION("MID(REGEXEXTRACT(I505,"" [^ ]* [^ ]*""),2,300)"),"bright violet")</f>
        <v>bright violet</v>
      </c>
      <c r="Q505" s="3">
        <f>IFERROR(__xludf.DUMMYFUNCTION("INDEX(SPLIT(J505,"" ""),1)"),1.0)</f>
        <v>1</v>
      </c>
      <c r="R505" s="3" t="str">
        <f>IFERROR(__xludf.DUMMYFUNCTION("MID(REGEXEXTRACT(J505,"" [^ ]* [^ ]*""),2,300)"),"muted olive")</f>
        <v>muted olive</v>
      </c>
      <c r="S505" s="3">
        <f t="shared" si="2"/>
        <v>4</v>
      </c>
      <c r="T505" s="3" t="str">
        <f t="shared" si="3"/>
        <v>vibrant aqua</v>
      </c>
      <c r="U505" s="3">
        <f t="shared" si="4"/>
        <v>4</v>
      </c>
      <c r="V505" s="3" t="str">
        <f t="shared" si="5"/>
        <v>clear blue</v>
      </c>
      <c r="W505" s="3">
        <f t="shared" si="6"/>
        <v>4</v>
      </c>
      <c r="X505" s="3" t="str">
        <f t="shared" si="7"/>
        <v>bright violet</v>
      </c>
      <c r="Y505" s="3">
        <f t="shared" si="8"/>
        <v>1</v>
      </c>
      <c r="Z505" s="3" t="str">
        <f t="shared" si="9"/>
        <v>muted olive</v>
      </c>
      <c r="AA505" s="13">
        <f t="shared" si="10"/>
        <v>319</v>
      </c>
      <c r="AB505" s="3">
        <f t="shared" si="11"/>
        <v>318</v>
      </c>
      <c r="AC505" s="3">
        <f t="shared" si="12"/>
        <v>4</v>
      </c>
      <c r="AD505" s="3">
        <f t="shared" si="13"/>
        <v>1</v>
      </c>
      <c r="AE505" s="3">
        <f t="shared" si="14"/>
        <v>4</v>
      </c>
      <c r="AF505" s="3">
        <f t="shared" si="15"/>
        <v>76</v>
      </c>
      <c r="AG505" s="3">
        <f t="shared" si="16"/>
        <v>4</v>
      </c>
      <c r="AH505" s="3">
        <f t="shared" si="17"/>
        <v>1</v>
      </c>
      <c r="AI505" s="3">
        <f t="shared" si="18"/>
        <v>1</v>
      </c>
      <c r="AJ505" s="3">
        <f t="shared" si="19"/>
        <v>6</v>
      </c>
    </row>
    <row r="506">
      <c r="C506" s="6" t="s">
        <v>506</v>
      </c>
      <c r="D506" s="3">
        <f t="shared" si="1"/>
        <v>2</v>
      </c>
      <c r="E506" s="3" t="str">
        <f>IFERROR(__xludf.DUMMYFUNCTION("REGEXEXTRACT(C506,""[^ ]* [^ ]*"")"),"posh olive")</f>
        <v>posh olive</v>
      </c>
      <c r="F506" s="3" t="str">
        <f>IFERROR(__xludf.DUMMYFUNCTION("MID(REGEXEXTRACT(C506,""contain.*$""),9,300)"),"2 shiny maroon bags, 3 faded coral bags, 1 dark turquoise bag.")</f>
        <v>2 shiny maroon bags, 3 faded coral bags, 1 dark turquoise bag.</v>
      </c>
      <c r="G506" s="3" t="str">
        <f>IFERROR(__xludf.DUMMYFUNCTION("INDEX(SPLIT($F506,"",""),COLUMN()-6)"),"2 shiny maroon bags")</f>
        <v>2 shiny maroon bags</v>
      </c>
      <c r="H506" s="3" t="str">
        <f>IFERROR(__xludf.DUMMYFUNCTION("MID(INDEX(SPLIT($F506,"",""),COLUMN()-6),2,300)"),"3 faded coral bags")</f>
        <v>3 faded coral bags</v>
      </c>
      <c r="I506" s="3" t="str">
        <f>IFERROR(__xludf.DUMMYFUNCTION("MID(INDEX(SPLIT($F506,"",""),COLUMN()-6),2,300)"),"1 dark turquoise bag.")</f>
        <v>1 dark turquoise bag.</v>
      </c>
      <c r="J506" s="3" t="str">
        <f>IFERROR(__xludf.DUMMYFUNCTION("MID(INDEX(SPLIT($F506,"",""),COLUMN()-6),2,300)"),"#REF!")</f>
        <v>#REF!</v>
      </c>
      <c r="K506" s="3">
        <f>IFERROR(__xludf.DUMMYFUNCTION("INDEX(SPLIT(G506,"" ""),1)"),2.0)</f>
        <v>2</v>
      </c>
      <c r="L506" s="3" t="str">
        <f>IFERROR(__xludf.DUMMYFUNCTION("REGEXEXTRACT(G506,"" [^ ]* [^ ]* "")")," shiny maroon ")</f>
        <v> shiny maroon </v>
      </c>
      <c r="M506" s="3">
        <f>IFERROR(__xludf.DUMMYFUNCTION("INDEX(SPLIT(H506,"" ""),1)"),3.0)</f>
        <v>3</v>
      </c>
      <c r="N506" s="3" t="str">
        <f>IFERROR(__xludf.DUMMYFUNCTION("MID(REGEXEXTRACT(H506,"" [^ ]* [^ ]*""),2,300)"),"faded coral")</f>
        <v>faded coral</v>
      </c>
      <c r="O506" s="3">
        <f>IFERROR(__xludf.DUMMYFUNCTION("INDEX(SPLIT(I506,"" ""),1)"),1.0)</f>
        <v>1</v>
      </c>
      <c r="P506" s="3" t="str">
        <f>IFERROR(__xludf.DUMMYFUNCTION("MID(REGEXEXTRACT(I506,"" [^ ]* [^ ]*""),2,300)"),"dark turquoise")</f>
        <v>dark turquoise</v>
      </c>
      <c r="Q506" s="3" t="str">
        <f>IFERROR(__xludf.DUMMYFUNCTION("INDEX(SPLIT(J506,"" ""),1)"),"#REF!")</f>
        <v>#REF!</v>
      </c>
      <c r="R506" s="3" t="str">
        <f>IFERROR(__xludf.DUMMYFUNCTION("MID(REGEXEXTRACT(J506,"" [^ ]* [^ ]*""),2,300)"),"#REF!")</f>
        <v>#REF!</v>
      </c>
      <c r="S506" s="3">
        <f t="shared" si="2"/>
        <v>2</v>
      </c>
      <c r="T506" s="3" t="str">
        <f t="shared" si="3"/>
        <v>shiny maroon</v>
      </c>
      <c r="U506" s="3">
        <f t="shared" si="4"/>
        <v>3</v>
      </c>
      <c r="V506" s="3" t="str">
        <f t="shared" si="5"/>
        <v>faded coral</v>
      </c>
      <c r="W506" s="3">
        <f t="shared" si="6"/>
        <v>1</v>
      </c>
      <c r="X506" s="3" t="str">
        <f t="shared" si="7"/>
        <v>dark turquoise</v>
      </c>
      <c r="Y506" s="3" t="str">
        <f t="shared" si="8"/>
        <v/>
      </c>
      <c r="Z506" s="3" t="str">
        <f t="shared" si="9"/>
        <v/>
      </c>
      <c r="AA506" s="13">
        <f t="shared" si="10"/>
        <v>151930697</v>
      </c>
      <c r="AB506" s="3">
        <f t="shared" si="11"/>
        <v>151930696</v>
      </c>
      <c r="AC506" s="3">
        <f t="shared" si="12"/>
        <v>2</v>
      </c>
      <c r="AD506" s="3">
        <f t="shared" si="13"/>
        <v>557022</v>
      </c>
      <c r="AE506" s="3">
        <f t="shared" si="14"/>
        <v>3</v>
      </c>
      <c r="AF506" s="3">
        <f t="shared" si="15"/>
        <v>50143651</v>
      </c>
      <c r="AG506" s="3">
        <f t="shared" si="16"/>
        <v>1</v>
      </c>
      <c r="AH506" s="3">
        <f t="shared" si="17"/>
        <v>385699</v>
      </c>
      <c r="AI506" s="3" t="str">
        <f t="shared" si="18"/>
        <v/>
      </c>
      <c r="AJ506" s="3">
        <f t="shared" si="19"/>
        <v>0</v>
      </c>
    </row>
    <row r="507">
      <c r="C507" s="6" t="s">
        <v>507</v>
      </c>
      <c r="D507" s="3">
        <f t="shared" si="1"/>
        <v>2</v>
      </c>
      <c r="E507" s="3" t="str">
        <f>IFERROR(__xludf.DUMMYFUNCTION("REGEXEXTRACT(C507,""[^ ]* [^ ]*"")"),"vibrant lime")</f>
        <v>vibrant lime</v>
      </c>
      <c r="F507" s="3" t="str">
        <f>IFERROR(__xludf.DUMMYFUNCTION("MID(REGEXEXTRACT(C507,""contain.*$""),9,300)"),"1 light lime bag, 5 bright lime bags, 4 vibrant olive bags.")</f>
        <v>1 light lime bag, 5 bright lime bags, 4 vibrant olive bags.</v>
      </c>
      <c r="G507" s="3" t="str">
        <f>IFERROR(__xludf.DUMMYFUNCTION("INDEX(SPLIT($F507,"",""),COLUMN()-6)"),"1 light lime bag")</f>
        <v>1 light lime bag</v>
      </c>
      <c r="H507" s="3" t="str">
        <f>IFERROR(__xludf.DUMMYFUNCTION("MID(INDEX(SPLIT($F507,"",""),COLUMN()-6),2,300)"),"5 bright lime bags")</f>
        <v>5 bright lime bags</v>
      </c>
      <c r="I507" s="3" t="str">
        <f>IFERROR(__xludf.DUMMYFUNCTION("MID(INDEX(SPLIT($F507,"",""),COLUMN()-6),2,300)"),"4 vibrant olive bags.")</f>
        <v>4 vibrant olive bags.</v>
      </c>
      <c r="J507" s="3" t="str">
        <f>IFERROR(__xludf.DUMMYFUNCTION("MID(INDEX(SPLIT($F507,"",""),COLUMN()-6),2,300)"),"#REF!")</f>
        <v>#REF!</v>
      </c>
      <c r="K507" s="3">
        <f>IFERROR(__xludf.DUMMYFUNCTION("INDEX(SPLIT(G507,"" ""),1)"),1.0)</f>
        <v>1</v>
      </c>
      <c r="L507" s="3" t="str">
        <f>IFERROR(__xludf.DUMMYFUNCTION("REGEXEXTRACT(G507,"" [^ ]* [^ ]* "")")," light lime ")</f>
        <v> light lime </v>
      </c>
      <c r="M507" s="3">
        <f>IFERROR(__xludf.DUMMYFUNCTION("INDEX(SPLIT(H507,"" ""),1)"),5.0)</f>
        <v>5</v>
      </c>
      <c r="N507" s="3" t="str">
        <f>IFERROR(__xludf.DUMMYFUNCTION("MID(REGEXEXTRACT(H507,"" [^ ]* [^ ]*""),2,300)"),"bright lime")</f>
        <v>bright lime</v>
      </c>
      <c r="O507" s="3">
        <f>IFERROR(__xludf.DUMMYFUNCTION("INDEX(SPLIT(I507,"" ""),1)"),4.0)</f>
        <v>4</v>
      </c>
      <c r="P507" s="3" t="str">
        <f>IFERROR(__xludf.DUMMYFUNCTION("MID(REGEXEXTRACT(I507,"" [^ ]* [^ ]*""),2,300)"),"vibrant olive")</f>
        <v>vibrant olive</v>
      </c>
      <c r="Q507" s="3" t="str">
        <f>IFERROR(__xludf.DUMMYFUNCTION("INDEX(SPLIT(J507,"" ""),1)"),"#REF!")</f>
        <v>#REF!</v>
      </c>
      <c r="R507" s="3" t="str">
        <f>IFERROR(__xludf.DUMMYFUNCTION("MID(REGEXEXTRACT(J507,"" [^ ]* [^ ]*""),2,300)"),"#REF!")</f>
        <v>#REF!</v>
      </c>
      <c r="S507" s="3">
        <f t="shared" si="2"/>
        <v>1</v>
      </c>
      <c r="T507" s="3" t="str">
        <f t="shared" si="3"/>
        <v>light lime</v>
      </c>
      <c r="U507" s="3">
        <f t="shared" si="4"/>
        <v>5</v>
      </c>
      <c r="V507" s="3" t="str">
        <f t="shared" si="5"/>
        <v>bright lime</v>
      </c>
      <c r="W507" s="3">
        <f t="shared" si="6"/>
        <v>4</v>
      </c>
      <c r="X507" s="3" t="str">
        <f t="shared" si="7"/>
        <v>vibrant olive</v>
      </c>
      <c r="Y507" s="3" t="str">
        <f t="shared" si="8"/>
        <v/>
      </c>
      <c r="Z507" s="3" t="str">
        <f t="shared" si="9"/>
        <v/>
      </c>
      <c r="AA507" s="13">
        <f t="shared" si="10"/>
        <v>163022494</v>
      </c>
      <c r="AB507" s="3">
        <f t="shared" si="11"/>
        <v>163022493</v>
      </c>
      <c r="AC507" s="3">
        <f t="shared" si="12"/>
        <v>1</v>
      </c>
      <c r="AD507" s="3">
        <f t="shared" si="13"/>
        <v>147338859</v>
      </c>
      <c r="AE507" s="3">
        <f t="shared" si="14"/>
        <v>5</v>
      </c>
      <c r="AF507" s="3">
        <f t="shared" si="15"/>
        <v>118582</v>
      </c>
      <c r="AG507" s="3">
        <f t="shared" si="16"/>
        <v>4</v>
      </c>
      <c r="AH507" s="3">
        <f t="shared" si="17"/>
        <v>3772681</v>
      </c>
      <c r="AI507" s="3" t="str">
        <f t="shared" si="18"/>
        <v/>
      </c>
      <c r="AJ507" s="3">
        <f t="shared" si="19"/>
        <v>0</v>
      </c>
    </row>
    <row r="508">
      <c r="C508" s="6" t="s">
        <v>508</v>
      </c>
      <c r="D508" s="3">
        <f t="shared" si="1"/>
        <v>1</v>
      </c>
      <c r="E508" s="3" t="str">
        <f>IFERROR(__xludf.DUMMYFUNCTION("REGEXEXTRACT(C508,""[^ ]* [^ ]*"")"),"striped brown")</f>
        <v>striped brown</v>
      </c>
      <c r="F508" s="3" t="str">
        <f>IFERROR(__xludf.DUMMYFUNCTION("MID(REGEXEXTRACT(C508,""contain.*$""),9,300)"),"3 clear chartreuse bags, 4 drab magenta bags.")</f>
        <v>3 clear chartreuse bags, 4 drab magenta bags.</v>
      </c>
      <c r="G508" s="3" t="str">
        <f>IFERROR(__xludf.DUMMYFUNCTION("INDEX(SPLIT($F508,"",""),COLUMN()-6)"),"3 clear chartreuse bags")</f>
        <v>3 clear chartreuse bags</v>
      </c>
      <c r="H508" s="3" t="str">
        <f>IFERROR(__xludf.DUMMYFUNCTION("MID(INDEX(SPLIT($F508,"",""),COLUMN()-6),2,300)"),"4 drab magenta bags.")</f>
        <v>4 drab magenta bags.</v>
      </c>
      <c r="I508" s="3" t="str">
        <f>IFERROR(__xludf.DUMMYFUNCTION("MID(INDEX(SPLIT($F508,"",""),COLUMN()-6),2,300)"),"#REF!")</f>
        <v>#REF!</v>
      </c>
      <c r="J508" s="3" t="str">
        <f>IFERROR(__xludf.DUMMYFUNCTION("MID(INDEX(SPLIT($F508,"",""),COLUMN()-6),2,300)"),"#REF!")</f>
        <v>#REF!</v>
      </c>
      <c r="K508" s="3">
        <f>IFERROR(__xludf.DUMMYFUNCTION("INDEX(SPLIT(G508,"" ""),1)"),3.0)</f>
        <v>3</v>
      </c>
      <c r="L508" s="3" t="str">
        <f>IFERROR(__xludf.DUMMYFUNCTION("REGEXEXTRACT(G508,"" [^ ]* [^ ]* "")")," clear chartreuse ")</f>
        <v> clear chartreuse </v>
      </c>
      <c r="M508" s="3">
        <f>IFERROR(__xludf.DUMMYFUNCTION("INDEX(SPLIT(H508,"" ""),1)"),4.0)</f>
        <v>4</v>
      </c>
      <c r="N508" s="3" t="str">
        <f>IFERROR(__xludf.DUMMYFUNCTION("MID(REGEXEXTRACT(H508,"" [^ ]* [^ ]*""),2,300)"),"drab magenta")</f>
        <v>drab magenta</v>
      </c>
      <c r="O508" s="3" t="str">
        <f>IFERROR(__xludf.DUMMYFUNCTION("INDEX(SPLIT(I508,"" ""),1)"),"#REF!")</f>
        <v>#REF!</v>
      </c>
      <c r="P508" s="3" t="str">
        <f>IFERROR(__xludf.DUMMYFUNCTION("MID(REGEXEXTRACT(I508,"" [^ ]* [^ ]*""),2,300)"),"#REF!")</f>
        <v>#REF!</v>
      </c>
      <c r="Q508" s="3" t="str">
        <f>IFERROR(__xludf.DUMMYFUNCTION("INDEX(SPLIT(J508,"" ""),1)"),"#REF!")</f>
        <v>#REF!</v>
      </c>
      <c r="R508" s="3" t="str">
        <f>IFERROR(__xludf.DUMMYFUNCTION("MID(REGEXEXTRACT(J508,"" [^ ]* [^ ]*""),2,300)"),"#REF!")</f>
        <v>#REF!</v>
      </c>
      <c r="S508" s="3">
        <f t="shared" si="2"/>
        <v>3</v>
      </c>
      <c r="T508" s="3" t="str">
        <f t="shared" si="3"/>
        <v>clear chartreuse</v>
      </c>
      <c r="U508" s="3">
        <f t="shared" si="4"/>
        <v>4</v>
      </c>
      <c r="V508" s="3" t="str">
        <f t="shared" si="5"/>
        <v>drab magenta</v>
      </c>
      <c r="W508" s="3" t="str">
        <f t="shared" si="6"/>
        <v/>
      </c>
      <c r="X508" s="3" t="str">
        <f t="shared" si="7"/>
        <v/>
      </c>
      <c r="Y508" s="3" t="str">
        <f t="shared" si="8"/>
        <v/>
      </c>
      <c r="Z508" s="3" t="str">
        <f t="shared" si="9"/>
        <v/>
      </c>
      <c r="AA508" s="13">
        <f t="shared" si="10"/>
        <v>156980933</v>
      </c>
      <c r="AB508" s="3">
        <f t="shared" si="11"/>
        <v>156980932</v>
      </c>
      <c r="AC508" s="3">
        <f t="shared" si="12"/>
        <v>3</v>
      </c>
      <c r="AD508" s="3">
        <f t="shared" si="13"/>
        <v>52325344</v>
      </c>
      <c r="AE508" s="3">
        <f t="shared" si="14"/>
        <v>4</v>
      </c>
      <c r="AF508" s="3">
        <f t="shared" si="15"/>
        <v>1225</v>
      </c>
      <c r="AG508" s="3" t="str">
        <f t="shared" si="16"/>
        <v/>
      </c>
      <c r="AH508" s="3">
        <f t="shared" si="17"/>
        <v>0</v>
      </c>
      <c r="AI508" s="3" t="str">
        <f t="shared" si="18"/>
        <v/>
      </c>
      <c r="AJ508" s="3">
        <f t="shared" si="19"/>
        <v>0</v>
      </c>
    </row>
    <row r="509">
      <c r="C509" s="6" t="s">
        <v>509</v>
      </c>
      <c r="D509" s="3">
        <f t="shared" si="1"/>
        <v>0</v>
      </c>
      <c r="E509" s="3" t="str">
        <f>IFERROR(__xludf.DUMMYFUNCTION("REGEXEXTRACT(C509,""[^ ]* [^ ]*"")"),"striped lavender")</f>
        <v>striped lavender</v>
      </c>
      <c r="F509" s="3" t="str">
        <f>IFERROR(__xludf.DUMMYFUNCTION("MID(REGEXEXTRACT(C509,""contain.*$""),9,300)"),"1 wavy plum bag.")</f>
        <v>1 wavy plum bag.</v>
      </c>
      <c r="G509" s="3" t="str">
        <f>IFERROR(__xludf.DUMMYFUNCTION("INDEX(SPLIT($F509,"",""),COLUMN()-6)"),"1 wavy plum bag.")</f>
        <v>1 wavy plum bag.</v>
      </c>
      <c r="H509" s="3" t="str">
        <f>IFERROR(__xludf.DUMMYFUNCTION("MID(INDEX(SPLIT($F509,"",""),COLUMN()-6),2,300)"),"#REF!")</f>
        <v>#REF!</v>
      </c>
      <c r="I509" s="3" t="str">
        <f>IFERROR(__xludf.DUMMYFUNCTION("MID(INDEX(SPLIT($F509,"",""),COLUMN()-6),2,300)"),"#REF!")</f>
        <v>#REF!</v>
      </c>
      <c r="J509" s="3" t="str">
        <f>IFERROR(__xludf.DUMMYFUNCTION("MID(INDEX(SPLIT($F509,"",""),COLUMN()-6),2,300)"),"#REF!")</f>
        <v>#REF!</v>
      </c>
      <c r="K509" s="3">
        <f>IFERROR(__xludf.DUMMYFUNCTION("INDEX(SPLIT(G509,"" ""),1)"),1.0)</f>
        <v>1</v>
      </c>
      <c r="L509" s="3" t="str">
        <f>IFERROR(__xludf.DUMMYFUNCTION("REGEXEXTRACT(G509,"" [^ ]* [^ ]* "")")," wavy plum ")</f>
        <v> wavy plum </v>
      </c>
      <c r="M509" s="3" t="str">
        <f>IFERROR(__xludf.DUMMYFUNCTION("INDEX(SPLIT(H509,"" ""),1)"),"#REF!")</f>
        <v>#REF!</v>
      </c>
      <c r="N509" s="3" t="str">
        <f>IFERROR(__xludf.DUMMYFUNCTION("MID(REGEXEXTRACT(H509,"" [^ ]* [^ ]*""),2,300)"),"#REF!")</f>
        <v>#REF!</v>
      </c>
      <c r="O509" s="3" t="str">
        <f>IFERROR(__xludf.DUMMYFUNCTION("INDEX(SPLIT(I509,"" ""),1)"),"#REF!")</f>
        <v>#REF!</v>
      </c>
      <c r="P509" s="3" t="str">
        <f>IFERROR(__xludf.DUMMYFUNCTION("MID(REGEXEXTRACT(I509,"" [^ ]* [^ ]*""),2,300)"),"#REF!")</f>
        <v>#REF!</v>
      </c>
      <c r="Q509" s="3" t="str">
        <f>IFERROR(__xludf.DUMMYFUNCTION("INDEX(SPLIT(J509,"" ""),1)"),"#REF!")</f>
        <v>#REF!</v>
      </c>
      <c r="R509" s="3" t="str">
        <f>IFERROR(__xludf.DUMMYFUNCTION("MID(REGEXEXTRACT(J509,"" [^ ]* [^ ]*""),2,300)"),"#REF!")</f>
        <v>#REF!</v>
      </c>
      <c r="S509" s="3">
        <f t="shared" si="2"/>
        <v>1</v>
      </c>
      <c r="T509" s="3" t="str">
        <f t="shared" si="3"/>
        <v>wavy plum</v>
      </c>
      <c r="U509" s="3" t="str">
        <f t="shared" si="4"/>
        <v/>
      </c>
      <c r="V509" s="3" t="str">
        <f t="shared" si="5"/>
        <v/>
      </c>
      <c r="W509" s="3" t="str">
        <f t="shared" si="6"/>
        <v/>
      </c>
      <c r="X509" s="3" t="str">
        <f t="shared" si="7"/>
        <v/>
      </c>
      <c r="Y509" s="3" t="str">
        <f t="shared" si="8"/>
        <v/>
      </c>
      <c r="Z509" s="3" t="str">
        <f t="shared" si="9"/>
        <v/>
      </c>
      <c r="AA509" s="13">
        <f t="shared" si="10"/>
        <v>148187</v>
      </c>
      <c r="AB509" s="3">
        <f t="shared" si="11"/>
        <v>148186</v>
      </c>
      <c r="AC509" s="3">
        <f t="shared" si="12"/>
        <v>1</v>
      </c>
      <c r="AD509" s="3">
        <f t="shared" si="13"/>
        <v>148186</v>
      </c>
      <c r="AE509" s="3" t="str">
        <f t="shared" si="14"/>
        <v/>
      </c>
      <c r="AF509" s="3">
        <f t="shared" si="15"/>
        <v>0</v>
      </c>
      <c r="AG509" s="3" t="str">
        <f t="shared" si="16"/>
        <v/>
      </c>
      <c r="AH509" s="3">
        <f t="shared" si="17"/>
        <v>0</v>
      </c>
      <c r="AI509" s="3" t="str">
        <f t="shared" si="18"/>
        <v/>
      </c>
      <c r="AJ509" s="3">
        <f t="shared" si="19"/>
        <v>0</v>
      </c>
    </row>
    <row r="510">
      <c r="C510" s="6" t="s">
        <v>510</v>
      </c>
      <c r="D510" s="3">
        <f t="shared" si="1"/>
        <v>0</v>
      </c>
      <c r="E510" s="3" t="str">
        <f>IFERROR(__xludf.DUMMYFUNCTION("REGEXEXTRACT(C510,""[^ ]* [^ ]*"")"),"wavy white")</f>
        <v>wavy white</v>
      </c>
      <c r="F510" s="3" t="str">
        <f>IFERROR(__xludf.DUMMYFUNCTION("MID(REGEXEXTRACT(C510,""contain.*$""),9,300)"),"4 dotted red bags.")</f>
        <v>4 dotted red bags.</v>
      </c>
      <c r="G510" s="3" t="str">
        <f>IFERROR(__xludf.DUMMYFUNCTION("INDEX(SPLIT($F510,"",""),COLUMN()-6)"),"4 dotted red bags.")</f>
        <v>4 dotted red bags.</v>
      </c>
      <c r="H510" s="3" t="str">
        <f>IFERROR(__xludf.DUMMYFUNCTION("MID(INDEX(SPLIT($F510,"",""),COLUMN()-6),2,300)"),"#REF!")</f>
        <v>#REF!</v>
      </c>
      <c r="I510" s="3" t="str">
        <f>IFERROR(__xludf.DUMMYFUNCTION("MID(INDEX(SPLIT($F510,"",""),COLUMN()-6),2,300)"),"#REF!")</f>
        <v>#REF!</v>
      </c>
      <c r="J510" s="3" t="str">
        <f>IFERROR(__xludf.DUMMYFUNCTION("MID(INDEX(SPLIT($F510,"",""),COLUMN()-6),2,300)"),"#REF!")</f>
        <v>#REF!</v>
      </c>
      <c r="K510" s="3">
        <f>IFERROR(__xludf.DUMMYFUNCTION("INDEX(SPLIT(G510,"" ""),1)"),4.0)</f>
        <v>4</v>
      </c>
      <c r="L510" s="3" t="str">
        <f>IFERROR(__xludf.DUMMYFUNCTION("REGEXEXTRACT(G510,"" [^ ]* [^ ]* "")")," dotted red ")</f>
        <v> dotted red </v>
      </c>
      <c r="M510" s="3" t="str">
        <f>IFERROR(__xludf.DUMMYFUNCTION("INDEX(SPLIT(H510,"" ""),1)"),"#REF!")</f>
        <v>#REF!</v>
      </c>
      <c r="N510" s="3" t="str">
        <f>IFERROR(__xludf.DUMMYFUNCTION("MID(REGEXEXTRACT(H510,"" [^ ]* [^ ]*""),2,300)"),"#REF!")</f>
        <v>#REF!</v>
      </c>
      <c r="O510" s="3" t="str">
        <f>IFERROR(__xludf.DUMMYFUNCTION("INDEX(SPLIT(I510,"" ""),1)"),"#REF!")</f>
        <v>#REF!</v>
      </c>
      <c r="P510" s="3" t="str">
        <f>IFERROR(__xludf.DUMMYFUNCTION("MID(REGEXEXTRACT(I510,"" [^ ]* [^ ]*""),2,300)"),"#REF!")</f>
        <v>#REF!</v>
      </c>
      <c r="Q510" s="3" t="str">
        <f>IFERROR(__xludf.DUMMYFUNCTION("INDEX(SPLIT(J510,"" ""),1)"),"#REF!")</f>
        <v>#REF!</v>
      </c>
      <c r="R510" s="3" t="str">
        <f>IFERROR(__xludf.DUMMYFUNCTION("MID(REGEXEXTRACT(J510,"" [^ ]* [^ ]*""),2,300)"),"#REF!")</f>
        <v>#REF!</v>
      </c>
      <c r="S510" s="3">
        <f t="shared" si="2"/>
        <v>4</v>
      </c>
      <c r="T510" s="3" t="str">
        <f t="shared" si="3"/>
        <v>dotted red</v>
      </c>
      <c r="U510" s="3" t="str">
        <f t="shared" si="4"/>
        <v/>
      </c>
      <c r="V510" s="3" t="str">
        <f t="shared" si="5"/>
        <v/>
      </c>
      <c r="W510" s="3" t="str">
        <f t="shared" si="6"/>
        <v/>
      </c>
      <c r="X510" s="3" t="str">
        <f t="shared" si="7"/>
        <v/>
      </c>
      <c r="Y510" s="3" t="str">
        <f t="shared" si="8"/>
        <v/>
      </c>
      <c r="Z510" s="3" t="str">
        <f t="shared" si="9"/>
        <v/>
      </c>
      <c r="AA510" s="13">
        <f t="shared" si="10"/>
        <v>4976205101</v>
      </c>
      <c r="AB510" s="3">
        <f t="shared" si="11"/>
        <v>4976205100</v>
      </c>
      <c r="AC510" s="3">
        <f t="shared" si="12"/>
        <v>4</v>
      </c>
      <c r="AD510" s="3">
        <f t="shared" si="13"/>
        <v>1244051275</v>
      </c>
      <c r="AE510" s="3" t="str">
        <f t="shared" si="14"/>
        <v/>
      </c>
      <c r="AF510" s="3">
        <f t="shared" si="15"/>
        <v>0</v>
      </c>
      <c r="AG510" s="3" t="str">
        <f t="shared" si="16"/>
        <v/>
      </c>
      <c r="AH510" s="3">
        <f t="shared" si="17"/>
        <v>0</v>
      </c>
      <c r="AI510" s="3" t="str">
        <f t="shared" si="18"/>
        <v/>
      </c>
      <c r="AJ510" s="3">
        <f t="shared" si="19"/>
        <v>0</v>
      </c>
    </row>
    <row r="511">
      <c r="C511" s="6" t="s">
        <v>511</v>
      </c>
      <c r="D511" s="3">
        <f t="shared" si="1"/>
        <v>3</v>
      </c>
      <c r="E511" s="3" t="str">
        <f>IFERROR(__xludf.DUMMYFUNCTION("REGEXEXTRACT(C511,""[^ ]* [^ ]*"")"),"dark bronze")</f>
        <v>dark bronze</v>
      </c>
      <c r="F511" s="3" t="str">
        <f>IFERROR(__xludf.DUMMYFUNCTION("MID(REGEXEXTRACT(C511,""contain.*$""),9,300)"),"2 posh green bags, 1 dotted crimson bag, 5 bright lavender bags, 1 shiny coral bag.")</f>
        <v>2 posh green bags, 1 dotted crimson bag, 5 bright lavender bags, 1 shiny coral bag.</v>
      </c>
      <c r="G511" s="3" t="str">
        <f>IFERROR(__xludf.DUMMYFUNCTION("INDEX(SPLIT($F511,"",""),COLUMN()-6)"),"2 posh green bags")</f>
        <v>2 posh green bags</v>
      </c>
      <c r="H511" s="3" t="str">
        <f>IFERROR(__xludf.DUMMYFUNCTION("MID(INDEX(SPLIT($F511,"",""),COLUMN()-6),2,300)"),"1 dotted crimson bag")</f>
        <v>1 dotted crimson bag</v>
      </c>
      <c r="I511" s="3" t="str">
        <f>IFERROR(__xludf.DUMMYFUNCTION("MID(INDEX(SPLIT($F511,"",""),COLUMN()-6),2,300)"),"5 bright lavender bags")</f>
        <v>5 bright lavender bags</v>
      </c>
      <c r="J511" s="3" t="str">
        <f>IFERROR(__xludf.DUMMYFUNCTION("MID(INDEX(SPLIT($F511,"",""),COLUMN()-6),2,300)"),"1 shiny coral bag.")</f>
        <v>1 shiny coral bag.</v>
      </c>
      <c r="K511" s="3">
        <f>IFERROR(__xludf.DUMMYFUNCTION("INDEX(SPLIT(G511,"" ""),1)"),2.0)</f>
        <v>2</v>
      </c>
      <c r="L511" s="3" t="str">
        <f>IFERROR(__xludf.DUMMYFUNCTION("REGEXEXTRACT(G511,"" [^ ]* [^ ]* "")")," posh green ")</f>
        <v> posh green </v>
      </c>
      <c r="M511" s="3">
        <f>IFERROR(__xludf.DUMMYFUNCTION("INDEX(SPLIT(H511,"" ""),1)"),1.0)</f>
        <v>1</v>
      </c>
      <c r="N511" s="3" t="str">
        <f>IFERROR(__xludf.DUMMYFUNCTION("MID(REGEXEXTRACT(H511,"" [^ ]* [^ ]*""),2,300)"),"dotted crimson")</f>
        <v>dotted crimson</v>
      </c>
      <c r="O511" s="3">
        <f>IFERROR(__xludf.DUMMYFUNCTION("INDEX(SPLIT(I511,"" ""),1)"),5.0)</f>
        <v>5</v>
      </c>
      <c r="P511" s="3" t="str">
        <f>IFERROR(__xludf.DUMMYFUNCTION("MID(REGEXEXTRACT(I511,"" [^ ]* [^ ]*""),2,300)"),"bright lavender")</f>
        <v>bright lavender</v>
      </c>
      <c r="Q511" s="3">
        <f>IFERROR(__xludf.DUMMYFUNCTION("INDEX(SPLIT(J511,"" ""),1)"),1.0)</f>
        <v>1</v>
      </c>
      <c r="R511" s="3" t="str">
        <f>IFERROR(__xludf.DUMMYFUNCTION("MID(REGEXEXTRACT(J511,"" [^ ]* [^ ]*""),2,300)"),"shiny coral")</f>
        <v>shiny coral</v>
      </c>
      <c r="S511" s="3">
        <f t="shared" si="2"/>
        <v>2</v>
      </c>
      <c r="T511" s="3" t="str">
        <f t="shared" si="3"/>
        <v>posh green</v>
      </c>
      <c r="U511" s="3">
        <f t="shared" si="4"/>
        <v>1</v>
      </c>
      <c r="V511" s="3" t="str">
        <f t="shared" si="5"/>
        <v>dotted crimson</v>
      </c>
      <c r="W511" s="3">
        <f t="shared" si="6"/>
        <v>5</v>
      </c>
      <c r="X511" s="3" t="str">
        <f t="shared" si="7"/>
        <v>bright lavender</v>
      </c>
      <c r="Y511" s="3">
        <f t="shared" si="8"/>
        <v>1</v>
      </c>
      <c r="Z511" s="3" t="str">
        <f t="shared" si="9"/>
        <v>shiny coral</v>
      </c>
      <c r="AA511" s="13">
        <f t="shared" si="10"/>
        <v>14835</v>
      </c>
      <c r="AB511" s="3">
        <f t="shared" si="11"/>
        <v>14834</v>
      </c>
      <c r="AC511" s="3">
        <f t="shared" si="12"/>
        <v>2</v>
      </c>
      <c r="AD511" s="3">
        <f t="shared" si="13"/>
        <v>6367</v>
      </c>
      <c r="AE511" s="3">
        <f t="shared" si="14"/>
        <v>1</v>
      </c>
      <c r="AF511" s="3">
        <f t="shared" si="15"/>
        <v>1279</v>
      </c>
      <c r="AG511" s="3">
        <f t="shared" si="16"/>
        <v>5</v>
      </c>
      <c r="AH511" s="3">
        <f t="shared" si="17"/>
        <v>164</v>
      </c>
      <c r="AI511" s="3">
        <f t="shared" si="18"/>
        <v>1</v>
      </c>
      <c r="AJ511" s="3">
        <f t="shared" si="19"/>
        <v>1</v>
      </c>
    </row>
    <row r="512">
      <c r="C512" s="6" t="s">
        <v>512</v>
      </c>
      <c r="D512" s="3">
        <f t="shared" si="1"/>
        <v>0</v>
      </c>
      <c r="E512" s="3" t="str">
        <f>IFERROR(__xludf.DUMMYFUNCTION("REGEXEXTRACT(C512,""[^ ]* [^ ]*"")"),"mirrored black")</f>
        <v>mirrored black</v>
      </c>
      <c r="F512" s="3" t="str">
        <f>IFERROR(__xludf.DUMMYFUNCTION("MID(REGEXEXTRACT(C512,""contain.*$""),9,300)"),"3 muted salmon bags.")</f>
        <v>3 muted salmon bags.</v>
      </c>
      <c r="G512" s="3" t="str">
        <f>IFERROR(__xludf.DUMMYFUNCTION("INDEX(SPLIT($F512,"",""),COLUMN()-6)"),"3 muted salmon bags.")</f>
        <v>3 muted salmon bags.</v>
      </c>
      <c r="H512" s="3" t="str">
        <f>IFERROR(__xludf.DUMMYFUNCTION("MID(INDEX(SPLIT($F512,"",""),COLUMN()-6),2,300)"),"#REF!")</f>
        <v>#REF!</v>
      </c>
      <c r="I512" s="3" t="str">
        <f>IFERROR(__xludf.DUMMYFUNCTION("MID(INDEX(SPLIT($F512,"",""),COLUMN()-6),2,300)"),"#REF!")</f>
        <v>#REF!</v>
      </c>
      <c r="J512" s="3" t="str">
        <f>IFERROR(__xludf.DUMMYFUNCTION("MID(INDEX(SPLIT($F512,"",""),COLUMN()-6),2,300)"),"#REF!")</f>
        <v>#REF!</v>
      </c>
      <c r="K512" s="3">
        <f>IFERROR(__xludf.DUMMYFUNCTION("INDEX(SPLIT(G512,"" ""),1)"),3.0)</f>
        <v>3</v>
      </c>
      <c r="L512" s="3" t="str">
        <f>IFERROR(__xludf.DUMMYFUNCTION("REGEXEXTRACT(G512,"" [^ ]* [^ ]* "")")," muted salmon ")</f>
        <v> muted salmon </v>
      </c>
      <c r="M512" s="3" t="str">
        <f>IFERROR(__xludf.DUMMYFUNCTION("INDEX(SPLIT(H512,"" ""),1)"),"#REF!")</f>
        <v>#REF!</v>
      </c>
      <c r="N512" s="3" t="str">
        <f>IFERROR(__xludf.DUMMYFUNCTION("MID(REGEXEXTRACT(H512,"" [^ ]* [^ ]*""),2,300)"),"#REF!")</f>
        <v>#REF!</v>
      </c>
      <c r="O512" s="3" t="str">
        <f>IFERROR(__xludf.DUMMYFUNCTION("INDEX(SPLIT(I512,"" ""),1)"),"#REF!")</f>
        <v>#REF!</v>
      </c>
      <c r="P512" s="3" t="str">
        <f>IFERROR(__xludf.DUMMYFUNCTION("MID(REGEXEXTRACT(I512,"" [^ ]* [^ ]*""),2,300)"),"#REF!")</f>
        <v>#REF!</v>
      </c>
      <c r="Q512" s="3" t="str">
        <f>IFERROR(__xludf.DUMMYFUNCTION("INDEX(SPLIT(J512,"" ""),1)"),"#REF!")</f>
        <v>#REF!</v>
      </c>
      <c r="R512" s="3" t="str">
        <f>IFERROR(__xludf.DUMMYFUNCTION("MID(REGEXEXTRACT(J512,"" [^ ]* [^ ]*""),2,300)"),"#REF!")</f>
        <v>#REF!</v>
      </c>
      <c r="S512" s="3">
        <f t="shared" si="2"/>
        <v>3</v>
      </c>
      <c r="T512" s="3" t="str">
        <f t="shared" si="3"/>
        <v>muted salmon</v>
      </c>
      <c r="U512" s="3" t="str">
        <f t="shared" si="4"/>
        <v/>
      </c>
      <c r="V512" s="3" t="str">
        <f t="shared" si="5"/>
        <v/>
      </c>
      <c r="W512" s="3" t="str">
        <f t="shared" si="6"/>
        <v/>
      </c>
      <c r="X512" s="3" t="str">
        <f t="shared" si="7"/>
        <v/>
      </c>
      <c r="Y512" s="3" t="str">
        <f t="shared" si="8"/>
        <v/>
      </c>
      <c r="Z512" s="3" t="str">
        <f t="shared" si="9"/>
        <v/>
      </c>
      <c r="AA512" s="13">
        <f t="shared" si="10"/>
        <v>9037</v>
      </c>
      <c r="AB512" s="3">
        <f t="shared" si="11"/>
        <v>9036</v>
      </c>
      <c r="AC512" s="3">
        <f t="shared" si="12"/>
        <v>3</v>
      </c>
      <c r="AD512" s="3">
        <f t="shared" si="13"/>
        <v>3012</v>
      </c>
      <c r="AE512" s="3" t="str">
        <f t="shared" si="14"/>
        <v/>
      </c>
      <c r="AF512" s="3">
        <f t="shared" si="15"/>
        <v>0</v>
      </c>
      <c r="AG512" s="3" t="str">
        <f t="shared" si="16"/>
        <v/>
      </c>
      <c r="AH512" s="3">
        <f t="shared" si="17"/>
        <v>0</v>
      </c>
      <c r="AI512" s="3" t="str">
        <f t="shared" si="18"/>
        <v/>
      </c>
      <c r="AJ512" s="3">
        <f t="shared" si="19"/>
        <v>0</v>
      </c>
    </row>
    <row r="513">
      <c r="C513" s="6" t="s">
        <v>513</v>
      </c>
      <c r="D513" s="3">
        <f t="shared" si="1"/>
        <v>2</v>
      </c>
      <c r="E513" s="3" t="str">
        <f>IFERROR(__xludf.DUMMYFUNCTION("REGEXEXTRACT(C513,""[^ ]* [^ ]*"")"),"shiny magenta")</f>
        <v>shiny magenta</v>
      </c>
      <c r="F513" s="3" t="str">
        <f>IFERROR(__xludf.DUMMYFUNCTION("MID(REGEXEXTRACT(C513,""contain.*$""),9,300)"),"4 dotted orange bags, 4 bright silver bags, 3 posh coral bags.")</f>
        <v>4 dotted orange bags, 4 bright silver bags, 3 posh coral bags.</v>
      </c>
      <c r="G513" s="3" t="str">
        <f>IFERROR(__xludf.DUMMYFUNCTION("INDEX(SPLIT($F513,"",""),COLUMN()-6)"),"4 dotted orange bags")</f>
        <v>4 dotted orange bags</v>
      </c>
      <c r="H513" s="3" t="str">
        <f>IFERROR(__xludf.DUMMYFUNCTION("MID(INDEX(SPLIT($F513,"",""),COLUMN()-6),2,300)"),"4 bright silver bags")</f>
        <v>4 bright silver bags</v>
      </c>
      <c r="I513" s="3" t="str">
        <f>IFERROR(__xludf.DUMMYFUNCTION("MID(INDEX(SPLIT($F513,"",""),COLUMN()-6),2,300)"),"3 posh coral bags.")</f>
        <v>3 posh coral bags.</v>
      </c>
      <c r="J513" s="3" t="str">
        <f>IFERROR(__xludf.DUMMYFUNCTION("MID(INDEX(SPLIT($F513,"",""),COLUMN()-6),2,300)"),"#REF!")</f>
        <v>#REF!</v>
      </c>
      <c r="K513" s="3">
        <f>IFERROR(__xludf.DUMMYFUNCTION("INDEX(SPLIT(G513,"" ""),1)"),4.0)</f>
        <v>4</v>
      </c>
      <c r="L513" s="3" t="str">
        <f>IFERROR(__xludf.DUMMYFUNCTION("REGEXEXTRACT(G513,"" [^ ]* [^ ]* "")")," dotted orange ")</f>
        <v> dotted orange </v>
      </c>
      <c r="M513" s="3">
        <f>IFERROR(__xludf.DUMMYFUNCTION("INDEX(SPLIT(H513,"" ""),1)"),4.0)</f>
        <v>4</v>
      </c>
      <c r="N513" s="3" t="str">
        <f>IFERROR(__xludf.DUMMYFUNCTION("MID(REGEXEXTRACT(H513,"" [^ ]* [^ ]*""),2,300)"),"bright silver")</f>
        <v>bright silver</v>
      </c>
      <c r="O513" s="3">
        <f>IFERROR(__xludf.DUMMYFUNCTION("INDEX(SPLIT(I513,"" ""),1)"),3.0)</f>
        <v>3</v>
      </c>
      <c r="P513" s="3" t="str">
        <f>IFERROR(__xludf.DUMMYFUNCTION("MID(REGEXEXTRACT(I513,"" [^ ]* [^ ]*""),2,300)"),"posh coral")</f>
        <v>posh coral</v>
      </c>
      <c r="Q513" s="3" t="str">
        <f>IFERROR(__xludf.DUMMYFUNCTION("INDEX(SPLIT(J513,"" ""),1)"),"#REF!")</f>
        <v>#REF!</v>
      </c>
      <c r="R513" s="3" t="str">
        <f>IFERROR(__xludf.DUMMYFUNCTION("MID(REGEXEXTRACT(J513,"" [^ ]* [^ ]*""),2,300)"),"#REF!")</f>
        <v>#REF!</v>
      </c>
      <c r="S513" s="3">
        <f t="shared" si="2"/>
        <v>4</v>
      </c>
      <c r="T513" s="3" t="str">
        <f t="shared" si="3"/>
        <v>dotted orange</v>
      </c>
      <c r="U513" s="3">
        <f t="shared" si="4"/>
        <v>4</v>
      </c>
      <c r="V513" s="3" t="str">
        <f t="shared" si="5"/>
        <v>bright silver</v>
      </c>
      <c r="W513" s="3">
        <f t="shared" si="6"/>
        <v>3</v>
      </c>
      <c r="X513" s="3" t="str">
        <f t="shared" si="7"/>
        <v>posh coral</v>
      </c>
      <c r="Y513" s="3" t="str">
        <f t="shared" si="8"/>
        <v/>
      </c>
      <c r="Z513" s="3" t="str">
        <f t="shared" si="9"/>
        <v/>
      </c>
      <c r="AA513" s="13">
        <f t="shared" si="10"/>
        <v>7288</v>
      </c>
      <c r="AB513" s="3">
        <f t="shared" si="11"/>
        <v>7287</v>
      </c>
      <c r="AC513" s="3">
        <f t="shared" si="12"/>
        <v>4</v>
      </c>
      <c r="AD513" s="3">
        <f t="shared" si="13"/>
        <v>1780</v>
      </c>
      <c r="AE513" s="3">
        <f t="shared" si="14"/>
        <v>4</v>
      </c>
      <c r="AF513" s="3">
        <f t="shared" si="15"/>
        <v>41</v>
      </c>
      <c r="AG513" s="3">
        <f t="shared" si="16"/>
        <v>3</v>
      </c>
      <c r="AH513" s="3">
        <f t="shared" si="17"/>
        <v>1</v>
      </c>
      <c r="AI513" s="3" t="str">
        <f t="shared" si="18"/>
        <v/>
      </c>
      <c r="AJ513" s="3">
        <f t="shared" si="19"/>
        <v>0</v>
      </c>
    </row>
    <row r="514">
      <c r="C514" s="6" t="s">
        <v>514</v>
      </c>
      <c r="D514" s="3">
        <f t="shared" si="1"/>
        <v>0</v>
      </c>
      <c r="E514" s="3" t="str">
        <f>IFERROR(__xludf.DUMMYFUNCTION("REGEXEXTRACT(C514,""[^ ]* [^ ]*"")"),"light bronze")</f>
        <v>light bronze</v>
      </c>
      <c r="F514" s="3" t="str">
        <f>IFERROR(__xludf.DUMMYFUNCTION("MID(REGEXEXTRACT(C514,""contain.*$""),9,300)"),"3 dotted coral bags.")</f>
        <v>3 dotted coral bags.</v>
      </c>
      <c r="G514" s="3" t="str">
        <f>IFERROR(__xludf.DUMMYFUNCTION("INDEX(SPLIT($F514,"",""),COLUMN()-6)"),"3 dotted coral bags.")</f>
        <v>3 dotted coral bags.</v>
      </c>
      <c r="H514" s="3" t="str">
        <f>IFERROR(__xludf.DUMMYFUNCTION("MID(INDEX(SPLIT($F514,"",""),COLUMN()-6),2,300)"),"#REF!")</f>
        <v>#REF!</v>
      </c>
      <c r="I514" s="3" t="str">
        <f>IFERROR(__xludf.DUMMYFUNCTION("MID(INDEX(SPLIT($F514,"",""),COLUMN()-6),2,300)"),"#REF!")</f>
        <v>#REF!</v>
      </c>
      <c r="J514" s="3" t="str">
        <f>IFERROR(__xludf.DUMMYFUNCTION("MID(INDEX(SPLIT($F514,"",""),COLUMN()-6),2,300)"),"#REF!")</f>
        <v>#REF!</v>
      </c>
      <c r="K514" s="3">
        <f>IFERROR(__xludf.DUMMYFUNCTION("INDEX(SPLIT(G514,"" ""),1)"),3.0)</f>
        <v>3</v>
      </c>
      <c r="L514" s="3" t="str">
        <f>IFERROR(__xludf.DUMMYFUNCTION("REGEXEXTRACT(G514,"" [^ ]* [^ ]* "")")," dotted coral ")</f>
        <v> dotted coral </v>
      </c>
      <c r="M514" s="3" t="str">
        <f>IFERROR(__xludf.DUMMYFUNCTION("INDEX(SPLIT(H514,"" ""),1)"),"#REF!")</f>
        <v>#REF!</v>
      </c>
      <c r="N514" s="3" t="str">
        <f>IFERROR(__xludf.DUMMYFUNCTION("MID(REGEXEXTRACT(H514,"" [^ ]* [^ ]*""),2,300)"),"#REF!")</f>
        <v>#REF!</v>
      </c>
      <c r="O514" s="3" t="str">
        <f>IFERROR(__xludf.DUMMYFUNCTION("INDEX(SPLIT(I514,"" ""),1)"),"#REF!")</f>
        <v>#REF!</v>
      </c>
      <c r="P514" s="3" t="str">
        <f>IFERROR(__xludf.DUMMYFUNCTION("MID(REGEXEXTRACT(I514,"" [^ ]* [^ ]*""),2,300)"),"#REF!")</f>
        <v>#REF!</v>
      </c>
      <c r="Q514" s="3" t="str">
        <f>IFERROR(__xludf.DUMMYFUNCTION("INDEX(SPLIT(J514,"" ""),1)"),"#REF!")</f>
        <v>#REF!</v>
      </c>
      <c r="R514" s="3" t="str">
        <f>IFERROR(__xludf.DUMMYFUNCTION("MID(REGEXEXTRACT(J514,"" [^ ]* [^ ]*""),2,300)"),"#REF!")</f>
        <v>#REF!</v>
      </c>
      <c r="S514" s="3">
        <f t="shared" si="2"/>
        <v>3</v>
      </c>
      <c r="T514" s="3" t="str">
        <f t="shared" si="3"/>
        <v>dotted coral</v>
      </c>
      <c r="U514" s="3" t="str">
        <f t="shared" si="4"/>
        <v/>
      </c>
      <c r="V514" s="3" t="str">
        <f t="shared" si="5"/>
        <v/>
      </c>
      <c r="W514" s="3" t="str">
        <f t="shared" si="6"/>
        <v/>
      </c>
      <c r="X514" s="3" t="str">
        <f t="shared" si="7"/>
        <v/>
      </c>
      <c r="Y514" s="3" t="str">
        <f t="shared" si="8"/>
        <v/>
      </c>
      <c r="Z514" s="3" t="str">
        <f t="shared" si="9"/>
        <v/>
      </c>
      <c r="AA514" s="13">
        <f t="shared" si="10"/>
        <v>32410</v>
      </c>
      <c r="AB514" s="3">
        <f t="shared" si="11"/>
        <v>32409</v>
      </c>
      <c r="AC514" s="3">
        <f t="shared" si="12"/>
        <v>3</v>
      </c>
      <c r="AD514" s="3">
        <f t="shared" si="13"/>
        <v>10803</v>
      </c>
      <c r="AE514" s="3" t="str">
        <f t="shared" si="14"/>
        <v/>
      </c>
      <c r="AF514" s="3">
        <f t="shared" si="15"/>
        <v>0</v>
      </c>
      <c r="AG514" s="3" t="str">
        <f t="shared" si="16"/>
        <v/>
      </c>
      <c r="AH514" s="3">
        <f t="shared" si="17"/>
        <v>0</v>
      </c>
      <c r="AI514" s="3" t="str">
        <f t="shared" si="18"/>
        <v/>
      </c>
      <c r="AJ514" s="3">
        <f t="shared" si="19"/>
        <v>0</v>
      </c>
    </row>
    <row r="515">
      <c r="C515" s="6" t="s">
        <v>515</v>
      </c>
      <c r="D515" s="3">
        <f t="shared" si="1"/>
        <v>1</v>
      </c>
      <c r="E515" s="3" t="str">
        <f>IFERROR(__xludf.DUMMYFUNCTION("REGEXEXTRACT(C515,""[^ ]* [^ ]*"")"),"mirrored gray")</f>
        <v>mirrored gray</v>
      </c>
      <c r="F515" s="3" t="str">
        <f>IFERROR(__xludf.DUMMYFUNCTION("MID(REGEXEXTRACT(C515,""contain.*$""),9,300)"),"1 muted olive bag, 1 bright violet bag.")</f>
        <v>1 muted olive bag, 1 bright violet bag.</v>
      </c>
      <c r="G515" s="3" t="str">
        <f>IFERROR(__xludf.DUMMYFUNCTION("INDEX(SPLIT($F515,"",""),COLUMN()-6)"),"1 muted olive bag")</f>
        <v>1 muted olive bag</v>
      </c>
      <c r="H515" s="3" t="str">
        <f>IFERROR(__xludf.DUMMYFUNCTION("MID(INDEX(SPLIT($F515,"",""),COLUMN()-6),2,300)"),"1 bright violet bag.")</f>
        <v>1 bright violet bag.</v>
      </c>
      <c r="I515" s="3" t="str">
        <f>IFERROR(__xludf.DUMMYFUNCTION("MID(INDEX(SPLIT($F515,"",""),COLUMN()-6),2,300)"),"#REF!")</f>
        <v>#REF!</v>
      </c>
      <c r="J515" s="3" t="str">
        <f>IFERROR(__xludf.DUMMYFUNCTION("MID(INDEX(SPLIT($F515,"",""),COLUMN()-6),2,300)"),"#REF!")</f>
        <v>#REF!</v>
      </c>
      <c r="K515" s="3">
        <f>IFERROR(__xludf.DUMMYFUNCTION("INDEX(SPLIT(G515,"" ""),1)"),1.0)</f>
        <v>1</v>
      </c>
      <c r="L515" s="3" t="str">
        <f>IFERROR(__xludf.DUMMYFUNCTION("REGEXEXTRACT(G515,"" [^ ]* [^ ]* "")")," muted olive ")</f>
        <v> muted olive </v>
      </c>
      <c r="M515" s="3">
        <f>IFERROR(__xludf.DUMMYFUNCTION("INDEX(SPLIT(H515,"" ""),1)"),1.0)</f>
        <v>1</v>
      </c>
      <c r="N515" s="3" t="str">
        <f>IFERROR(__xludf.DUMMYFUNCTION("MID(REGEXEXTRACT(H515,"" [^ ]* [^ ]*""),2,300)"),"bright violet")</f>
        <v>bright violet</v>
      </c>
      <c r="O515" s="3" t="str">
        <f>IFERROR(__xludf.DUMMYFUNCTION("INDEX(SPLIT(I515,"" ""),1)"),"#REF!")</f>
        <v>#REF!</v>
      </c>
      <c r="P515" s="3" t="str">
        <f>IFERROR(__xludf.DUMMYFUNCTION("MID(REGEXEXTRACT(I515,"" [^ ]* [^ ]*""),2,300)"),"#REF!")</f>
        <v>#REF!</v>
      </c>
      <c r="Q515" s="3" t="str">
        <f>IFERROR(__xludf.DUMMYFUNCTION("INDEX(SPLIT(J515,"" ""),1)"),"#REF!")</f>
        <v>#REF!</v>
      </c>
      <c r="R515" s="3" t="str">
        <f>IFERROR(__xludf.DUMMYFUNCTION("MID(REGEXEXTRACT(J515,"" [^ ]* [^ ]*""),2,300)"),"#REF!")</f>
        <v>#REF!</v>
      </c>
      <c r="S515" s="3">
        <f t="shared" si="2"/>
        <v>1</v>
      </c>
      <c r="T515" s="3" t="str">
        <f t="shared" si="3"/>
        <v>muted olive</v>
      </c>
      <c r="U515" s="3">
        <f t="shared" si="4"/>
        <v>1</v>
      </c>
      <c r="V515" s="3" t="str">
        <f t="shared" si="5"/>
        <v>bright violet</v>
      </c>
      <c r="W515" s="3" t="str">
        <f t="shared" si="6"/>
        <v/>
      </c>
      <c r="X515" s="3" t="str">
        <f t="shared" si="7"/>
        <v/>
      </c>
      <c r="Y515" s="3" t="str">
        <f t="shared" si="8"/>
        <v/>
      </c>
      <c r="Z515" s="3" t="str">
        <f t="shared" si="9"/>
        <v/>
      </c>
      <c r="AA515" s="13">
        <f t="shared" si="10"/>
        <v>8</v>
      </c>
      <c r="AB515" s="3">
        <f t="shared" si="11"/>
        <v>7</v>
      </c>
      <c r="AC515" s="3">
        <f t="shared" si="12"/>
        <v>1</v>
      </c>
      <c r="AD515" s="3">
        <f t="shared" si="13"/>
        <v>6</v>
      </c>
      <c r="AE515" s="3">
        <f t="shared" si="14"/>
        <v>1</v>
      </c>
      <c r="AF515" s="3">
        <f t="shared" si="15"/>
        <v>1</v>
      </c>
      <c r="AG515" s="3" t="str">
        <f t="shared" si="16"/>
        <v/>
      </c>
      <c r="AH515" s="3">
        <f t="shared" si="17"/>
        <v>0</v>
      </c>
      <c r="AI515" s="3" t="str">
        <f t="shared" si="18"/>
        <v/>
      </c>
      <c r="AJ515" s="3">
        <f t="shared" si="19"/>
        <v>0</v>
      </c>
    </row>
    <row r="516">
      <c r="C516" s="6" t="s">
        <v>516</v>
      </c>
      <c r="D516" s="3">
        <f t="shared" si="1"/>
        <v>1</v>
      </c>
      <c r="E516" s="3" t="str">
        <f>IFERROR(__xludf.DUMMYFUNCTION("REGEXEXTRACT(C516,""[^ ]* [^ ]*"")"),"bright lavender")</f>
        <v>bright lavender</v>
      </c>
      <c r="F516" s="3" t="str">
        <f>IFERROR(__xludf.DUMMYFUNCTION("MID(REGEXEXTRACT(C516,""contain.*$""),9,300)"),"1 dull tomato bag, 2 clear blue bags.")</f>
        <v>1 dull tomato bag, 2 clear blue bags.</v>
      </c>
      <c r="G516" s="3" t="str">
        <f>IFERROR(__xludf.DUMMYFUNCTION("INDEX(SPLIT($F516,"",""),COLUMN()-6)"),"1 dull tomato bag")</f>
        <v>1 dull tomato bag</v>
      </c>
      <c r="H516" s="3" t="str">
        <f>IFERROR(__xludf.DUMMYFUNCTION("MID(INDEX(SPLIT($F516,"",""),COLUMN()-6),2,300)"),"2 clear blue bags.")</f>
        <v>2 clear blue bags.</v>
      </c>
      <c r="I516" s="3" t="str">
        <f>IFERROR(__xludf.DUMMYFUNCTION("MID(INDEX(SPLIT($F516,"",""),COLUMN()-6),2,300)"),"#REF!")</f>
        <v>#REF!</v>
      </c>
      <c r="J516" s="3" t="str">
        <f>IFERROR(__xludf.DUMMYFUNCTION("MID(INDEX(SPLIT($F516,"",""),COLUMN()-6),2,300)"),"#REF!")</f>
        <v>#REF!</v>
      </c>
      <c r="K516" s="3">
        <f>IFERROR(__xludf.DUMMYFUNCTION("INDEX(SPLIT(G516,"" ""),1)"),1.0)</f>
        <v>1</v>
      </c>
      <c r="L516" s="3" t="str">
        <f>IFERROR(__xludf.DUMMYFUNCTION("REGEXEXTRACT(G516,"" [^ ]* [^ ]* "")")," dull tomato ")</f>
        <v> dull tomato </v>
      </c>
      <c r="M516" s="3">
        <f>IFERROR(__xludf.DUMMYFUNCTION("INDEX(SPLIT(H516,"" ""),1)"),2.0)</f>
        <v>2</v>
      </c>
      <c r="N516" s="3" t="str">
        <f>IFERROR(__xludf.DUMMYFUNCTION("MID(REGEXEXTRACT(H516,"" [^ ]* [^ ]*""),2,300)"),"clear blue")</f>
        <v>clear blue</v>
      </c>
      <c r="O516" s="3" t="str">
        <f>IFERROR(__xludf.DUMMYFUNCTION("INDEX(SPLIT(I516,"" ""),1)"),"#REF!")</f>
        <v>#REF!</v>
      </c>
      <c r="P516" s="3" t="str">
        <f>IFERROR(__xludf.DUMMYFUNCTION("MID(REGEXEXTRACT(I516,"" [^ ]* [^ ]*""),2,300)"),"#REF!")</f>
        <v>#REF!</v>
      </c>
      <c r="Q516" s="3" t="str">
        <f>IFERROR(__xludf.DUMMYFUNCTION("INDEX(SPLIT(J516,"" ""),1)"),"#REF!")</f>
        <v>#REF!</v>
      </c>
      <c r="R516" s="3" t="str">
        <f>IFERROR(__xludf.DUMMYFUNCTION("MID(REGEXEXTRACT(J516,"" [^ ]* [^ ]*""),2,300)"),"#REF!")</f>
        <v>#REF!</v>
      </c>
      <c r="S516" s="3">
        <f t="shared" si="2"/>
        <v>1</v>
      </c>
      <c r="T516" s="3" t="str">
        <f t="shared" si="3"/>
        <v>dull tomato</v>
      </c>
      <c r="U516" s="3">
        <f t="shared" si="4"/>
        <v>2</v>
      </c>
      <c r="V516" s="3" t="str">
        <f t="shared" si="5"/>
        <v>clear blue</v>
      </c>
      <c r="W516" s="3" t="str">
        <f t="shared" si="6"/>
        <v/>
      </c>
      <c r="X516" s="3" t="str">
        <f t="shared" si="7"/>
        <v/>
      </c>
      <c r="Y516" s="3" t="str">
        <f t="shared" si="8"/>
        <v/>
      </c>
      <c r="Z516" s="3" t="str">
        <f t="shared" si="9"/>
        <v/>
      </c>
      <c r="AA516" s="13">
        <f t="shared" si="10"/>
        <v>164</v>
      </c>
      <c r="AB516" s="3">
        <f t="shared" si="11"/>
        <v>163</v>
      </c>
      <c r="AC516" s="3">
        <f t="shared" si="12"/>
        <v>1</v>
      </c>
      <c r="AD516" s="3">
        <f t="shared" si="13"/>
        <v>11</v>
      </c>
      <c r="AE516" s="3">
        <f t="shared" si="14"/>
        <v>2</v>
      </c>
      <c r="AF516" s="3">
        <f t="shared" si="15"/>
        <v>76</v>
      </c>
      <c r="AG516" s="3" t="str">
        <f t="shared" si="16"/>
        <v/>
      </c>
      <c r="AH516" s="3">
        <f t="shared" si="17"/>
        <v>0</v>
      </c>
      <c r="AI516" s="3" t="str">
        <f t="shared" si="18"/>
        <v/>
      </c>
      <c r="AJ516" s="3">
        <f t="shared" si="19"/>
        <v>0</v>
      </c>
    </row>
    <row r="517">
      <c r="C517" s="6" t="s">
        <v>517</v>
      </c>
      <c r="D517" s="3">
        <f t="shared" si="1"/>
        <v>1</v>
      </c>
      <c r="E517" s="3" t="str">
        <f>IFERROR(__xludf.DUMMYFUNCTION("REGEXEXTRACT(C517,""[^ ]* [^ ]*"")"),"drab yellow")</f>
        <v>drab yellow</v>
      </c>
      <c r="F517" s="3" t="str">
        <f>IFERROR(__xludf.DUMMYFUNCTION("MID(REGEXEXTRACT(C517,""contain.*$""),9,300)"),"3 dim tomato bags, 3 striped green bags.")</f>
        <v>3 dim tomato bags, 3 striped green bags.</v>
      </c>
      <c r="G517" s="3" t="str">
        <f>IFERROR(__xludf.DUMMYFUNCTION("INDEX(SPLIT($F517,"",""),COLUMN()-6)"),"3 dim tomato bags")</f>
        <v>3 dim tomato bags</v>
      </c>
      <c r="H517" s="3" t="str">
        <f>IFERROR(__xludf.DUMMYFUNCTION("MID(INDEX(SPLIT($F517,"",""),COLUMN()-6),2,300)"),"3 striped green bags.")</f>
        <v>3 striped green bags.</v>
      </c>
      <c r="I517" s="3" t="str">
        <f>IFERROR(__xludf.DUMMYFUNCTION("MID(INDEX(SPLIT($F517,"",""),COLUMN()-6),2,300)"),"#REF!")</f>
        <v>#REF!</v>
      </c>
      <c r="J517" s="3" t="str">
        <f>IFERROR(__xludf.DUMMYFUNCTION("MID(INDEX(SPLIT($F517,"",""),COLUMN()-6),2,300)"),"#REF!")</f>
        <v>#REF!</v>
      </c>
      <c r="K517" s="3">
        <f>IFERROR(__xludf.DUMMYFUNCTION("INDEX(SPLIT(G517,"" ""),1)"),3.0)</f>
        <v>3</v>
      </c>
      <c r="L517" s="3" t="str">
        <f>IFERROR(__xludf.DUMMYFUNCTION("REGEXEXTRACT(G517,"" [^ ]* [^ ]* "")")," dim tomato ")</f>
        <v> dim tomato </v>
      </c>
      <c r="M517" s="3">
        <f>IFERROR(__xludf.DUMMYFUNCTION("INDEX(SPLIT(H517,"" ""),1)"),3.0)</f>
        <v>3</v>
      </c>
      <c r="N517" s="3" t="str">
        <f>IFERROR(__xludf.DUMMYFUNCTION("MID(REGEXEXTRACT(H517,"" [^ ]* [^ ]*""),2,300)"),"striped green")</f>
        <v>striped green</v>
      </c>
      <c r="O517" s="3" t="str">
        <f>IFERROR(__xludf.DUMMYFUNCTION("INDEX(SPLIT(I517,"" ""),1)"),"#REF!")</f>
        <v>#REF!</v>
      </c>
      <c r="P517" s="3" t="str">
        <f>IFERROR(__xludf.DUMMYFUNCTION("MID(REGEXEXTRACT(I517,"" [^ ]* [^ ]*""),2,300)"),"#REF!")</f>
        <v>#REF!</v>
      </c>
      <c r="Q517" s="3" t="str">
        <f>IFERROR(__xludf.DUMMYFUNCTION("INDEX(SPLIT(J517,"" ""),1)"),"#REF!")</f>
        <v>#REF!</v>
      </c>
      <c r="R517" s="3" t="str">
        <f>IFERROR(__xludf.DUMMYFUNCTION("MID(REGEXEXTRACT(J517,"" [^ ]* [^ ]*""),2,300)"),"#REF!")</f>
        <v>#REF!</v>
      </c>
      <c r="S517" s="3">
        <f t="shared" si="2"/>
        <v>3</v>
      </c>
      <c r="T517" s="3" t="str">
        <f t="shared" si="3"/>
        <v>dim tomato</v>
      </c>
      <c r="U517" s="3">
        <f t="shared" si="4"/>
        <v>3</v>
      </c>
      <c r="V517" s="3" t="str">
        <f t="shared" si="5"/>
        <v>striped green</v>
      </c>
      <c r="W517" s="3" t="str">
        <f t="shared" si="6"/>
        <v/>
      </c>
      <c r="X517" s="3" t="str">
        <f t="shared" si="7"/>
        <v/>
      </c>
      <c r="Y517" s="3" t="str">
        <f t="shared" si="8"/>
        <v/>
      </c>
      <c r="Z517" s="3" t="str">
        <f t="shared" si="9"/>
        <v/>
      </c>
      <c r="AA517" s="13">
        <f t="shared" si="10"/>
        <v>593942644</v>
      </c>
      <c r="AB517" s="3">
        <f t="shared" si="11"/>
        <v>593942643</v>
      </c>
      <c r="AC517" s="3">
        <f t="shared" si="12"/>
        <v>3</v>
      </c>
      <c r="AD517" s="3">
        <f t="shared" si="13"/>
        <v>186016153</v>
      </c>
      <c r="AE517" s="3">
        <f t="shared" si="14"/>
        <v>3</v>
      </c>
      <c r="AF517" s="3">
        <f t="shared" si="15"/>
        <v>11964728</v>
      </c>
      <c r="AG517" s="3" t="str">
        <f t="shared" si="16"/>
        <v/>
      </c>
      <c r="AH517" s="3">
        <f t="shared" si="17"/>
        <v>0</v>
      </c>
      <c r="AI517" s="3" t="str">
        <f t="shared" si="18"/>
        <v/>
      </c>
      <c r="AJ517" s="3">
        <f t="shared" si="19"/>
        <v>0</v>
      </c>
    </row>
    <row r="518">
      <c r="C518" s="6" t="s">
        <v>518</v>
      </c>
      <c r="D518" s="3">
        <f t="shared" si="1"/>
        <v>3</v>
      </c>
      <c r="E518" s="3" t="str">
        <f>IFERROR(__xludf.DUMMYFUNCTION("REGEXEXTRACT(C518,""[^ ]* [^ ]*"")"),"dark chartreuse")</f>
        <v>dark chartreuse</v>
      </c>
      <c r="F518" s="3" t="str">
        <f>IFERROR(__xludf.DUMMYFUNCTION("MID(REGEXEXTRACT(C518,""contain.*$""),9,300)"),"5 vibrant violet bags, 4 shiny tan bags, 4 dark orange bags, 1 dull tan bag.")</f>
        <v>5 vibrant violet bags, 4 shiny tan bags, 4 dark orange bags, 1 dull tan bag.</v>
      </c>
      <c r="G518" s="3" t="str">
        <f>IFERROR(__xludf.DUMMYFUNCTION("INDEX(SPLIT($F518,"",""),COLUMN()-6)"),"5 vibrant violet bags")</f>
        <v>5 vibrant violet bags</v>
      </c>
      <c r="H518" s="3" t="str">
        <f>IFERROR(__xludf.DUMMYFUNCTION("MID(INDEX(SPLIT($F518,"",""),COLUMN()-6),2,300)"),"4 shiny tan bags")</f>
        <v>4 shiny tan bags</v>
      </c>
      <c r="I518" s="3" t="str">
        <f>IFERROR(__xludf.DUMMYFUNCTION("MID(INDEX(SPLIT($F518,"",""),COLUMN()-6),2,300)"),"4 dark orange bags")</f>
        <v>4 dark orange bags</v>
      </c>
      <c r="J518" s="3" t="str">
        <f>IFERROR(__xludf.DUMMYFUNCTION("MID(INDEX(SPLIT($F518,"",""),COLUMN()-6),2,300)"),"1 dull tan bag.")</f>
        <v>1 dull tan bag.</v>
      </c>
      <c r="K518" s="3">
        <f>IFERROR(__xludf.DUMMYFUNCTION("INDEX(SPLIT(G518,"" ""),1)"),5.0)</f>
        <v>5</v>
      </c>
      <c r="L518" s="3" t="str">
        <f>IFERROR(__xludf.DUMMYFUNCTION("REGEXEXTRACT(G518,"" [^ ]* [^ ]* "")")," vibrant violet ")</f>
        <v> vibrant violet </v>
      </c>
      <c r="M518" s="3">
        <f>IFERROR(__xludf.DUMMYFUNCTION("INDEX(SPLIT(H518,"" ""),1)"),4.0)</f>
        <v>4</v>
      </c>
      <c r="N518" s="3" t="str">
        <f>IFERROR(__xludf.DUMMYFUNCTION("MID(REGEXEXTRACT(H518,"" [^ ]* [^ ]*""),2,300)"),"shiny tan")</f>
        <v>shiny tan</v>
      </c>
      <c r="O518" s="3">
        <f>IFERROR(__xludf.DUMMYFUNCTION("INDEX(SPLIT(I518,"" ""),1)"),4.0)</f>
        <v>4</v>
      </c>
      <c r="P518" s="3" t="str">
        <f>IFERROR(__xludf.DUMMYFUNCTION("MID(REGEXEXTRACT(I518,"" [^ ]* [^ ]*""),2,300)"),"dark orange")</f>
        <v>dark orange</v>
      </c>
      <c r="Q518" s="3">
        <f>IFERROR(__xludf.DUMMYFUNCTION("INDEX(SPLIT(J518,"" ""),1)"),1.0)</f>
        <v>1</v>
      </c>
      <c r="R518" s="3" t="str">
        <f>IFERROR(__xludf.DUMMYFUNCTION("MID(REGEXEXTRACT(J518,"" [^ ]* [^ ]*""),2,300)"),"dull tan")</f>
        <v>dull tan</v>
      </c>
      <c r="S518" s="3">
        <f t="shared" si="2"/>
        <v>5</v>
      </c>
      <c r="T518" s="3" t="str">
        <f t="shared" si="3"/>
        <v>vibrant violet</v>
      </c>
      <c r="U518" s="3">
        <f t="shared" si="4"/>
        <v>4</v>
      </c>
      <c r="V518" s="3" t="str">
        <f t="shared" si="5"/>
        <v>shiny tan</v>
      </c>
      <c r="W518" s="3">
        <f t="shared" si="6"/>
        <v>4</v>
      </c>
      <c r="X518" s="3" t="str">
        <f t="shared" si="7"/>
        <v>dark orange</v>
      </c>
      <c r="Y518" s="3">
        <f t="shared" si="8"/>
        <v>1</v>
      </c>
      <c r="Z518" s="3" t="str">
        <f t="shared" si="9"/>
        <v>dull tan</v>
      </c>
      <c r="AA518" s="13">
        <f t="shared" si="10"/>
        <v>89212893</v>
      </c>
      <c r="AB518" s="3">
        <f t="shared" si="11"/>
        <v>89212892</v>
      </c>
      <c r="AC518" s="3">
        <f t="shared" si="12"/>
        <v>5</v>
      </c>
      <c r="AD518" s="3">
        <f t="shared" si="13"/>
        <v>2775715</v>
      </c>
      <c r="AE518" s="3">
        <f t="shared" si="14"/>
        <v>4</v>
      </c>
      <c r="AF518" s="3">
        <f t="shared" si="15"/>
        <v>69856</v>
      </c>
      <c r="AG518" s="3">
        <f t="shared" si="16"/>
        <v>4</v>
      </c>
      <c r="AH518" s="3">
        <f t="shared" si="17"/>
        <v>18683429</v>
      </c>
      <c r="AI518" s="3">
        <f t="shared" si="18"/>
        <v>1</v>
      </c>
      <c r="AJ518" s="3">
        <f t="shared" si="19"/>
        <v>321177</v>
      </c>
    </row>
    <row r="519">
      <c r="C519" s="6" t="s">
        <v>519</v>
      </c>
      <c r="D519" s="3">
        <f t="shared" si="1"/>
        <v>2</v>
      </c>
      <c r="E519" s="3" t="str">
        <f>IFERROR(__xludf.DUMMYFUNCTION("REGEXEXTRACT(C519,""[^ ]* [^ ]*"")"),"vibrant indigo")</f>
        <v>vibrant indigo</v>
      </c>
      <c r="F519" s="3" t="str">
        <f>IFERROR(__xludf.DUMMYFUNCTION("MID(REGEXEXTRACT(C519,""contain.*$""),9,300)"),"3 mirrored violet bags, 3 light teal bags, 2 dim red bags.")</f>
        <v>3 mirrored violet bags, 3 light teal bags, 2 dim red bags.</v>
      </c>
      <c r="G519" s="3" t="str">
        <f>IFERROR(__xludf.DUMMYFUNCTION("INDEX(SPLIT($F519,"",""),COLUMN()-6)"),"3 mirrored violet bags")</f>
        <v>3 mirrored violet bags</v>
      </c>
      <c r="H519" s="3" t="str">
        <f>IFERROR(__xludf.DUMMYFUNCTION("MID(INDEX(SPLIT($F519,"",""),COLUMN()-6),2,300)"),"3 light teal bags")</f>
        <v>3 light teal bags</v>
      </c>
      <c r="I519" s="3" t="str">
        <f>IFERROR(__xludf.DUMMYFUNCTION("MID(INDEX(SPLIT($F519,"",""),COLUMN()-6),2,300)"),"2 dim red bags.")</f>
        <v>2 dim red bags.</v>
      </c>
      <c r="J519" s="3" t="str">
        <f>IFERROR(__xludf.DUMMYFUNCTION("MID(INDEX(SPLIT($F519,"",""),COLUMN()-6),2,300)"),"#REF!")</f>
        <v>#REF!</v>
      </c>
      <c r="K519" s="3">
        <f>IFERROR(__xludf.DUMMYFUNCTION("INDEX(SPLIT(G519,"" ""),1)"),3.0)</f>
        <v>3</v>
      </c>
      <c r="L519" s="3" t="str">
        <f>IFERROR(__xludf.DUMMYFUNCTION("REGEXEXTRACT(G519,"" [^ ]* [^ ]* "")")," mirrored violet ")</f>
        <v> mirrored violet </v>
      </c>
      <c r="M519" s="3">
        <f>IFERROR(__xludf.DUMMYFUNCTION("INDEX(SPLIT(H519,"" ""),1)"),3.0)</f>
        <v>3</v>
      </c>
      <c r="N519" s="3" t="str">
        <f>IFERROR(__xludf.DUMMYFUNCTION("MID(REGEXEXTRACT(H519,"" [^ ]* [^ ]*""),2,300)"),"light teal")</f>
        <v>light teal</v>
      </c>
      <c r="O519" s="3">
        <f>IFERROR(__xludf.DUMMYFUNCTION("INDEX(SPLIT(I519,"" ""),1)"),2.0)</f>
        <v>2</v>
      </c>
      <c r="P519" s="3" t="str">
        <f>IFERROR(__xludf.DUMMYFUNCTION("MID(REGEXEXTRACT(I519,"" [^ ]* [^ ]*""),2,300)"),"dim red")</f>
        <v>dim red</v>
      </c>
      <c r="Q519" s="3" t="str">
        <f>IFERROR(__xludf.DUMMYFUNCTION("INDEX(SPLIT(J519,"" ""),1)"),"#REF!")</f>
        <v>#REF!</v>
      </c>
      <c r="R519" s="3" t="str">
        <f>IFERROR(__xludf.DUMMYFUNCTION("MID(REGEXEXTRACT(J519,"" [^ ]* [^ ]*""),2,300)"),"#REF!")</f>
        <v>#REF!</v>
      </c>
      <c r="S519" s="3">
        <f t="shared" si="2"/>
        <v>3</v>
      </c>
      <c r="T519" s="3" t="str">
        <f t="shared" si="3"/>
        <v>mirrored violet</v>
      </c>
      <c r="U519" s="3">
        <f t="shared" si="4"/>
        <v>3</v>
      </c>
      <c r="V519" s="3" t="str">
        <f t="shared" si="5"/>
        <v>light teal</v>
      </c>
      <c r="W519" s="3">
        <f t="shared" si="6"/>
        <v>2</v>
      </c>
      <c r="X519" s="3" t="str">
        <f t="shared" si="7"/>
        <v>dim red</v>
      </c>
      <c r="Y519" s="3" t="str">
        <f t="shared" si="8"/>
        <v/>
      </c>
      <c r="Z519" s="3" t="str">
        <f t="shared" si="9"/>
        <v/>
      </c>
      <c r="AA519" s="13">
        <f t="shared" si="10"/>
        <v>37785150</v>
      </c>
      <c r="AB519" s="3">
        <f t="shared" si="11"/>
        <v>37785149</v>
      </c>
      <c r="AC519" s="3">
        <f t="shared" si="12"/>
        <v>3</v>
      </c>
      <c r="AD519" s="3">
        <f t="shared" si="13"/>
        <v>538277</v>
      </c>
      <c r="AE519" s="3">
        <f t="shared" si="14"/>
        <v>3</v>
      </c>
      <c r="AF519" s="3">
        <f t="shared" si="15"/>
        <v>48488</v>
      </c>
      <c r="AG519" s="3">
        <f t="shared" si="16"/>
        <v>2</v>
      </c>
      <c r="AH519" s="3">
        <f t="shared" si="17"/>
        <v>18012427</v>
      </c>
      <c r="AI519" s="3" t="str">
        <f t="shared" si="18"/>
        <v/>
      </c>
      <c r="AJ519" s="3">
        <f t="shared" si="19"/>
        <v>0</v>
      </c>
    </row>
    <row r="520">
      <c r="C520" s="6" t="s">
        <v>520</v>
      </c>
      <c r="D520" s="3">
        <f t="shared" si="1"/>
        <v>2</v>
      </c>
      <c r="E520" s="3" t="str">
        <f>IFERROR(__xludf.DUMMYFUNCTION("REGEXEXTRACT(C520,""[^ ]* [^ ]*"")"),"plaid green")</f>
        <v>plaid green</v>
      </c>
      <c r="F520" s="3" t="str">
        <f>IFERROR(__xludf.DUMMYFUNCTION("MID(REGEXEXTRACT(C520,""contain.*$""),9,300)"),"3 wavy blue bags, 4 wavy yellow bags, 1 dull lavender bag.")</f>
        <v>3 wavy blue bags, 4 wavy yellow bags, 1 dull lavender bag.</v>
      </c>
      <c r="G520" s="3" t="str">
        <f>IFERROR(__xludf.DUMMYFUNCTION("INDEX(SPLIT($F520,"",""),COLUMN()-6)"),"3 wavy blue bags")</f>
        <v>3 wavy blue bags</v>
      </c>
      <c r="H520" s="3" t="str">
        <f>IFERROR(__xludf.DUMMYFUNCTION("MID(INDEX(SPLIT($F520,"",""),COLUMN()-6),2,300)"),"4 wavy yellow bags")</f>
        <v>4 wavy yellow bags</v>
      </c>
      <c r="I520" s="3" t="str">
        <f>IFERROR(__xludf.DUMMYFUNCTION("MID(INDEX(SPLIT($F520,"",""),COLUMN()-6),2,300)"),"1 dull lavender bag.")</f>
        <v>1 dull lavender bag.</v>
      </c>
      <c r="J520" s="3" t="str">
        <f>IFERROR(__xludf.DUMMYFUNCTION("MID(INDEX(SPLIT($F520,"",""),COLUMN()-6),2,300)"),"#REF!")</f>
        <v>#REF!</v>
      </c>
      <c r="K520" s="3">
        <f>IFERROR(__xludf.DUMMYFUNCTION("INDEX(SPLIT(G520,"" ""),1)"),3.0)</f>
        <v>3</v>
      </c>
      <c r="L520" s="3" t="str">
        <f>IFERROR(__xludf.DUMMYFUNCTION("REGEXEXTRACT(G520,"" [^ ]* [^ ]* "")")," wavy blue ")</f>
        <v> wavy blue </v>
      </c>
      <c r="M520" s="3">
        <f>IFERROR(__xludf.DUMMYFUNCTION("INDEX(SPLIT(H520,"" ""),1)"),4.0)</f>
        <v>4</v>
      </c>
      <c r="N520" s="3" t="str">
        <f>IFERROR(__xludf.DUMMYFUNCTION("MID(REGEXEXTRACT(H520,"" [^ ]* [^ ]*""),2,300)"),"wavy yellow")</f>
        <v>wavy yellow</v>
      </c>
      <c r="O520" s="3">
        <f>IFERROR(__xludf.DUMMYFUNCTION("INDEX(SPLIT(I520,"" ""),1)"),1.0)</f>
        <v>1</v>
      </c>
      <c r="P520" s="3" t="str">
        <f>IFERROR(__xludf.DUMMYFUNCTION("MID(REGEXEXTRACT(I520,"" [^ ]* [^ ]*""),2,300)"),"dull lavender")</f>
        <v>dull lavender</v>
      </c>
      <c r="Q520" s="3" t="str">
        <f>IFERROR(__xludf.DUMMYFUNCTION("INDEX(SPLIT(J520,"" ""),1)"),"#REF!")</f>
        <v>#REF!</v>
      </c>
      <c r="R520" s="3" t="str">
        <f>IFERROR(__xludf.DUMMYFUNCTION("MID(REGEXEXTRACT(J520,"" [^ ]* [^ ]*""),2,300)"),"#REF!")</f>
        <v>#REF!</v>
      </c>
      <c r="S520" s="3">
        <f t="shared" si="2"/>
        <v>3</v>
      </c>
      <c r="T520" s="3" t="str">
        <f t="shared" si="3"/>
        <v>wavy blue</v>
      </c>
      <c r="U520" s="3">
        <f t="shared" si="4"/>
        <v>4</v>
      </c>
      <c r="V520" s="3" t="str">
        <f t="shared" si="5"/>
        <v>wavy yellow</v>
      </c>
      <c r="W520" s="3">
        <f t="shared" si="6"/>
        <v>1</v>
      </c>
      <c r="X520" s="3" t="str">
        <f t="shared" si="7"/>
        <v>dull lavender</v>
      </c>
      <c r="Y520" s="3" t="str">
        <f t="shared" si="8"/>
        <v/>
      </c>
      <c r="Z520" s="3" t="str">
        <f t="shared" si="9"/>
        <v/>
      </c>
      <c r="AA520" s="13">
        <f t="shared" si="10"/>
        <v>146015737</v>
      </c>
      <c r="AB520" s="3">
        <f t="shared" si="11"/>
        <v>146015736</v>
      </c>
      <c r="AC520" s="3">
        <f t="shared" si="12"/>
        <v>3</v>
      </c>
      <c r="AD520" s="3">
        <f t="shared" si="13"/>
        <v>42954399</v>
      </c>
      <c r="AE520" s="3">
        <f t="shared" si="14"/>
        <v>4</v>
      </c>
      <c r="AF520" s="3">
        <f t="shared" si="15"/>
        <v>25486</v>
      </c>
      <c r="AG520" s="3">
        <f t="shared" si="16"/>
        <v>1</v>
      </c>
      <c r="AH520" s="3">
        <f t="shared" si="17"/>
        <v>17050595</v>
      </c>
      <c r="AI520" s="3" t="str">
        <f t="shared" si="18"/>
        <v/>
      </c>
      <c r="AJ520" s="3">
        <f t="shared" si="19"/>
        <v>0</v>
      </c>
    </row>
    <row r="521">
      <c r="C521" s="6" t="s">
        <v>521</v>
      </c>
      <c r="D521" s="3">
        <f t="shared" si="1"/>
        <v>0</v>
      </c>
      <c r="E521" s="3" t="str">
        <f>IFERROR(__xludf.DUMMYFUNCTION("REGEXEXTRACT(C521,""[^ ]* [^ ]*"")"),"mirrored purple")</f>
        <v>mirrored purple</v>
      </c>
      <c r="F521" s="3" t="str">
        <f>IFERROR(__xludf.DUMMYFUNCTION("MID(REGEXEXTRACT(C521,""contain.*$""),9,300)"),"5 vibrant silver bags.")</f>
        <v>5 vibrant silver bags.</v>
      </c>
      <c r="G521" s="3" t="str">
        <f>IFERROR(__xludf.DUMMYFUNCTION("INDEX(SPLIT($F521,"",""),COLUMN()-6)"),"5 vibrant silver bags.")</f>
        <v>5 vibrant silver bags.</v>
      </c>
      <c r="H521" s="3" t="str">
        <f>IFERROR(__xludf.DUMMYFUNCTION("MID(INDEX(SPLIT($F521,"",""),COLUMN()-6),2,300)"),"#REF!")</f>
        <v>#REF!</v>
      </c>
      <c r="I521" s="3" t="str">
        <f>IFERROR(__xludf.DUMMYFUNCTION("MID(INDEX(SPLIT($F521,"",""),COLUMN()-6),2,300)"),"#REF!")</f>
        <v>#REF!</v>
      </c>
      <c r="J521" s="3" t="str">
        <f>IFERROR(__xludf.DUMMYFUNCTION("MID(INDEX(SPLIT($F521,"",""),COLUMN()-6),2,300)"),"#REF!")</f>
        <v>#REF!</v>
      </c>
      <c r="K521" s="3">
        <f>IFERROR(__xludf.DUMMYFUNCTION("INDEX(SPLIT(G521,"" ""),1)"),5.0)</f>
        <v>5</v>
      </c>
      <c r="L521" s="3" t="str">
        <f>IFERROR(__xludf.DUMMYFUNCTION("REGEXEXTRACT(G521,"" [^ ]* [^ ]* "")")," vibrant silver ")</f>
        <v> vibrant silver </v>
      </c>
      <c r="M521" s="3" t="str">
        <f>IFERROR(__xludf.DUMMYFUNCTION("INDEX(SPLIT(H521,"" ""),1)"),"#REF!")</f>
        <v>#REF!</v>
      </c>
      <c r="N521" s="3" t="str">
        <f>IFERROR(__xludf.DUMMYFUNCTION("MID(REGEXEXTRACT(H521,"" [^ ]* [^ ]*""),2,300)"),"#REF!")</f>
        <v>#REF!</v>
      </c>
      <c r="O521" s="3" t="str">
        <f>IFERROR(__xludf.DUMMYFUNCTION("INDEX(SPLIT(I521,"" ""),1)"),"#REF!")</f>
        <v>#REF!</v>
      </c>
      <c r="P521" s="3" t="str">
        <f>IFERROR(__xludf.DUMMYFUNCTION("MID(REGEXEXTRACT(I521,"" [^ ]* [^ ]*""),2,300)"),"#REF!")</f>
        <v>#REF!</v>
      </c>
      <c r="Q521" s="3" t="str">
        <f>IFERROR(__xludf.DUMMYFUNCTION("INDEX(SPLIT(J521,"" ""),1)"),"#REF!")</f>
        <v>#REF!</v>
      </c>
      <c r="R521" s="3" t="str">
        <f>IFERROR(__xludf.DUMMYFUNCTION("MID(REGEXEXTRACT(J521,"" [^ ]* [^ ]*""),2,300)"),"#REF!")</f>
        <v>#REF!</v>
      </c>
      <c r="S521" s="3">
        <f t="shared" si="2"/>
        <v>5</v>
      </c>
      <c r="T521" s="3" t="str">
        <f t="shared" si="3"/>
        <v>vibrant silver</v>
      </c>
      <c r="U521" s="3" t="str">
        <f t="shared" si="4"/>
        <v/>
      </c>
      <c r="V521" s="3" t="str">
        <f t="shared" si="5"/>
        <v/>
      </c>
      <c r="W521" s="3" t="str">
        <f t="shared" si="6"/>
        <v/>
      </c>
      <c r="X521" s="3" t="str">
        <f t="shared" si="7"/>
        <v/>
      </c>
      <c r="Y521" s="3" t="str">
        <f t="shared" si="8"/>
        <v/>
      </c>
      <c r="Z521" s="3" t="str">
        <f t="shared" si="9"/>
        <v/>
      </c>
      <c r="AA521" s="13">
        <f t="shared" si="10"/>
        <v>47043416</v>
      </c>
      <c r="AB521" s="3">
        <f t="shared" si="11"/>
        <v>47043415</v>
      </c>
      <c r="AC521" s="3">
        <f t="shared" si="12"/>
        <v>5</v>
      </c>
      <c r="AD521" s="3">
        <f t="shared" si="13"/>
        <v>9408683</v>
      </c>
      <c r="AE521" s="3" t="str">
        <f t="shared" si="14"/>
        <v/>
      </c>
      <c r="AF521" s="3">
        <f t="shared" si="15"/>
        <v>0</v>
      </c>
      <c r="AG521" s="3" t="str">
        <f t="shared" si="16"/>
        <v/>
      </c>
      <c r="AH521" s="3">
        <f t="shared" si="17"/>
        <v>0</v>
      </c>
      <c r="AI521" s="3" t="str">
        <f t="shared" si="18"/>
        <v/>
      </c>
      <c r="AJ521" s="3">
        <f t="shared" si="19"/>
        <v>0</v>
      </c>
    </row>
    <row r="522">
      <c r="C522" s="6" t="s">
        <v>522</v>
      </c>
      <c r="D522" s="3">
        <f t="shared" si="1"/>
        <v>3</v>
      </c>
      <c r="E522" s="3" t="str">
        <f>IFERROR(__xludf.DUMMYFUNCTION("REGEXEXTRACT(C522,""[^ ]* [^ ]*"")"),"vibrant yellow")</f>
        <v>vibrant yellow</v>
      </c>
      <c r="F522" s="3" t="str">
        <f>IFERROR(__xludf.DUMMYFUNCTION("MID(REGEXEXTRACT(C522,""contain.*$""),9,300)"),"4 plaid brown bags, 3 drab bronze bags, 5 posh bronze bags, 3 mirrored lime bags.")</f>
        <v>4 plaid brown bags, 3 drab bronze bags, 5 posh bronze bags, 3 mirrored lime bags.</v>
      </c>
      <c r="G522" s="3" t="str">
        <f>IFERROR(__xludf.DUMMYFUNCTION("INDEX(SPLIT($F522,"",""),COLUMN()-6)"),"4 plaid brown bags")</f>
        <v>4 plaid brown bags</v>
      </c>
      <c r="H522" s="3" t="str">
        <f>IFERROR(__xludf.DUMMYFUNCTION("MID(INDEX(SPLIT($F522,"",""),COLUMN()-6),2,300)"),"3 drab bronze bags")</f>
        <v>3 drab bronze bags</v>
      </c>
      <c r="I522" s="3" t="str">
        <f>IFERROR(__xludf.DUMMYFUNCTION("MID(INDEX(SPLIT($F522,"",""),COLUMN()-6),2,300)"),"5 posh bronze bags")</f>
        <v>5 posh bronze bags</v>
      </c>
      <c r="J522" s="3" t="str">
        <f>IFERROR(__xludf.DUMMYFUNCTION("MID(INDEX(SPLIT($F522,"",""),COLUMN()-6),2,300)"),"3 mirrored lime bags.")</f>
        <v>3 mirrored lime bags.</v>
      </c>
      <c r="K522" s="3">
        <f>IFERROR(__xludf.DUMMYFUNCTION("INDEX(SPLIT(G522,"" ""),1)"),4.0)</f>
        <v>4</v>
      </c>
      <c r="L522" s="3" t="str">
        <f>IFERROR(__xludf.DUMMYFUNCTION("REGEXEXTRACT(G522,"" [^ ]* [^ ]* "")")," plaid brown ")</f>
        <v> plaid brown </v>
      </c>
      <c r="M522" s="3">
        <f>IFERROR(__xludf.DUMMYFUNCTION("INDEX(SPLIT(H522,"" ""),1)"),3.0)</f>
        <v>3</v>
      </c>
      <c r="N522" s="3" t="str">
        <f>IFERROR(__xludf.DUMMYFUNCTION("MID(REGEXEXTRACT(H522,"" [^ ]* [^ ]*""),2,300)"),"drab bronze")</f>
        <v>drab bronze</v>
      </c>
      <c r="O522" s="3">
        <f>IFERROR(__xludf.DUMMYFUNCTION("INDEX(SPLIT(I522,"" ""),1)"),5.0)</f>
        <v>5</v>
      </c>
      <c r="P522" s="3" t="str">
        <f>IFERROR(__xludf.DUMMYFUNCTION("MID(REGEXEXTRACT(I522,"" [^ ]* [^ ]*""),2,300)"),"posh bronze")</f>
        <v>posh bronze</v>
      </c>
      <c r="Q522" s="3">
        <f>IFERROR(__xludf.DUMMYFUNCTION("INDEX(SPLIT(J522,"" ""),1)"),3.0)</f>
        <v>3</v>
      </c>
      <c r="R522" s="3" t="str">
        <f>IFERROR(__xludf.DUMMYFUNCTION("MID(REGEXEXTRACT(J522,"" [^ ]* [^ ]*""),2,300)"),"mirrored lime")</f>
        <v>mirrored lime</v>
      </c>
      <c r="S522" s="3">
        <f t="shared" si="2"/>
        <v>4</v>
      </c>
      <c r="T522" s="3" t="str">
        <f t="shared" si="3"/>
        <v>plaid brown</v>
      </c>
      <c r="U522" s="3">
        <f t="shared" si="4"/>
        <v>3</v>
      </c>
      <c r="V522" s="3" t="str">
        <f t="shared" si="5"/>
        <v>drab bronze</v>
      </c>
      <c r="W522" s="3">
        <f t="shared" si="6"/>
        <v>5</v>
      </c>
      <c r="X522" s="3" t="str">
        <f t="shared" si="7"/>
        <v>posh bronze</v>
      </c>
      <c r="Y522" s="3">
        <f t="shared" si="8"/>
        <v>3</v>
      </c>
      <c r="Z522" s="3" t="str">
        <f t="shared" si="9"/>
        <v>mirrored lime</v>
      </c>
      <c r="AA522" s="13">
        <f t="shared" si="10"/>
        <v>1062048</v>
      </c>
      <c r="AB522" s="3">
        <f t="shared" si="11"/>
        <v>1062047</v>
      </c>
      <c r="AC522" s="3">
        <f t="shared" si="12"/>
        <v>4</v>
      </c>
      <c r="AD522" s="3">
        <f t="shared" si="13"/>
        <v>132605</v>
      </c>
      <c r="AE522" s="3">
        <f t="shared" si="14"/>
        <v>3</v>
      </c>
      <c r="AF522" s="3">
        <f t="shared" si="15"/>
        <v>79943</v>
      </c>
      <c r="AG522" s="3">
        <f t="shared" si="16"/>
        <v>5</v>
      </c>
      <c r="AH522" s="3">
        <f t="shared" si="17"/>
        <v>21</v>
      </c>
      <c r="AI522" s="3">
        <f t="shared" si="18"/>
        <v>3</v>
      </c>
      <c r="AJ522" s="3">
        <f t="shared" si="19"/>
        <v>97231</v>
      </c>
    </row>
    <row r="523">
      <c r="C523" s="6" t="s">
        <v>523</v>
      </c>
      <c r="D523" s="3">
        <f t="shared" si="1"/>
        <v>1</v>
      </c>
      <c r="E523" s="3" t="str">
        <f>IFERROR(__xludf.DUMMYFUNCTION("REGEXEXTRACT(C523,""[^ ]* [^ ]*"")"),"pale gold")</f>
        <v>pale gold</v>
      </c>
      <c r="F523" s="3" t="str">
        <f>IFERROR(__xludf.DUMMYFUNCTION("MID(REGEXEXTRACT(C523,""contain.*$""),9,300)"),"4 shiny indigo bags, 4 clear maroon bags.")</f>
        <v>4 shiny indigo bags, 4 clear maroon bags.</v>
      </c>
      <c r="G523" s="3" t="str">
        <f>IFERROR(__xludf.DUMMYFUNCTION("INDEX(SPLIT($F523,"",""),COLUMN()-6)"),"4 shiny indigo bags")</f>
        <v>4 shiny indigo bags</v>
      </c>
      <c r="H523" s="3" t="str">
        <f>IFERROR(__xludf.DUMMYFUNCTION("MID(INDEX(SPLIT($F523,"",""),COLUMN()-6),2,300)"),"4 clear maroon bags.")</f>
        <v>4 clear maroon bags.</v>
      </c>
      <c r="I523" s="3" t="str">
        <f>IFERROR(__xludf.DUMMYFUNCTION("MID(INDEX(SPLIT($F523,"",""),COLUMN()-6),2,300)"),"#REF!")</f>
        <v>#REF!</v>
      </c>
      <c r="J523" s="3" t="str">
        <f>IFERROR(__xludf.DUMMYFUNCTION("MID(INDEX(SPLIT($F523,"",""),COLUMN()-6),2,300)"),"#REF!")</f>
        <v>#REF!</v>
      </c>
      <c r="K523" s="3">
        <f>IFERROR(__xludf.DUMMYFUNCTION("INDEX(SPLIT(G523,"" ""),1)"),4.0)</f>
        <v>4</v>
      </c>
      <c r="L523" s="3" t="str">
        <f>IFERROR(__xludf.DUMMYFUNCTION("REGEXEXTRACT(G523,"" [^ ]* [^ ]* "")")," shiny indigo ")</f>
        <v> shiny indigo </v>
      </c>
      <c r="M523" s="3">
        <f>IFERROR(__xludf.DUMMYFUNCTION("INDEX(SPLIT(H523,"" ""),1)"),4.0)</f>
        <v>4</v>
      </c>
      <c r="N523" s="3" t="str">
        <f>IFERROR(__xludf.DUMMYFUNCTION("MID(REGEXEXTRACT(H523,"" [^ ]* [^ ]*""),2,300)"),"clear maroon")</f>
        <v>clear maroon</v>
      </c>
      <c r="O523" s="3" t="str">
        <f>IFERROR(__xludf.DUMMYFUNCTION("INDEX(SPLIT(I523,"" ""),1)"),"#REF!")</f>
        <v>#REF!</v>
      </c>
      <c r="P523" s="3" t="str">
        <f>IFERROR(__xludf.DUMMYFUNCTION("MID(REGEXEXTRACT(I523,"" [^ ]* [^ ]*""),2,300)"),"#REF!")</f>
        <v>#REF!</v>
      </c>
      <c r="Q523" s="3" t="str">
        <f>IFERROR(__xludf.DUMMYFUNCTION("INDEX(SPLIT(J523,"" ""),1)"),"#REF!")</f>
        <v>#REF!</v>
      </c>
      <c r="R523" s="3" t="str">
        <f>IFERROR(__xludf.DUMMYFUNCTION("MID(REGEXEXTRACT(J523,"" [^ ]* [^ ]*""),2,300)"),"#REF!")</f>
        <v>#REF!</v>
      </c>
      <c r="S523" s="3">
        <f t="shared" si="2"/>
        <v>4</v>
      </c>
      <c r="T523" s="3" t="str">
        <f t="shared" si="3"/>
        <v>shiny indigo</v>
      </c>
      <c r="U523" s="3">
        <f t="shared" si="4"/>
        <v>4</v>
      </c>
      <c r="V523" s="3" t="str">
        <f t="shared" si="5"/>
        <v>clear maroon</v>
      </c>
      <c r="W523" s="3" t="str">
        <f t="shared" si="6"/>
        <v/>
      </c>
      <c r="X523" s="3" t="str">
        <f t="shared" si="7"/>
        <v/>
      </c>
      <c r="Y523" s="3" t="str">
        <f t="shared" si="8"/>
        <v/>
      </c>
      <c r="Z523" s="3" t="str">
        <f t="shared" si="9"/>
        <v/>
      </c>
      <c r="AA523" s="13">
        <f t="shared" si="10"/>
        <v>108653377</v>
      </c>
      <c r="AB523" s="3">
        <f t="shared" si="11"/>
        <v>108653376</v>
      </c>
      <c r="AC523" s="3">
        <f t="shared" si="12"/>
        <v>4</v>
      </c>
      <c r="AD523" s="3">
        <f t="shared" si="13"/>
        <v>754536</v>
      </c>
      <c r="AE523" s="3">
        <f t="shared" si="14"/>
        <v>4</v>
      </c>
      <c r="AF523" s="3">
        <f t="shared" si="15"/>
        <v>26408808</v>
      </c>
      <c r="AG523" s="3" t="str">
        <f t="shared" si="16"/>
        <v/>
      </c>
      <c r="AH523" s="3">
        <f t="shared" si="17"/>
        <v>0</v>
      </c>
      <c r="AI523" s="3" t="str">
        <f t="shared" si="18"/>
        <v/>
      </c>
      <c r="AJ523" s="3">
        <f t="shared" si="19"/>
        <v>0</v>
      </c>
    </row>
    <row r="524">
      <c r="C524" s="6" t="s">
        <v>524</v>
      </c>
      <c r="D524" s="3">
        <f t="shared" si="1"/>
        <v>0</v>
      </c>
      <c r="E524" s="3" t="str">
        <f>IFERROR(__xludf.DUMMYFUNCTION("REGEXEXTRACT(C524,""[^ ]* [^ ]*"")"),"shiny cyan")</f>
        <v>shiny cyan</v>
      </c>
      <c r="F524" s="3" t="str">
        <f>IFERROR(__xludf.DUMMYFUNCTION("MID(REGEXEXTRACT(C524,""contain.*$""),9,300)"),"3 dim olive bags.")</f>
        <v>3 dim olive bags.</v>
      </c>
      <c r="G524" s="3" t="str">
        <f>IFERROR(__xludf.DUMMYFUNCTION("INDEX(SPLIT($F524,"",""),COLUMN()-6)"),"3 dim olive bags.")</f>
        <v>3 dim olive bags.</v>
      </c>
      <c r="H524" s="3" t="str">
        <f>IFERROR(__xludf.DUMMYFUNCTION("MID(INDEX(SPLIT($F524,"",""),COLUMN()-6),2,300)"),"#REF!")</f>
        <v>#REF!</v>
      </c>
      <c r="I524" s="3" t="str">
        <f>IFERROR(__xludf.DUMMYFUNCTION("MID(INDEX(SPLIT($F524,"",""),COLUMN()-6),2,300)"),"#REF!")</f>
        <v>#REF!</v>
      </c>
      <c r="J524" s="3" t="str">
        <f>IFERROR(__xludf.DUMMYFUNCTION("MID(INDEX(SPLIT($F524,"",""),COLUMN()-6),2,300)"),"#REF!")</f>
        <v>#REF!</v>
      </c>
      <c r="K524" s="3">
        <f>IFERROR(__xludf.DUMMYFUNCTION("INDEX(SPLIT(G524,"" ""),1)"),3.0)</f>
        <v>3</v>
      </c>
      <c r="L524" s="3" t="str">
        <f>IFERROR(__xludf.DUMMYFUNCTION("REGEXEXTRACT(G524,"" [^ ]* [^ ]* "")")," dim olive ")</f>
        <v> dim olive </v>
      </c>
      <c r="M524" s="3" t="str">
        <f>IFERROR(__xludf.DUMMYFUNCTION("INDEX(SPLIT(H524,"" ""),1)"),"#REF!")</f>
        <v>#REF!</v>
      </c>
      <c r="N524" s="3" t="str">
        <f>IFERROR(__xludf.DUMMYFUNCTION("MID(REGEXEXTRACT(H524,"" [^ ]* [^ ]*""),2,300)"),"#REF!")</f>
        <v>#REF!</v>
      </c>
      <c r="O524" s="3" t="str">
        <f>IFERROR(__xludf.DUMMYFUNCTION("INDEX(SPLIT(I524,"" ""),1)"),"#REF!")</f>
        <v>#REF!</v>
      </c>
      <c r="P524" s="3" t="str">
        <f>IFERROR(__xludf.DUMMYFUNCTION("MID(REGEXEXTRACT(I524,"" [^ ]* [^ ]*""),2,300)"),"#REF!")</f>
        <v>#REF!</v>
      </c>
      <c r="Q524" s="3" t="str">
        <f>IFERROR(__xludf.DUMMYFUNCTION("INDEX(SPLIT(J524,"" ""),1)"),"#REF!")</f>
        <v>#REF!</v>
      </c>
      <c r="R524" s="3" t="str">
        <f>IFERROR(__xludf.DUMMYFUNCTION("MID(REGEXEXTRACT(J524,"" [^ ]* [^ ]*""),2,300)"),"#REF!")</f>
        <v>#REF!</v>
      </c>
      <c r="S524" s="3">
        <f t="shared" si="2"/>
        <v>3</v>
      </c>
      <c r="T524" s="3" t="str">
        <f t="shared" si="3"/>
        <v>dim olive</v>
      </c>
      <c r="U524" s="3" t="str">
        <f t="shared" si="4"/>
        <v/>
      </c>
      <c r="V524" s="3" t="str">
        <f t="shared" si="5"/>
        <v/>
      </c>
      <c r="W524" s="3" t="str">
        <f t="shared" si="6"/>
        <v/>
      </c>
      <c r="X524" s="3" t="str">
        <f t="shared" si="7"/>
        <v/>
      </c>
      <c r="Y524" s="3" t="str">
        <f t="shared" si="8"/>
        <v/>
      </c>
      <c r="Z524" s="3" t="str">
        <f t="shared" si="9"/>
        <v/>
      </c>
      <c r="AA524" s="13">
        <f t="shared" si="10"/>
        <v>4</v>
      </c>
      <c r="AB524" s="3">
        <f t="shared" si="11"/>
        <v>3</v>
      </c>
      <c r="AC524" s="3">
        <f t="shared" si="12"/>
        <v>3</v>
      </c>
      <c r="AD524" s="3">
        <f t="shared" si="13"/>
        <v>1</v>
      </c>
      <c r="AE524" s="3" t="str">
        <f t="shared" si="14"/>
        <v/>
      </c>
      <c r="AF524" s="3">
        <f t="shared" si="15"/>
        <v>0</v>
      </c>
      <c r="AG524" s="3" t="str">
        <f t="shared" si="16"/>
        <v/>
      </c>
      <c r="AH524" s="3">
        <f t="shared" si="17"/>
        <v>0</v>
      </c>
      <c r="AI524" s="3" t="str">
        <f t="shared" si="18"/>
        <v/>
      </c>
      <c r="AJ524" s="3">
        <f t="shared" si="19"/>
        <v>0</v>
      </c>
    </row>
    <row r="525">
      <c r="C525" s="6" t="s">
        <v>525</v>
      </c>
      <c r="D525" s="3">
        <f t="shared" si="1"/>
        <v>2</v>
      </c>
      <c r="E525" s="3" t="str">
        <f>IFERROR(__xludf.DUMMYFUNCTION("REGEXEXTRACT(C525,""[^ ]* [^ ]*"")"),"dim salmon")</f>
        <v>dim salmon</v>
      </c>
      <c r="F525" s="3" t="str">
        <f>IFERROR(__xludf.DUMMYFUNCTION("MID(REGEXEXTRACT(C525,""contain.*$""),9,300)"),"5 faded beige bags, 2 faded orange bags, 2 shiny purple bags.")</f>
        <v>5 faded beige bags, 2 faded orange bags, 2 shiny purple bags.</v>
      </c>
      <c r="G525" s="3" t="str">
        <f>IFERROR(__xludf.DUMMYFUNCTION("INDEX(SPLIT($F525,"",""),COLUMN()-6)"),"5 faded beige bags")</f>
        <v>5 faded beige bags</v>
      </c>
      <c r="H525" s="3" t="str">
        <f>IFERROR(__xludf.DUMMYFUNCTION("MID(INDEX(SPLIT($F525,"",""),COLUMN()-6),2,300)"),"2 faded orange bags")</f>
        <v>2 faded orange bags</v>
      </c>
      <c r="I525" s="3" t="str">
        <f>IFERROR(__xludf.DUMMYFUNCTION("MID(INDEX(SPLIT($F525,"",""),COLUMN()-6),2,300)"),"2 shiny purple bags.")</f>
        <v>2 shiny purple bags.</v>
      </c>
      <c r="J525" s="3" t="str">
        <f>IFERROR(__xludf.DUMMYFUNCTION("MID(INDEX(SPLIT($F525,"",""),COLUMN()-6),2,300)"),"#REF!")</f>
        <v>#REF!</v>
      </c>
      <c r="K525" s="3">
        <f>IFERROR(__xludf.DUMMYFUNCTION("INDEX(SPLIT(G525,"" ""),1)"),5.0)</f>
        <v>5</v>
      </c>
      <c r="L525" s="3" t="str">
        <f>IFERROR(__xludf.DUMMYFUNCTION("REGEXEXTRACT(G525,"" [^ ]* [^ ]* "")")," faded beige ")</f>
        <v> faded beige </v>
      </c>
      <c r="M525" s="3">
        <f>IFERROR(__xludf.DUMMYFUNCTION("INDEX(SPLIT(H525,"" ""),1)"),2.0)</f>
        <v>2</v>
      </c>
      <c r="N525" s="3" t="str">
        <f>IFERROR(__xludf.DUMMYFUNCTION("MID(REGEXEXTRACT(H525,"" [^ ]* [^ ]*""),2,300)"),"faded orange")</f>
        <v>faded orange</v>
      </c>
      <c r="O525" s="3">
        <f>IFERROR(__xludf.DUMMYFUNCTION("INDEX(SPLIT(I525,"" ""),1)"),2.0)</f>
        <v>2</v>
      </c>
      <c r="P525" s="3" t="str">
        <f>IFERROR(__xludf.DUMMYFUNCTION("MID(REGEXEXTRACT(I525,"" [^ ]* [^ ]*""),2,300)"),"shiny purple")</f>
        <v>shiny purple</v>
      </c>
      <c r="Q525" s="3" t="str">
        <f>IFERROR(__xludf.DUMMYFUNCTION("INDEX(SPLIT(J525,"" ""),1)"),"#REF!")</f>
        <v>#REF!</v>
      </c>
      <c r="R525" s="3" t="str">
        <f>IFERROR(__xludf.DUMMYFUNCTION("MID(REGEXEXTRACT(J525,"" [^ ]* [^ ]*""),2,300)"),"#REF!")</f>
        <v>#REF!</v>
      </c>
      <c r="S525" s="3">
        <f t="shared" si="2"/>
        <v>5</v>
      </c>
      <c r="T525" s="3" t="str">
        <f t="shared" si="3"/>
        <v>faded beige</v>
      </c>
      <c r="U525" s="3">
        <f t="shared" si="4"/>
        <v>2</v>
      </c>
      <c r="V525" s="3" t="str">
        <f t="shared" si="5"/>
        <v>faded orange</v>
      </c>
      <c r="W525" s="3">
        <f t="shared" si="6"/>
        <v>2</v>
      </c>
      <c r="X525" s="3" t="str">
        <f t="shared" si="7"/>
        <v>shiny purple</v>
      </c>
      <c r="Y525" s="3" t="str">
        <f t="shared" si="8"/>
        <v/>
      </c>
      <c r="Z525" s="3" t="str">
        <f t="shared" si="9"/>
        <v/>
      </c>
      <c r="AA525" s="13">
        <f t="shared" si="10"/>
        <v>32021232</v>
      </c>
      <c r="AB525" s="3">
        <f t="shared" si="11"/>
        <v>32021231</v>
      </c>
      <c r="AC525" s="3">
        <f t="shared" si="12"/>
        <v>5</v>
      </c>
      <c r="AD525" s="3">
        <f t="shared" si="13"/>
        <v>6373</v>
      </c>
      <c r="AE525" s="3">
        <f t="shared" si="14"/>
        <v>2</v>
      </c>
      <c r="AF525" s="3">
        <f t="shared" si="15"/>
        <v>7726531</v>
      </c>
      <c r="AG525" s="3">
        <f t="shared" si="16"/>
        <v>2</v>
      </c>
      <c r="AH525" s="3">
        <f t="shared" si="17"/>
        <v>8268152</v>
      </c>
      <c r="AI525" s="3" t="str">
        <f t="shared" si="18"/>
        <v/>
      </c>
      <c r="AJ525" s="3">
        <f t="shared" si="19"/>
        <v>0</v>
      </c>
    </row>
    <row r="526">
      <c r="C526" s="6" t="s">
        <v>526</v>
      </c>
      <c r="D526" s="3">
        <f t="shared" si="1"/>
        <v>3</v>
      </c>
      <c r="E526" s="3" t="str">
        <f>IFERROR(__xludf.DUMMYFUNCTION("REGEXEXTRACT(C526,""[^ ]* [^ ]*"")"),"dark crimson")</f>
        <v>dark crimson</v>
      </c>
      <c r="F526" s="3" t="str">
        <f>IFERROR(__xludf.DUMMYFUNCTION("MID(REGEXEXTRACT(C526,""contain.*$""),9,300)"),"3 dull aqua bags, 1 wavy olive bag, 3 posh plum bags, 3 bright brown bags.")</f>
        <v>3 dull aqua bags, 1 wavy olive bag, 3 posh plum bags, 3 bright brown bags.</v>
      </c>
      <c r="G526" s="3" t="str">
        <f>IFERROR(__xludf.DUMMYFUNCTION("INDEX(SPLIT($F526,"",""),COLUMN()-6)"),"3 dull aqua bags")</f>
        <v>3 dull aqua bags</v>
      </c>
      <c r="H526" s="3" t="str">
        <f>IFERROR(__xludf.DUMMYFUNCTION("MID(INDEX(SPLIT($F526,"",""),COLUMN()-6),2,300)"),"1 wavy olive bag")</f>
        <v>1 wavy olive bag</v>
      </c>
      <c r="I526" s="3" t="str">
        <f>IFERROR(__xludf.DUMMYFUNCTION("MID(INDEX(SPLIT($F526,"",""),COLUMN()-6),2,300)"),"3 posh plum bags")</f>
        <v>3 posh plum bags</v>
      </c>
      <c r="J526" s="3" t="str">
        <f>IFERROR(__xludf.DUMMYFUNCTION("MID(INDEX(SPLIT($F526,"",""),COLUMN()-6),2,300)"),"3 bright brown bags.")</f>
        <v>3 bright brown bags.</v>
      </c>
      <c r="K526" s="3">
        <f>IFERROR(__xludf.DUMMYFUNCTION("INDEX(SPLIT(G526,"" ""),1)"),3.0)</f>
        <v>3</v>
      </c>
      <c r="L526" s="3" t="str">
        <f>IFERROR(__xludf.DUMMYFUNCTION("REGEXEXTRACT(G526,"" [^ ]* [^ ]* "")")," dull aqua ")</f>
        <v> dull aqua </v>
      </c>
      <c r="M526" s="3">
        <f>IFERROR(__xludf.DUMMYFUNCTION("INDEX(SPLIT(H526,"" ""),1)"),1.0)</f>
        <v>1</v>
      </c>
      <c r="N526" s="3" t="str">
        <f>IFERROR(__xludf.DUMMYFUNCTION("MID(REGEXEXTRACT(H526,"" [^ ]* [^ ]*""),2,300)"),"wavy olive")</f>
        <v>wavy olive</v>
      </c>
      <c r="O526" s="3">
        <f>IFERROR(__xludf.DUMMYFUNCTION("INDEX(SPLIT(I526,"" ""),1)"),3.0)</f>
        <v>3</v>
      </c>
      <c r="P526" s="3" t="str">
        <f>IFERROR(__xludf.DUMMYFUNCTION("MID(REGEXEXTRACT(I526,"" [^ ]* [^ ]*""),2,300)"),"posh plum")</f>
        <v>posh plum</v>
      </c>
      <c r="Q526" s="3">
        <f>IFERROR(__xludf.DUMMYFUNCTION("INDEX(SPLIT(J526,"" ""),1)"),3.0)</f>
        <v>3</v>
      </c>
      <c r="R526" s="3" t="str">
        <f>IFERROR(__xludf.DUMMYFUNCTION("MID(REGEXEXTRACT(J526,"" [^ ]* [^ ]*""),2,300)"),"bright brown")</f>
        <v>bright brown</v>
      </c>
      <c r="S526" s="3">
        <f t="shared" si="2"/>
        <v>3</v>
      </c>
      <c r="T526" s="3" t="str">
        <f t="shared" si="3"/>
        <v>dull aqua</v>
      </c>
      <c r="U526" s="3">
        <f t="shared" si="4"/>
        <v>1</v>
      </c>
      <c r="V526" s="3" t="str">
        <f t="shared" si="5"/>
        <v>wavy olive</v>
      </c>
      <c r="W526" s="3">
        <f t="shared" si="6"/>
        <v>3</v>
      </c>
      <c r="X526" s="3" t="str">
        <f t="shared" si="7"/>
        <v>posh plum</v>
      </c>
      <c r="Y526" s="3">
        <f t="shared" si="8"/>
        <v>3</v>
      </c>
      <c r="Z526" s="3" t="str">
        <f t="shared" si="9"/>
        <v>bright brown</v>
      </c>
      <c r="AA526" s="13">
        <f t="shared" si="10"/>
        <v>79986764</v>
      </c>
      <c r="AB526" s="3">
        <f t="shared" si="11"/>
        <v>79986763</v>
      </c>
      <c r="AC526" s="3">
        <f t="shared" si="12"/>
        <v>3</v>
      </c>
      <c r="AD526" s="3">
        <f t="shared" si="13"/>
        <v>12033257</v>
      </c>
      <c r="AE526" s="3">
        <f t="shared" si="14"/>
        <v>1</v>
      </c>
      <c r="AF526" s="3">
        <f t="shared" si="15"/>
        <v>43868443</v>
      </c>
      <c r="AG526" s="3">
        <f t="shared" si="16"/>
        <v>3</v>
      </c>
      <c r="AH526" s="3">
        <f t="shared" si="17"/>
        <v>6182</v>
      </c>
      <c r="AI526" s="3">
        <f t="shared" si="18"/>
        <v>3</v>
      </c>
      <c r="AJ526" s="3">
        <f t="shared" si="19"/>
        <v>1</v>
      </c>
    </row>
    <row r="527">
      <c r="C527" s="6" t="s">
        <v>527</v>
      </c>
      <c r="D527" s="3">
        <f t="shared" si="1"/>
        <v>3</v>
      </c>
      <c r="E527" s="3" t="str">
        <f>IFERROR(__xludf.DUMMYFUNCTION("REGEXEXTRACT(C527,""[^ ]* [^ ]*"")"),"vibrant gold")</f>
        <v>vibrant gold</v>
      </c>
      <c r="F527" s="3" t="str">
        <f>IFERROR(__xludf.DUMMYFUNCTION("MID(REGEXEXTRACT(C527,""contain.*$""),9,300)"),"3 wavy gray bags, 4 clear white bags, 1 faded salmon bag, 3 drab aqua bags.")</f>
        <v>3 wavy gray bags, 4 clear white bags, 1 faded salmon bag, 3 drab aqua bags.</v>
      </c>
      <c r="G527" s="3" t="str">
        <f>IFERROR(__xludf.DUMMYFUNCTION("INDEX(SPLIT($F527,"",""),COLUMN()-6)"),"3 wavy gray bags")</f>
        <v>3 wavy gray bags</v>
      </c>
      <c r="H527" s="3" t="str">
        <f>IFERROR(__xludf.DUMMYFUNCTION("MID(INDEX(SPLIT($F527,"",""),COLUMN()-6),2,300)"),"4 clear white bags")</f>
        <v>4 clear white bags</v>
      </c>
      <c r="I527" s="3" t="str">
        <f>IFERROR(__xludf.DUMMYFUNCTION("MID(INDEX(SPLIT($F527,"",""),COLUMN()-6),2,300)"),"1 faded salmon bag")</f>
        <v>1 faded salmon bag</v>
      </c>
      <c r="J527" s="3" t="str">
        <f>IFERROR(__xludf.DUMMYFUNCTION("MID(INDEX(SPLIT($F527,"",""),COLUMN()-6),2,300)"),"3 drab aqua bags.")</f>
        <v>3 drab aqua bags.</v>
      </c>
      <c r="K527" s="3">
        <f>IFERROR(__xludf.DUMMYFUNCTION("INDEX(SPLIT(G527,"" ""),1)"),3.0)</f>
        <v>3</v>
      </c>
      <c r="L527" s="3" t="str">
        <f>IFERROR(__xludf.DUMMYFUNCTION("REGEXEXTRACT(G527,"" [^ ]* [^ ]* "")")," wavy gray ")</f>
        <v> wavy gray </v>
      </c>
      <c r="M527" s="3">
        <f>IFERROR(__xludf.DUMMYFUNCTION("INDEX(SPLIT(H527,"" ""),1)"),4.0)</f>
        <v>4</v>
      </c>
      <c r="N527" s="3" t="str">
        <f>IFERROR(__xludf.DUMMYFUNCTION("MID(REGEXEXTRACT(H527,"" [^ ]* [^ ]*""),2,300)"),"clear white")</f>
        <v>clear white</v>
      </c>
      <c r="O527" s="3">
        <f>IFERROR(__xludf.DUMMYFUNCTION("INDEX(SPLIT(I527,"" ""),1)"),1.0)</f>
        <v>1</v>
      </c>
      <c r="P527" s="3" t="str">
        <f>IFERROR(__xludf.DUMMYFUNCTION("MID(REGEXEXTRACT(I527,"" [^ ]* [^ ]*""),2,300)"),"faded salmon")</f>
        <v>faded salmon</v>
      </c>
      <c r="Q527" s="3">
        <f>IFERROR(__xludf.DUMMYFUNCTION("INDEX(SPLIT(J527,"" ""),1)"),3.0)</f>
        <v>3</v>
      </c>
      <c r="R527" s="3" t="str">
        <f>IFERROR(__xludf.DUMMYFUNCTION("MID(REGEXEXTRACT(J527,"" [^ ]* [^ ]*""),2,300)"),"drab aqua")</f>
        <v>drab aqua</v>
      </c>
      <c r="S527" s="3">
        <f t="shared" si="2"/>
        <v>3</v>
      </c>
      <c r="T527" s="3" t="str">
        <f t="shared" si="3"/>
        <v>wavy gray</v>
      </c>
      <c r="U527" s="3">
        <f t="shared" si="4"/>
        <v>4</v>
      </c>
      <c r="V527" s="3" t="str">
        <f t="shared" si="5"/>
        <v>clear white</v>
      </c>
      <c r="W527" s="3">
        <f t="shared" si="6"/>
        <v>1</v>
      </c>
      <c r="X527" s="3" t="str">
        <f t="shared" si="7"/>
        <v>faded salmon</v>
      </c>
      <c r="Y527" s="3">
        <f t="shared" si="8"/>
        <v>3</v>
      </c>
      <c r="Z527" s="3" t="str">
        <f t="shared" si="9"/>
        <v>drab aqua</v>
      </c>
      <c r="AA527" s="13">
        <f t="shared" si="10"/>
        <v>5957104308</v>
      </c>
      <c r="AB527" s="3">
        <f t="shared" si="11"/>
        <v>5957104307</v>
      </c>
      <c r="AC527" s="3">
        <f t="shared" si="12"/>
        <v>3</v>
      </c>
      <c r="AD527" s="3">
        <f t="shared" si="13"/>
        <v>3322</v>
      </c>
      <c r="AE527" s="3">
        <f t="shared" si="14"/>
        <v>4</v>
      </c>
      <c r="AF527" s="3">
        <f t="shared" si="15"/>
        <v>125334121</v>
      </c>
      <c r="AG527" s="3">
        <f t="shared" si="16"/>
        <v>1</v>
      </c>
      <c r="AH527" s="3">
        <f t="shared" si="17"/>
        <v>23596</v>
      </c>
      <c r="AI527" s="3">
        <f t="shared" si="18"/>
        <v>3</v>
      </c>
      <c r="AJ527" s="3">
        <f t="shared" si="19"/>
        <v>1818578087</v>
      </c>
    </row>
    <row r="528">
      <c r="C528" s="6" t="s">
        <v>528</v>
      </c>
      <c r="D528" s="3">
        <f t="shared" si="1"/>
        <v>2</v>
      </c>
      <c r="E528" s="3" t="str">
        <f>IFERROR(__xludf.DUMMYFUNCTION("REGEXEXTRACT(C528,""[^ ]* [^ ]*"")"),"faded magenta")</f>
        <v>faded magenta</v>
      </c>
      <c r="F528" s="3" t="str">
        <f>IFERROR(__xludf.DUMMYFUNCTION("MID(REGEXEXTRACT(C528,""contain.*$""),9,300)"),"5 plaid aqua bags, 4 faded purple bags, 5 wavy bronze bags.")</f>
        <v>5 plaid aqua bags, 4 faded purple bags, 5 wavy bronze bags.</v>
      </c>
      <c r="G528" s="3" t="str">
        <f>IFERROR(__xludf.DUMMYFUNCTION("INDEX(SPLIT($F528,"",""),COLUMN()-6)"),"5 plaid aqua bags")</f>
        <v>5 plaid aqua bags</v>
      </c>
      <c r="H528" s="3" t="str">
        <f>IFERROR(__xludf.DUMMYFUNCTION("MID(INDEX(SPLIT($F528,"",""),COLUMN()-6),2,300)"),"4 faded purple bags")</f>
        <v>4 faded purple bags</v>
      </c>
      <c r="I528" s="3" t="str">
        <f>IFERROR(__xludf.DUMMYFUNCTION("MID(INDEX(SPLIT($F528,"",""),COLUMN()-6),2,300)"),"5 wavy bronze bags.")</f>
        <v>5 wavy bronze bags.</v>
      </c>
      <c r="J528" s="3" t="str">
        <f>IFERROR(__xludf.DUMMYFUNCTION("MID(INDEX(SPLIT($F528,"",""),COLUMN()-6),2,300)"),"#REF!")</f>
        <v>#REF!</v>
      </c>
      <c r="K528" s="3">
        <f>IFERROR(__xludf.DUMMYFUNCTION("INDEX(SPLIT(G528,"" ""),1)"),5.0)</f>
        <v>5</v>
      </c>
      <c r="L528" s="3" t="str">
        <f>IFERROR(__xludf.DUMMYFUNCTION("REGEXEXTRACT(G528,"" [^ ]* [^ ]* "")")," plaid aqua ")</f>
        <v> plaid aqua </v>
      </c>
      <c r="M528" s="3">
        <f>IFERROR(__xludf.DUMMYFUNCTION("INDEX(SPLIT(H528,"" ""),1)"),4.0)</f>
        <v>4</v>
      </c>
      <c r="N528" s="3" t="str">
        <f>IFERROR(__xludf.DUMMYFUNCTION("MID(REGEXEXTRACT(H528,"" [^ ]* [^ ]*""),2,300)"),"faded purple")</f>
        <v>faded purple</v>
      </c>
      <c r="O528" s="3">
        <f>IFERROR(__xludf.DUMMYFUNCTION("INDEX(SPLIT(I528,"" ""),1)"),5.0)</f>
        <v>5</v>
      </c>
      <c r="P528" s="3" t="str">
        <f>IFERROR(__xludf.DUMMYFUNCTION("MID(REGEXEXTRACT(I528,"" [^ ]* [^ ]*""),2,300)"),"wavy bronze")</f>
        <v>wavy bronze</v>
      </c>
      <c r="Q528" s="3" t="str">
        <f>IFERROR(__xludf.DUMMYFUNCTION("INDEX(SPLIT(J528,"" ""),1)"),"#REF!")</f>
        <v>#REF!</v>
      </c>
      <c r="R528" s="3" t="str">
        <f>IFERROR(__xludf.DUMMYFUNCTION("MID(REGEXEXTRACT(J528,"" [^ ]* [^ ]*""),2,300)"),"#REF!")</f>
        <v>#REF!</v>
      </c>
      <c r="S528" s="3">
        <f t="shared" si="2"/>
        <v>5</v>
      </c>
      <c r="T528" s="3" t="str">
        <f t="shared" si="3"/>
        <v>plaid aqua</v>
      </c>
      <c r="U528" s="3">
        <f t="shared" si="4"/>
        <v>4</v>
      </c>
      <c r="V528" s="3" t="str">
        <f t="shared" si="5"/>
        <v>faded purple</v>
      </c>
      <c r="W528" s="3">
        <f t="shared" si="6"/>
        <v>5</v>
      </c>
      <c r="X528" s="3" t="str">
        <f t="shared" si="7"/>
        <v>wavy bronze</v>
      </c>
      <c r="Y528" s="3" t="str">
        <f t="shared" si="8"/>
        <v/>
      </c>
      <c r="Z528" s="3" t="str">
        <f t="shared" si="9"/>
        <v/>
      </c>
      <c r="AA528" s="13">
        <f t="shared" si="10"/>
        <v>4002234</v>
      </c>
      <c r="AB528" s="3">
        <f t="shared" si="11"/>
        <v>4002233</v>
      </c>
      <c r="AC528" s="3">
        <f t="shared" si="12"/>
        <v>5</v>
      </c>
      <c r="AD528" s="3">
        <f t="shared" si="13"/>
        <v>1</v>
      </c>
      <c r="AE528" s="3">
        <f t="shared" si="14"/>
        <v>4</v>
      </c>
      <c r="AF528" s="3">
        <f t="shared" si="15"/>
        <v>6357</v>
      </c>
      <c r="AG528" s="3">
        <f t="shared" si="16"/>
        <v>5</v>
      </c>
      <c r="AH528" s="3">
        <f t="shared" si="17"/>
        <v>795360</v>
      </c>
      <c r="AI528" s="3" t="str">
        <f t="shared" si="18"/>
        <v/>
      </c>
      <c r="AJ528" s="3">
        <f t="shared" si="19"/>
        <v>0</v>
      </c>
    </row>
    <row r="529">
      <c r="C529" s="6" t="s">
        <v>529</v>
      </c>
      <c r="D529" s="3">
        <f t="shared" si="1"/>
        <v>3</v>
      </c>
      <c r="E529" s="3" t="str">
        <f>IFERROR(__xludf.DUMMYFUNCTION("REGEXEXTRACT(C529,""[^ ]* [^ ]*"")"),"drab black")</f>
        <v>drab black</v>
      </c>
      <c r="F529" s="3" t="str">
        <f>IFERROR(__xludf.DUMMYFUNCTION("MID(REGEXEXTRACT(C529,""contain.*$""),9,300)"),"3 pale aqua bags, 2 clear coral bags, 2 mirrored silver bags, 5 dark cyan bags.")</f>
        <v>3 pale aqua bags, 2 clear coral bags, 2 mirrored silver bags, 5 dark cyan bags.</v>
      </c>
      <c r="G529" s="3" t="str">
        <f>IFERROR(__xludf.DUMMYFUNCTION("INDEX(SPLIT($F529,"",""),COLUMN()-6)"),"3 pale aqua bags")</f>
        <v>3 pale aqua bags</v>
      </c>
      <c r="H529" s="3" t="str">
        <f>IFERROR(__xludf.DUMMYFUNCTION("MID(INDEX(SPLIT($F529,"",""),COLUMN()-6),2,300)"),"2 clear coral bags")</f>
        <v>2 clear coral bags</v>
      </c>
      <c r="I529" s="3" t="str">
        <f>IFERROR(__xludf.DUMMYFUNCTION("MID(INDEX(SPLIT($F529,"",""),COLUMN()-6),2,300)"),"2 mirrored silver bags")</f>
        <v>2 mirrored silver bags</v>
      </c>
      <c r="J529" s="3" t="str">
        <f>IFERROR(__xludf.DUMMYFUNCTION("MID(INDEX(SPLIT($F529,"",""),COLUMN()-6),2,300)"),"5 dark cyan bags.")</f>
        <v>5 dark cyan bags.</v>
      </c>
      <c r="K529" s="3">
        <f>IFERROR(__xludf.DUMMYFUNCTION("INDEX(SPLIT(G529,"" ""),1)"),3.0)</f>
        <v>3</v>
      </c>
      <c r="L529" s="3" t="str">
        <f>IFERROR(__xludf.DUMMYFUNCTION("REGEXEXTRACT(G529,"" [^ ]* [^ ]* "")")," pale aqua ")</f>
        <v> pale aqua </v>
      </c>
      <c r="M529" s="3">
        <f>IFERROR(__xludf.DUMMYFUNCTION("INDEX(SPLIT(H529,"" ""),1)"),2.0)</f>
        <v>2</v>
      </c>
      <c r="N529" s="3" t="str">
        <f>IFERROR(__xludf.DUMMYFUNCTION("MID(REGEXEXTRACT(H529,"" [^ ]* [^ ]*""),2,300)"),"clear coral")</f>
        <v>clear coral</v>
      </c>
      <c r="O529" s="3">
        <f>IFERROR(__xludf.DUMMYFUNCTION("INDEX(SPLIT(I529,"" ""),1)"),2.0)</f>
        <v>2</v>
      </c>
      <c r="P529" s="3" t="str">
        <f>IFERROR(__xludf.DUMMYFUNCTION("MID(REGEXEXTRACT(I529,"" [^ ]* [^ ]*""),2,300)"),"mirrored silver")</f>
        <v>mirrored silver</v>
      </c>
      <c r="Q529" s="3">
        <f>IFERROR(__xludf.DUMMYFUNCTION("INDEX(SPLIT(J529,"" ""),1)"),5.0)</f>
        <v>5</v>
      </c>
      <c r="R529" s="3" t="str">
        <f>IFERROR(__xludf.DUMMYFUNCTION("MID(REGEXEXTRACT(J529,"" [^ ]* [^ ]*""),2,300)"),"dark cyan")</f>
        <v>dark cyan</v>
      </c>
      <c r="S529" s="3">
        <f t="shared" si="2"/>
        <v>3</v>
      </c>
      <c r="T529" s="3" t="str">
        <f t="shared" si="3"/>
        <v>pale aqua</v>
      </c>
      <c r="U529" s="3">
        <f t="shared" si="4"/>
        <v>2</v>
      </c>
      <c r="V529" s="3" t="str">
        <f t="shared" si="5"/>
        <v>clear coral</v>
      </c>
      <c r="W529" s="3">
        <f t="shared" si="6"/>
        <v>2</v>
      </c>
      <c r="X529" s="3" t="str">
        <f t="shared" si="7"/>
        <v>mirrored silver</v>
      </c>
      <c r="Y529" s="3">
        <f t="shared" si="8"/>
        <v>5</v>
      </c>
      <c r="Z529" s="3" t="str">
        <f t="shared" si="9"/>
        <v>dark cyan</v>
      </c>
      <c r="AA529" s="13">
        <f t="shared" si="10"/>
        <v>314592018</v>
      </c>
      <c r="AB529" s="3">
        <f t="shared" si="11"/>
        <v>314592017</v>
      </c>
      <c r="AC529" s="3">
        <f t="shared" si="12"/>
        <v>3</v>
      </c>
      <c r="AD529" s="3">
        <f t="shared" si="13"/>
        <v>1578216</v>
      </c>
      <c r="AE529" s="3">
        <f t="shared" si="14"/>
        <v>2</v>
      </c>
      <c r="AF529" s="3">
        <f t="shared" si="15"/>
        <v>1</v>
      </c>
      <c r="AG529" s="3">
        <f t="shared" si="16"/>
        <v>2</v>
      </c>
      <c r="AH529" s="3">
        <f t="shared" si="17"/>
        <v>386</v>
      </c>
      <c r="AI529" s="3">
        <f t="shared" si="18"/>
        <v>5</v>
      </c>
      <c r="AJ529" s="3">
        <f t="shared" si="19"/>
        <v>61971319</v>
      </c>
    </row>
    <row r="530">
      <c r="C530" s="6" t="s">
        <v>530</v>
      </c>
      <c r="D530" s="3">
        <f t="shared" si="1"/>
        <v>3</v>
      </c>
      <c r="E530" s="3" t="str">
        <f>IFERROR(__xludf.DUMMYFUNCTION("REGEXEXTRACT(C530,""[^ ]* [^ ]*"")"),"bright green")</f>
        <v>bright green</v>
      </c>
      <c r="F530" s="3" t="str">
        <f>IFERROR(__xludf.DUMMYFUNCTION("MID(REGEXEXTRACT(C530,""contain.*$""),9,300)"),"1 shiny aqua bag, 5 drab salmon bags, 5 wavy tomato bags, 4 faded beige bags.")</f>
        <v>1 shiny aqua bag, 5 drab salmon bags, 5 wavy tomato bags, 4 faded beige bags.</v>
      </c>
      <c r="G530" s="3" t="str">
        <f>IFERROR(__xludf.DUMMYFUNCTION("INDEX(SPLIT($F530,"",""),COLUMN()-6)"),"1 shiny aqua bag")</f>
        <v>1 shiny aqua bag</v>
      </c>
      <c r="H530" s="3" t="str">
        <f>IFERROR(__xludf.DUMMYFUNCTION("MID(INDEX(SPLIT($F530,"",""),COLUMN()-6),2,300)"),"5 drab salmon bags")</f>
        <v>5 drab salmon bags</v>
      </c>
      <c r="I530" s="3" t="str">
        <f>IFERROR(__xludf.DUMMYFUNCTION("MID(INDEX(SPLIT($F530,"",""),COLUMN()-6),2,300)"),"5 wavy tomato bags")</f>
        <v>5 wavy tomato bags</v>
      </c>
      <c r="J530" s="3" t="str">
        <f>IFERROR(__xludf.DUMMYFUNCTION("MID(INDEX(SPLIT($F530,"",""),COLUMN()-6),2,300)"),"4 faded beige bags.")</f>
        <v>4 faded beige bags.</v>
      </c>
      <c r="K530" s="3">
        <f>IFERROR(__xludf.DUMMYFUNCTION("INDEX(SPLIT(G530,"" ""),1)"),1.0)</f>
        <v>1</v>
      </c>
      <c r="L530" s="3" t="str">
        <f>IFERROR(__xludf.DUMMYFUNCTION("REGEXEXTRACT(G530,"" [^ ]* [^ ]* "")")," shiny aqua ")</f>
        <v> shiny aqua </v>
      </c>
      <c r="M530" s="3">
        <f>IFERROR(__xludf.DUMMYFUNCTION("INDEX(SPLIT(H530,"" ""),1)"),5.0)</f>
        <v>5</v>
      </c>
      <c r="N530" s="3" t="str">
        <f>IFERROR(__xludf.DUMMYFUNCTION("MID(REGEXEXTRACT(H530,"" [^ ]* [^ ]*""),2,300)"),"drab salmon")</f>
        <v>drab salmon</v>
      </c>
      <c r="O530" s="3">
        <f>IFERROR(__xludf.DUMMYFUNCTION("INDEX(SPLIT(I530,"" ""),1)"),5.0)</f>
        <v>5</v>
      </c>
      <c r="P530" s="3" t="str">
        <f>IFERROR(__xludf.DUMMYFUNCTION("MID(REGEXEXTRACT(I530,"" [^ ]* [^ ]*""),2,300)"),"wavy tomato")</f>
        <v>wavy tomato</v>
      </c>
      <c r="Q530" s="3">
        <f>IFERROR(__xludf.DUMMYFUNCTION("INDEX(SPLIT(J530,"" ""),1)"),4.0)</f>
        <v>4</v>
      </c>
      <c r="R530" s="3" t="str">
        <f>IFERROR(__xludf.DUMMYFUNCTION("MID(REGEXEXTRACT(J530,"" [^ ]* [^ ]*""),2,300)"),"faded beige")</f>
        <v>faded beige</v>
      </c>
      <c r="S530" s="3">
        <f t="shared" si="2"/>
        <v>1</v>
      </c>
      <c r="T530" s="3" t="str">
        <f t="shared" si="3"/>
        <v>shiny aqua</v>
      </c>
      <c r="U530" s="3">
        <f t="shared" si="4"/>
        <v>5</v>
      </c>
      <c r="V530" s="3" t="str">
        <f t="shared" si="5"/>
        <v>drab salmon</v>
      </c>
      <c r="W530" s="3">
        <f t="shared" si="6"/>
        <v>5</v>
      </c>
      <c r="X530" s="3" t="str">
        <f t="shared" si="7"/>
        <v>wavy tomato</v>
      </c>
      <c r="Y530" s="3">
        <f t="shared" si="8"/>
        <v>4</v>
      </c>
      <c r="Z530" s="3" t="str">
        <f t="shared" si="9"/>
        <v>faded beige</v>
      </c>
      <c r="AA530" s="13">
        <f t="shared" si="10"/>
        <v>134494</v>
      </c>
      <c r="AB530" s="3">
        <f t="shared" si="11"/>
        <v>134493</v>
      </c>
      <c r="AC530" s="3">
        <f t="shared" si="12"/>
        <v>1</v>
      </c>
      <c r="AD530" s="3">
        <f t="shared" si="13"/>
        <v>32451</v>
      </c>
      <c r="AE530" s="3">
        <f t="shared" si="14"/>
        <v>5</v>
      </c>
      <c r="AF530" s="3">
        <f t="shared" si="15"/>
        <v>15045</v>
      </c>
      <c r="AG530" s="3">
        <f t="shared" si="16"/>
        <v>5</v>
      </c>
      <c r="AH530" s="3">
        <f t="shared" si="17"/>
        <v>265</v>
      </c>
      <c r="AI530" s="3">
        <f t="shared" si="18"/>
        <v>4</v>
      </c>
      <c r="AJ530" s="3">
        <f t="shared" si="19"/>
        <v>6373</v>
      </c>
    </row>
    <row r="531">
      <c r="C531" s="6" t="s">
        <v>531</v>
      </c>
      <c r="D531" s="3">
        <f t="shared" si="1"/>
        <v>2</v>
      </c>
      <c r="E531" s="3" t="str">
        <f>IFERROR(__xludf.DUMMYFUNCTION("REGEXEXTRACT(C531,""[^ ]* [^ ]*"")"),"bright aqua")</f>
        <v>bright aqua</v>
      </c>
      <c r="F531" s="3" t="str">
        <f>IFERROR(__xludf.DUMMYFUNCTION("MID(REGEXEXTRACT(C531,""contain.*$""),9,300)"),"2 vibrant magenta bags, 3 dim indigo bags, 5 dark fuchsia bags.")</f>
        <v>2 vibrant magenta bags, 3 dim indigo bags, 5 dark fuchsia bags.</v>
      </c>
      <c r="G531" s="3" t="str">
        <f>IFERROR(__xludf.DUMMYFUNCTION("INDEX(SPLIT($F531,"",""),COLUMN()-6)"),"2 vibrant magenta bags")</f>
        <v>2 vibrant magenta bags</v>
      </c>
      <c r="H531" s="3" t="str">
        <f>IFERROR(__xludf.DUMMYFUNCTION("MID(INDEX(SPLIT($F531,"",""),COLUMN()-6),2,300)"),"3 dim indigo bags")</f>
        <v>3 dim indigo bags</v>
      </c>
      <c r="I531" s="3" t="str">
        <f>IFERROR(__xludf.DUMMYFUNCTION("MID(INDEX(SPLIT($F531,"",""),COLUMN()-6),2,300)"),"5 dark fuchsia bags.")</f>
        <v>5 dark fuchsia bags.</v>
      </c>
      <c r="J531" s="3" t="str">
        <f>IFERROR(__xludf.DUMMYFUNCTION("MID(INDEX(SPLIT($F531,"",""),COLUMN()-6),2,300)"),"#REF!")</f>
        <v>#REF!</v>
      </c>
      <c r="K531" s="3">
        <f>IFERROR(__xludf.DUMMYFUNCTION("INDEX(SPLIT(G531,"" ""),1)"),2.0)</f>
        <v>2</v>
      </c>
      <c r="L531" s="3" t="str">
        <f>IFERROR(__xludf.DUMMYFUNCTION("REGEXEXTRACT(G531,"" [^ ]* [^ ]* "")")," vibrant magenta ")</f>
        <v> vibrant magenta </v>
      </c>
      <c r="M531" s="3">
        <f>IFERROR(__xludf.DUMMYFUNCTION("INDEX(SPLIT(H531,"" ""),1)"),3.0)</f>
        <v>3</v>
      </c>
      <c r="N531" s="3" t="str">
        <f>IFERROR(__xludf.DUMMYFUNCTION("MID(REGEXEXTRACT(H531,"" [^ ]* [^ ]*""),2,300)"),"dim indigo")</f>
        <v>dim indigo</v>
      </c>
      <c r="O531" s="3">
        <f>IFERROR(__xludf.DUMMYFUNCTION("INDEX(SPLIT(I531,"" ""),1)"),5.0)</f>
        <v>5</v>
      </c>
      <c r="P531" s="3" t="str">
        <f>IFERROR(__xludf.DUMMYFUNCTION("MID(REGEXEXTRACT(I531,"" [^ ]* [^ ]*""),2,300)"),"dark fuchsia")</f>
        <v>dark fuchsia</v>
      </c>
      <c r="Q531" s="3" t="str">
        <f>IFERROR(__xludf.DUMMYFUNCTION("INDEX(SPLIT(J531,"" ""),1)"),"#REF!")</f>
        <v>#REF!</v>
      </c>
      <c r="R531" s="3" t="str">
        <f>IFERROR(__xludf.DUMMYFUNCTION("MID(REGEXEXTRACT(J531,"" [^ ]* [^ ]*""),2,300)"),"#REF!")</f>
        <v>#REF!</v>
      </c>
      <c r="S531" s="3">
        <f t="shared" si="2"/>
        <v>2</v>
      </c>
      <c r="T531" s="3" t="str">
        <f t="shared" si="3"/>
        <v>vibrant magenta</v>
      </c>
      <c r="U531" s="3">
        <f t="shared" si="4"/>
        <v>3</v>
      </c>
      <c r="V531" s="3" t="str">
        <f t="shared" si="5"/>
        <v>dim indigo</v>
      </c>
      <c r="W531" s="3">
        <f t="shared" si="6"/>
        <v>5</v>
      </c>
      <c r="X531" s="3" t="str">
        <f t="shared" si="7"/>
        <v>dark fuchsia</v>
      </c>
      <c r="Y531" s="3" t="str">
        <f t="shared" si="8"/>
        <v/>
      </c>
      <c r="Z531" s="3" t="str">
        <f t="shared" si="9"/>
        <v/>
      </c>
      <c r="AA531" s="13">
        <f t="shared" si="10"/>
        <v>410531752</v>
      </c>
      <c r="AB531" s="3">
        <f t="shared" si="11"/>
        <v>410531751</v>
      </c>
      <c r="AC531" s="3">
        <f t="shared" si="12"/>
        <v>2</v>
      </c>
      <c r="AD531" s="3">
        <f t="shared" si="13"/>
        <v>202868230</v>
      </c>
      <c r="AE531" s="3">
        <f t="shared" si="14"/>
        <v>3</v>
      </c>
      <c r="AF531" s="3">
        <f t="shared" si="15"/>
        <v>29637</v>
      </c>
      <c r="AG531" s="3">
        <f t="shared" si="16"/>
        <v>5</v>
      </c>
      <c r="AH531" s="3">
        <f t="shared" si="17"/>
        <v>941276</v>
      </c>
      <c r="AI531" s="3" t="str">
        <f t="shared" si="18"/>
        <v/>
      </c>
      <c r="AJ531" s="3">
        <f t="shared" si="19"/>
        <v>0</v>
      </c>
    </row>
    <row r="532">
      <c r="C532" s="6" t="s">
        <v>532</v>
      </c>
      <c r="D532" s="3">
        <f t="shared" si="1"/>
        <v>0</v>
      </c>
      <c r="E532" s="3" t="str">
        <f>IFERROR(__xludf.DUMMYFUNCTION("REGEXEXTRACT(C532,""[^ ]* [^ ]*"")"),"pale olive")</f>
        <v>pale olive</v>
      </c>
      <c r="F532" s="3" t="str">
        <f>IFERROR(__xludf.DUMMYFUNCTION("MID(REGEXEXTRACT(C532,""contain.*$""),9,300)"),"1 dotted brown bag.")</f>
        <v>1 dotted brown bag.</v>
      </c>
      <c r="G532" s="3" t="str">
        <f>IFERROR(__xludf.DUMMYFUNCTION("INDEX(SPLIT($F532,"",""),COLUMN()-6)"),"1 dotted brown bag.")</f>
        <v>1 dotted brown bag.</v>
      </c>
      <c r="H532" s="3" t="str">
        <f>IFERROR(__xludf.DUMMYFUNCTION("MID(INDEX(SPLIT($F532,"",""),COLUMN()-6),2,300)"),"#REF!")</f>
        <v>#REF!</v>
      </c>
      <c r="I532" s="3" t="str">
        <f>IFERROR(__xludf.DUMMYFUNCTION("MID(INDEX(SPLIT($F532,"",""),COLUMN()-6),2,300)"),"#REF!")</f>
        <v>#REF!</v>
      </c>
      <c r="J532" s="3" t="str">
        <f>IFERROR(__xludf.DUMMYFUNCTION("MID(INDEX(SPLIT($F532,"",""),COLUMN()-6),2,300)"),"#REF!")</f>
        <v>#REF!</v>
      </c>
      <c r="K532" s="3">
        <f>IFERROR(__xludf.DUMMYFUNCTION("INDEX(SPLIT(G532,"" ""),1)"),1.0)</f>
        <v>1</v>
      </c>
      <c r="L532" s="3" t="str">
        <f>IFERROR(__xludf.DUMMYFUNCTION("REGEXEXTRACT(G532,"" [^ ]* [^ ]* "")")," dotted brown ")</f>
        <v> dotted brown </v>
      </c>
      <c r="M532" s="3" t="str">
        <f>IFERROR(__xludf.DUMMYFUNCTION("INDEX(SPLIT(H532,"" ""),1)"),"#REF!")</f>
        <v>#REF!</v>
      </c>
      <c r="N532" s="3" t="str">
        <f>IFERROR(__xludf.DUMMYFUNCTION("MID(REGEXEXTRACT(H532,"" [^ ]* [^ ]*""),2,300)"),"#REF!")</f>
        <v>#REF!</v>
      </c>
      <c r="O532" s="3" t="str">
        <f>IFERROR(__xludf.DUMMYFUNCTION("INDEX(SPLIT(I532,"" ""),1)"),"#REF!")</f>
        <v>#REF!</v>
      </c>
      <c r="P532" s="3" t="str">
        <f>IFERROR(__xludf.DUMMYFUNCTION("MID(REGEXEXTRACT(I532,"" [^ ]* [^ ]*""),2,300)"),"#REF!")</f>
        <v>#REF!</v>
      </c>
      <c r="Q532" s="3" t="str">
        <f>IFERROR(__xludf.DUMMYFUNCTION("INDEX(SPLIT(J532,"" ""),1)"),"#REF!")</f>
        <v>#REF!</v>
      </c>
      <c r="R532" s="3" t="str">
        <f>IFERROR(__xludf.DUMMYFUNCTION("MID(REGEXEXTRACT(J532,"" [^ ]* [^ ]*""),2,300)"),"#REF!")</f>
        <v>#REF!</v>
      </c>
      <c r="S532" s="3">
        <f t="shared" si="2"/>
        <v>1</v>
      </c>
      <c r="T532" s="3" t="str">
        <f t="shared" si="3"/>
        <v>dotted brown</v>
      </c>
      <c r="U532" s="3" t="str">
        <f t="shared" si="4"/>
        <v/>
      </c>
      <c r="V532" s="3" t="str">
        <f t="shared" si="5"/>
        <v/>
      </c>
      <c r="W532" s="3" t="str">
        <f t="shared" si="6"/>
        <v/>
      </c>
      <c r="X532" s="3" t="str">
        <f t="shared" si="7"/>
        <v/>
      </c>
      <c r="Y532" s="3" t="str">
        <f t="shared" si="8"/>
        <v/>
      </c>
      <c r="Z532" s="3" t="str">
        <f t="shared" si="9"/>
        <v/>
      </c>
      <c r="AA532" s="13">
        <f t="shared" si="10"/>
        <v>306</v>
      </c>
      <c r="AB532" s="3">
        <f t="shared" si="11"/>
        <v>305</v>
      </c>
      <c r="AC532" s="3">
        <f t="shared" si="12"/>
        <v>1</v>
      </c>
      <c r="AD532" s="3">
        <f t="shared" si="13"/>
        <v>305</v>
      </c>
      <c r="AE532" s="3" t="str">
        <f t="shared" si="14"/>
        <v/>
      </c>
      <c r="AF532" s="3">
        <f t="shared" si="15"/>
        <v>0</v>
      </c>
      <c r="AG532" s="3" t="str">
        <f t="shared" si="16"/>
        <v/>
      </c>
      <c r="AH532" s="3">
        <f t="shared" si="17"/>
        <v>0</v>
      </c>
      <c r="AI532" s="3" t="str">
        <f t="shared" si="18"/>
        <v/>
      </c>
      <c r="AJ532" s="3">
        <f t="shared" si="19"/>
        <v>0</v>
      </c>
    </row>
    <row r="533">
      <c r="C533" s="6" t="s">
        <v>533</v>
      </c>
      <c r="D533" s="3">
        <f t="shared" si="1"/>
        <v>1</v>
      </c>
      <c r="E533" s="3" t="str">
        <f>IFERROR(__xludf.DUMMYFUNCTION("REGEXEXTRACT(C533,""[^ ]* [^ ]*"")"),"mirrored fuchsia")</f>
        <v>mirrored fuchsia</v>
      </c>
      <c r="F533" s="3" t="str">
        <f>IFERROR(__xludf.DUMMYFUNCTION("MID(REGEXEXTRACT(C533,""contain.*$""),9,300)"),"1 dull brown bag, 3 light cyan bags.")</f>
        <v>1 dull brown bag, 3 light cyan bags.</v>
      </c>
      <c r="G533" s="3" t="str">
        <f>IFERROR(__xludf.DUMMYFUNCTION("INDEX(SPLIT($F533,"",""),COLUMN()-6)"),"1 dull brown bag")</f>
        <v>1 dull brown bag</v>
      </c>
      <c r="H533" s="3" t="str">
        <f>IFERROR(__xludf.DUMMYFUNCTION("MID(INDEX(SPLIT($F533,"",""),COLUMN()-6),2,300)"),"3 light cyan bags.")</f>
        <v>3 light cyan bags.</v>
      </c>
      <c r="I533" s="3" t="str">
        <f>IFERROR(__xludf.DUMMYFUNCTION("MID(INDEX(SPLIT($F533,"",""),COLUMN()-6),2,300)"),"#REF!")</f>
        <v>#REF!</v>
      </c>
      <c r="J533" s="3" t="str">
        <f>IFERROR(__xludf.DUMMYFUNCTION("MID(INDEX(SPLIT($F533,"",""),COLUMN()-6),2,300)"),"#REF!")</f>
        <v>#REF!</v>
      </c>
      <c r="K533" s="3">
        <f>IFERROR(__xludf.DUMMYFUNCTION("INDEX(SPLIT(G533,"" ""),1)"),1.0)</f>
        <v>1</v>
      </c>
      <c r="L533" s="3" t="str">
        <f>IFERROR(__xludf.DUMMYFUNCTION("REGEXEXTRACT(G533,"" [^ ]* [^ ]* "")")," dull brown ")</f>
        <v> dull brown </v>
      </c>
      <c r="M533" s="3">
        <f>IFERROR(__xludf.DUMMYFUNCTION("INDEX(SPLIT(H533,"" ""),1)"),3.0)</f>
        <v>3</v>
      </c>
      <c r="N533" s="3" t="str">
        <f>IFERROR(__xludf.DUMMYFUNCTION("MID(REGEXEXTRACT(H533,"" [^ ]* [^ ]*""),2,300)"),"light cyan")</f>
        <v>light cyan</v>
      </c>
      <c r="O533" s="3" t="str">
        <f>IFERROR(__xludf.DUMMYFUNCTION("INDEX(SPLIT(I533,"" ""),1)"),"#REF!")</f>
        <v>#REF!</v>
      </c>
      <c r="P533" s="3" t="str">
        <f>IFERROR(__xludf.DUMMYFUNCTION("MID(REGEXEXTRACT(I533,"" [^ ]* [^ ]*""),2,300)"),"#REF!")</f>
        <v>#REF!</v>
      </c>
      <c r="Q533" s="3" t="str">
        <f>IFERROR(__xludf.DUMMYFUNCTION("INDEX(SPLIT(J533,"" ""),1)"),"#REF!")</f>
        <v>#REF!</v>
      </c>
      <c r="R533" s="3" t="str">
        <f>IFERROR(__xludf.DUMMYFUNCTION("MID(REGEXEXTRACT(J533,"" [^ ]* [^ ]*""),2,300)"),"#REF!")</f>
        <v>#REF!</v>
      </c>
      <c r="S533" s="3">
        <f t="shared" si="2"/>
        <v>1</v>
      </c>
      <c r="T533" s="3" t="str">
        <f t="shared" si="3"/>
        <v>dull brown</v>
      </c>
      <c r="U533" s="3">
        <f t="shared" si="4"/>
        <v>3</v>
      </c>
      <c r="V533" s="3" t="str">
        <f t="shared" si="5"/>
        <v>light cyan</v>
      </c>
      <c r="W533" s="3" t="str">
        <f t="shared" si="6"/>
        <v/>
      </c>
      <c r="X533" s="3" t="str">
        <f t="shared" si="7"/>
        <v/>
      </c>
      <c r="Y533" s="3" t="str">
        <f t="shared" si="8"/>
        <v/>
      </c>
      <c r="Z533" s="3" t="str">
        <f t="shared" si="9"/>
        <v/>
      </c>
      <c r="AA533" s="13">
        <f t="shared" si="10"/>
        <v>8337220</v>
      </c>
      <c r="AB533" s="3">
        <f t="shared" si="11"/>
        <v>8337219</v>
      </c>
      <c r="AC533" s="3">
        <f t="shared" si="12"/>
        <v>1</v>
      </c>
      <c r="AD533" s="3">
        <f t="shared" si="13"/>
        <v>8325969</v>
      </c>
      <c r="AE533" s="3">
        <f t="shared" si="14"/>
        <v>3</v>
      </c>
      <c r="AF533" s="3">
        <f t="shared" si="15"/>
        <v>3750</v>
      </c>
      <c r="AG533" s="3" t="str">
        <f t="shared" si="16"/>
        <v/>
      </c>
      <c r="AH533" s="3">
        <f t="shared" si="17"/>
        <v>0</v>
      </c>
      <c r="AI533" s="3" t="str">
        <f t="shared" si="18"/>
        <v/>
      </c>
      <c r="AJ533" s="3">
        <f t="shared" si="19"/>
        <v>0</v>
      </c>
    </row>
    <row r="534">
      <c r="C534" s="6" t="s">
        <v>534</v>
      </c>
      <c r="D534" s="3">
        <f t="shared" si="1"/>
        <v>0</v>
      </c>
      <c r="E534" s="3" t="str">
        <f>IFERROR(__xludf.DUMMYFUNCTION("REGEXEXTRACT(C534,""[^ ]* [^ ]*"")"),"mirrored red")</f>
        <v>mirrored red</v>
      </c>
      <c r="F534" s="3" t="str">
        <f>IFERROR(__xludf.DUMMYFUNCTION("MID(REGEXEXTRACT(C534,""contain.*$""),9,300)"),"3 plaid lavender bags.")</f>
        <v>3 plaid lavender bags.</v>
      </c>
      <c r="G534" s="3" t="str">
        <f>IFERROR(__xludf.DUMMYFUNCTION("INDEX(SPLIT($F534,"",""),COLUMN()-6)"),"3 plaid lavender bags.")</f>
        <v>3 plaid lavender bags.</v>
      </c>
      <c r="H534" s="3" t="str">
        <f>IFERROR(__xludf.DUMMYFUNCTION("MID(INDEX(SPLIT($F534,"",""),COLUMN()-6),2,300)"),"#REF!")</f>
        <v>#REF!</v>
      </c>
      <c r="I534" s="3" t="str">
        <f>IFERROR(__xludf.DUMMYFUNCTION("MID(INDEX(SPLIT($F534,"",""),COLUMN()-6),2,300)"),"#REF!")</f>
        <v>#REF!</v>
      </c>
      <c r="J534" s="3" t="str">
        <f>IFERROR(__xludf.DUMMYFUNCTION("MID(INDEX(SPLIT($F534,"",""),COLUMN()-6),2,300)"),"#REF!")</f>
        <v>#REF!</v>
      </c>
      <c r="K534" s="3">
        <f>IFERROR(__xludf.DUMMYFUNCTION("INDEX(SPLIT(G534,"" ""),1)"),3.0)</f>
        <v>3</v>
      </c>
      <c r="L534" s="3" t="str">
        <f>IFERROR(__xludf.DUMMYFUNCTION("REGEXEXTRACT(G534,"" [^ ]* [^ ]* "")")," plaid lavender ")</f>
        <v> plaid lavender </v>
      </c>
      <c r="M534" s="3" t="str">
        <f>IFERROR(__xludf.DUMMYFUNCTION("INDEX(SPLIT(H534,"" ""),1)"),"#REF!")</f>
        <v>#REF!</v>
      </c>
      <c r="N534" s="3" t="str">
        <f>IFERROR(__xludf.DUMMYFUNCTION("MID(REGEXEXTRACT(H534,"" [^ ]* [^ ]*""),2,300)"),"#REF!")</f>
        <v>#REF!</v>
      </c>
      <c r="O534" s="3" t="str">
        <f>IFERROR(__xludf.DUMMYFUNCTION("INDEX(SPLIT(I534,"" ""),1)"),"#REF!")</f>
        <v>#REF!</v>
      </c>
      <c r="P534" s="3" t="str">
        <f>IFERROR(__xludf.DUMMYFUNCTION("MID(REGEXEXTRACT(I534,"" [^ ]* [^ ]*""),2,300)"),"#REF!")</f>
        <v>#REF!</v>
      </c>
      <c r="Q534" s="3" t="str">
        <f>IFERROR(__xludf.DUMMYFUNCTION("INDEX(SPLIT(J534,"" ""),1)"),"#REF!")</f>
        <v>#REF!</v>
      </c>
      <c r="R534" s="3" t="str">
        <f>IFERROR(__xludf.DUMMYFUNCTION("MID(REGEXEXTRACT(J534,"" [^ ]* [^ ]*""),2,300)"),"#REF!")</f>
        <v>#REF!</v>
      </c>
      <c r="S534" s="3">
        <f t="shared" si="2"/>
        <v>3</v>
      </c>
      <c r="T534" s="3" t="str">
        <f t="shared" si="3"/>
        <v>plaid lavender</v>
      </c>
      <c r="U534" s="3" t="str">
        <f t="shared" si="4"/>
        <v/>
      </c>
      <c r="V534" s="3" t="str">
        <f t="shared" si="5"/>
        <v/>
      </c>
      <c r="W534" s="3" t="str">
        <f t="shared" si="6"/>
        <v/>
      </c>
      <c r="X534" s="3" t="str">
        <f t="shared" si="7"/>
        <v/>
      </c>
      <c r="Y534" s="3" t="str">
        <f t="shared" si="8"/>
        <v/>
      </c>
      <c r="Z534" s="3" t="str">
        <f t="shared" si="9"/>
        <v/>
      </c>
      <c r="AA534" s="13">
        <f t="shared" si="10"/>
        <v>44887</v>
      </c>
      <c r="AB534" s="3">
        <f t="shared" si="11"/>
        <v>44886</v>
      </c>
      <c r="AC534" s="3">
        <f t="shared" si="12"/>
        <v>3</v>
      </c>
      <c r="AD534" s="3">
        <f t="shared" si="13"/>
        <v>14962</v>
      </c>
      <c r="AE534" s="3" t="str">
        <f t="shared" si="14"/>
        <v/>
      </c>
      <c r="AF534" s="3">
        <f t="shared" si="15"/>
        <v>0</v>
      </c>
      <c r="AG534" s="3" t="str">
        <f t="shared" si="16"/>
        <v/>
      </c>
      <c r="AH534" s="3">
        <f t="shared" si="17"/>
        <v>0</v>
      </c>
      <c r="AI534" s="3" t="str">
        <f t="shared" si="18"/>
        <v/>
      </c>
      <c r="AJ534" s="3">
        <f t="shared" si="19"/>
        <v>0</v>
      </c>
    </row>
    <row r="535">
      <c r="C535" s="6" t="s">
        <v>535</v>
      </c>
      <c r="D535" s="3">
        <f t="shared" si="1"/>
        <v>3</v>
      </c>
      <c r="E535" s="3" t="str">
        <f>IFERROR(__xludf.DUMMYFUNCTION("REGEXEXTRACT(C535,""[^ ]* [^ ]*"")"),"wavy blue")</f>
        <v>wavy blue</v>
      </c>
      <c r="F535" s="3" t="str">
        <f>IFERROR(__xludf.DUMMYFUNCTION("MID(REGEXEXTRACT(C535,""contain.*$""),9,300)"),"5 wavy turquoise bags, 3 light green bags, 4 dim indigo bags, 3 posh coral bags.")</f>
        <v>5 wavy turquoise bags, 3 light green bags, 4 dim indigo bags, 3 posh coral bags.</v>
      </c>
      <c r="G535" s="3" t="str">
        <f>IFERROR(__xludf.DUMMYFUNCTION("INDEX(SPLIT($F535,"",""),COLUMN()-6)"),"5 wavy turquoise bags")</f>
        <v>5 wavy turquoise bags</v>
      </c>
      <c r="H535" s="3" t="str">
        <f>IFERROR(__xludf.DUMMYFUNCTION("MID(INDEX(SPLIT($F535,"",""),COLUMN()-6),2,300)"),"3 light green bags")</f>
        <v>3 light green bags</v>
      </c>
      <c r="I535" s="3" t="str">
        <f>IFERROR(__xludf.DUMMYFUNCTION("MID(INDEX(SPLIT($F535,"",""),COLUMN()-6),2,300)"),"4 dim indigo bags")</f>
        <v>4 dim indigo bags</v>
      </c>
      <c r="J535" s="3" t="str">
        <f>IFERROR(__xludf.DUMMYFUNCTION("MID(INDEX(SPLIT($F535,"",""),COLUMN()-6),2,300)"),"3 posh coral bags.")</f>
        <v>3 posh coral bags.</v>
      </c>
      <c r="K535" s="3">
        <f>IFERROR(__xludf.DUMMYFUNCTION("INDEX(SPLIT(G535,"" ""),1)"),5.0)</f>
        <v>5</v>
      </c>
      <c r="L535" s="3" t="str">
        <f>IFERROR(__xludf.DUMMYFUNCTION("REGEXEXTRACT(G535,"" [^ ]* [^ ]* "")")," wavy turquoise ")</f>
        <v> wavy turquoise </v>
      </c>
      <c r="M535" s="3">
        <f>IFERROR(__xludf.DUMMYFUNCTION("INDEX(SPLIT(H535,"" ""),1)"),3.0)</f>
        <v>3</v>
      </c>
      <c r="N535" s="3" t="str">
        <f>IFERROR(__xludf.DUMMYFUNCTION("MID(REGEXEXTRACT(H535,"" [^ ]* [^ ]*""),2,300)"),"light green")</f>
        <v>light green</v>
      </c>
      <c r="O535" s="3">
        <f>IFERROR(__xludf.DUMMYFUNCTION("INDEX(SPLIT(I535,"" ""),1)"),4.0)</f>
        <v>4</v>
      </c>
      <c r="P535" s="3" t="str">
        <f>IFERROR(__xludf.DUMMYFUNCTION("MID(REGEXEXTRACT(I535,"" [^ ]* [^ ]*""),2,300)"),"dim indigo")</f>
        <v>dim indigo</v>
      </c>
      <c r="Q535" s="3">
        <f>IFERROR(__xludf.DUMMYFUNCTION("INDEX(SPLIT(J535,"" ""),1)"),3.0)</f>
        <v>3</v>
      </c>
      <c r="R535" s="3" t="str">
        <f>IFERROR(__xludf.DUMMYFUNCTION("MID(REGEXEXTRACT(J535,"" [^ ]* [^ ]*""),2,300)"),"posh coral")</f>
        <v>posh coral</v>
      </c>
      <c r="S535" s="3">
        <f t="shared" si="2"/>
        <v>5</v>
      </c>
      <c r="T535" s="3" t="str">
        <f t="shared" si="3"/>
        <v>wavy turquoise</v>
      </c>
      <c r="U535" s="3">
        <f t="shared" si="4"/>
        <v>3</v>
      </c>
      <c r="V535" s="3" t="str">
        <f t="shared" si="5"/>
        <v>light green</v>
      </c>
      <c r="W535" s="3">
        <f t="shared" si="6"/>
        <v>4</v>
      </c>
      <c r="X535" s="3" t="str">
        <f t="shared" si="7"/>
        <v>dim indigo</v>
      </c>
      <c r="Y535" s="3">
        <f t="shared" si="8"/>
        <v>3</v>
      </c>
      <c r="Z535" s="3" t="str">
        <f t="shared" si="9"/>
        <v>posh coral</v>
      </c>
      <c r="AA535" s="13">
        <f t="shared" si="10"/>
        <v>42954399</v>
      </c>
      <c r="AB535" s="3">
        <f t="shared" si="11"/>
        <v>42954398</v>
      </c>
      <c r="AC535" s="3">
        <f t="shared" si="12"/>
        <v>5</v>
      </c>
      <c r="AD535" s="3">
        <f t="shared" si="13"/>
        <v>11485</v>
      </c>
      <c r="AE535" s="3">
        <f t="shared" si="14"/>
        <v>3</v>
      </c>
      <c r="AF535" s="3">
        <f t="shared" si="15"/>
        <v>14259474</v>
      </c>
      <c r="AG535" s="3">
        <f t="shared" si="16"/>
        <v>4</v>
      </c>
      <c r="AH535" s="3">
        <f t="shared" si="17"/>
        <v>29637</v>
      </c>
      <c r="AI535" s="3">
        <f t="shared" si="18"/>
        <v>3</v>
      </c>
      <c r="AJ535" s="3">
        <f t="shared" si="19"/>
        <v>1</v>
      </c>
    </row>
    <row r="536">
      <c r="C536" s="6" t="s">
        <v>536</v>
      </c>
      <c r="D536" s="3">
        <f t="shared" si="1"/>
        <v>0</v>
      </c>
      <c r="E536" s="3" t="str">
        <f>IFERROR(__xludf.DUMMYFUNCTION("REGEXEXTRACT(C536,""[^ ]* [^ ]*"")"),"clear silver")</f>
        <v>clear silver</v>
      </c>
      <c r="F536" s="3" t="str">
        <f>IFERROR(__xludf.DUMMYFUNCTION("MID(REGEXEXTRACT(C536,""contain.*$""),9,300)"),"4 plaid gray bags.")</f>
        <v>4 plaid gray bags.</v>
      </c>
      <c r="G536" s="3" t="str">
        <f>IFERROR(__xludf.DUMMYFUNCTION("INDEX(SPLIT($F536,"",""),COLUMN()-6)"),"4 plaid gray bags.")</f>
        <v>4 plaid gray bags.</v>
      </c>
      <c r="H536" s="3" t="str">
        <f>IFERROR(__xludf.DUMMYFUNCTION("MID(INDEX(SPLIT($F536,"",""),COLUMN()-6),2,300)"),"#REF!")</f>
        <v>#REF!</v>
      </c>
      <c r="I536" s="3" t="str">
        <f>IFERROR(__xludf.DUMMYFUNCTION("MID(INDEX(SPLIT($F536,"",""),COLUMN()-6),2,300)"),"#REF!")</f>
        <v>#REF!</v>
      </c>
      <c r="J536" s="3" t="str">
        <f>IFERROR(__xludf.DUMMYFUNCTION("MID(INDEX(SPLIT($F536,"",""),COLUMN()-6),2,300)"),"#REF!")</f>
        <v>#REF!</v>
      </c>
      <c r="K536" s="3">
        <f>IFERROR(__xludf.DUMMYFUNCTION("INDEX(SPLIT(G536,"" ""),1)"),4.0)</f>
        <v>4</v>
      </c>
      <c r="L536" s="3" t="str">
        <f>IFERROR(__xludf.DUMMYFUNCTION("REGEXEXTRACT(G536,"" [^ ]* [^ ]* "")")," plaid gray ")</f>
        <v> plaid gray </v>
      </c>
      <c r="M536" s="3" t="str">
        <f>IFERROR(__xludf.DUMMYFUNCTION("INDEX(SPLIT(H536,"" ""),1)"),"#REF!")</f>
        <v>#REF!</v>
      </c>
      <c r="N536" s="3" t="str">
        <f>IFERROR(__xludf.DUMMYFUNCTION("MID(REGEXEXTRACT(H536,"" [^ ]* [^ ]*""),2,300)"),"#REF!")</f>
        <v>#REF!</v>
      </c>
      <c r="O536" s="3" t="str">
        <f>IFERROR(__xludf.DUMMYFUNCTION("INDEX(SPLIT(I536,"" ""),1)"),"#REF!")</f>
        <v>#REF!</v>
      </c>
      <c r="P536" s="3" t="str">
        <f>IFERROR(__xludf.DUMMYFUNCTION("MID(REGEXEXTRACT(I536,"" [^ ]* [^ ]*""),2,300)"),"#REF!")</f>
        <v>#REF!</v>
      </c>
      <c r="Q536" s="3" t="str">
        <f>IFERROR(__xludf.DUMMYFUNCTION("INDEX(SPLIT(J536,"" ""),1)"),"#REF!")</f>
        <v>#REF!</v>
      </c>
      <c r="R536" s="3" t="str">
        <f>IFERROR(__xludf.DUMMYFUNCTION("MID(REGEXEXTRACT(J536,"" [^ ]* [^ ]*""),2,300)"),"#REF!")</f>
        <v>#REF!</v>
      </c>
      <c r="S536" s="3">
        <f t="shared" si="2"/>
        <v>4</v>
      </c>
      <c r="T536" s="3" t="str">
        <f t="shared" si="3"/>
        <v>plaid gray</v>
      </c>
      <c r="U536" s="3" t="str">
        <f t="shared" si="4"/>
        <v/>
      </c>
      <c r="V536" s="3" t="str">
        <f t="shared" si="5"/>
        <v/>
      </c>
      <c r="W536" s="3" t="str">
        <f t="shared" si="6"/>
        <v/>
      </c>
      <c r="X536" s="3" t="str">
        <f t="shared" si="7"/>
        <v/>
      </c>
      <c r="Y536" s="3" t="str">
        <f t="shared" si="8"/>
        <v/>
      </c>
      <c r="Z536" s="3" t="str">
        <f t="shared" si="9"/>
        <v/>
      </c>
      <c r="AA536" s="13">
        <f t="shared" si="10"/>
        <v>217</v>
      </c>
      <c r="AB536" s="3">
        <f t="shared" si="11"/>
        <v>216</v>
      </c>
      <c r="AC536" s="3">
        <f t="shared" si="12"/>
        <v>4</v>
      </c>
      <c r="AD536" s="3">
        <f t="shared" si="13"/>
        <v>54</v>
      </c>
      <c r="AE536" s="3" t="str">
        <f t="shared" si="14"/>
        <v/>
      </c>
      <c r="AF536" s="3">
        <f t="shared" si="15"/>
        <v>0</v>
      </c>
      <c r="AG536" s="3" t="str">
        <f t="shared" si="16"/>
        <v/>
      </c>
      <c r="AH536" s="3">
        <f t="shared" si="17"/>
        <v>0</v>
      </c>
      <c r="AI536" s="3" t="str">
        <f t="shared" si="18"/>
        <v/>
      </c>
      <c r="AJ536" s="3">
        <f t="shared" si="19"/>
        <v>0</v>
      </c>
    </row>
    <row r="537">
      <c r="C537" s="6" t="s">
        <v>537</v>
      </c>
      <c r="D537" s="3">
        <f t="shared" si="1"/>
        <v>3</v>
      </c>
      <c r="E537" s="3" t="str">
        <f>IFERROR(__xludf.DUMMYFUNCTION("REGEXEXTRACT(C537,""[^ ]* [^ ]*"")"),"muted white")</f>
        <v>muted white</v>
      </c>
      <c r="F537" s="3" t="str">
        <f>IFERROR(__xludf.DUMMYFUNCTION("MID(REGEXEXTRACT(C537,""contain.*$""),9,300)"),"2 dotted salmon bags, 4 mirrored white bags, 3 clear cyan bags, 2 muted chartreuse bags.")</f>
        <v>2 dotted salmon bags, 4 mirrored white bags, 3 clear cyan bags, 2 muted chartreuse bags.</v>
      </c>
      <c r="G537" s="3" t="str">
        <f>IFERROR(__xludf.DUMMYFUNCTION("INDEX(SPLIT($F537,"",""),COLUMN()-6)"),"2 dotted salmon bags")</f>
        <v>2 dotted salmon bags</v>
      </c>
      <c r="H537" s="3" t="str">
        <f>IFERROR(__xludf.DUMMYFUNCTION("MID(INDEX(SPLIT($F537,"",""),COLUMN()-6),2,300)"),"4 mirrored white bags")</f>
        <v>4 mirrored white bags</v>
      </c>
      <c r="I537" s="3" t="str">
        <f>IFERROR(__xludf.DUMMYFUNCTION("MID(INDEX(SPLIT($F537,"",""),COLUMN()-6),2,300)"),"3 clear cyan bags")</f>
        <v>3 clear cyan bags</v>
      </c>
      <c r="J537" s="3" t="str">
        <f>IFERROR(__xludf.DUMMYFUNCTION("MID(INDEX(SPLIT($F537,"",""),COLUMN()-6),2,300)"),"2 muted chartreuse bags.")</f>
        <v>2 muted chartreuse bags.</v>
      </c>
      <c r="K537" s="3">
        <f>IFERROR(__xludf.DUMMYFUNCTION("INDEX(SPLIT(G537,"" ""),1)"),2.0)</f>
        <v>2</v>
      </c>
      <c r="L537" s="3" t="str">
        <f>IFERROR(__xludf.DUMMYFUNCTION("REGEXEXTRACT(G537,"" [^ ]* [^ ]* "")")," dotted salmon ")</f>
        <v> dotted salmon </v>
      </c>
      <c r="M537" s="3">
        <f>IFERROR(__xludf.DUMMYFUNCTION("INDEX(SPLIT(H537,"" ""),1)"),4.0)</f>
        <v>4</v>
      </c>
      <c r="N537" s="3" t="str">
        <f>IFERROR(__xludf.DUMMYFUNCTION("MID(REGEXEXTRACT(H537,"" [^ ]* [^ ]*""),2,300)"),"mirrored white")</f>
        <v>mirrored white</v>
      </c>
      <c r="O537" s="3">
        <f>IFERROR(__xludf.DUMMYFUNCTION("INDEX(SPLIT(I537,"" ""),1)"),3.0)</f>
        <v>3</v>
      </c>
      <c r="P537" s="3" t="str">
        <f>IFERROR(__xludf.DUMMYFUNCTION("MID(REGEXEXTRACT(I537,"" [^ ]* [^ ]*""),2,300)"),"clear cyan")</f>
        <v>clear cyan</v>
      </c>
      <c r="Q537" s="3">
        <f>IFERROR(__xludf.DUMMYFUNCTION("INDEX(SPLIT(J537,"" ""),1)"),2.0)</f>
        <v>2</v>
      </c>
      <c r="R537" s="3" t="str">
        <f>IFERROR(__xludf.DUMMYFUNCTION("MID(REGEXEXTRACT(J537,"" [^ ]* [^ ]*""),2,300)"),"muted chartreuse")</f>
        <v>muted chartreuse</v>
      </c>
      <c r="S537" s="3">
        <f t="shared" si="2"/>
        <v>2</v>
      </c>
      <c r="T537" s="3" t="str">
        <f t="shared" si="3"/>
        <v>dotted salmon</v>
      </c>
      <c r="U537" s="3">
        <f t="shared" si="4"/>
        <v>4</v>
      </c>
      <c r="V537" s="3" t="str">
        <f t="shared" si="5"/>
        <v>mirrored white</v>
      </c>
      <c r="W537" s="3">
        <f t="shared" si="6"/>
        <v>3</v>
      </c>
      <c r="X537" s="3" t="str">
        <f t="shared" si="7"/>
        <v>clear cyan</v>
      </c>
      <c r="Y537" s="3">
        <f t="shared" si="8"/>
        <v>2</v>
      </c>
      <c r="Z537" s="3" t="str">
        <f t="shared" si="9"/>
        <v>muted chartreuse</v>
      </c>
      <c r="AA537" s="13">
        <f t="shared" si="10"/>
        <v>2893450</v>
      </c>
      <c r="AB537" s="3">
        <f t="shared" si="11"/>
        <v>2893449</v>
      </c>
      <c r="AC537" s="3">
        <f t="shared" si="12"/>
        <v>2</v>
      </c>
      <c r="AD537" s="3">
        <f t="shared" si="13"/>
        <v>97296</v>
      </c>
      <c r="AE537" s="3">
        <f t="shared" si="14"/>
        <v>4</v>
      </c>
      <c r="AF537" s="3">
        <f t="shared" si="15"/>
        <v>319</v>
      </c>
      <c r="AG537" s="3">
        <f t="shared" si="16"/>
        <v>3</v>
      </c>
      <c r="AH537" s="3">
        <f t="shared" si="17"/>
        <v>899055</v>
      </c>
      <c r="AI537" s="3">
        <f t="shared" si="18"/>
        <v>2</v>
      </c>
      <c r="AJ537" s="3">
        <f t="shared" si="19"/>
        <v>208</v>
      </c>
    </row>
    <row r="538">
      <c r="C538" s="6" t="s">
        <v>538</v>
      </c>
      <c r="D538" s="3">
        <f t="shared" si="1"/>
        <v>3</v>
      </c>
      <c r="E538" s="3" t="str">
        <f>IFERROR(__xludf.DUMMYFUNCTION("REGEXEXTRACT(C538,""[^ ]* [^ ]*"")"),"dim tomato")</f>
        <v>dim tomato</v>
      </c>
      <c r="F538" s="3" t="str">
        <f>IFERROR(__xludf.DUMMYFUNCTION("MID(REGEXEXTRACT(C538,""contain.*$""),9,300)"),"3 drab white bags, 1 posh gray bag, 3 dark cyan bags, 5 posh green bags.")</f>
        <v>3 drab white bags, 1 posh gray bag, 3 dark cyan bags, 5 posh green bags.</v>
      </c>
      <c r="G538" s="3" t="str">
        <f>IFERROR(__xludf.DUMMYFUNCTION("INDEX(SPLIT($F538,"",""),COLUMN()-6)"),"3 drab white bags")</f>
        <v>3 drab white bags</v>
      </c>
      <c r="H538" s="3" t="str">
        <f>IFERROR(__xludf.DUMMYFUNCTION("MID(INDEX(SPLIT($F538,"",""),COLUMN()-6),2,300)"),"1 posh gray bag")</f>
        <v>1 posh gray bag</v>
      </c>
      <c r="I538" s="3" t="str">
        <f>IFERROR(__xludf.DUMMYFUNCTION("MID(INDEX(SPLIT($F538,"",""),COLUMN()-6),2,300)"),"3 dark cyan bags")</f>
        <v>3 dark cyan bags</v>
      </c>
      <c r="J538" s="3" t="str">
        <f>IFERROR(__xludf.DUMMYFUNCTION("MID(INDEX(SPLIT($F538,"",""),COLUMN()-6),2,300)"),"5 posh green bags.")</f>
        <v>5 posh green bags.</v>
      </c>
      <c r="K538" s="3">
        <f>IFERROR(__xludf.DUMMYFUNCTION("INDEX(SPLIT(G538,"" ""),1)"),3.0)</f>
        <v>3</v>
      </c>
      <c r="L538" s="3" t="str">
        <f>IFERROR(__xludf.DUMMYFUNCTION("REGEXEXTRACT(G538,"" [^ ]* [^ ]* "")")," drab white ")</f>
        <v> drab white </v>
      </c>
      <c r="M538" s="3">
        <f>IFERROR(__xludf.DUMMYFUNCTION("INDEX(SPLIT(H538,"" ""),1)"),1.0)</f>
        <v>1</v>
      </c>
      <c r="N538" s="3" t="str">
        <f>IFERROR(__xludf.DUMMYFUNCTION("MID(REGEXEXTRACT(H538,"" [^ ]* [^ ]*""),2,300)"),"posh gray")</f>
        <v>posh gray</v>
      </c>
      <c r="O538" s="3">
        <f>IFERROR(__xludf.DUMMYFUNCTION("INDEX(SPLIT(I538,"" ""),1)"),3.0)</f>
        <v>3</v>
      </c>
      <c r="P538" s="3" t="str">
        <f>IFERROR(__xludf.DUMMYFUNCTION("MID(REGEXEXTRACT(I538,"" [^ ]* [^ ]*""),2,300)"),"dark cyan")</f>
        <v>dark cyan</v>
      </c>
      <c r="Q538" s="3">
        <f>IFERROR(__xludf.DUMMYFUNCTION("INDEX(SPLIT(J538,"" ""),1)"),5.0)</f>
        <v>5</v>
      </c>
      <c r="R538" s="3" t="str">
        <f>IFERROR(__xludf.DUMMYFUNCTION("MID(REGEXEXTRACT(J538,"" [^ ]* [^ ]*""),2,300)"),"posh green")</f>
        <v>posh green</v>
      </c>
      <c r="S538" s="3">
        <f t="shared" si="2"/>
        <v>3</v>
      </c>
      <c r="T538" s="3" t="str">
        <f t="shared" si="3"/>
        <v>drab white</v>
      </c>
      <c r="U538" s="3">
        <f t="shared" si="4"/>
        <v>1</v>
      </c>
      <c r="V538" s="3" t="str">
        <f t="shared" si="5"/>
        <v>posh gray</v>
      </c>
      <c r="W538" s="3">
        <f t="shared" si="6"/>
        <v>3</v>
      </c>
      <c r="X538" s="3" t="str">
        <f t="shared" si="7"/>
        <v>dark cyan</v>
      </c>
      <c r="Y538" s="3">
        <f t="shared" si="8"/>
        <v>5</v>
      </c>
      <c r="Z538" s="3" t="str">
        <f t="shared" si="9"/>
        <v>posh green</v>
      </c>
      <c r="AA538" s="13">
        <f t="shared" si="10"/>
        <v>186016153</v>
      </c>
      <c r="AB538" s="3">
        <f t="shared" si="11"/>
        <v>186016152</v>
      </c>
      <c r="AC538" s="3">
        <f t="shared" si="12"/>
        <v>3</v>
      </c>
      <c r="AD538" s="3">
        <f t="shared" si="13"/>
        <v>14961</v>
      </c>
      <c r="AE538" s="3">
        <f t="shared" si="14"/>
        <v>1</v>
      </c>
      <c r="AF538" s="3">
        <f t="shared" si="15"/>
        <v>25477</v>
      </c>
      <c r="AG538" s="3">
        <f t="shared" si="16"/>
        <v>3</v>
      </c>
      <c r="AH538" s="3">
        <f t="shared" si="17"/>
        <v>61971319</v>
      </c>
      <c r="AI538" s="3">
        <f t="shared" si="18"/>
        <v>5</v>
      </c>
      <c r="AJ538" s="3">
        <f t="shared" si="19"/>
        <v>6367</v>
      </c>
    </row>
    <row r="539">
      <c r="C539" s="6" t="s">
        <v>539</v>
      </c>
      <c r="D539" s="3">
        <f t="shared" si="1"/>
        <v>2</v>
      </c>
      <c r="E539" s="3" t="str">
        <f>IFERROR(__xludf.DUMMYFUNCTION("REGEXEXTRACT(C539,""[^ ]* [^ ]*"")"),"drab beige")</f>
        <v>drab beige</v>
      </c>
      <c r="F539" s="3" t="str">
        <f>IFERROR(__xludf.DUMMYFUNCTION("MID(REGEXEXTRACT(C539,""contain.*$""),9,300)"),"1 light orange bag, 3 bright salmon bags, 3 pale silver bags.")</f>
        <v>1 light orange bag, 3 bright salmon bags, 3 pale silver bags.</v>
      </c>
      <c r="G539" s="3" t="str">
        <f>IFERROR(__xludf.DUMMYFUNCTION("INDEX(SPLIT($F539,"",""),COLUMN()-6)"),"1 light orange bag")</f>
        <v>1 light orange bag</v>
      </c>
      <c r="H539" s="3" t="str">
        <f>IFERROR(__xludf.DUMMYFUNCTION("MID(INDEX(SPLIT($F539,"",""),COLUMN()-6),2,300)"),"3 bright salmon bags")</f>
        <v>3 bright salmon bags</v>
      </c>
      <c r="I539" s="3" t="str">
        <f>IFERROR(__xludf.DUMMYFUNCTION("MID(INDEX(SPLIT($F539,"",""),COLUMN()-6),2,300)"),"3 pale silver bags.")</f>
        <v>3 pale silver bags.</v>
      </c>
      <c r="J539" s="3" t="str">
        <f>IFERROR(__xludf.DUMMYFUNCTION("MID(INDEX(SPLIT($F539,"",""),COLUMN()-6),2,300)"),"#REF!")</f>
        <v>#REF!</v>
      </c>
      <c r="K539" s="3">
        <f>IFERROR(__xludf.DUMMYFUNCTION("INDEX(SPLIT(G539,"" ""),1)"),1.0)</f>
        <v>1</v>
      </c>
      <c r="L539" s="3" t="str">
        <f>IFERROR(__xludf.DUMMYFUNCTION("REGEXEXTRACT(G539,"" [^ ]* [^ ]* "")")," light orange ")</f>
        <v> light orange </v>
      </c>
      <c r="M539" s="3">
        <f>IFERROR(__xludf.DUMMYFUNCTION("INDEX(SPLIT(H539,"" ""),1)"),3.0)</f>
        <v>3</v>
      </c>
      <c r="N539" s="3" t="str">
        <f>IFERROR(__xludf.DUMMYFUNCTION("MID(REGEXEXTRACT(H539,"" [^ ]* [^ ]*""),2,300)"),"bright salmon")</f>
        <v>bright salmon</v>
      </c>
      <c r="O539" s="3">
        <f>IFERROR(__xludf.DUMMYFUNCTION("INDEX(SPLIT(I539,"" ""),1)"),3.0)</f>
        <v>3</v>
      </c>
      <c r="P539" s="3" t="str">
        <f>IFERROR(__xludf.DUMMYFUNCTION("MID(REGEXEXTRACT(I539,"" [^ ]* [^ ]*""),2,300)"),"pale silver")</f>
        <v>pale silver</v>
      </c>
      <c r="Q539" s="3" t="str">
        <f>IFERROR(__xludf.DUMMYFUNCTION("INDEX(SPLIT(J539,"" ""),1)"),"#REF!")</f>
        <v>#REF!</v>
      </c>
      <c r="R539" s="3" t="str">
        <f>IFERROR(__xludf.DUMMYFUNCTION("MID(REGEXEXTRACT(J539,"" [^ ]* [^ ]*""),2,300)"),"#REF!")</f>
        <v>#REF!</v>
      </c>
      <c r="S539" s="3">
        <f t="shared" si="2"/>
        <v>1</v>
      </c>
      <c r="T539" s="3" t="str">
        <f t="shared" si="3"/>
        <v>light orange</v>
      </c>
      <c r="U539" s="3">
        <f t="shared" si="4"/>
        <v>3</v>
      </c>
      <c r="V539" s="3" t="str">
        <f t="shared" si="5"/>
        <v>bright salmon</v>
      </c>
      <c r="W539" s="3">
        <f t="shared" si="6"/>
        <v>3</v>
      </c>
      <c r="X539" s="3" t="str">
        <f t="shared" si="7"/>
        <v>pale silver</v>
      </c>
      <c r="Y539" s="3" t="str">
        <f t="shared" si="8"/>
        <v/>
      </c>
      <c r="Z539" s="3" t="str">
        <f t="shared" si="9"/>
        <v/>
      </c>
      <c r="AA539" s="13">
        <f t="shared" si="10"/>
        <v>48982306</v>
      </c>
      <c r="AB539" s="3">
        <f t="shared" si="11"/>
        <v>48982305</v>
      </c>
      <c r="AC539" s="3">
        <f t="shared" si="12"/>
        <v>1</v>
      </c>
      <c r="AD539" s="3">
        <f t="shared" si="13"/>
        <v>4507599</v>
      </c>
      <c r="AE539" s="3">
        <f t="shared" si="14"/>
        <v>3</v>
      </c>
      <c r="AF539" s="3">
        <f t="shared" si="15"/>
        <v>367933</v>
      </c>
      <c r="AG539" s="3">
        <f t="shared" si="16"/>
        <v>3</v>
      </c>
      <c r="AH539" s="3">
        <f t="shared" si="17"/>
        <v>14456969</v>
      </c>
      <c r="AI539" s="3" t="str">
        <f t="shared" si="18"/>
        <v/>
      </c>
      <c r="AJ539" s="3">
        <f t="shared" si="19"/>
        <v>0</v>
      </c>
    </row>
    <row r="540">
      <c r="C540" s="6" t="s">
        <v>540</v>
      </c>
      <c r="D540" s="3">
        <f t="shared" si="1"/>
        <v>1</v>
      </c>
      <c r="E540" s="3" t="str">
        <f>IFERROR(__xludf.DUMMYFUNCTION("REGEXEXTRACT(C540,""[^ ]* [^ ]*"")"),"clear gold")</f>
        <v>clear gold</v>
      </c>
      <c r="F540" s="3" t="str">
        <f>IFERROR(__xludf.DUMMYFUNCTION("MID(REGEXEXTRACT(C540,""contain.*$""),9,300)"),"2 vibrant white bags, 2 plaid yellow bags.")</f>
        <v>2 vibrant white bags, 2 plaid yellow bags.</v>
      </c>
      <c r="G540" s="3" t="str">
        <f>IFERROR(__xludf.DUMMYFUNCTION("INDEX(SPLIT($F540,"",""),COLUMN()-6)"),"2 vibrant white bags")</f>
        <v>2 vibrant white bags</v>
      </c>
      <c r="H540" s="3" t="str">
        <f>IFERROR(__xludf.DUMMYFUNCTION("MID(INDEX(SPLIT($F540,"",""),COLUMN()-6),2,300)"),"2 plaid yellow bags.")</f>
        <v>2 plaid yellow bags.</v>
      </c>
      <c r="I540" s="3" t="str">
        <f>IFERROR(__xludf.DUMMYFUNCTION("MID(INDEX(SPLIT($F540,"",""),COLUMN()-6),2,300)"),"#REF!")</f>
        <v>#REF!</v>
      </c>
      <c r="J540" s="3" t="str">
        <f>IFERROR(__xludf.DUMMYFUNCTION("MID(INDEX(SPLIT($F540,"",""),COLUMN()-6),2,300)"),"#REF!")</f>
        <v>#REF!</v>
      </c>
      <c r="K540" s="3">
        <f>IFERROR(__xludf.DUMMYFUNCTION("INDEX(SPLIT(G540,"" ""),1)"),2.0)</f>
        <v>2</v>
      </c>
      <c r="L540" s="3" t="str">
        <f>IFERROR(__xludf.DUMMYFUNCTION("REGEXEXTRACT(G540,"" [^ ]* [^ ]* "")")," vibrant white ")</f>
        <v> vibrant white </v>
      </c>
      <c r="M540" s="3">
        <f>IFERROR(__xludf.DUMMYFUNCTION("INDEX(SPLIT(H540,"" ""),1)"),2.0)</f>
        <v>2</v>
      </c>
      <c r="N540" s="3" t="str">
        <f>IFERROR(__xludf.DUMMYFUNCTION("MID(REGEXEXTRACT(H540,"" [^ ]* [^ ]*""),2,300)"),"plaid yellow")</f>
        <v>plaid yellow</v>
      </c>
      <c r="O540" s="3" t="str">
        <f>IFERROR(__xludf.DUMMYFUNCTION("INDEX(SPLIT(I540,"" ""),1)"),"#REF!")</f>
        <v>#REF!</v>
      </c>
      <c r="P540" s="3" t="str">
        <f>IFERROR(__xludf.DUMMYFUNCTION("MID(REGEXEXTRACT(I540,"" [^ ]* [^ ]*""),2,300)"),"#REF!")</f>
        <v>#REF!</v>
      </c>
      <c r="Q540" s="3" t="str">
        <f>IFERROR(__xludf.DUMMYFUNCTION("INDEX(SPLIT(J540,"" ""),1)"),"#REF!")</f>
        <v>#REF!</v>
      </c>
      <c r="R540" s="3" t="str">
        <f>IFERROR(__xludf.DUMMYFUNCTION("MID(REGEXEXTRACT(J540,"" [^ ]* [^ ]*""),2,300)"),"#REF!")</f>
        <v>#REF!</v>
      </c>
      <c r="S540" s="3">
        <f t="shared" si="2"/>
        <v>2</v>
      </c>
      <c r="T540" s="3" t="str">
        <f t="shared" si="3"/>
        <v>vibrant white</v>
      </c>
      <c r="U540" s="3">
        <f t="shared" si="4"/>
        <v>2</v>
      </c>
      <c r="V540" s="3" t="str">
        <f t="shared" si="5"/>
        <v>plaid yellow</v>
      </c>
      <c r="W540" s="3" t="str">
        <f t="shared" si="6"/>
        <v/>
      </c>
      <c r="X540" s="3" t="str">
        <f t="shared" si="7"/>
        <v/>
      </c>
      <c r="Y540" s="3" t="str">
        <f t="shared" si="8"/>
        <v/>
      </c>
      <c r="Z540" s="3" t="str">
        <f t="shared" si="9"/>
        <v/>
      </c>
      <c r="AA540" s="13">
        <f t="shared" si="10"/>
        <v>116702277</v>
      </c>
      <c r="AB540" s="3">
        <f t="shared" si="11"/>
        <v>116702276</v>
      </c>
      <c r="AC540" s="3">
        <f t="shared" si="12"/>
        <v>2</v>
      </c>
      <c r="AD540" s="3">
        <f t="shared" si="13"/>
        <v>1249859</v>
      </c>
      <c r="AE540" s="3">
        <f t="shared" si="14"/>
        <v>2</v>
      </c>
      <c r="AF540" s="3">
        <f t="shared" si="15"/>
        <v>57101279</v>
      </c>
      <c r="AG540" s="3" t="str">
        <f t="shared" si="16"/>
        <v/>
      </c>
      <c r="AH540" s="3">
        <f t="shared" si="17"/>
        <v>0</v>
      </c>
      <c r="AI540" s="3" t="str">
        <f t="shared" si="18"/>
        <v/>
      </c>
      <c r="AJ540" s="3">
        <f t="shared" si="19"/>
        <v>0</v>
      </c>
    </row>
    <row r="541">
      <c r="C541" s="6" t="s">
        <v>541</v>
      </c>
      <c r="D541" s="3">
        <f t="shared" si="1"/>
        <v>0</v>
      </c>
      <c r="E541" s="3" t="str">
        <f>IFERROR(__xludf.DUMMYFUNCTION("REGEXEXTRACT(C541,""[^ ]* [^ ]*"")"),"vibrant orange")</f>
        <v>vibrant orange</v>
      </c>
      <c r="F541" s="3" t="str">
        <f>IFERROR(__xludf.DUMMYFUNCTION("MID(REGEXEXTRACT(C541,""contain.*$""),9,300)"),"5 muted chartreuse bags.")</f>
        <v>5 muted chartreuse bags.</v>
      </c>
      <c r="G541" s="3" t="str">
        <f>IFERROR(__xludf.DUMMYFUNCTION("INDEX(SPLIT($F541,"",""),COLUMN()-6)"),"5 muted chartreuse bags.")</f>
        <v>5 muted chartreuse bags.</v>
      </c>
      <c r="H541" s="3" t="str">
        <f>IFERROR(__xludf.DUMMYFUNCTION("MID(INDEX(SPLIT($F541,"",""),COLUMN()-6),2,300)"),"#REF!")</f>
        <v>#REF!</v>
      </c>
      <c r="I541" s="3" t="str">
        <f>IFERROR(__xludf.DUMMYFUNCTION("MID(INDEX(SPLIT($F541,"",""),COLUMN()-6),2,300)"),"#REF!")</f>
        <v>#REF!</v>
      </c>
      <c r="J541" s="3" t="str">
        <f>IFERROR(__xludf.DUMMYFUNCTION("MID(INDEX(SPLIT($F541,"",""),COLUMN()-6),2,300)"),"#REF!")</f>
        <v>#REF!</v>
      </c>
      <c r="K541" s="3">
        <f>IFERROR(__xludf.DUMMYFUNCTION("INDEX(SPLIT(G541,"" ""),1)"),5.0)</f>
        <v>5</v>
      </c>
      <c r="L541" s="3" t="str">
        <f>IFERROR(__xludf.DUMMYFUNCTION("REGEXEXTRACT(G541,"" [^ ]* [^ ]* "")")," muted chartreuse ")</f>
        <v> muted chartreuse </v>
      </c>
      <c r="M541" s="3" t="str">
        <f>IFERROR(__xludf.DUMMYFUNCTION("INDEX(SPLIT(H541,"" ""),1)"),"#REF!")</f>
        <v>#REF!</v>
      </c>
      <c r="N541" s="3" t="str">
        <f>IFERROR(__xludf.DUMMYFUNCTION("MID(REGEXEXTRACT(H541,"" [^ ]* [^ ]*""),2,300)"),"#REF!")</f>
        <v>#REF!</v>
      </c>
      <c r="O541" s="3" t="str">
        <f>IFERROR(__xludf.DUMMYFUNCTION("INDEX(SPLIT(I541,"" ""),1)"),"#REF!")</f>
        <v>#REF!</v>
      </c>
      <c r="P541" s="3" t="str">
        <f>IFERROR(__xludf.DUMMYFUNCTION("MID(REGEXEXTRACT(I541,"" [^ ]* [^ ]*""),2,300)"),"#REF!")</f>
        <v>#REF!</v>
      </c>
      <c r="Q541" s="3" t="str">
        <f>IFERROR(__xludf.DUMMYFUNCTION("INDEX(SPLIT(J541,"" ""),1)"),"#REF!")</f>
        <v>#REF!</v>
      </c>
      <c r="R541" s="3" t="str">
        <f>IFERROR(__xludf.DUMMYFUNCTION("MID(REGEXEXTRACT(J541,"" [^ ]* [^ ]*""),2,300)"),"#REF!")</f>
        <v>#REF!</v>
      </c>
      <c r="S541" s="3">
        <f t="shared" si="2"/>
        <v>5</v>
      </c>
      <c r="T541" s="3" t="str">
        <f t="shared" si="3"/>
        <v>muted chartreuse</v>
      </c>
      <c r="U541" s="3" t="str">
        <f t="shared" si="4"/>
        <v/>
      </c>
      <c r="V541" s="3" t="str">
        <f t="shared" si="5"/>
        <v/>
      </c>
      <c r="W541" s="3" t="str">
        <f t="shared" si="6"/>
        <v/>
      </c>
      <c r="X541" s="3" t="str">
        <f t="shared" si="7"/>
        <v/>
      </c>
      <c r="Y541" s="3" t="str">
        <f t="shared" si="8"/>
        <v/>
      </c>
      <c r="Z541" s="3" t="str">
        <f t="shared" si="9"/>
        <v/>
      </c>
      <c r="AA541" s="13">
        <f t="shared" si="10"/>
        <v>1041</v>
      </c>
      <c r="AB541" s="3">
        <f t="shared" si="11"/>
        <v>1040</v>
      </c>
      <c r="AC541" s="3">
        <f t="shared" si="12"/>
        <v>5</v>
      </c>
      <c r="AD541" s="3">
        <f t="shared" si="13"/>
        <v>208</v>
      </c>
      <c r="AE541" s="3" t="str">
        <f t="shared" si="14"/>
        <v/>
      </c>
      <c r="AF541" s="3">
        <f t="shared" si="15"/>
        <v>0</v>
      </c>
      <c r="AG541" s="3" t="str">
        <f t="shared" si="16"/>
        <v/>
      </c>
      <c r="AH541" s="3">
        <f t="shared" si="17"/>
        <v>0</v>
      </c>
      <c r="AI541" s="3" t="str">
        <f t="shared" si="18"/>
        <v/>
      </c>
      <c r="AJ541" s="3">
        <f t="shared" si="19"/>
        <v>0</v>
      </c>
    </row>
    <row r="542">
      <c r="C542" s="6" t="s">
        <v>542</v>
      </c>
      <c r="D542" s="3">
        <f t="shared" si="1"/>
        <v>3</v>
      </c>
      <c r="E542" s="3" t="str">
        <f>IFERROR(__xludf.DUMMYFUNCTION("REGEXEXTRACT(C542,""[^ ]* [^ ]*"")"),"striped tan")</f>
        <v>striped tan</v>
      </c>
      <c r="F542" s="3" t="str">
        <f>IFERROR(__xludf.DUMMYFUNCTION("MID(REGEXEXTRACT(C542,""contain.*$""),9,300)"),"1 wavy gold bag, 3 mirrored black bags, 1 shiny aqua bag, 5 vibrant red bags.")</f>
        <v>1 wavy gold bag, 3 mirrored black bags, 1 shiny aqua bag, 5 vibrant red bags.</v>
      </c>
      <c r="G542" s="3" t="str">
        <f>IFERROR(__xludf.DUMMYFUNCTION("INDEX(SPLIT($F542,"",""),COLUMN()-6)"),"1 wavy gold bag")</f>
        <v>1 wavy gold bag</v>
      </c>
      <c r="H542" s="3" t="str">
        <f>IFERROR(__xludf.DUMMYFUNCTION("MID(INDEX(SPLIT($F542,"",""),COLUMN()-6),2,300)"),"3 mirrored black bags")</f>
        <v>3 mirrored black bags</v>
      </c>
      <c r="I542" s="3" t="str">
        <f>IFERROR(__xludf.DUMMYFUNCTION("MID(INDEX(SPLIT($F542,"",""),COLUMN()-6),2,300)"),"1 shiny aqua bag")</f>
        <v>1 shiny aqua bag</v>
      </c>
      <c r="J542" s="3" t="str">
        <f>IFERROR(__xludf.DUMMYFUNCTION("MID(INDEX(SPLIT($F542,"",""),COLUMN()-6),2,300)"),"5 vibrant red bags.")</f>
        <v>5 vibrant red bags.</v>
      </c>
      <c r="K542" s="3">
        <f>IFERROR(__xludf.DUMMYFUNCTION("INDEX(SPLIT(G542,"" ""),1)"),1.0)</f>
        <v>1</v>
      </c>
      <c r="L542" s="3" t="str">
        <f>IFERROR(__xludf.DUMMYFUNCTION("REGEXEXTRACT(G542,"" [^ ]* [^ ]* "")")," wavy gold ")</f>
        <v> wavy gold </v>
      </c>
      <c r="M542" s="3">
        <f>IFERROR(__xludf.DUMMYFUNCTION("INDEX(SPLIT(H542,"" ""),1)"),3.0)</f>
        <v>3</v>
      </c>
      <c r="N542" s="3" t="str">
        <f>IFERROR(__xludf.DUMMYFUNCTION("MID(REGEXEXTRACT(H542,"" [^ ]* [^ ]*""),2,300)"),"mirrored black")</f>
        <v>mirrored black</v>
      </c>
      <c r="O542" s="3">
        <f>IFERROR(__xludf.DUMMYFUNCTION("INDEX(SPLIT(I542,"" ""),1)"),1.0)</f>
        <v>1</v>
      </c>
      <c r="P542" s="3" t="str">
        <f>IFERROR(__xludf.DUMMYFUNCTION("MID(REGEXEXTRACT(I542,"" [^ ]* [^ ]*""),2,300)"),"shiny aqua")</f>
        <v>shiny aqua</v>
      </c>
      <c r="Q542" s="3">
        <f>IFERROR(__xludf.DUMMYFUNCTION("INDEX(SPLIT(J542,"" ""),1)"),5.0)</f>
        <v>5</v>
      </c>
      <c r="R542" s="3" t="str">
        <f>IFERROR(__xludf.DUMMYFUNCTION("MID(REGEXEXTRACT(J542,"" [^ ]* [^ ]*""),2,300)"),"vibrant red")</f>
        <v>vibrant red</v>
      </c>
      <c r="S542" s="3">
        <f t="shared" si="2"/>
        <v>1</v>
      </c>
      <c r="T542" s="3" t="str">
        <f t="shared" si="3"/>
        <v>wavy gold</v>
      </c>
      <c r="U542" s="3">
        <f t="shared" si="4"/>
        <v>3</v>
      </c>
      <c r="V542" s="3" t="str">
        <f t="shared" si="5"/>
        <v>mirrored black</v>
      </c>
      <c r="W542" s="3">
        <f t="shared" si="6"/>
        <v>1</v>
      </c>
      <c r="X542" s="3" t="str">
        <f t="shared" si="7"/>
        <v>shiny aqua</v>
      </c>
      <c r="Y542" s="3">
        <f t="shared" si="8"/>
        <v>5</v>
      </c>
      <c r="Z542" s="3" t="str">
        <f t="shared" si="9"/>
        <v>vibrant red</v>
      </c>
      <c r="AA542" s="13">
        <f t="shared" si="10"/>
        <v>541901</v>
      </c>
      <c r="AB542" s="3">
        <f t="shared" si="11"/>
        <v>541900</v>
      </c>
      <c r="AC542" s="3">
        <f t="shared" si="12"/>
        <v>1</v>
      </c>
      <c r="AD542" s="3">
        <f t="shared" si="13"/>
        <v>459158</v>
      </c>
      <c r="AE542" s="3">
        <f t="shared" si="14"/>
        <v>3</v>
      </c>
      <c r="AF542" s="3">
        <f t="shared" si="15"/>
        <v>9037</v>
      </c>
      <c r="AG542" s="3">
        <f t="shared" si="16"/>
        <v>1</v>
      </c>
      <c r="AH542" s="3">
        <f t="shared" si="17"/>
        <v>32451</v>
      </c>
      <c r="AI542" s="3">
        <f t="shared" si="18"/>
        <v>5</v>
      </c>
      <c r="AJ542" s="3">
        <f t="shared" si="19"/>
        <v>4636</v>
      </c>
    </row>
    <row r="543">
      <c r="C543" s="6" t="s">
        <v>543</v>
      </c>
      <c r="D543" s="3">
        <f t="shared" si="1"/>
        <v>1</v>
      </c>
      <c r="E543" s="3" t="str">
        <f>IFERROR(__xludf.DUMMYFUNCTION("REGEXEXTRACT(C543,""[^ ]* [^ ]*"")"),"bright lime")</f>
        <v>bright lime</v>
      </c>
      <c r="F543" s="3" t="str">
        <f>IFERROR(__xludf.DUMMYFUNCTION("MID(REGEXEXTRACT(C543,""contain.*$""),9,300)"),"4 dim indigo bags, 3 dull tomato bags.")</f>
        <v>4 dim indigo bags, 3 dull tomato bags.</v>
      </c>
      <c r="G543" s="3" t="str">
        <f>IFERROR(__xludf.DUMMYFUNCTION("INDEX(SPLIT($F543,"",""),COLUMN()-6)"),"4 dim indigo bags")</f>
        <v>4 dim indigo bags</v>
      </c>
      <c r="H543" s="3" t="str">
        <f>IFERROR(__xludf.DUMMYFUNCTION("MID(INDEX(SPLIT($F543,"",""),COLUMN()-6),2,300)"),"3 dull tomato bags.")</f>
        <v>3 dull tomato bags.</v>
      </c>
      <c r="I543" s="3" t="str">
        <f>IFERROR(__xludf.DUMMYFUNCTION("MID(INDEX(SPLIT($F543,"",""),COLUMN()-6),2,300)"),"#REF!")</f>
        <v>#REF!</v>
      </c>
      <c r="J543" s="3" t="str">
        <f>IFERROR(__xludf.DUMMYFUNCTION("MID(INDEX(SPLIT($F543,"",""),COLUMN()-6),2,300)"),"#REF!")</f>
        <v>#REF!</v>
      </c>
      <c r="K543" s="3">
        <f>IFERROR(__xludf.DUMMYFUNCTION("INDEX(SPLIT(G543,"" ""),1)"),4.0)</f>
        <v>4</v>
      </c>
      <c r="L543" s="3" t="str">
        <f>IFERROR(__xludf.DUMMYFUNCTION("REGEXEXTRACT(G543,"" [^ ]* [^ ]* "")")," dim indigo ")</f>
        <v> dim indigo </v>
      </c>
      <c r="M543" s="3">
        <f>IFERROR(__xludf.DUMMYFUNCTION("INDEX(SPLIT(H543,"" ""),1)"),3.0)</f>
        <v>3</v>
      </c>
      <c r="N543" s="3" t="str">
        <f>IFERROR(__xludf.DUMMYFUNCTION("MID(REGEXEXTRACT(H543,"" [^ ]* [^ ]*""),2,300)"),"dull tomato")</f>
        <v>dull tomato</v>
      </c>
      <c r="O543" s="3" t="str">
        <f>IFERROR(__xludf.DUMMYFUNCTION("INDEX(SPLIT(I543,"" ""),1)"),"#REF!")</f>
        <v>#REF!</v>
      </c>
      <c r="P543" s="3" t="str">
        <f>IFERROR(__xludf.DUMMYFUNCTION("MID(REGEXEXTRACT(I543,"" [^ ]* [^ ]*""),2,300)"),"#REF!")</f>
        <v>#REF!</v>
      </c>
      <c r="Q543" s="3" t="str">
        <f>IFERROR(__xludf.DUMMYFUNCTION("INDEX(SPLIT(J543,"" ""),1)"),"#REF!")</f>
        <v>#REF!</v>
      </c>
      <c r="R543" s="3" t="str">
        <f>IFERROR(__xludf.DUMMYFUNCTION("MID(REGEXEXTRACT(J543,"" [^ ]* [^ ]*""),2,300)"),"#REF!")</f>
        <v>#REF!</v>
      </c>
      <c r="S543" s="3">
        <f t="shared" si="2"/>
        <v>4</v>
      </c>
      <c r="T543" s="3" t="str">
        <f t="shared" si="3"/>
        <v>dim indigo</v>
      </c>
      <c r="U543" s="3">
        <f t="shared" si="4"/>
        <v>3</v>
      </c>
      <c r="V543" s="3" t="str">
        <f t="shared" si="5"/>
        <v>dull tomato</v>
      </c>
      <c r="W543" s="3" t="str">
        <f t="shared" si="6"/>
        <v/>
      </c>
      <c r="X543" s="3" t="str">
        <f t="shared" si="7"/>
        <v/>
      </c>
      <c r="Y543" s="3" t="str">
        <f t="shared" si="8"/>
        <v/>
      </c>
      <c r="Z543" s="3" t="str">
        <f t="shared" si="9"/>
        <v/>
      </c>
      <c r="AA543" s="13">
        <f t="shared" si="10"/>
        <v>118582</v>
      </c>
      <c r="AB543" s="3">
        <f t="shared" si="11"/>
        <v>118581</v>
      </c>
      <c r="AC543" s="3">
        <f t="shared" si="12"/>
        <v>4</v>
      </c>
      <c r="AD543" s="3">
        <f t="shared" si="13"/>
        <v>29637</v>
      </c>
      <c r="AE543" s="3">
        <f t="shared" si="14"/>
        <v>3</v>
      </c>
      <c r="AF543" s="3">
        <f t="shared" si="15"/>
        <v>11</v>
      </c>
      <c r="AG543" s="3" t="str">
        <f t="shared" si="16"/>
        <v/>
      </c>
      <c r="AH543" s="3">
        <f t="shared" si="17"/>
        <v>0</v>
      </c>
      <c r="AI543" s="3" t="str">
        <f t="shared" si="18"/>
        <v/>
      </c>
      <c r="AJ543" s="3">
        <f t="shared" si="19"/>
        <v>0</v>
      </c>
    </row>
    <row r="544">
      <c r="C544" s="6" t="s">
        <v>544</v>
      </c>
      <c r="D544" s="3">
        <f t="shared" si="1"/>
        <v>1</v>
      </c>
      <c r="E544" s="3" t="str">
        <f>IFERROR(__xludf.DUMMYFUNCTION("REGEXEXTRACT(C544,""[^ ]* [^ ]*"")"),"bright red")</f>
        <v>bright red</v>
      </c>
      <c r="F544" s="3" t="str">
        <f>IFERROR(__xludf.DUMMYFUNCTION("MID(REGEXEXTRACT(C544,""contain.*$""),9,300)"),"5 drab magenta bags, 1 clear salmon bag.")</f>
        <v>5 drab magenta bags, 1 clear salmon bag.</v>
      </c>
      <c r="G544" s="3" t="str">
        <f>IFERROR(__xludf.DUMMYFUNCTION("INDEX(SPLIT($F544,"",""),COLUMN()-6)"),"5 drab magenta bags")</f>
        <v>5 drab magenta bags</v>
      </c>
      <c r="H544" s="3" t="str">
        <f>IFERROR(__xludf.DUMMYFUNCTION("MID(INDEX(SPLIT($F544,"",""),COLUMN()-6),2,300)"),"1 clear salmon bag.")</f>
        <v>1 clear salmon bag.</v>
      </c>
      <c r="I544" s="3" t="str">
        <f>IFERROR(__xludf.DUMMYFUNCTION("MID(INDEX(SPLIT($F544,"",""),COLUMN()-6),2,300)"),"#REF!")</f>
        <v>#REF!</v>
      </c>
      <c r="J544" s="3" t="str">
        <f>IFERROR(__xludf.DUMMYFUNCTION("MID(INDEX(SPLIT($F544,"",""),COLUMN()-6),2,300)"),"#REF!")</f>
        <v>#REF!</v>
      </c>
      <c r="K544" s="3">
        <f>IFERROR(__xludf.DUMMYFUNCTION("INDEX(SPLIT(G544,"" ""),1)"),5.0)</f>
        <v>5</v>
      </c>
      <c r="L544" s="3" t="str">
        <f>IFERROR(__xludf.DUMMYFUNCTION("REGEXEXTRACT(G544,"" [^ ]* [^ ]* "")")," drab magenta ")</f>
        <v> drab magenta </v>
      </c>
      <c r="M544" s="3">
        <f>IFERROR(__xludf.DUMMYFUNCTION("INDEX(SPLIT(H544,"" ""),1)"),1.0)</f>
        <v>1</v>
      </c>
      <c r="N544" s="3" t="str">
        <f>IFERROR(__xludf.DUMMYFUNCTION("MID(REGEXEXTRACT(H544,"" [^ ]* [^ ]*""),2,300)"),"clear salmon")</f>
        <v>clear salmon</v>
      </c>
      <c r="O544" s="3" t="str">
        <f>IFERROR(__xludf.DUMMYFUNCTION("INDEX(SPLIT(I544,"" ""),1)"),"#REF!")</f>
        <v>#REF!</v>
      </c>
      <c r="P544" s="3" t="str">
        <f>IFERROR(__xludf.DUMMYFUNCTION("MID(REGEXEXTRACT(I544,"" [^ ]* [^ ]*""),2,300)"),"#REF!")</f>
        <v>#REF!</v>
      </c>
      <c r="Q544" s="3" t="str">
        <f>IFERROR(__xludf.DUMMYFUNCTION("INDEX(SPLIT(J544,"" ""),1)"),"#REF!")</f>
        <v>#REF!</v>
      </c>
      <c r="R544" s="3" t="str">
        <f>IFERROR(__xludf.DUMMYFUNCTION("MID(REGEXEXTRACT(J544,"" [^ ]* [^ ]*""),2,300)"),"#REF!")</f>
        <v>#REF!</v>
      </c>
      <c r="S544" s="3">
        <f t="shared" si="2"/>
        <v>5</v>
      </c>
      <c r="T544" s="3" t="str">
        <f t="shared" si="3"/>
        <v>drab magenta</v>
      </c>
      <c r="U544" s="3">
        <f t="shared" si="4"/>
        <v>1</v>
      </c>
      <c r="V544" s="3" t="str">
        <f t="shared" si="5"/>
        <v>clear salmon</v>
      </c>
      <c r="W544" s="3" t="str">
        <f t="shared" si="6"/>
        <v/>
      </c>
      <c r="X544" s="3" t="str">
        <f t="shared" si="7"/>
        <v/>
      </c>
      <c r="Y544" s="3" t="str">
        <f t="shared" si="8"/>
        <v/>
      </c>
      <c r="Z544" s="3" t="str">
        <f t="shared" si="9"/>
        <v/>
      </c>
      <c r="AA544" s="13">
        <f t="shared" si="10"/>
        <v>3162614</v>
      </c>
      <c r="AB544" s="3">
        <f t="shared" si="11"/>
        <v>3162613</v>
      </c>
      <c r="AC544" s="3">
        <f t="shared" si="12"/>
        <v>5</v>
      </c>
      <c r="AD544" s="3">
        <f t="shared" si="13"/>
        <v>1225</v>
      </c>
      <c r="AE544" s="3">
        <f t="shared" si="14"/>
        <v>1</v>
      </c>
      <c r="AF544" s="3">
        <f t="shared" si="15"/>
        <v>3156488</v>
      </c>
      <c r="AG544" s="3" t="str">
        <f t="shared" si="16"/>
        <v/>
      </c>
      <c r="AH544" s="3">
        <f t="shared" si="17"/>
        <v>0</v>
      </c>
      <c r="AI544" s="3" t="str">
        <f t="shared" si="18"/>
        <v/>
      </c>
      <c r="AJ544" s="3">
        <f t="shared" si="19"/>
        <v>0</v>
      </c>
    </row>
    <row r="545">
      <c r="C545" s="6" t="s">
        <v>545</v>
      </c>
      <c r="D545" s="3">
        <f t="shared" si="1"/>
        <v>0</v>
      </c>
      <c r="E545" s="3" t="str">
        <f>IFERROR(__xludf.DUMMYFUNCTION("REGEXEXTRACT(C545,""[^ ]* [^ ]*"")"),"vibrant green")</f>
        <v>vibrant green</v>
      </c>
      <c r="F545" s="3" t="str">
        <f>IFERROR(__xludf.DUMMYFUNCTION("MID(REGEXEXTRACT(C545,""contain.*$""),9,300)"),"4 plaid tomato bags.")</f>
        <v>4 plaid tomato bags.</v>
      </c>
      <c r="G545" s="3" t="str">
        <f>IFERROR(__xludf.DUMMYFUNCTION("INDEX(SPLIT($F545,"",""),COLUMN()-6)"),"4 plaid tomato bags.")</f>
        <v>4 plaid tomato bags.</v>
      </c>
      <c r="H545" s="3" t="str">
        <f>IFERROR(__xludf.DUMMYFUNCTION("MID(INDEX(SPLIT($F545,"",""),COLUMN()-6),2,300)"),"#REF!")</f>
        <v>#REF!</v>
      </c>
      <c r="I545" s="3" t="str">
        <f>IFERROR(__xludf.DUMMYFUNCTION("MID(INDEX(SPLIT($F545,"",""),COLUMN()-6),2,300)"),"#REF!")</f>
        <v>#REF!</v>
      </c>
      <c r="J545" s="3" t="str">
        <f>IFERROR(__xludf.DUMMYFUNCTION("MID(INDEX(SPLIT($F545,"",""),COLUMN()-6),2,300)"),"#REF!")</f>
        <v>#REF!</v>
      </c>
      <c r="K545" s="3">
        <f>IFERROR(__xludf.DUMMYFUNCTION("INDEX(SPLIT(G545,"" ""),1)"),4.0)</f>
        <v>4</v>
      </c>
      <c r="L545" s="3" t="str">
        <f>IFERROR(__xludf.DUMMYFUNCTION("REGEXEXTRACT(G545,"" [^ ]* [^ ]* "")")," plaid tomato ")</f>
        <v> plaid tomato </v>
      </c>
      <c r="M545" s="3" t="str">
        <f>IFERROR(__xludf.DUMMYFUNCTION("INDEX(SPLIT(H545,"" ""),1)"),"#REF!")</f>
        <v>#REF!</v>
      </c>
      <c r="N545" s="3" t="str">
        <f>IFERROR(__xludf.DUMMYFUNCTION("MID(REGEXEXTRACT(H545,"" [^ ]* [^ ]*""),2,300)"),"#REF!")</f>
        <v>#REF!</v>
      </c>
      <c r="O545" s="3" t="str">
        <f>IFERROR(__xludf.DUMMYFUNCTION("INDEX(SPLIT(I545,"" ""),1)"),"#REF!")</f>
        <v>#REF!</v>
      </c>
      <c r="P545" s="3" t="str">
        <f>IFERROR(__xludf.DUMMYFUNCTION("MID(REGEXEXTRACT(I545,"" [^ ]* [^ ]*""),2,300)"),"#REF!")</f>
        <v>#REF!</v>
      </c>
      <c r="Q545" s="3" t="str">
        <f>IFERROR(__xludf.DUMMYFUNCTION("INDEX(SPLIT(J545,"" ""),1)"),"#REF!")</f>
        <v>#REF!</v>
      </c>
      <c r="R545" s="3" t="str">
        <f>IFERROR(__xludf.DUMMYFUNCTION("MID(REGEXEXTRACT(J545,"" [^ ]* [^ ]*""),2,300)"),"#REF!")</f>
        <v>#REF!</v>
      </c>
      <c r="S545" s="3">
        <f t="shared" si="2"/>
        <v>4</v>
      </c>
      <c r="T545" s="3" t="str">
        <f t="shared" si="3"/>
        <v>plaid tomato</v>
      </c>
      <c r="U545" s="3" t="str">
        <f t="shared" si="4"/>
        <v/>
      </c>
      <c r="V545" s="3" t="str">
        <f t="shared" si="5"/>
        <v/>
      </c>
      <c r="W545" s="3" t="str">
        <f t="shared" si="6"/>
        <v/>
      </c>
      <c r="X545" s="3" t="str">
        <f t="shared" si="7"/>
        <v/>
      </c>
      <c r="Y545" s="3" t="str">
        <f t="shared" si="8"/>
        <v/>
      </c>
      <c r="Z545" s="3" t="str">
        <f t="shared" si="9"/>
        <v/>
      </c>
      <c r="AA545" s="13">
        <f t="shared" si="10"/>
        <v>379510905</v>
      </c>
      <c r="AB545" s="3">
        <f t="shared" si="11"/>
        <v>379510904</v>
      </c>
      <c r="AC545" s="3">
        <f t="shared" si="12"/>
        <v>4</v>
      </c>
      <c r="AD545" s="3">
        <f t="shared" si="13"/>
        <v>94877726</v>
      </c>
      <c r="AE545" s="3" t="str">
        <f t="shared" si="14"/>
        <v/>
      </c>
      <c r="AF545" s="3">
        <f t="shared" si="15"/>
        <v>0</v>
      </c>
      <c r="AG545" s="3" t="str">
        <f t="shared" si="16"/>
        <v/>
      </c>
      <c r="AH545" s="3">
        <f t="shared" si="17"/>
        <v>0</v>
      </c>
      <c r="AI545" s="3" t="str">
        <f t="shared" si="18"/>
        <v/>
      </c>
      <c r="AJ545" s="3">
        <f t="shared" si="19"/>
        <v>0</v>
      </c>
    </row>
    <row r="546">
      <c r="C546" s="6" t="s">
        <v>546</v>
      </c>
      <c r="D546" s="3">
        <f t="shared" si="1"/>
        <v>0</v>
      </c>
      <c r="E546" s="3" t="str">
        <f>IFERROR(__xludf.DUMMYFUNCTION("REGEXEXTRACT(C546,""[^ ]* [^ ]*"")"),"light tan")</f>
        <v>light tan</v>
      </c>
      <c r="F546" s="3" t="str">
        <f>IFERROR(__xludf.DUMMYFUNCTION("MID(REGEXEXTRACT(C546,""contain.*$""),9,300)"),"5 muted green bags.")</f>
        <v>5 muted green bags.</v>
      </c>
      <c r="G546" s="3" t="str">
        <f>IFERROR(__xludf.DUMMYFUNCTION("INDEX(SPLIT($F546,"",""),COLUMN()-6)"),"5 muted green bags.")</f>
        <v>5 muted green bags.</v>
      </c>
      <c r="H546" s="3" t="str">
        <f>IFERROR(__xludf.DUMMYFUNCTION("MID(INDEX(SPLIT($F546,"",""),COLUMN()-6),2,300)"),"#REF!")</f>
        <v>#REF!</v>
      </c>
      <c r="I546" s="3" t="str">
        <f>IFERROR(__xludf.DUMMYFUNCTION("MID(INDEX(SPLIT($F546,"",""),COLUMN()-6),2,300)"),"#REF!")</f>
        <v>#REF!</v>
      </c>
      <c r="J546" s="3" t="str">
        <f>IFERROR(__xludf.DUMMYFUNCTION("MID(INDEX(SPLIT($F546,"",""),COLUMN()-6),2,300)"),"#REF!")</f>
        <v>#REF!</v>
      </c>
      <c r="K546" s="3">
        <f>IFERROR(__xludf.DUMMYFUNCTION("INDEX(SPLIT(G546,"" ""),1)"),5.0)</f>
        <v>5</v>
      </c>
      <c r="L546" s="3" t="str">
        <f>IFERROR(__xludf.DUMMYFUNCTION("REGEXEXTRACT(G546,"" [^ ]* [^ ]* "")")," muted green ")</f>
        <v> muted green </v>
      </c>
      <c r="M546" s="3" t="str">
        <f>IFERROR(__xludf.DUMMYFUNCTION("INDEX(SPLIT(H546,"" ""),1)"),"#REF!")</f>
        <v>#REF!</v>
      </c>
      <c r="N546" s="3" t="str">
        <f>IFERROR(__xludf.DUMMYFUNCTION("MID(REGEXEXTRACT(H546,"" [^ ]* [^ ]*""),2,300)"),"#REF!")</f>
        <v>#REF!</v>
      </c>
      <c r="O546" s="3" t="str">
        <f>IFERROR(__xludf.DUMMYFUNCTION("INDEX(SPLIT(I546,"" ""),1)"),"#REF!")</f>
        <v>#REF!</v>
      </c>
      <c r="P546" s="3" t="str">
        <f>IFERROR(__xludf.DUMMYFUNCTION("MID(REGEXEXTRACT(I546,"" [^ ]* [^ ]*""),2,300)"),"#REF!")</f>
        <v>#REF!</v>
      </c>
      <c r="Q546" s="3" t="str">
        <f>IFERROR(__xludf.DUMMYFUNCTION("INDEX(SPLIT(J546,"" ""),1)"),"#REF!")</f>
        <v>#REF!</v>
      </c>
      <c r="R546" s="3" t="str">
        <f>IFERROR(__xludf.DUMMYFUNCTION("MID(REGEXEXTRACT(J546,"" [^ ]* [^ ]*""),2,300)"),"#REF!")</f>
        <v>#REF!</v>
      </c>
      <c r="S546" s="3">
        <f t="shared" si="2"/>
        <v>5</v>
      </c>
      <c r="T546" s="3" t="str">
        <f t="shared" si="3"/>
        <v>muted green</v>
      </c>
      <c r="U546" s="3" t="str">
        <f t="shared" si="4"/>
        <v/>
      </c>
      <c r="V546" s="3" t="str">
        <f t="shared" si="5"/>
        <v/>
      </c>
      <c r="W546" s="3" t="str">
        <f t="shared" si="6"/>
        <v/>
      </c>
      <c r="X546" s="3" t="str">
        <f t="shared" si="7"/>
        <v/>
      </c>
      <c r="Y546" s="3" t="str">
        <f t="shared" si="8"/>
        <v/>
      </c>
      <c r="Z546" s="3" t="str">
        <f t="shared" si="9"/>
        <v/>
      </c>
      <c r="AA546" s="13">
        <f t="shared" si="10"/>
        <v>67946</v>
      </c>
      <c r="AB546" s="3">
        <f t="shared" si="11"/>
        <v>67945</v>
      </c>
      <c r="AC546" s="3">
        <f t="shared" si="12"/>
        <v>5</v>
      </c>
      <c r="AD546" s="3">
        <f t="shared" si="13"/>
        <v>13589</v>
      </c>
      <c r="AE546" s="3" t="str">
        <f t="shared" si="14"/>
        <v/>
      </c>
      <c r="AF546" s="3">
        <f t="shared" si="15"/>
        <v>0</v>
      </c>
      <c r="AG546" s="3" t="str">
        <f t="shared" si="16"/>
        <v/>
      </c>
      <c r="AH546" s="3">
        <f t="shared" si="17"/>
        <v>0</v>
      </c>
      <c r="AI546" s="3" t="str">
        <f t="shared" si="18"/>
        <v/>
      </c>
      <c r="AJ546" s="3">
        <f t="shared" si="19"/>
        <v>0</v>
      </c>
    </row>
    <row r="547">
      <c r="C547" s="6" t="s">
        <v>547</v>
      </c>
      <c r="D547" s="3">
        <f t="shared" si="1"/>
        <v>1</v>
      </c>
      <c r="E547" s="3" t="str">
        <f>IFERROR(__xludf.DUMMYFUNCTION("REGEXEXTRACT(C547,""[^ ]* [^ ]*"")"),"striped white")</f>
        <v>striped white</v>
      </c>
      <c r="F547" s="3" t="str">
        <f>IFERROR(__xludf.DUMMYFUNCTION("MID(REGEXEXTRACT(C547,""contain.*$""),9,300)"),"1 faded silver bag, 2 vibrant red bags.")</f>
        <v>1 faded silver bag, 2 vibrant red bags.</v>
      </c>
      <c r="G547" s="3" t="str">
        <f>IFERROR(__xludf.DUMMYFUNCTION("INDEX(SPLIT($F547,"",""),COLUMN()-6)"),"1 faded silver bag")</f>
        <v>1 faded silver bag</v>
      </c>
      <c r="H547" s="3" t="str">
        <f>IFERROR(__xludf.DUMMYFUNCTION("MID(INDEX(SPLIT($F547,"",""),COLUMN()-6),2,300)"),"2 vibrant red bags.")</f>
        <v>2 vibrant red bags.</v>
      </c>
      <c r="I547" s="3" t="str">
        <f>IFERROR(__xludf.DUMMYFUNCTION("MID(INDEX(SPLIT($F547,"",""),COLUMN()-6),2,300)"),"#REF!")</f>
        <v>#REF!</v>
      </c>
      <c r="J547" s="3" t="str">
        <f>IFERROR(__xludf.DUMMYFUNCTION("MID(INDEX(SPLIT($F547,"",""),COLUMN()-6),2,300)"),"#REF!")</f>
        <v>#REF!</v>
      </c>
      <c r="K547" s="3">
        <f>IFERROR(__xludf.DUMMYFUNCTION("INDEX(SPLIT(G547,"" ""),1)"),1.0)</f>
        <v>1</v>
      </c>
      <c r="L547" s="3" t="str">
        <f>IFERROR(__xludf.DUMMYFUNCTION("REGEXEXTRACT(G547,"" [^ ]* [^ ]* "")")," faded silver ")</f>
        <v> faded silver </v>
      </c>
      <c r="M547" s="3">
        <f>IFERROR(__xludf.DUMMYFUNCTION("INDEX(SPLIT(H547,"" ""),1)"),2.0)</f>
        <v>2</v>
      </c>
      <c r="N547" s="3" t="str">
        <f>IFERROR(__xludf.DUMMYFUNCTION("MID(REGEXEXTRACT(H547,"" [^ ]* [^ ]*""),2,300)"),"vibrant red")</f>
        <v>vibrant red</v>
      </c>
      <c r="O547" s="3" t="str">
        <f>IFERROR(__xludf.DUMMYFUNCTION("INDEX(SPLIT(I547,"" ""),1)"),"#REF!")</f>
        <v>#REF!</v>
      </c>
      <c r="P547" s="3" t="str">
        <f>IFERROR(__xludf.DUMMYFUNCTION("MID(REGEXEXTRACT(I547,"" [^ ]* [^ ]*""),2,300)"),"#REF!")</f>
        <v>#REF!</v>
      </c>
      <c r="Q547" s="3" t="str">
        <f>IFERROR(__xludf.DUMMYFUNCTION("INDEX(SPLIT(J547,"" ""),1)"),"#REF!")</f>
        <v>#REF!</v>
      </c>
      <c r="R547" s="3" t="str">
        <f>IFERROR(__xludf.DUMMYFUNCTION("MID(REGEXEXTRACT(J547,"" [^ ]* [^ ]*""),2,300)"),"#REF!")</f>
        <v>#REF!</v>
      </c>
      <c r="S547" s="3">
        <f t="shared" si="2"/>
        <v>1</v>
      </c>
      <c r="T547" s="3" t="str">
        <f t="shared" si="3"/>
        <v>faded silver</v>
      </c>
      <c r="U547" s="3">
        <f t="shared" si="4"/>
        <v>2</v>
      </c>
      <c r="V547" s="3" t="str">
        <f t="shared" si="5"/>
        <v>vibrant red</v>
      </c>
      <c r="W547" s="3" t="str">
        <f t="shared" si="6"/>
        <v/>
      </c>
      <c r="X547" s="3" t="str">
        <f t="shared" si="7"/>
        <v/>
      </c>
      <c r="Y547" s="3" t="str">
        <f t="shared" si="8"/>
        <v/>
      </c>
      <c r="Z547" s="3" t="str">
        <f t="shared" si="9"/>
        <v/>
      </c>
      <c r="AA547" s="13">
        <f t="shared" si="10"/>
        <v>2739236</v>
      </c>
      <c r="AB547" s="3">
        <f t="shared" si="11"/>
        <v>2739235</v>
      </c>
      <c r="AC547" s="3">
        <f t="shared" si="12"/>
        <v>1</v>
      </c>
      <c r="AD547" s="3">
        <f t="shared" si="13"/>
        <v>2729963</v>
      </c>
      <c r="AE547" s="3">
        <f t="shared" si="14"/>
        <v>2</v>
      </c>
      <c r="AF547" s="3">
        <f t="shared" si="15"/>
        <v>4636</v>
      </c>
      <c r="AG547" s="3" t="str">
        <f t="shared" si="16"/>
        <v/>
      </c>
      <c r="AH547" s="3">
        <f t="shared" si="17"/>
        <v>0</v>
      </c>
      <c r="AI547" s="3" t="str">
        <f t="shared" si="18"/>
        <v/>
      </c>
      <c r="AJ547" s="3">
        <f t="shared" si="19"/>
        <v>0</v>
      </c>
    </row>
    <row r="548">
      <c r="C548" s="6" t="s">
        <v>548</v>
      </c>
      <c r="D548" s="3">
        <f t="shared" si="1"/>
        <v>0</v>
      </c>
      <c r="E548" s="3" t="str">
        <f>IFERROR(__xludf.DUMMYFUNCTION("REGEXEXTRACT(C548,""[^ ]* [^ ]*"")"),"dull violet")</f>
        <v>dull violet</v>
      </c>
      <c r="F548" s="3" t="str">
        <f>IFERROR(__xludf.DUMMYFUNCTION("MID(REGEXEXTRACT(C548,""contain.*$""),9,300)"),"5 dull turquoise bags.")</f>
        <v>5 dull turquoise bags.</v>
      </c>
      <c r="G548" s="3" t="str">
        <f>IFERROR(__xludf.DUMMYFUNCTION("INDEX(SPLIT($F548,"",""),COLUMN()-6)"),"5 dull turquoise bags.")</f>
        <v>5 dull turquoise bags.</v>
      </c>
      <c r="H548" s="3" t="str">
        <f>IFERROR(__xludf.DUMMYFUNCTION("MID(INDEX(SPLIT($F548,"",""),COLUMN()-6),2,300)"),"#REF!")</f>
        <v>#REF!</v>
      </c>
      <c r="I548" s="3" t="str">
        <f>IFERROR(__xludf.DUMMYFUNCTION("MID(INDEX(SPLIT($F548,"",""),COLUMN()-6),2,300)"),"#REF!")</f>
        <v>#REF!</v>
      </c>
      <c r="J548" s="3" t="str">
        <f>IFERROR(__xludf.DUMMYFUNCTION("MID(INDEX(SPLIT($F548,"",""),COLUMN()-6),2,300)"),"#REF!")</f>
        <v>#REF!</v>
      </c>
      <c r="K548" s="3">
        <f>IFERROR(__xludf.DUMMYFUNCTION("INDEX(SPLIT(G548,"" ""),1)"),5.0)</f>
        <v>5</v>
      </c>
      <c r="L548" s="3" t="str">
        <f>IFERROR(__xludf.DUMMYFUNCTION("REGEXEXTRACT(G548,"" [^ ]* [^ ]* "")")," dull turquoise ")</f>
        <v> dull turquoise </v>
      </c>
      <c r="M548" s="3" t="str">
        <f>IFERROR(__xludf.DUMMYFUNCTION("INDEX(SPLIT(H548,"" ""),1)"),"#REF!")</f>
        <v>#REF!</v>
      </c>
      <c r="N548" s="3" t="str">
        <f>IFERROR(__xludf.DUMMYFUNCTION("MID(REGEXEXTRACT(H548,"" [^ ]* [^ ]*""),2,300)"),"#REF!")</f>
        <v>#REF!</v>
      </c>
      <c r="O548" s="3" t="str">
        <f>IFERROR(__xludf.DUMMYFUNCTION("INDEX(SPLIT(I548,"" ""),1)"),"#REF!")</f>
        <v>#REF!</v>
      </c>
      <c r="P548" s="3" t="str">
        <f>IFERROR(__xludf.DUMMYFUNCTION("MID(REGEXEXTRACT(I548,"" [^ ]* [^ ]*""),2,300)"),"#REF!")</f>
        <v>#REF!</v>
      </c>
      <c r="Q548" s="3" t="str">
        <f>IFERROR(__xludf.DUMMYFUNCTION("INDEX(SPLIT(J548,"" ""),1)"),"#REF!")</f>
        <v>#REF!</v>
      </c>
      <c r="R548" s="3" t="str">
        <f>IFERROR(__xludf.DUMMYFUNCTION("MID(REGEXEXTRACT(J548,"" [^ ]* [^ ]*""),2,300)"),"#REF!")</f>
        <v>#REF!</v>
      </c>
      <c r="S548" s="3">
        <f t="shared" si="2"/>
        <v>5</v>
      </c>
      <c r="T548" s="3" t="str">
        <f t="shared" si="3"/>
        <v>dull turquoise</v>
      </c>
      <c r="U548" s="3" t="str">
        <f t="shared" si="4"/>
        <v/>
      </c>
      <c r="V548" s="3" t="str">
        <f t="shared" si="5"/>
        <v/>
      </c>
      <c r="W548" s="3" t="str">
        <f t="shared" si="6"/>
        <v/>
      </c>
      <c r="X548" s="3" t="str">
        <f t="shared" si="7"/>
        <v/>
      </c>
      <c r="Y548" s="3" t="str">
        <f t="shared" si="8"/>
        <v/>
      </c>
      <c r="Z548" s="3" t="str">
        <f t="shared" si="9"/>
        <v/>
      </c>
      <c r="AA548" s="13">
        <f t="shared" si="10"/>
        <v>1732346</v>
      </c>
      <c r="AB548" s="3">
        <f t="shared" si="11"/>
        <v>1732345</v>
      </c>
      <c r="AC548" s="3">
        <f t="shared" si="12"/>
        <v>5</v>
      </c>
      <c r="AD548" s="3">
        <f t="shared" si="13"/>
        <v>346469</v>
      </c>
      <c r="AE548" s="3" t="str">
        <f t="shared" si="14"/>
        <v/>
      </c>
      <c r="AF548" s="3">
        <f t="shared" si="15"/>
        <v>0</v>
      </c>
      <c r="AG548" s="3" t="str">
        <f t="shared" si="16"/>
        <v/>
      </c>
      <c r="AH548" s="3">
        <f t="shared" si="17"/>
        <v>0</v>
      </c>
      <c r="AI548" s="3" t="str">
        <f t="shared" si="18"/>
        <v/>
      </c>
      <c r="AJ548" s="3">
        <f t="shared" si="19"/>
        <v>0</v>
      </c>
    </row>
    <row r="549">
      <c r="C549" s="6" t="s">
        <v>549</v>
      </c>
      <c r="D549" s="3">
        <f t="shared" si="1"/>
        <v>1</v>
      </c>
      <c r="E549" s="3" t="str">
        <f>IFERROR(__xludf.DUMMYFUNCTION("REGEXEXTRACT(C549,""[^ ]* [^ ]*"")"),"drab salmon")</f>
        <v>drab salmon</v>
      </c>
      <c r="F549" s="3" t="str">
        <f>IFERROR(__xludf.DUMMYFUNCTION("MID(REGEXEXTRACT(C549,""contain.*$""),9,300)"),"3 posh magenta bags, 1 dark teal bag.")</f>
        <v>3 posh magenta bags, 1 dark teal bag.</v>
      </c>
      <c r="G549" s="3" t="str">
        <f>IFERROR(__xludf.DUMMYFUNCTION("INDEX(SPLIT($F549,"",""),COLUMN()-6)"),"3 posh magenta bags")</f>
        <v>3 posh magenta bags</v>
      </c>
      <c r="H549" s="3" t="str">
        <f>IFERROR(__xludf.DUMMYFUNCTION("MID(INDEX(SPLIT($F549,"",""),COLUMN()-6),2,300)"),"1 dark teal bag.")</f>
        <v>1 dark teal bag.</v>
      </c>
      <c r="I549" s="3" t="str">
        <f>IFERROR(__xludf.DUMMYFUNCTION("MID(INDEX(SPLIT($F549,"",""),COLUMN()-6),2,300)"),"#REF!")</f>
        <v>#REF!</v>
      </c>
      <c r="J549" s="3" t="str">
        <f>IFERROR(__xludf.DUMMYFUNCTION("MID(INDEX(SPLIT($F549,"",""),COLUMN()-6),2,300)"),"#REF!")</f>
        <v>#REF!</v>
      </c>
      <c r="K549" s="3">
        <f>IFERROR(__xludf.DUMMYFUNCTION("INDEX(SPLIT(G549,"" ""),1)"),3.0)</f>
        <v>3</v>
      </c>
      <c r="L549" s="3" t="str">
        <f>IFERROR(__xludf.DUMMYFUNCTION("REGEXEXTRACT(G549,"" [^ ]* [^ ]* "")")," posh magenta ")</f>
        <v> posh magenta </v>
      </c>
      <c r="M549" s="3">
        <f>IFERROR(__xludf.DUMMYFUNCTION("INDEX(SPLIT(H549,"" ""),1)"),1.0)</f>
        <v>1</v>
      </c>
      <c r="N549" s="3" t="str">
        <f>IFERROR(__xludf.DUMMYFUNCTION("MID(REGEXEXTRACT(H549,"" [^ ]* [^ ]*""),2,300)"),"dark teal")</f>
        <v>dark teal</v>
      </c>
      <c r="O549" s="3" t="str">
        <f>IFERROR(__xludf.DUMMYFUNCTION("INDEX(SPLIT(I549,"" ""),1)"),"#REF!")</f>
        <v>#REF!</v>
      </c>
      <c r="P549" s="3" t="str">
        <f>IFERROR(__xludf.DUMMYFUNCTION("MID(REGEXEXTRACT(I549,"" [^ ]* [^ ]*""),2,300)"),"#REF!")</f>
        <v>#REF!</v>
      </c>
      <c r="Q549" s="3" t="str">
        <f>IFERROR(__xludf.DUMMYFUNCTION("INDEX(SPLIT(J549,"" ""),1)"),"#REF!")</f>
        <v>#REF!</v>
      </c>
      <c r="R549" s="3" t="str">
        <f>IFERROR(__xludf.DUMMYFUNCTION("MID(REGEXEXTRACT(J549,"" [^ ]* [^ ]*""),2,300)"),"#REF!")</f>
        <v>#REF!</v>
      </c>
      <c r="S549" s="3">
        <f t="shared" si="2"/>
        <v>3</v>
      </c>
      <c r="T549" s="3" t="str">
        <f t="shared" si="3"/>
        <v>posh magenta</v>
      </c>
      <c r="U549" s="3">
        <f t="shared" si="4"/>
        <v>1</v>
      </c>
      <c r="V549" s="3" t="str">
        <f t="shared" si="5"/>
        <v>dark teal</v>
      </c>
      <c r="W549" s="3" t="str">
        <f t="shared" si="6"/>
        <v/>
      </c>
      <c r="X549" s="3" t="str">
        <f t="shared" si="7"/>
        <v/>
      </c>
      <c r="Y549" s="3" t="str">
        <f t="shared" si="8"/>
        <v/>
      </c>
      <c r="Z549" s="3" t="str">
        <f t="shared" si="9"/>
        <v/>
      </c>
      <c r="AA549" s="13">
        <f t="shared" si="10"/>
        <v>15045</v>
      </c>
      <c r="AB549" s="3">
        <f t="shared" si="11"/>
        <v>15044</v>
      </c>
      <c r="AC549" s="3">
        <f t="shared" si="12"/>
        <v>3</v>
      </c>
      <c r="AD549" s="3">
        <f t="shared" si="13"/>
        <v>1</v>
      </c>
      <c r="AE549" s="3">
        <f t="shared" si="14"/>
        <v>1</v>
      </c>
      <c r="AF549" s="3">
        <f t="shared" si="15"/>
        <v>15041</v>
      </c>
      <c r="AG549" s="3" t="str">
        <f t="shared" si="16"/>
        <v/>
      </c>
      <c r="AH549" s="3">
        <f t="shared" si="17"/>
        <v>0</v>
      </c>
      <c r="AI549" s="3" t="str">
        <f t="shared" si="18"/>
        <v/>
      </c>
      <c r="AJ549" s="3">
        <f t="shared" si="19"/>
        <v>0</v>
      </c>
    </row>
    <row r="550">
      <c r="C550" s="6" t="s">
        <v>550</v>
      </c>
      <c r="D550" s="3">
        <f t="shared" si="1"/>
        <v>3</v>
      </c>
      <c r="E550" s="3" t="str">
        <f>IFERROR(__xludf.DUMMYFUNCTION("REGEXEXTRACT(C550,""[^ ]* [^ ]*"")"),"mirrored cyan")</f>
        <v>mirrored cyan</v>
      </c>
      <c r="F550" s="3" t="str">
        <f>IFERROR(__xludf.DUMMYFUNCTION("MID(REGEXEXTRACT(C550,""contain.*$""),9,300)"),"2 dim violet bags, 1 plaid aqua bag, 1 vibrant blue bag, 1 posh magenta bag.")</f>
        <v>2 dim violet bags, 1 plaid aqua bag, 1 vibrant blue bag, 1 posh magenta bag.</v>
      </c>
      <c r="G550" s="3" t="str">
        <f>IFERROR(__xludf.DUMMYFUNCTION("INDEX(SPLIT($F550,"",""),COLUMN()-6)"),"2 dim violet bags")</f>
        <v>2 dim violet bags</v>
      </c>
      <c r="H550" s="3" t="str">
        <f>IFERROR(__xludf.DUMMYFUNCTION("MID(INDEX(SPLIT($F550,"",""),COLUMN()-6),2,300)"),"1 plaid aqua bag")</f>
        <v>1 plaid aqua bag</v>
      </c>
      <c r="I550" s="3" t="str">
        <f>IFERROR(__xludf.DUMMYFUNCTION("MID(INDEX(SPLIT($F550,"",""),COLUMN()-6),2,300)"),"1 vibrant blue bag")</f>
        <v>1 vibrant blue bag</v>
      </c>
      <c r="J550" s="3" t="str">
        <f>IFERROR(__xludf.DUMMYFUNCTION("MID(INDEX(SPLIT($F550,"",""),COLUMN()-6),2,300)"),"1 posh magenta bag.")</f>
        <v>1 posh magenta bag.</v>
      </c>
      <c r="K550" s="3">
        <f>IFERROR(__xludf.DUMMYFUNCTION("INDEX(SPLIT(G550,"" ""),1)"),2.0)</f>
        <v>2</v>
      </c>
      <c r="L550" s="3" t="str">
        <f>IFERROR(__xludf.DUMMYFUNCTION("REGEXEXTRACT(G550,"" [^ ]* [^ ]* "")")," dim violet ")</f>
        <v> dim violet </v>
      </c>
      <c r="M550" s="3">
        <f>IFERROR(__xludf.DUMMYFUNCTION("INDEX(SPLIT(H550,"" ""),1)"),1.0)</f>
        <v>1</v>
      </c>
      <c r="N550" s="3" t="str">
        <f>IFERROR(__xludf.DUMMYFUNCTION("MID(REGEXEXTRACT(H550,"" [^ ]* [^ ]*""),2,300)"),"plaid aqua")</f>
        <v>plaid aqua</v>
      </c>
      <c r="O550" s="3">
        <f>IFERROR(__xludf.DUMMYFUNCTION("INDEX(SPLIT(I550,"" ""),1)"),1.0)</f>
        <v>1</v>
      </c>
      <c r="P550" s="3" t="str">
        <f>IFERROR(__xludf.DUMMYFUNCTION("MID(REGEXEXTRACT(I550,"" [^ ]* [^ ]*""),2,300)"),"vibrant blue")</f>
        <v>vibrant blue</v>
      </c>
      <c r="Q550" s="3">
        <f>IFERROR(__xludf.DUMMYFUNCTION("INDEX(SPLIT(J550,"" ""),1)"),1.0)</f>
        <v>1</v>
      </c>
      <c r="R550" s="3" t="str">
        <f>IFERROR(__xludf.DUMMYFUNCTION("MID(REGEXEXTRACT(J550,"" [^ ]* [^ ]*""),2,300)"),"posh magenta")</f>
        <v>posh magenta</v>
      </c>
      <c r="S550" s="3">
        <f t="shared" si="2"/>
        <v>2</v>
      </c>
      <c r="T550" s="3" t="str">
        <f t="shared" si="3"/>
        <v>dim violet</v>
      </c>
      <c r="U550" s="3">
        <f t="shared" si="4"/>
        <v>1</v>
      </c>
      <c r="V550" s="3" t="str">
        <f t="shared" si="5"/>
        <v>plaid aqua</v>
      </c>
      <c r="W550" s="3">
        <f t="shared" si="6"/>
        <v>1</v>
      </c>
      <c r="X550" s="3" t="str">
        <f t="shared" si="7"/>
        <v>vibrant blue</v>
      </c>
      <c r="Y550" s="3">
        <f t="shared" si="8"/>
        <v>1</v>
      </c>
      <c r="Z550" s="3" t="str">
        <f t="shared" si="9"/>
        <v>posh magenta</v>
      </c>
      <c r="AA550" s="13">
        <f t="shared" si="10"/>
        <v>1854</v>
      </c>
      <c r="AB550" s="3">
        <f t="shared" si="11"/>
        <v>1853</v>
      </c>
      <c r="AC550" s="3">
        <f t="shared" si="12"/>
        <v>2</v>
      </c>
      <c r="AD550" s="3">
        <f t="shared" si="13"/>
        <v>153</v>
      </c>
      <c r="AE550" s="3">
        <f t="shared" si="14"/>
        <v>1</v>
      </c>
      <c r="AF550" s="3">
        <f t="shared" si="15"/>
        <v>1</v>
      </c>
      <c r="AG550" s="3">
        <f t="shared" si="16"/>
        <v>1</v>
      </c>
      <c r="AH550" s="3">
        <f t="shared" si="17"/>
        <v>1545</v>
      </c>
      <c r="AI550" s="3">
        <f t="shared" si="18"/>
        <v>1</v>
      </c>
      <c r="AJ550" s="3">
        <f t="shared" si="19"/>
        <v>1</v>
      </c>
    </row>
    <row r="551">
      <c r="C551" s="6" t="s">
        <v>551</v>
      </c>
      <c r="D551" s="3">
        <f t="shared" si="1"/>
        <v>2</v>
      </c>
      <c r="E551" s="3" t="str">
        <f>IFERROR(__xludf.DUMMYFUNCTION("REGEXEXTRACT(C551,""[^ ]* [^ ]*"")"),"wavy teal")</f>
        <v>wavy teal</v>
      </c>
      <c r="F551" s="3" t="str">
        <f>IFERROR(__xludf.DUMMYFUNCTION("MID(REGEXEXTRACT(C551,""contain.*$""),9,300)"),"1 bright crimson bag, 2 light cyan bags, 4 striped silver bags.")</f>
        <v>1 bright crimson bag, 2 light cyan bags, 4 striped silver bags.</v>
      </c>
      <c r="G551" s="3" t="str">
        <f>IFERROR(__xludf.DUMMYFUNCTION("INDEX(SPLIT($F551,"",""),COLUMN()-6)"),"1 bright crimson bag")</f>
        <v>1 bright crimson bag</v>
      </c>
      <c r="H551" s="3" t="str">
        <f>IFERROR(__xludf.DUMMYFUNCTION("MID(INDEX(SPLIT($F551,"",""),COLUMN()-6),2,300)"),"2 light cyan bags")</f>
        <v>2 light cyan bags</v>
      </c>
      <c r="I551" s="3" t="str">
        <f>IFERROR(__xludf.DUMMYFUNCTION("MID(INDEX(SPLIT($F551,"",""),COLUMN()-6),2,300)"),"4 striped silver bags.")</f>
        <v>4 striped silver bags.</v>
      </c>
      <c r="J551" s="3" t="str">
        <f>IFERROR(__xludf.DUMMYFUNCTION("MID(INDEX(SPLIT($F551,"",""),COLUMN()-6),2,300)"),"#REF!")</f>
        <v>#REF!</v>
      </c>
      <c r="K551" s="3">
        <f>IFERROR(__xludf.DUMMYFUNCTION("INDEX(SPLIT(G551,"" ""),1)"),1.0)</f>
        <v>1</v>
      </c>
      <c r="L551" s="3" t="str">
        <f>IFERROR(__xludf.DUMMYFUNCTION("REGEXEXTRACT(G551,"" [^ ]* [^ ]* "")")," bright crimson ")</f>
        <v> bright crimson </v>
      </c>
      <c r="M551" s="3">
        <f>IFERROR(__xludf.DUMMYFUNCTION("INDEX(SPLIT(H551,"" ""),1)"),2.0)</f>
        <v>2</v>
      </c>
      <c r="N551" s="3" t="str">
        <f>IFERROR(__xludf.DUMMYFUNCTION("MID(REGEXEXTRACT(H551,"" [^ ]* [^ ]*""),2,300)"),"light cyan")</f>
        <v>light cyan</v>
      </c>
      <c r="O551" s="3">
        <f>IFERROR(__xludf.DUMMYFUNCTION("INDEX(SPLIT(I551,"" ""),1)"),4.0)</f>
        <v>4</v>
      </c>
      <c r="P551" s="3" t="str">
        <f>IFERROR(__xludf.DUMMYFUNCTION("MID(REGEXEXTRACT(I551,"" [^ ]* [^ ]*""),2,300)"),"striped silver")</f>
        <v>striped silver</v>
      </c>
      <c r="Q551" s="3" t="str">
        <f>IFERROR(__xludf.DUMMYFUNCTION("INDEX(SPLIT(J551,"" ""),1)"),"#REF!")</f>
        <v>#REF!</v>
      </c>
      <c r="R551" s="3" t="str">
        <f>IFERROR(__xludf.DUMMYFUNCTION("MID(REGEXEXTRACT(J551,"" [^ ]* [^ ]*""),2,300)"),"#REF!")</f>
        <v>#REF!</v>
      </c>
      <c r="S551" s="3">
        <f t="shared" si="2"/>
        <v>1</v>
      </c>
      <c r="T551" s="3" t="str">
        <f t="shared" si="3"/>
        <v>bright crimson</v>
      </c>
      <c r="U551" s="3">
        <f t="shared" si="4"/>
        <v>2</v>
      </c>
      <c r="V551" s="3" t="str">
        <f t="shared" si="5"/>
        <v>light cyan</v>
      </c>
      <c r="W551" s="3">
        <f t="shared" si="6"/>
        <v>4</v>
      </c>
      <c r="X551" s="3" t="str">
        <f t="shared" si="7"/>
        <v>striped silver</v>
      </c>
      <c r="Y551" s="3" t="str">
        <f t="shared" si="8"/>
        <v/>
      </c>
      <c r="Z551" s="3" t="str">
        <f t="shared" si="9"/>
        <v/>
      </c>
      <c r="AA551" s="13">
        <f t="shared" si="10"/>
        <v>84750</v>
      </c>
      <c r="AB551" s="3">
        <f t="shared" si="11"/>
        <v>84749</v>
      </c>
      <c r="AC551" s="3">
        <f t="shared" si="12"/>
        <v>1</v>
      </c>
      <c r="AD551" s="3">
        <f t="shared" si="13"/>
        <v>773</v>
      </c>
      <c r="AE551" s="3">
        <f t="shared" si="14"/>
        <v>2</v>
      </c>
      <c r="AF551" s="3">
        <f t="shared" si="15"/>
        <v>3750</v>
      </c>
      <c r="AG551" s="3">
        <f t="shared" si="16"/>
        <v>4</v>
      </c>
      <c r="AH551" s="3">
        <f t="shared" si="17"/>
        <v>19119</v>
      </c>
      <c r="AI551" s="3" t="str">
        <f t="shared" si="18"/>
        <v/>
      </c>
      <c r="AJ551" s="3">
        <f t="shared" si="19"/>
        <v>0</v>
      </c>
    </row>
    <row r="552">
      <c r="C552" s="6" t="s">
        <v>552</v>
      </c>
      <c r="D552" s="3">
        <f t="shared" si="1"/>
        <v>2</v>
      </c>
      <c r="E552" s="3" t="str">
        <f>IFERROR(__xludf.DUMMYFUNCTION("REGEXEXTRACT(C552,""[^ ]* [^ ]*"")"),"vibrant purple")</f>
        <v>vibrant purple</v>
      </c>
      <c r="F552" s="3" t="str">
        <f>IFERROR(__xludf.DUMMYFUNCTION("MID(REGEXEXTRACT(C552,""contain.*$""),9,300)"),"5 shiny magenta bags, 1 dotted orange bag, 2 wavy teal bags.")</f>
        <v>5 shiny magenta bags, 1 dotted orange bag, 2 wavy teal bags.</v>
      </c>
      <c r="G552" s="3" t="str">
        <f>IFERROR(__xludf.DUMMYFUNCTION("INDEX(SPLIT($F552,"",""),COLUMN()-6)"),"5 shiny magenta bags")</f>
        <v>5 shiny magenta bags</v>
      </c>
      <c r="H552" s="3" t="str">
        <f>IFERROR(__xludf.DUMMYFUNCTION("MID(INDEX(SPLIT($F552,"",""),COLUMN()-6),2,300)"),"1 dotted orange bag")</f>
        <v>1 dotted orange bag</v>
      </c>
      <c r="I552" s="3" t="str">
        <f>IFERROR(__xludf.DUMMYFUNCTION("MID(INDEX(SPLIT($F552,"",""),COLUMN()-6),2,300)"),"2 wavy teal bags.")</f>
        <v>2 wavy teal bags.</v>
      </c>
      <c r="J552" s="3" t="str">
        <f>IFERROR(__xludf.DUMMYFUNCTION("MID(INDEX(SPLIT($F552,"",""),COLUMN()-6),2,300)"),"#REF!")</f>
        <v>#REF!</v>
      </c>
      <c r="K552" s="3">
        <f>IFERROR(__xludf.DUMMYFUNCTION("INDEX(SPLIT(G552,"" ""),1)"),5.0)</f>
        <v>5</v>
      </c>
      <c r="L552" s="3" t="str">
        <f>IFERROR(__xludf.DUMMYFUNCTION("REGEXEXTRACT(G552,"" [^ ]* [^ ]* "")")," shiny magenta ")</f>
        <v> shiny magenta </v>
      </c>
      <c r="M552" s="3">
        <f>IFERROR(__xludf.DUMMYFUNCTION("INDEX(SPLIT(H552,"" ""),1)"),1.0)</f>
        <v>1</v>
      </c>
      <c r="N552" s="3" t="str">
        <f>IFERROR(__xludf.DUMMYFUNCTION("MID(REGEXEXTRACT(H552,"" [^ ]* [^ ]*""),2,300)"),"dotted orange")</f>
        <v>dotted orange</v>
      </c>
      <c r="O552" s="3">
        <f>IFERROR(__xludf.DUMMYFUNCTION("INDEX(SPLIT(I552,"" ""),1)"),2.0)</f>
        <v>2</v>
      </c>
      <c r="P552" s="3" t="str">
        <f>IFERROR(__xludf.DUMMYFUNCTION("MID(REGEXEXTRACT(I552,"" [^ ]* [^ ]*""),2,300)"),"wavy teal")</f>
        <v>wavy teal</v>
      </c>
      <c r="Q552" s="3" t="str">
        <f>IFERROR(__xludf.DUMMYFUNCTION("INDEX(SPLIT(J552,"" ""),1)"),"#REF!")</f>
        <v>#REF!</v>
      </c>
      <c r="R552" s="3" t="str">
        <f>IFERROR(__xludf.DUMMYFUNCTION("MID(REGEXEXTRACT(J552,"" [^ ]* [^ ]*""),2,300)"),"#REF!")</f>
        <v>#REF!</v>
      </c>
      <c r="S552" s="3">
        <f t="shared" si="2"/>
        <v>5</v>
      </c>
      <c r="T552" s="3" t="str">
        <f t="shared" si="3"/>
        <v>shiny magenta</v>
      </c>
      <c r="U552" s="3">
        <f t="shared" si="4"/>
        <v>1</v>
      </c>
      <c r="V552" s="3" t="str">
        <f t="shared" si="5"/>
        <v>dotted orange</v>
      </c>
      <c r="W552" s="3">
        <f t="shared" si="6"/>
        <v>2</v>
      </c>
      <c r="X552" s="3" t="str">
        <f t="shared" si="7"/>
        <v>wavy teal</v>
      </c>
      <c r="Y552" s="3" t="str">
        <f t="shared" si="8"/>
        <v/>
      </c>
      <c r="Z552" s="3" t="str">
        <f t="shared" si="9"/>
        <v/>
      </c>
      <c r="AA552" s="13">
        <f t="shared" si="10"/>
        <v>207721</v>
      </c>
      <c r="AB552" s="3">
        <f t="shared" si="11"/>
        <v>207720</v>
      </c>
      <c r="AC552" s="3">
        <f t="shared" si="12"/>
        <v>5</v>
      </c>
      <c r="AD552" s="3">
        <f t="shared" si="13"/>
        <v>7288</v>
      </c>
      <c r="AE552" s="3">
        <f t="shared" si="14"/>
        <v>1</v>
      </c>
      <c r="AF552" s="3">
        <f t="shared" si="15"/>
        <v>1780</v>
      </c>
      <c r="AG552" s="3">
        <f t="shared" si="16"/>
        <v>2</v>
      </c>
      <c r="AH552" s="3">
        <f t="shared" si="17"/>
        <v>84750</v>
      </c>
      <c r="AI552" s="3" t="str">
        <f t="shared" si="18"/>
        <v/>
      </c>
      <c r="AJ552" s="3">
        <f t="shared" si="19"/>
        <v>0</v>
      </c>
    </row>
    <row r="553">
      <c r="C553" s="6" t="s">
        <v>553</v>
      </c>
      <c r="D553" s="3">
        <f t="shared" si="1"/>
        <v>1</v>
      </c>
      <c r="E553" s="3" t="str">
        <f>IFERROR(__xludf.DUMMYFUNCTION("REGEXEXTRACT(C553,""[^ ]* [^ ]*"")"),"faded beige")</f>
        <v>faded beige</v>
      </c>
      <c r="F553" s="3" t="str">
        <f>IFERROR(__xludf.DUMMYFUNCTION("MID(REGEXEXTRACT(C553,""contain.*$""),9,300)"),"1 posh green bag, 5 clear coral bags.")</f>
        <v>1 posh green bag, 5 clear coral bags.</v>
      </c>
      <c r="G553" s="3" t="str">
        <f>IFERROR(__xludf.DUMMYFUNCTION("INDEX(SPLIT($F553,"",""),COLUMN()-6)"),"1 posh green bag")</f>
        <v>1 posh green bag</v>
      </c>
      <c r="H553" s="3" t="str">
        <f>IFERROR(__xludf.DUMMYFUNCTION("MID(INDEX(SPLIT($F553,"",""),COLUMN()-6),2,300)"),"5 clear coral bags.")</f>
        <v>5 clear coral bags.</v>
      </c>
      <c r="I553" s="3" t="str">
        <f>IFERROR(__xludf.DUMMYFUNCTION("MID(INDEX(SPLIT($F553,"",""),COLUMN()-6),2,300)"),"#REF!")</f>
        <v>#REF!</v>
      </c>
      <c r="J553" s="3" t="str">
        <f>IFERROR(__xludf.DUMMYFUNCTION("MID(INDEX(SPLIT($F553,"",""),COLUMN()-6),2,300)"),"#REF!")</f>
        <v>#REF!</v>
      </c>
      <c r="K553" s="3">
        <f>IFERROR(__xludf.DUMMYFUNCTION("INDEX(SPLIT(G553,"" ""),1)"),1.0)</f>
        <v>1</v>
      </c>
      <c r="L553" s="3" t="str">
        <f>IFERROR(__xludf.DUMMYFUNCTION("REGEXEXTRACT(G553,"" [^ ]* [^ ]* "")")," posh green ")</f>
        <v> posh green </v>
      </c>
      <c r="M553" s="3">
        <f>IFERROR(__xludf.DUMMYFUNCTION("INDEX(SPLIT(H553,"" ""),1)"),5.0)</f>
        <v>5</v>
      </c>
      <c r="N553" s="3" t="str">
        <f>IFERROR(__xludf.DUMMYFUNCTION("MID(REGEXEXTRACT(H553,"" [^ ]* [^ ]*""),2,300)"),"clear coral")</f>
        <v>clear coral</v>
      </c>
      <c r="O553" s="3" t="str">
        <f>IFERROR(__xludf.DUMMYFUNCTION("INDEX(SPLIT(I553,"" ""),1)"),"#REF!")</f>
        <v>#REF!</v>
      </c>
      <c r="P553" s="3" t="str">
        <f>IFERROR(__xludf.DUMMYFUNCTION("MID(REGEXEXTRACT(I553,"" [^ ]* [^ ]*""),2,300)"),"#REF!")</f>
        <v>#REF!</v>
      </c>
      <c r="Q553" s="3" t="str">
        <f>IFERROR(__xludf.DUMMYFUNCTION("INDEX(SPLIT(J553,"" ""),1)"),"#REF!")</f>
        <v>#REF!</v>
      </c>
      <c r="R553" s="3" t="str">
        <f>IFERROR(__xludf.DUMMYFUNCTION("MID(REGEXEXTRACT(J553,"" [^ ]* [^ ]*""),2,300)"),"#REF!")</f>
        <v>#REF!</v>
      </c>
      <c r="S553" s="3">
        <f t="shared" si="2"/>
        <v>1</v>
      </c>
      <c r="T553" s="3" t="str">
        <f t="shared" si="3"/>
        <v>posh green</v>
      </c>
      <c r="U553" s="3">
        <f t="shared" si="4"/>
        <v>5</v>
      </c>
      <c r="V553" s="3" t="str">
        <f t="shared" si="5"/>
        <v>clear coral</v>
      </c>
      <c r="W553" s="3" t="str">
        <f t="shared" si="6"/>
        <v/>
      </c>
      <c r="X553" s="3" t="str">
        <f t="shared" si="7"/>
        <v/>
      </c>
      <c r="Y553" s="3" t="str">
        <f t="shared" si="8"/>
        <v/>
      </c>
      <c r="Z553" s="3" t="str">
        <f t="shared" si="9"/>
        <v/>
      </c>
      <c r="AA553" s="13">
        <f t="shared" si="10"/>
        <v>6373</v>
      </c>
      <c r="AB553" s="3">
        <f t="shared" si="11"/>
        <v>6372</v>
      </c>
      <c r="AC553" s="3">
        <f t="shared" si="12"/>
        <v>1</v>
      </c>
      <c r="AD553" s="3">
        <f t="shared" si="13"/>
        <v>6367</v>
      </c>
      <c r="AE553" s="3">
        <f t="shared" si="14"/>
        <v>5</v>
      </c>
      <c r="AF553" s="3">
        <f t="shared" si="15"/>
        <v>1</v>
      </c>
      <c r="AG553" s="3" t="str">
        <f t="shared" si="16"/>
        <v/>
      </c>
      <c r="AH553" s="3">
        <f t="shared" si="17"/>
        <v>0</v>
      </c>
      <c r="AI553" s="3" t="str">
        <f t="shared" si="18"/>
        <v/>
      </c>
      <c r="AJ553" s="3">
        <f t="shared" si="19"/>
        <v>0</v>
      </c>
    </row>
    <row r="554">
      <c r="C554" s="6" t="s">
        <v>554</v>
      </c>
      <c r="D554" s="3">
        <f t="shared" si="1"/>
        <v>2</v>
      </c>
      <c r="E554" s="3" t="str">
        <f>IFERROR(__xludf.DUMMYFUNCTION("REGEXEXTRACT(C554,""[^ ]* [^ ]*"")"),"faded lime")</f>
        <v>faded lime</v>
      </c>
      <c r="F554" s="3" t="str">
        <f>IFERROR(__xludf.DUMMYFUNCTION("MID(REGEXEXTRACT(C554,""contain.*$""),9,300)"),"1 wavy gray bag, 1 light orange bag, 5 clear bronze bags.")</f>
        <v>1 wavy gray bag, 1 light orange bag, 5 clear bronze bags.</v>
      </c>
      <c r="G554" s="3" t="str">
        <f>IFERROR(__xludf.DUMMYFUNCTION("INDEX(SPLIT($F554,"",""),COLUMN()-6)"),"1 wavy gray bag")</f>
        <v>1 wavy gray bag</v>
      </c>
      <c r="H554" s="3" t="str">
        <f>IFERROR(__xludf.DUMMYFUNCTION("MID(INDEX(SPLIT($F554,"",""),COLUMN()-6),2,300)"),"1 light orange bag")</f>
        <v>1 light orange bag</v>
      </c>
      <c r="I554" s="3" t="str">
        <f>IFERROR(__xludf.DUMMYFUNCTION("MID(INDEX(SPLIT($F554,"",""),COLUMN()-6),2,300)"),"5 clear bronze bags.")</f>
        <v>5 clear bronze bags.</v>
      </c>
      <c r="J554" s="3" t="str">
        <f>IFERROR(__xludf.DUMMYFUNCTION("MID(INDEX(SPLIT($F554,"",""),COLUMN()-6),2,300)"),"#REF!")</f>
        <v>#REF!</v>
      </c>
      <c r="K554" s="3">
        <f>IFERROR(__xludf.DUMMYFUNCTION("INDEX(SPLIT(G554,"" ""),1)"),1.0)</f>
        <v>1</v>
      </c>
      <c r="L554" s="3" t="str">
        <f>IFERROR(__xludf.DUMMYFUNCTION("REGEXEXTRACT(G554,"" [^ ]* [^ ]* "")")," wavy gray ")</f>
        <v> wavy gray </v>
      </c>
      <c r="M554" s="3">
        <f>IFERROR(__xludf.DUMMYFUNCTION("INDEX(SPLIT(H554,"" ""),1)"),1.0)</f>
        <v>1</v>
      </c>
      <c r="N554" s="3" t="str">
        <f>IFERROR(__xludf.DUMMYFUNCTION("MID(REGEXEXTRACT(H554,"" [^ ]* [^ ]*""),2,300)"),"light orange")</f>
        <v>light orange</v>
      </c>
      <c r="O554" s="3">
        <f>IFERROR(__xludf.DUMMYFUNCTION("INDEX(SPLIT(I554,"" ""),1)"),5.0)</f>
        <v>5</v>
      </c>
      <c r="P554" s="3" t="str">
        <f>IFERROR(__xludf.DUMMYFUNCTION("MID(REGEXEXTRACT(I554,"" [^ ]* [^ ]*""),2,300)"),"clear bronze")</f>
        <v>clear bronze</v>
      </c>
      <c r="Q554" s="3" t="str">
        <f>IFERROR(__xludf.DUMMYFUNCTION("INDEX(SPLIT(J554,"" ""),1)"),"#REF!")</f>
        <v>#REF!</v>
      </c>
      <c r="R554" s="3" t="str">
        <f>IFERROR(__xludf.DUMMYFUNCTION("MID(REGEXEXTRACT(J554,"" [^ ]* [^ ]*""),2,300)"),"#REF!")</f>
        <v>#REF!</v>
      </c>
      <c r="S554" s="3">
        <f t="shared" si="2"/>
        <v>1</v>
      </c>
      <c r="T554" s="3" t="str">
        <f t="shared" si="3"/>
        <v>wavy gray</v>
      </c>
      <c r="U554" s="3">
        <f t="shared" si="4"/>
        <v>1</v>
      </c>
      <c r="V554" s="3" t="str">
        <f t="shared" si="5"/>
        <v>light orange</v>
      </c>
      <c r="W554" s="3">
        <f t="shared" si="6"/>
        <v>5</v>
      </c>
      <c r="X554" s="3" t="str">
        <f t="shared" si="7"/>
        <v>clear bronze</v>
      </c>
      <c r="Y554" s="3" t="str">
        <f t="shared" si="8"/>
        <v/>
      </c>
      <c r="Z554" s="3" t="str">
        <f t="shared" si="9"/>
        <v/>
      </c>
      <c r="AA554" s="13">
        <f t="shared" si="10"/>
        <v>8796485787</v>
      </c>
      <c r="AB554" s="3">
        <f t="shared" si="11"/>
        <v>8796485786</v>
      </c>
      <c r="AC554" s="3">
        <f t="shared" si="12"/>
        <v>1</v>
      </c>
      <c r="AD554" s="3">
        <f t="shared" si="13"/>
        <v>3322</v>
      </c>
      <c r="AE554" s="3">
        <f t="shared" si="14"/>
        <v>1</v>
      </c>
      <c r="AF554" s="3">
        <f t="shared" si="15"/>
        <v>4507599</v>
      </c>
      <c r="AG554" s="3">
        <f t="shared" si="16"/>
        <v>5</v>
      </c>
      <c r="AH554" s="3">
        <f t="shared" si="17"/>
        <v>1758394973</v>
      </c>
      <c r="AI554" s="3" t="str">
        <f t="shared" si="18"/>
        <v/>
      </c>
      <c r="AJ554" s="3">
        <f t="shared" si="19"/>
        <v>0</v>
      </c>
    </row>
    <row r="555">
      <c r="C555" s="6" t="s">
        <v>555</v>
      </c>
      <c r="D555" s="3">
        <f t="shared" si="1"/>
        <v>2</v>
      </c>
      <c r="E555" s="3" t="str">
        <f>IFERROR(__xludf.DUMMYFUNCTION("REGEXEXTRACT(C555,""[^ ]* [^ ]*"")"),"mirrored green")</f>
        <v>mirrored green</v>
      </c>
      <c r="F555" s="3" t="str">
        <f>IFERROR(__xludf.DUMMYFUNCTION("MID(REGEXEXTRACT(C555,""contain.*$""),9,300)"),"5 drab bronze bags, 3 muted violet bags, 1 clear blue bag.")</f>
        <v>5 drab bronze bags, 3 muted violet bags, 1 clear blue bag.</v>
      </c>
      <c r="G555" s="3" t="str">
        <f>IFERROR(__xludf.DUMMYFUNCTION("INDEX(SPLIT($F555,"",""),COLUMN()-6)"),"5 drab bronze bags")</f>
        <v>5 drab bronze bags</v>
      </c>
      <c r="H555" s="3" t="str">
        <f>IFERROR(__xludf.DUMMYFUNCTION("MID(INDEX(SPLIT($F555,"",""),COLUMN()-6),2,300)"),"3 muted violet bags")</f>
        <v>3 muted violet bags</v>
      </c>
      <c r="I555" s="3" t="str">
        <f>IFERROR(__xludf.DUMMYFUNCTION("MID(INDEX(SPLIT($F555,"",""),COLUMN()-6),2,300)"),"1 clear blue bag.")</f>
        <v>1 clear blue bag.</v>
      </c>
      <c r="J555" s="3" t="str">
        <f>IFERROR(__xludf.DUMMYFUNCTION("MID(INDEX(SPLIT($F555,"",""),COLUMN()-6),2,300)"),"#REF!")</f>
        <v>#REF!</v>
      </c>
      <c r="K555" s="3">
        <f>IFERROR(__xludf.DUMMYFUNCTION("INDEX(SPLIT(G555,"" ""),1)"),5.0)</f>
        <v>5</v>
      </c>
      <c r="L555" s="3" t="str">
        <f>IFERROR(__xludf.DUMMYFUNCTION("REGEXEXTRACT(G555,"" [^ ]* [^ ]* "")")," drab bronze ")</f>
        <v> drab bronze </v>
      </c>
      <c r="M555" s="3">
        <f>IFERROR(__xludf.DUMMYFUNCTION("INDEX(SPLIT(H555,"" ""),1)"),3.0)</f>
        <v>3</v>
      </c>
      <c r="N555" s="3" t="str">
        <f>IFERROR(__xludf.DUMMYFUNCTION("MID(REGEXEXTRACT(H555,"" [^ ]* [^ ]*""),2,300)"),"muted violet")</f>
        <v>muted violet</v>
      </c>
      <c r="O555" s="3">
        <f>IFERROR(__xludf.DUMMYFUNCTION("INDEX(SPLIT(I555,"" ""),1)"),1.0)</f>
        <v>1</v>
      </c>
      <c r="P555" s="3" t="str">
        <f>IFERROR(__xludf.DUMMYFUNCTION("MID(REGEXEXTRACT(I555,"" [^ ]* [^ ]*""),2,300)"),"clear blue")</f>
        <v>clear blue</v>
      </c>
      <c r="Q555" s="3" t="str">
        <f>IFERROR(__xludf.DUMMYFUNCTION("INDEX(SPLIT(J555,"" ""),1)"),"#REF!")</f>
        <v>#REF!</v>
      </c>
      <c r="R555" s="3" t="str">
        <f>IFERROR(__xludf.DUMMYFUNCTION("MID(REGEXEXTRACT(J555,"" [^ ]* [^ ]*""),2,300)"),"#REF!")</f>
        <v>#REF!</v>
      </c>
      <c r="S555" s="3">
        <f t="shared" si="2"/>
        <v>5</v>
      </c>
      <c r="T555" s="3" t="str">
        <f t="shared" si="3"/>
        <v>drab bronze</v>
      </c>
      <c r="U555" s="3">
        <f t="shared" si="4"/>
        <v>3</v>
      </c>
      <c r="V555" s="3" t="str">
        <f t="shared" si="5"/>
        <v>muted violet</v>
      </c>
      <c r="W555" s="3">
        <f t="shared" si="6"/>
        <v>1</v>
      </c>
      <c r="X555" s="3" t="str">
        <f t="shared" si="7"/>
        <v>clear blue</v>
      </c>
      <c r="Y555" s="3" t="str">
        <f t="shared" si="8"/>
        <v/>
      </c>
      <c r="Z555" s="3" t="str">
        <f t="shared" si="9"/>
        <v/>
      </c>
      <c r="AA555" s="13">
        <f t="shared" si="10"/>
        <v>399804</v>
      </c>
      <c r="AB555" s="3">
        <f t="shared" si="11"/>
        <v>399803</v>
      </c>
      <c r="AC555" s="3">
        <f t="shared" si="12"/>
        <v>5</v>
      </c>
      <c r="AD555" s="3">
        <f t="shared" si="13"/>
        <v>79943</v>
      </c>
      <c r="AE555" s="3">
        <f t="shared" si="14"/>
        <v>3</v>
      </c>
      <c r="AF555" s="3">
        <f t="shared" si="15"/>
        <v>4</v>
      </c>
      <c r="AG555" s="3">
        <f t="shared" si="16"/>
        <v>1</v>
      </c>
      <c r="AH555" s="3">
        <f t="shared" si="17"/>
        <v>76</v>
      </c>
      <c r="AI555" s="3" t="str">
        <f t="shared" si="18"/>
        <v/>
      </c>
      <c r="AJ555" s="3">
        <f t="shared" si="19"/>
        <v>0</v>
      </c>
    </row>
    <row r="556">
      <c r="C556" s="6" t="s">
        <v>556</v>
      </c>
      <c r="D556" s="3">
        <f t="shared" si="1"/>
        <v>1</v>
      </c>
      <c r="E556" s="3" t="str">
        <f>IFERROR(__xludf.DUMMYFUNCTION("REGEXEXTRACT(C556,""[^ ]* [^ ]*"")"),"light green")</f>
        <v>light green</v>
      </c>
      <c r="F556" s="3" t="str">
        <f>IFERROR(__xludf.DUMMYFUNCTION("MID(REGEXEXTRACT(C556,""contain.*$""),9,300)"),"5 mirrored lavender bags, 3 drab gold bags.")</f>
        <v>5 mirrored lavender bags, 3 drab gold bags.</v>
      </c>
      <c r="G556" s="3" t="str">
        <f>IFERROR(__xludf.DUMMYFUNCTION("INDEX(SPLIT($F556,"",""),COLUMN()-6)"),"5 mirrored lavender bags")</f>
        <v>5 mirrored lavender bags</v>
      </c>
      <c r="H556" s="3" t="str">
        <f>IFERROR(__xludf.DUMMYFUNCTION("MID(INDEX(SPLIT($F556,"",""),COLUMN()-6),2,300)"),"3 drab gold bags.")</f>
        <v>3 drab gold bags.</v>
      </c>
      <c r="I556" s="3" t="str">
        <f>IFERROR(__xludf.DUMMYFUNCTION("MID(INDEX(SPLIT($F556,"",""),COLUMN()-6),2,300)"),"#REF!")</f>
        <v>#REF!</v>
      </c>
      <c r="J556" s="3" t="str">
        <f>IFERROR(__xludf.DUMMYFUNCTION("MID(INDEX(SPLIT($F556,"",""),COLUMN()-6),2,300)"),"#REF!")</f>
        <v>#REF!</v>
      </c>
      <c r="K556" s="3">
        <f>IFERROR(__xludf.DUMMYFUNCTION("INDEX(SPLIT(G556,"" ""),1)"),5.0)</f>
        <v>5</v>
      </c>
      <c r="L556" s="3" t="str">
        <f>IFERROR(__xludf.DUMMYFUNCTION("REGEXEXTRACT(G556,"" [^ ]* [^ ]* "")")," mirrored lavender ")</f>
        <v> mirrored lavender </v>
      </c>
      <c r="M556" s="3">
        <f>IFERROR(__xludf.DUMMYFUNCTION("INDEX(SPLIT(H556,"" ""),1)"),3.0)</f>
        <v>3</v>
      </c>
      <c r="N556" s="3" t="str">
        <f>IFERROR(__xludf.DUMMYFUNCTION("MID(REGEXEXTRACT(H556,"" [^ ]* [^ ]*""),2,300)"),"drab gold")</f>
        <v>drab gold</v>
      </c>
      <c r="O556" s="3" t="str">
        <f>IFERROR(__xludf.DUMMYFUNCTION("INDEX(SPLIT(I556,"" ""),1)"),"#REF!")</f>
        <v>#REF!</v>
      </c>
      <c r="P556" s="3" t="str">
        <f>IFERROR(__xludf.DUMMYFUNCTION("MID(REGEXEXTRACT(I556,"" [^ ]* [^ ]*""),2,300)"),"#REF!")</f>
        <v>#REF!</v>
      </c>
      <c r="Q556" s="3" t="str">
        <f>IFERROR(__xludf.DUMMYFUNCTION("INDEX(SPLIT(J556,"" ""),1)"),"#REF!")</f>
        <v>#REF!</v>
      </c>
      <c r="R556" s="3" t="str">
        <f>IFERROR(__xludf.DUMMYFUNCTION("MID(REGEXEXTRACT(J556,"" [^ ]* [^ ]*""),2,300)"),"#REF!")</f>
        <v>#REF!</v>
      </c>
      <c r="S556" s="3">
        <f t="shared" si="2"/>
        <v>5</v>
      </c>
      <c r="T556" s="3" t="str">
        <f t="shared" si="3"/>
        <v>mirrored lavender</v>
      </c>
      <c r="U556" s="3">
        <f t="shared" si="4"/>
        <v>3</v>
      </c>
      <c r="V556" s="3" t="str">
        <f t="shared" si="5"/>
        <v>drab gold</v>
      </c>
      <c r="W556" s="3" t="str">
        <f t="shared" si="6"/>
        <v/>
      </c>
      <c r="X556" s="3" t="str">
        <f t="shared" si="7"/>
        <v/>
      </c>
      <c r="Y556" s="3" t="str">
        <f t="shared" si="8"/>
        <v/>
      </c>
      <c r="Z556" s="3" t="str">
        <f t="shared" si="9"/>
        <v/>
      </c>
      <c r="AA556" s="13">
        <f t="shared" si="10"/>
        <v>14259474</v>
      </c>
      <c r="AB556" s="3">
        <f t="shared" si="11"/>
        <v>14259473</v>
      </c>
      <c r="AC556" s="3">
        <f t="shared" si="12"/>
        <v>5</v>
      </c>
      <c r="AD556" s="3">
        <f t="shared" si="13"/>
        <v>5563</v>
      </c>
      <c r="AE556" s="3">
        <f t="shared" si="14"/>
        <v>3</v>
      </c>
      <c r="AF556" s="3">
        <f t="shared" si="15"/>
        <v>4743886</v>
      </c>
      <c r="AG556" s="3" t="str">
        <f t="shared" si="16"/>
        <v/>
      </c>
      <c r="AH556" s="3">
        <f t="shared" si="17"/>
        <v>0</v>
      </c>
      <c r="AI556" s="3" t="str">
        <f t="shared" si="18"/>
        <v/>
      </c>
      <c r="AJ556" s="3">
        <f t="shared" si="19"/>
        <v>0</v>
      </c>
    </row>
    <row r="557">
      <c r="C557" s="6" t="s">
        <v>557</v>
      </c>
      <c r="D557" s="3">
        <f t="shared" si="1"/>
        <v>0</v>
      </c>
      <c r="E557" s="3" t="str">
        <f>IFERROR(__xludf.DUMMYFUNCTION("REGEXEXTRACT(C557,""[^ ]* [^ ]*"")"),"pale crimson")</f>
        <v>pale crimson</v>
      </c>
      <c r="F557" s="3" t="str">
        <f>IFERROR(__xludf.DUMMYFUNCTION("MID(REGEXEXTRACT(C557,""contain.*$""),9,300)"),"3 pale chartreuse bags.")</f>
        <v>3 pale chartreuse bags.</v>
      </c>
      <c r="G557" s="3" t="str">
        <f>IFERROR(__xludf.DUMMYFUNCTION("INDEX(SPLIT($F557,"",""),COLUMN()-6)"),"3 pale chartreuse bags.")</f>
        <v>3 pale chartreuse bags.</v>
      </c>
      <c r="H557" s="3" t="str">
        <f>IFERROR(__xludf.DUMMYFUNCTION("MID(INDEX(SPLIT($F557,"",""),COLUMN()-6),2,300)"),"#REF!")</f>
        <v>#REF!</v>
      </c>
      <c r="I557" s="3" t="str">
        <f>IFERROR(__xludf.DUMMYFUNCTION("MID(INDEX(SPLIT($F557,"",""),COLUMN()-6),2,300)"),"#REF!")</f>
        <v>#REF!</v>
      </c>
      <c r="J557" s="3" t="str">
        <f>IFERROR(__xludf.DUMMYFUNCTION("MID(INDEX(SPLIT($F557,"",""),COLUMN()-6),2,300)"),"#REF!")</f>
        <v>#REF!</v>
      </c>
      <c r="K557" s="3">
        <f>IFERROR(__xludf.DUMMYFUNCTION("INDEX(SPLIT(G557,"" ""),1)"),3.0)</f>
        <v>3</v>
      </c>
      <c r="L557" s="3" t="str">
        <f>IFERROR(__xludf.DUMMYFUNCTION("REGEXEXTRACT(G557,"" [^ ]* [^ ]* "")")," pale chartreuse ")</f>
        <v> pale chartreuse </v>
      </c>
      <c r="M557" s="3" t="str">
        <f>IFERROR(__xludf.DUMMYFUNCTION("INDEX(SPLIT(H557,"" ""),1)"),"#REF!")</f>
        <v>#REF!</v>
      </c>
      <c r="N557" s="3" t="str">
        <f>IFERROR(__xludf.DUMMYFUNCTION("MID(REGEXEXTRACT(H557,"" [^ ]* [^ ]*""),2,300)"),"#REF!")</f>
        <v>#REF!</v>
      </c>
      <c r="O557" s="3" t="str">
        <f>IFERROR(__xludf.DUMMYFUNCTION("INDEX(SPLIT(I557,"" ""),1)"),"#REF!")</f>
        <v>#REF!</v>
      </c>
      <c r="P557" s="3" t="str">
        <f>IFERROR(__xludf.DUMMYFUNCTION("MID(REGEXEXTRACT(I557,"" [^ ]* [^ ]*""),2,300)"),"#REF!")</f>
        <v>#REF!</v>
      </c>
      <c r="Q557" s="3" t="str">
        <f>IFERROR(__xludf.DUMMYFUNCTION("INDEX(SPLIT(J557,"" ""),1)"),"#REF!")</f>
        <v>#REF!</v>
      </c>
      <c r="R557" s="3" t="str">
        <f>IFERROR(__xludf.DUMMYFUNCTION("MID(REGEXEXTRACT(J557,"" [^ ]* [^ ]*""),2,300)"),"#REF!")</f>
        <v>#REF!</v>
      </c>
      <c r="S557" s="3">
        <f t="shared" si="2"/>
        <v>3</v>
      </c>
      <c r="T557" s="3" t="str">
        <f t="shared" si="3"/>
        <v>pale chartreuse</v>
      </c>
      <c r="U557" s="3" t="str">
        <f t="shared" si="4"/>
        <v/>
      </c>
      <c r="V557" s="3" t="str">
        <f t="shared" si="5"/>
        <v/>
      </c>
      <c r="W557" s="3" t="str">
        <f t="shared" si="6"/>
        <v/>
      </c>
      <c r="X557" s="3" t="str">
        <f t="shared" si="7"/>
        <v/>
      </c>
      <c r="Y557" s="3" t="str">
        <f t="shared" si="8"/>
        <v/>
      </c>
      <c r="Z557" s="3" t="str">
        <f t="shared" si="9"/>
        <v/>
      </c>
      <c r="AA557" s="13">
        <f t="shared" si="10"/>
        <v>472517005</v>
      </c>
      <c r="AB557" s="3">
        <f t="shared" si="11"/>
        <v>472517004</v>
      </c>
      <c r="AC557" s="3">
        <f t="shared" si="12"/>
        <v>3</v>
      </c>
      <c r="AD557" s="3">
        <f t="shared" si="13"/>
        <v>157505668</v>
      </c>
      <c r="AE557" s="3" t="str">
        <f t="shared" si="14"/>
        <v/>
      </c>
      <c r="AF557" s="3">
        <f t="shared" si="15"/>
        <v>0</v>
      </c>
      <c r="AG557" s="3" t="str">
        <f t="shared" si="16"/>
        <v/>
      </c>
      <c r="AH557" s="3">
        <f t="shared" si="17"/>
        <v>0</v>
      </c>
      <c r="AI557" s="3" t="str">
        <f t="shared" si="18"/>
        <v/>
      </c>
      <c r="AJ557" s="3">
        <f t="shared" si="19"/>
        <v>0</v>
      </c>
    </row>
    <row r="558">
      <c r="C558" s="6" t="s">
        <v>558</v>
      </c>
      <c r="D558" s="3">
        <f t="shared" si="1"/>
        <v>0</v>
      </c>
      <c r="E558" s="3" t="str">
        <f>IFERROR(__xludf.DUMMYFUNCTION("REGEXEXTRACT(C558,""[^ ]* [^ ]*"")"),"mirrored aqua")</f>
        <v>mirrored aqua</v>
      </c>
      <c r="F558" s="3" t="str">
        <f>IFERROR(__xludf.DUMMYFUNCTION("MID(REGEXEXTRACT(C558,""contain.*$""),9,300)"),"4 drab plum bags.")</f>
        <v>4 drab plum bags.</v>
      </c>
      <c r="G558" s="3" t="str">
        <f>IFERROR(__xludf.DUMMYFUNCTION("INDEX(SPLIT($F558,"",""),COLUMN()-6)"),"4 drab plum bags.")</f>
        <v>4 drab plum bags.</v>
      </c>
      <c r="H558" s="3" t="str">
        <f>IFERROR(__xludf.DUMMYFUNCTION("MID(INDEX(SPLIT($F558,"",""),COLUMN()-6),2,300)"),"#REF!")</f>
        <v>#REF!</v>
      </c>
      <c r="I558" s="3" t="str">
        <f>IFERROR(__xludf.DUMMYFUNCTION("MID(INDEX(SPLIT($F558,"",""),COLUMN()-6),2,300)"),"#REF!")</f>
        <v>#REF!</v>
      </c>
      <c r="J558" s="3" t="str">
        <f>IFERROR(__xludf.DUMMYFUNCTION("MID(INDEX(SPLIT($F558,"",""),COLUMN()-6),2,300)"),"#REF!")</f>
        <v>#REF!</v>
      </c>
      <c r="K558" s="3">
        <f>IFERROR(__xludf.DUMMYFUNCTION("INDEX(SPLIT(G558,"" ""),1)"),4.0)</f>
        <v>4</v>
      </c>
      <c r="L558" s="3" t="str">
        <f>IFERROR(__xludf.DUMMYFUNCTION("REGEXEXTRACT(G558,"" [^ ]* [^ ]* "")")," drab plum ")</f>
        <v> drab plum </v>
      </c>
      <c r="M558" s="3" t="str">
        <f>IFERROR(__xludf.DUMMYFUNCTION("INDEX(SPLIT(H558,"" ""),1)"),"#REF!")</f>
        <v>#REF!</v>
      </c>
      <c r="N558" s="3" t="str">
        <f>IFERROR(__xludf.DUMMYFUNCTION("MID(REGEXEXTRACT(H558,"" [^ ]* [^ ]*""),2,300)"),"#REF!")</f>
        <v>#REF!</v>
      </c>
      <c r="O558" s="3" t="str">
        <f>IFERROR(__xludf.DUMMYFUNCTION("INDEX(SPLIT(I558,"" ""),1)"),"#REF!")</f>
        <v>#REF!</v>
      </c>
      <c r="P558" s="3" t="str">
        <f>IFERROR(__xludf.DUMMYFUNCTION("MID(REGEXEXTRACT(I558,"" [^ ]* [^ ]*""),2,300)"),"#REF!")</f>
        <v>#REF!</v>
      </c>
      <c r="Q558" s="3" t="str">
        <f>IFERROR(__xludf.DUMMYFUNCTION("INDEX(SPLIT(J558,"" ""),1)"),"#REF!")</f>
        <v>#REF!</v>
      </c>
      <c r="R558" s="3" t="str">
        <f>IFERROR(__xludf.DUMMYFUNCTION("MID(REGEXEXTRACT(J558,"" [^ ]* [^ ]*""),2,300)"),"#REF!")</f>
        <v>#REF!</v>
      </c>
      <c r="S558" s="3">
        <f t="shared" si="2"/>
        <v>4</v>
      </c>
      <c r="T558" s="3" t="str">
        <f t="shared" si="3"/>
        <v>drab plum</v>
      </c>
      <c r="U558" s="3" t="str">
        <f t="shared" si="4"/>
        <v/>
      </c>
      <c r="V558" s="3" t="str">
        <f t="shared" si="5"/>
        <v/>
      </c>
      <c r="W558" s="3" t="str">
        <f t="shared" si="6"/>
        <v/>
      </c>
      <c r="X558" s="3" t="str">
        <f t="shared" si="7"/>
        <v/>
      </c>
      <c r="Y558" s="3" t="str">
        <f t="shared" si="8"/>
        <v/>
      </c>
      <c r="Z558" s="3" t="str">
        <f t="shared" si="9"/>
        <v/>
      </c>
      <c r="AA558" s="13">
        <f t="shared" si="10"/>
        <v>80013785</v>
      </c>
      <c r="AB558" s="3">
        <f t="shared" si="11"/>
        <v>80013784</v>
      </c>
      <c r="AC558" s="3">
        <f t="shared" si="12"/>
        <v>4</v>
      </c>
      <c r="AD558" s="3">
        <f t="shared" si="13"/>
        <v>20003446</v>
      </c>
      <c r="AE558" s="3" t="str">
        <f t="shared" si="14"/>
        <v/>
      </c>
      <c r="AF558" s="3">
        <f t="shared" si="15"/>
        <v>0</v>
      </c>
      <c r="AG558" s="3" t="str">
        <f t="shared" si="16"/>
        <v/>
      </c>
      <c r="AH558" s="3">
        <f t="shared" si="17"/>
        <v>0</v>
      </c>
      <c r="AI558" s="3" t="str">
        <f t="shared" si="18"/>
        <v/>
      </c>
      <c r="AJ558" s="3">
        <f t="shared" si="19"/>
        <v>0</v>
      </c>
    </row>
    <row r="559">
      <c r="C559" s="6" t="s">
        <v>559</v>
      </c>
      <c r="D559" s="3">
        <f t="shared" si="1"/>
        <v>2</v>
      </c>
      <c r="E559" s="3" t="str">
        <f>IFERROR(__xludf.DUMMYFUNCTION("REGEXEXTRACT(C559,""[^ ]* [^ ]*"")"),"dull crimson")</f>
        <v>dull crimson</v>
      </c>
      <c r="F559" s="3" t="str">
        <f>IFERROR(__xludf.DUMMYFUNCTION("MID(REGEXEXTRACT(C559,""contain.*$""),9,300)"),"2 bright white bags, 5 drab olive bags, 5 pale salmon bags.")</f>
        <v>2 bright white bags, 5 drab olive bags, 5 pale salmon bags.</v>
      </c>
      <c r="G559" s="3" t="str">
        <f>IFERROR(__xludf.DUMMYFUNCTION("INDEX(SPLIT($F559,"",""),COLUMN()-6)"),"2 bright white bags")</f>
        <v>2 bright white bags</v>
      </c>
      <c r="H559" s="3" t="str">
        <f>IFERROR(__xludf.DUMMYFUNCTION("MID(INDEX(SPLIT($F559,"",""),COLUMN()-6),2,300)"),"5 drab olive bags")</f>
        <v>5 drab olive bags</v>
      </c>
      <c r="I559" s="3" t="str">
        <f>IFERROR(__xludf.DUMMYFUNCTION("MID(INDEX(SPLIT($F559,"",""),COLUMN()-6),2,300)"),"5 pale salmon bags.")</f>
        <v>5 pale salmon bags.</v>
      </c>
      <c r="J559" s="3" t="str">
        <f>IFERROR(__xludf.DUMMYFUNCTION("MID(INDEX(SPLIT($F559,"",""),COLUMN()-6),2,300)"),"#REF!")</f>
        <v>#REF!</v>
      </c>
      <c r="K559" s="3">
        <f>IFERROR(__xludf.DUMMYFUNCTION("INDEX(SPLIT(G559,"" ""),1)"),2.0)</f>
        <v>2</v>
      </c>
      <c r="L559" s="3" t="str">
        <f>IFERROR(__xludf.DUMMYFUNCTION("REGEXEXTRACT(G559,"" [^ ]* [^ ]* "")")," bright white ")</f>
        <v> bright white </v>
      </c>
      <c r="M559" s="3">
        <f>IFERROR(__xludf.DUMMYFUNCTION("INDEX(SPLIT(H559,"" ""),1)"),5.0)</f>
        <v>5</v>
      </c>
      <c r="N559" s="3" t="str">
        <f>IFERROR(__xludf.DUMMYFUNCTION("MID(REGEXEXTRACT(H559,"" [^ ]* [^ ]*""),2,300)"),"drab olive")</f>
        <v>drab olive</v>
      </c>
      <c r="O559" s="3">
        <f>IFERROR(__xludf.DUMMYFUNCTION("INDEX(SPLIT(I559,"" ""),1)"),5.0)</f>
        <v>5</v>
      </c>
      <c r="P559" s="3" t="str">
        <f>IFERROR(__xludf.DUMMYFUNCTION("MID(REGEXEXTRACT(I559,"" [^ ]* [^ ]*""),2,300)"),"pale salmon")</f>
        <v>pale salmon</v>
      </c>
      <c r="Q559" s="3" t="str">
        <f>IFERROR(__xludf.DUMMYFUNCTION("INDEX(SPLIT(J559,"" ""),1)"),"#REF!")</f>
        <v>#REF!</v>
      </c>
      <c r="R559" s="3" t="str">
        <f>IFERROR(__xludf.DUMMYFUNCTION("MID(REGEXEXTRACT(J559,"" [^ ]* [^ ]*""),2,300)"),"#REF!")</f>
        <v>#REF!</v>
      </c>
      <c r="S559" s="3">
        <f t="shared" si="2"/>
        <v>2</v>
      </c>
      <c r="T559" s="3" t="str">
        <f t="shared" si="3"/>
        <v>bright white</v>
      </c>
      <c r="U559" s="3">
        <f t="shared" si="4"/>
        <v>5</v>
      </c>
      <c r="V559" s="3" t="str">
        <f t="shared" si="5"/>
        <v>drab olive</v>
      </c>
      <c r="W559" s="3">
        <f t="shared" si="6"/>
        <v>5</v>
      </c>
      <c r="X559" s="3" t="str">
        <f t="shared" si="7"/>
        <v>pale salmon</v>
      </c>
      <c r="Y559" s="3" t="str">
        <f t="shared" si="8"/>
        <v/>
      </c>
      <c r="Z559" s="3" t="str">
        <f t="shared" si="9"/>
        <v/>
      </c>
      <c r="AA559" s="13">
        <f t="shared" si="10"/>
        <v>53790347</v>
      </c>
      <c r="AB559" s="3">
        <f t="shared" si="11"/>
        <v>53790346</v>
      </c>
      <c r="AC559" s="3">
        <f t="shared" si="12"/>
        <v>2</v>
      </c>
      <c r="AD559" s="3">
        <f t="shared" si="13"/>
        <v>24984108</v>
      </c>
      <c r="AE559" s="3">
        <f t="shared" si="14"/>
        <v>5</v>
      </c>
      <c r="AF559" s="3">
        <f t="shared" si="15"/>
        <v>754537</v>
      </c>
      <c r="AG559" s="3">
        <f t="shared" si="16"/>
        <v>5</v>
      </c>
      <c r="AH559" s="3">
        <f t="shared" si="17"/>
        <v>9889</v>
      </c>
      <c r="AI559" s="3" t="str">
        <f t="shared" si="18"/>
        <v/>
      </c>
      <c r="AJ559" s="3">
        <f t="shared" si="19"/>
        <v>0</v>
      </c>
    </row>
    <row r="560">
      <c r="C560" s="6" t="s">
        <v>560</v>
      </c>
      <c r="D560" s="3">
        <f t="shared" si="1"/>
        <v>1</v>
      </c>
      <c r="E560" s="3" t="str">
        <f>IFERROR(__xludf.DUMMYFUNCTION("REGEXEXTRACT(C560,""[^ ]* [^ ]*"")"),"dull purple")</f>
        <v>dull purple</v>
      </c>
      <c r="F560" s="3" t="str">
        <f>IFERROR(__xludf.DUMMYFUNCTION("MID(REGEXEXTRACT(C560,""contain.*$""),9,300)"),"1 posh magenta bag, 3 mirrored brown bags.")</f>
        <v>1 posh magenta bag, 3 mirrored brown bags.</v>
      </c>
      <c r="G560" s="3" t="str">
        <f>IFERROR(__xludf.DUMMYFUNCTION("INDEX(SPLIT($F560,"",""),COLUMN()-6)"),"1 posh magenta bag")</f>
        <v>1 posh magenta bag</v>
      </c>
      <c r="H560" s="3" t="str">
        <f>IFERROR(__xludf.DUMMYFUNCTION("MID(INDEX(SPLIT($F560,"",""),COLUMN()-6),2,300)"),"3 mirrored brown bags.")</f>
        <v>3 mirrored brown bags.</v>
      </c>
      <c r="I560" s="3" t="str">
        <f>IFERROR(__xludf.DUMMYFUNCTION("MID(INDEX(SPLIT($F560,"",""),COLUMN()-6),2,300)"),"#REF!")</f>
        <v>#REF!</v>
      </c>
      <c r="J560" s="3" t="str">
        <f>IFERROR(__xludf.DUMMYFUNCTION("MID(INDEX(SPLIT($F560,"",""),COLUMN()-6),2,300)"),"#REF!")</f>
        <v>#REF!</v>
      </c>
      <c r="K560" s="3">
        <f>IFERROR(__xludf.DUMMYFUNCTION("INDEX(SPLIT(G560,"" ""),1)"),1.0)</f>
        <v>1</v>
      </c>
      <c r="L560" s="3" t="str">
        <f>IFERROR(__xludf.DUMMYFUNCTION("REGEXEXTRACT(G560,"" [^ ]* [^ ]* "")")," posh magenta ")</f>
        <v> posh magenta </v>
      </c>
      <c r="M560" s="3">
        <f>IFERROR(__xludf.DUMMYFUNCTION("INDEX(SPLIT(H560,"" ""),1)"),3.0)</f>
        <v>3</v>
      </c>
      <c r="N560" s="3" t="str">
        <f>IFERROR(__xludf.DUMMYFUNCTION("MID(REGEXEXTRACT(H560,"" [^ ]* [^ ]*""),2,300)"),"mirrored brown")</f>
        <v>mirrored brown</v>
      </c>
      <c r="O560" s="3" t="str">
        <f>IFERROR(__xludf.DUMMYFUNCTION("INDEX(SPLIT(I560,"" ""),1)"),"#REF!")</f>
        <v>#REF!</v>
      </c>
      <c r="P560" s="3" t="str">
        <f>IFERROR(__xludf.DUMMYFUNCTION("MID(REGEXEXTRACT(I560,"" [^ ]* [^ ]*""),2,300)"),"#REF!")</f>
        <v>#REF!</v>
      </c>
      <c r="Q560" s="3" t="str">
        <f>IFERROR(__xludf.DUMMYFUNCTION("INDEX(SPLIT(J560,"" ""),1)"),"#REF!")</f>
        <v>#REF!</v>
      </c>
      <c r="R560" s="3" t="str">
        <f>IFERROR(__xludf.DUMMYFUNCTION("MID(REGEXEXTRACT(J560,"" [^ ]* [^ ]*""),2,300)"),"#REF!")</f>
        <v>#REF!</v>
      </c>
      <c r="S560" s="3">
        <f t="shared" si="2"/>
        <v>1</v>
      </c>
      <c r="T560" s="3" t="str">
        <f t="shared" si="3"/>
        <v>posh magenta</v>
      </c>
      <c r="U560" s="3">
        <f t="shared" si="4"/>
        <v>3</v>
      </c>
      <c r="V560" s="3" t="str">
        <f t="shared" si="5"/>
        <v>mirrored brown</v>
      </c>
      <c r="W560" s="3" t="str">
        <f t="shared" si="6"/>
        <v/>
      </c>
      <c r="X560" s="3" t="str">
        <f t="shared" si="7"/>
        <v/>
      </c>
      <c r="Y560" s="3" t="str">
        <f t="shared" si="8"/>
        <v/>
      </c>
      <c r="Z560" s="3" t="str">
        <f t="shared" si="9"/>
        <v/>
      </c>
      <c r="AA560" s="13">
        <f t="shared" si="10"/>
        <v>1589</v>
      </c>
      <c r="AB560" s="3">
        <f t="shared" si="11"/>
        <v>1588</v>
      </c>
      <c r="AC560" s="3">
        <f t="shared" si="12"/>
        <v>1</v>
      </c>
      <c r="AD560" s="3">
        <f t="shared" si="13"/>
        <v>1</v>
      </c>
      <c r="AE560" s="3">
        <f t="shared" si="14"/>
        <v>3</v>
      </c>
      <c r="AF560" s="3">
        <f t="shared" si="15"/>
        <v>529</v>
      </c>
      <c r="AG560" s="3" t="str">
        <f t="shared" si="16"/>
        <v/>
      </c>
      <c r="AH560" s="3">
        <f t="shared" si="17"/>
        <v>0</v>
      </c>
      <c r="AI560" s="3" t="str">
        <f t="shared" si="18"/>
        <v/>
      </c>
      <c r="AJ560" s="3">
        <f t="shared" si="19"/>
        <v>0</v>
      </c>
    </row>
    <row r="561">
      <c r="C561" s="6" t="s">
        <v>561</v>
      </c>
      <c r="D561" s="3">
        <f t="shared" si="1"/>
        <v>2</v>
      </c>
      <c r="E561" s="3" t="str">
        <f>IFERROR(__xludf.DUMMYFUNCTION("REGEXEXTRACT(C561,""[^ ]* [^ ]*"")"),"bright white")</f>
        <v>bright white</v>
      </c>
      <c r="F561" s="3" t="str">
        <f>IFERROR(__xludf.DUMMYFUNCTION("MID(REGEXEXTRACT(C561,""contain.*$""),9,300)"),"4 vibrant blue bags, 3 dull brown bags, 4 drab green bags.")</f>
        <v>4 vibrant blue bags, 3 dull brown bags, 4 drab green bags.</v>
      </c>
      <c r="G561" s="3" t="str">
        <f>IFERROR(__xludf.DUMMYFUNCTION("INDEX(SPLIT($F561,"",""),COLUMN()-6)"),"4 vibrant blue bags")</f>
        <v>4 vibrant blue bags</v>
      </c>
      <c r="H561" s="3" t="str">
        <f>IFERROR(__xludf.DUMMYFUNCTION("MID(INDEX(SPLIT($F561,"",""),COLUMN()-6),2,300)"),"3 dull brown bags")</f>
        <v>3 dull brown bags</v>
      </c>
      <c r="I561" s="3" t="str">
        <f>IFERROR(__xludf.DUMMYFUNCTION("MID(INDEX(SPLIT($F561,"",""),COLUMN()-6),2,300)"),"4 drab green bags.")</f>
        <v>4 drab green bags.</v>
      </c>
      <c r="J561" s="3" t="str">
        <f>IFERROR(__xludf.DUMMYFUNCTION("MID(INDEX(SPLIT($F561,"",""),COLUMN()-6),2,300)"),"#REF!")</f>
        <v>#REF!</v>
      </c>
      <c r="K561" s="3">
        <f>IFERROR(__xludf.DUMMYFUNCTION("INDEX(SPLIT(G561,"" ""),1)"),4.0)</f>
        <v>4</v>
      </c>
      <c r="L561" s="3" t="str">
        <f>IFERROR(__xludf.DUMMYFUNCTION("REGEXEXTRACT(G561,"" [^ ]* [^ ]* "")")," vibrant blue ")</f>
        <v> vibrant blue </v>
      </c>
      <c r="M561" s="3">
        <f>IFERROR(__xludf.DUMMYFUNCTION("INDEX(SPLIT(H561,"" ""),1)"),3.0)</f>
        <v>3</v>
      </c>
      <c r="N561" s="3" t="str">
        <f>IFERROR(__xludf.DUMMYFUNCTION("MID(REGEXEXTRACT(H561,"" [^ ]* [^ ]*""),2,300)"),"dull brown")</f>
        <v>dull brown</v>
      </c>
      <c r="O561" s="3">
        <f>IFERROR(__xludf.DUMMYFUNCTION("INDEX(SPLIT(I561,"" ""),1)"),4.0)</f>
        <v>4</v>
      </c>
      <c r="P561" s="3" t="str">
        <f>IFERROR(__xludf.DUMMYFUNCTION("MID(REGEXEXTRACT(I561,"" [^ ]* [^ ]*""),2,300)"),"drab green")</f>
        <v>drab green</v>
      </c>
      <c r="Q561" s="3" t="str">
        <f>IFERROR(__xludf.DUMMYFUNCTION("INDEX(SPLIT(J561,"" ""),1)"),"#REF!")</f>
        <v>#REF!</v>
      </c>
      <c r="R561" s="3" t="str">
        <f>IFERROR(__xludf.DUMMYFUNCTION("MID(REGEXEXTRACT(J561,"" [^ ]* [^ ]*""),2,300)"),"#REF!")</f>
        <v>#REF!</v>
      </c>
      <c r="S561" s="3">
        <f t="shared" si="2"/>
        <v>4</v>
      </c>
      <c r="T561" s="3" t="str">
        <f t="shared" si="3"/>
        <v>vibrant blue</v>
      </c>
      <c r="U561" s="3">
        <f t="shared" si="4"/>
        <v>3</v>
      </c>
      <c r="V561" s="3" t="str">
        <f t="shared" si="5"/>
        <v>dull brown</v>
      </c>
      <c r="W561" s="3">
        <f t="shared" si="6"/>
        <v>4</v>
      </c>
      <c r="X561" s="3" t="str">
        <f t="shared" si="7"/>
        <v>drab green</v>
      </c>
      <c r="Y561" s="3" t="str">
        <f t="shared" si="8"/>
        <v/>
      </c>
      <c r="Z561" s="3" t="str">
        <f t="shared" si="9"/>
        <v/>
      </c>
      <c r="AA561" s="13">
        <f t="shared" si="10"/>
        <v>24984108</v>
      </c>
      <c r="AB561" s="3">
        <f t="shared" si="11"/>
        <v>24984107</v>
      </c>
      <c r="AC561" s="3">
        <f t="shared" si="12"/>
        <v>4</v>
      </c>
      <c r="AD561" s="3">
        <f t="shared" si="13"/>
        <v>1545</v>
      </c>
      <c r="AE561" s="3">
        <f t="shared" si="14"/>
        <v>3</v>
      </c>
      <c r="AF561" s="3">
        <f t="shared" si="15"/>
        <v>8325969</v>
      </c>
      <c r="AG561" s="3">
        <f t="shared" si="16"/>
        <v>4</v>
      </c>
      <c r="AH561" s="3">
        <f t="shared" si="17"/>
        <v>5</v>
      </c>
      <c r="AI561" s="3" t="str">
        <f t="shared" si="18"/>
        <v/>
      </c>
      <c r="AJ561" s="3">
        <f t="shared" si="19"/>
        <v>0</v>
      </c>
    </row>
    <row r="562">
      <c r="C562" s="6" t="s">
        <v>562</v>
      </c>
      <c r="D562" s="3">
        <f t="shared" si="1"/>
        <v>2</v>
      </c>
      <c r="E562" s="3" t="str">
        <f>IFERROR(__xludf.DUMMYFUNCTION("REGEXEXTRACT(C562,""[^ ]* [^ ]*"")"),"drab indigo")</f>
        <v>drab indigo</v>
      </c>
      <c r="F562" s="3" t="str">
        <f>IFERROR(__xludf.DUMMYFUNCTION("MID(REGEXEXTRACT(C562,""contain.*$""),9,300)"),"2 bright salmon bags, 2 muted maroon bags, 2 clear gray bags.")</f>
        <v>2 bright salmon bags, 2 muted maroon bags, 2 clear gray bags.</v>
      </c>
      <c r="G562" s="3" t="str">
        <f>IFERROR(__xludf.DUMMYFUNCTION("INDEX(SPLIT($F562,"",""),COLUMN()-6)"),"2 bright salmon bags")</f>
        <v>2 bright salmon bags</v>
      </c>
      <c r="H562" s="3" t="str">
        <f>IFERROR(__xludf.DUMMYFUNCTION("MID(INDEX(SPLIT($F562,"",""),COLUMN()-6),2,300)"),"2 muted maroon bags")</f>
        <v>2 muted maroon bags</v>
      </c>
      <c r="I562" s="3" t="str">
        <f>IFERROR(__xludf.DUMMYFUNCTION("MID(INDEX(SPLIT($F562,"",""),COLUMN()-6),2,300)"),"2 clear gray bags.")</f>
        <v>2 clear gray bags.</v>
      </c>
      <c r="J562" s="3" t="str">
        <f>IFERROR(__xludf.DUMMYFUNCTION("MID(INDEX(SPLIT($F562,"",""),COLUMN()-6),2,300)"),"#REF!")</f>
        <v>#REF!</v>
      </c>
      <c r="K562" s="3">
        <f>IFERROR(__xludf.DUMMYFUNCTION("INDEX(SPLIT(G562,"" ""),1)"),2.0)</f>
        <v>2</v>
      </c>
      <c r="L562" s="3" t="str">
        <f>IFERROR(__xludf.DUMMYFUNCTION("REGEXEXTRACT(G562,"" [^ ]* [^ ]* "")")," bright salmon ")</f>
        <v> bright salmon </v>
      </c>
      <c r="M562" s="3">
        <f>IFERROR(__xludf.DUMMYFUNCTION("INDEX(SPLIT(H562,"" ""),1)"),2.0)</f>
        <v>2</v>
      </c>
      <c r="N562" s="3" t="str">
        <f>IFERROR(__xludf.DUMMYFUNCTION("MID(REGEXEXTRACT(H562,"" [^ ]* [^ ]*""),2,300)"),"muted maroon")</f>
        <v>muted maroon</v>
      </c>
      <c r="O562" s="3">
        <f>IFERROR(__xludf.DUMMYFUNCTION("INDEX(SPLIT(I562,"" ""),1)"),2.0)</f>
        <v>2</v>
      </c>
      <c r="P562" s="3" t="str">
        <f>IFERROR(__xludf.DUMMYFUNCTION("MID(REGEXEXTRACT(I562,"" [^ ]* [^ ]*""),2,300)"),"clear gray")</f>
        <v>clear gray</v>
      </c>
      <c r="Q562" s="3" t="str">
        <f>IFERROR(__xludf.DUMMYFUNCTION("INDEX(SPLIT(J562,"" ""),1)"),"#REF!")</f>
        <v>#REF!</v>
      </c>
      <c r="R562" s="3" t="str">
        <f>IFERROR(__xludf.DUMMYFUNCTION("MID(REGEXEXTRACT(J562,"" [^ ]* [^ ]*""),2,300)"),"#REF!")</f>
        <v>#REF!</v>
      </c>
      <c r="S562" s="3">
        <f t="shared" si="2"/>
        <v>2</v>
      </c>
      <c r="T562" s="3" t="str">
        <f t="shared" si="3"/>
        <v>bright salmon</v>
      </c>
      <c r="U562" s="3">
        <f t="shared" si="4"/>
        <v>2</v>
      </c>
      <c r="V562" s="3" t="str">
        <f t="shared" si="5"/>
        <v>muted maroon</v>
      </c>
      <c r="W562" s="3">
        <f t="shared" si="6"/>
        <v>2</v>
      </c>
      <c r="X562" s="3" t="str">
        <f t="shared" si="7"/>
        <v>clear gray</v>
      </c>
      <c r="Y562" s="3" t="str">
        <f t="shared" si="8"/>
        <v/>
      </c>
      <c r="Z562" s="3" t="str">
        <f t="shared" si="9"/>
        <v/>
      </c>
      <c r="AA562" s="13">
        <f t="shared" si="10"/>
        <v>1975037</v>
      </c>
      <c r="AB562" s="3">
        <f t="shared" si="11"/>
        <v>1975036</v>
      </c>
      <c r="AC562" s="3">
        <f t="shared" si="12"/>
        <v>2</v>
      </c>
      <c r="AD562" s="3">
        <f t="shared" si="13"/>
        <v>367933</v>
      </c>
      <c r="AE562" s="3">
        <f t="shared" si="14"/>
        <v>2</v>
      </c>
      <c r="AF562" s="3">
        <f t="shared" si="15"/>
        <v>25481</v>
      </c>
      <c r="AG562" s="3">
        <f t="shared" si="16"/>
        <v>2</v>
      </c>
      <c r="AH562" s="3">
        <f t="shared" si="17"/>
        <v>594104</v>
      </c>
      <c r="AI562" s="3" t="str">
        <f t="shared" si="18"/>
        <v/>
      </c>
      <c r="AJ562" s="3">
        <f t="shared" si="19"/>
        <v>0</v>
      </c>
    </row>
    <row r="563">
      <c r="C563" s="6" t="s">
        <v>563</v>
      </c>
      <c r="D563" s="3">
        <f t="shared" si="1"/>
        <v>3</v>
      </c>
      <c r="E563" s="3" t="str">
        <f>IFERROR(__xludf.DUMMYFUNCTION("REGEXEXTRACT(C563,""[^ ]* [^ ]*"")"),"striped fuchsia")</f>
        <v>striped fuchsia</v>
      </c>
      <c r="F563" s="3" t="str">
        <f>IFERROR(__xludf.DUMMYFUNCTION("MID(REGEXEXTRACT(C563,""contain.*$""),9,300)"),"2 drab gold bags, 4 mirrored white bags, 3 muted black bags, 1 dark teal bag.")</f>
        <v>2 drab gold bags, 4 mirrored white bags, 3 muted black bags, 1 dark teal bag.</v>
      </c>
      <c r="G563" s="3" t="str">
        <f>IFERROR(__xludf.DUMMYFUNCTION("INDEX(SPLIT($F563,"",""),COLUMN()-6)"),"2 drab gold bags")</f>
        <v>2 drab gold bags</v>
      </c>
      <c r="H563" s="3" t="str">
        <f>IFERROR(__xludf.DUMMYFUNCTION("MID(INDEX(SPLIT($F563,"",""),COLUMN()-6),2,300)"),"4 mirrored white bags")</f>
        <v>4 mirrored white bags</v>
      </c>
      <c r="I563" s="3" t="str">
        <f>IFERROR(__xludf.DUMMYFUNCTION("MID(INDEX(SPLIT($F563,"",""),COLUMN()-6),2,300)"),"3 muted black bags")</f>
        <v>3 muted black bags</v>
      </c>
      <c r="J563" s="3" t="str">
        <f>IFERROR(__xludf.DUMMYFUNCTION("MID(INDEX(SPLIT($F563,"",""),COLUMN()-6),2,300)"),"1 dark teal bag.")</f>
        <v>1 dark teal bag.</v>
      </c>
      <c r="K563" s="3">
        <f>IFERROR(__xludf.DUMMYFUNCTION("INDEX(SPLIT(G563,"" ""),1)"),2.0)</f>
        <v>2</v>
      </c>
      <c r="L563" s="3" t="str">
        <f>IFERROR(__xludf.DUMMYFUNCTION("REGEXEXTRACT(G563,"" [^ ]* [^ ]* "")")," drab gold ")</f>
        <v> drab gold </v>
      </c>
      <c r="M563" s="3">
        <f>IFERROR(__xludf.DUMMYFUNCTION("INDEX(SPLIT(H563,"" ""),1)"),4.0)</f>
        <v>4</v>
      </c>
      <c r="N563" s="3" t="str">
        <f>IFERROR(__xludf.DUMMYFUNCTION("MID(REGEXEXTRACT(H563,"" [^ ]* [^ ]*""),2,300)"),"mirrored white")</f>
        <v>mirrored white</v>
      </c>
      <c r="O563" s="3">
        <f>IFERROR(__xludf.DUMMYFUNCTION("INDEX(SPLIT(I563,"" ""),1)"),3.0)</f>
        <v>3</v>
      </c>
      <c r="P563" s="3" t="str">
        <f>IFERROR(__xludf.DUMMYFUNCTION("MID(REGEXEXTRACT(I563,"" [^ ]* [^ ]*""),2,300)"),"muted black")</f>
        <v>muted black</v>
      </c>
      <c r="Q563" s="3">
        <f>IFERROR(__xludf.DUMMYFUNCTION("INDEX(SPLIT(J563,"" ""),1)"),1.0)</f>
        <v>1</v>
      </c>
      <c r="R563" s="3" t="str">
        <f>IFERROR(__xludf.DUMMYFUNCTION("MID(REGEXEXTRACT(J563,"" [^ ]* [^ ]*""),2,300)"),"dark teal")</f>
        <v>dark teal</v>
      </c>
      <c r="S563" s="3">
        <f t="shared" si="2"/>
        <v>2</v>
      </c>
      <c r="T563" s="3" t="str">
        <f t="shared" si="3"/>
        <v>drab gold</v>
      </c>
      <c r="U563" s="3">
        <f t="shared" si="4"/>
        <v>4</v>
      </c>
      <c r="V563" s="3" t="str">
        <f t="shared" si="5"/>
        <v>mirrored white</v>
      </c>
      <c r="W563" s="3">
        <f t="shared" si="6"/>
        <v>3</v>
      </c>
      <c r="X563" s="3" t="str">
        <f t="shared" si="7"/>
        <v>muted black</v>
      </c>
      <c r="Y563" s="3">
        <f t="shared" si="8"/>
        <v>1</v>
      </c>
      <c r="Z563" s="3" t="str">
        <f t="shared" si="9"/>
        <v>dark teal</v>
      </c>
      <c r="AA563" s="13">
        <f t="shared" si="10"/>
        <v>52697622</v>
      </c>
      <c r="AB563" s="3">
        <f t="shared" si="11"/>
        <v>52697621</v>
      </c>
      <c r="AC563" s="3">
        <f t="shared" si="12"/>
        <v>2</v>
      </c>
      <c r="AD563" s="3">
        <f t="shared" si="13"/>
        <v>4743886</v>
      </c>
      <c r="AE563" s="3">
        <f t="shared" si="14"/>
        <v>4</v>
      </c>
      <c r="AF563" s="3">
        <f t="shared" si="15"/>
        <v>319</v>
      </c>
      <c r="AG563" s="3">
        <f t="shared" si="16"/>
        <v>3</v>
      </c>
      <c r="AH563" s="3">
        <f t="shared" si="17"/>
        <v>14397844</v>
      </c>
      <c r="AI563" s="3">
        <f t="shared" si="18"/>
        <v>1</v>
      </c>
      <c r="AJ563" s="3">
        <f t="shared" si="19"/>
        <v>15041</v>
      </c>
    </row>
    <row r="564">
      <c r="C564" s="6" t="s">
        <v>564</v>
      </c>
      <c r="D564" s="3">
        <f t="shared" si="1"/>
        <v>2</v>
      </c>
      <c r="E564" s="3" t="str">
        <f>IFERROR(__xludf.DUMMYFUNCTION("REGEXEXTRACT(C564,""[^ ]* [^ ]*"")"),"dark tomato")</f>
        <v>dark tomato</v>
      </c>
      <c r="F564" s="3" t="str">
        <f>IFERROR(__xludf.DUMMYFUNCTION("MID(REGEXEXTRACT(C564,""contain.*$""),9,300)"),"3 muted fuchsia bags, 1 dotted lavender bag, 4 drab turquoise bags.")</f>
        <v>3 muted fuchsia bags, 1 dotted lavender bag, 4 drab turquoise bags.</v>
      </c>
      <c r="G564" s="3" t="str">
        <f>IFERROR(__xludf.DUMMYFUNCTION("INDEX(SPLIT($F564,"",""),COLUMN()-6)"),"3 muted fuchsia bags")</f>
        <v>3 muted fuchsia bags</v>
      </c>
      <c r="H564" s="3" t="str">
        <f>IFERROR(__xludf.DUMMYFUNCTION("MID(INDEX(SPLIT($F564,"",""),COLUMN()-6),2,300)"),"1 dotted lavender bag")</f>
        <v>1 dotted lavender bag</v>
      </c>
      <c r="I564" s="3" t="str">
        <f>IFERROR(__xludf.DUMMYFUNCTION("MID(INDEX(SPLIT($F564,"",""),COLUMN()-6),2,300)"),"4 drab turquoise bags.")</f>
        <v>4 drab turquoise bags.</v>
      </c>
      <c r="J564" s="3" t="str">
        <f>IFERROR(__xludf.DUMMYFUNCTION("MID(INDEX(SPLIT($F564,"",""),COLUMN()-6),2,300)"),"#REF!")</f>
        <v>#REF!</v>
      </c>
      <c r="K564" s="3">
        <f>IFERROR(__xludf.DUMMYFUNCTION("INDEX(SPLIT(G564,"" ""),1)"),3.0)</f>
        <v>3</v>
      </c>
      <c r="L564" s="3" t="str">
        <f>IFERROR(__xludf.DUMMYFUNCTION("REGEXEXTRACT(G564,"" [^ ]* [^ ]* "")")," muted fuchsia ")</f>
        <v> muted fuchsia </v>
      </c>
      <c r="M564" s="3">
        <f>IFERROR(__xludf.DUMMYFUNCTION("INDEX(SPLIT(H564,"" ""),1)"),1.0)</f>
        <v>1</v>
      </c>
      <c r="N564" s="3" t="str">
        <f>IFERROR(__xludf.DUMMYFUNCTION("MID(REGEXEXTRACT(H564,"" [^ ]* [^ ]*""),2,300)"),"dotted lavender")</f>
        <v>dotted lavender</v>
      </c>
      <c r="O564" s="3">
        <f>IFERROR(__xludf.DUMMYFUNCTION("INDEX(SPLIT(I564,"" ""),1)"),4.0)</f>
        <v>4</v>
      </c>
      <c r="P564" s="3" t="str">
        <f>IFERROR(__xludf.DUMMYFUNCTION("MID(REGEXEXTRACT(I564,"" [^ ]* [^ ]*""),2,300)"),"drab turquoise")</f>
        <v>drab turquoise</v>
      </c>
      <c r="Q564" s="3" t="str">
        <f>IFERROR(__xludf.DUMMYFUNCTION("INDEX(SPLIT(J564,"" ""),1)"),"#REF!")</f>
        <v>#REF!</v>
      </c>
      <c r="R564" s="3" t="str">
        <f>IFERROR(__xludf.DUMMYFUNCTION("MID(REGEXEXTRACT(J564,"" [^ ]* [^ ]*""),2,300)"),"#REF!")</f>
        <v>#REF!</v>
      </c>
      <c r="S564" s="3">
        <f t="shared" si="2"/>
        <v>3</v>
      </c>
      <c r="T564" s="3" t="str">
        <f t="shared" si="3"/>
        <v>muted fuchsia</v>
      </c>
      <c r="U564" s="3">
        <f t="shared" si="4"/>
        <v>1</v>
      </c>
      <c r="V564" s="3" t="str">
        <f t="shared" si="5"/>
        <v>dotted lavender</v>
      </c>
      <c r="W564" s="3">
        <f t="shared" si="6"/>
        <v>4</v>
      </c>
      <c r="X564" s="3" t="str">
        <f t="shared" si="7"/>
        <v>drab turquoise</v>
      </c>
      <c r="Y564" s="3" t="str">
        <f t="shared" si="8"/>
        <v/>
      </c>
      <c r="Z564" s="3" t="str">
        <f t="shared" si="9"/>
        <v/>
      </c>
      <c r="AA564" s="13">
        <f t="shared" si="10"/>
        <v>3041729033</v>
      </c>
      <c r="AB564" s="3">
        <f t="shared" si="11"/>
        <v>3041729032</v>
      </c>
      <c r="AC564" s="3">
        <f t="shared" si="12"/>
        <v>3</v>
      </c>
      <c r="AD564" s="3">
        <f t="shared" si="13"/>
        <v>19267</v>
      </c>
      <c r="AE564" s="3">
        <f t="shared" si="14"/>
        <v>1</v>
      </c>
      <c r="AF564" s="3">
        <f t="shared" si="15"/>
        <v>3014999971</v>
      </c>
      <c r="AG564" s="3">
        <f t="shared" si="16"/>
        <v>4</v>
      </c>
      <c r="AH564" s="3">
        <f t="shared" si="17"/>
        <v>6667815</v>
      </c>
      <c r="AI564" s="3" t="str">
        <f t="shared" si="18"/>
        <v/>
      </c>
      <c r="AJ564" s="3">
        <f t="shared" si="19"/>
        <v>0</v>
      </c>
    </row>
    <row r="565">
      <c r="C565" s="6" t="s">
        <v>565</v>
      </c>
      <c r="D565" s="3">
        <f t="shared" si="1"/>
        <v>2</v>
      </c>
      <c r="E565" s="3" t="str">
        <f>IFERROR(__xludf.DUMMYFUNCTION("REGEXEXTRACT(C565,""[^ ]* [^ ]*"")"),"mirrored tomato")</f>
        <v>mirrored tomato</v>
      </c>
      <c r="F565" s="3" t="str">
        <f>IFERROR(__xludf.DUMMYFUNCTION("MID(REGEXEXTRACT(C565,""contain.*$""),9,300)"),"5 dark olive bags, 4 light black bags, 4 dark magenta bags.")</f>
        <v>5 dark olive bags, 4 light black bags, 4 dark magenta bags.</v>
      </c>
      <c r="G565" s="3" t="str">
        <f>IFERROR(__xludf.DUMMYFUNCTION("INDEX(SPLIT($F565,"",""),COLUMN()-6)"),"5 dark olive bags")</f>
        <v>5 dark olive bags</v>
      </c>
      <c r="H565" s="3" t="str">
        <f>IFERROR(__xludf.DUMMYFUNCTION("MID(INDEX(SPLIT($F565,"",""),COLUMN()-6),2,300)"),"4 light black bags")</f>
        <v>4 light black bags</v>
      </c>
      <c r="I565" s="3" t="str">
        <f>IFERROR(__xludf.DUMMYFUNCTION("MID(INDEX(SPLIT($F565,"",""),COLUMN()-6),2,300)"),"4 dark magenta bags.")</f>
        <v>4 dark magenta bags.</v>
      </c>
      <c r="J565" s="3" t="str">
        <f>IFERROR(__xludf.DUMMYFUNCTION("MID(INDEX(SPLIT($F565,"",""),COLUMN()-6),2,300)"),"#REF!")</f>
        <v>#REF!</v>
      </c>
      <c r="K565" s="3">
        <f>IFERROR(__xludf.DUMMYFUNCTION("INDEX(SPLIT(G565,"" ""),1)"),5.0)</f>
        <v>5</v>
      </c>
      <c r="L565" s="3" t="str">
        <f>IFERROR(__xludf.DUMMYFUNCTION("REGEXEXTRACT(G565,"" [^ ]* [^ ]* "")")," dark olive ")</f>
        <v> dark olive </v>
      </c>
      <c r="M565" s="3">
        <f>IFERROR(__xludf.DUMMYFUNCTION("INDEX(SPLIT(H565,"" ""),1)"),4.0)</f>
        <v>4</v>
      </c>
      <c r="N565" s="3" t="str">
        <f>IFERROR(__xludf.DUMMYFUNCTION("MID(REGEXEXTRACT(H565,"" [^ ]* [^ ]*""),2,300)"),"light black")</f>
        <v>light black</v>
      </c>
      <c r="O565" s="3">
        <f>IFERROR(__xludf.DUMMYFUNCTION("INDEX(SPLIT(I565,"" ""),1)"),4.0)</f>
        <v>4</v>
      </c>
      <c r="P565" s="3" t="str">
        <f>IFERROR(__xludf.DUMMYFUNCTION("MID(REGEXEXTRACT(I565,"" [^ ]* [^ ]*""),2,300)"),"dark magenta")</f>
        <v>dark magenta</v>
      </c>
      <c r="Q565" s="3" t="str">
        <f>IFERROR(__xludf.DUMMYFUNCTION("INDEX(SPLIT(J565,"" ""),1)"),"#REF!")</f>
        <v>#REF!</v>
      </c>
      <c r="R565" s="3" t="str">
        <f>IFERROR(__xludf.DUMMYFUNCTION("MID(REGEXEXTRACT(J565,"" [^ ]* [^ ]*""),2,300)"),"#REF!")</f>
        <v>#REF!</v>
      </c>
      <c r="S565" s="3">
        <f t="shared" si="2"/>
        <v>5</v>
      </c>
      <c r="T565" s="3" t="str">
        <f t="shared" si="3"/>
        <v>dark olive</v>
      </c>
      <c r="U565" s="3">
        <f t="shared" si="4"/>
        <v>4</v>
      </c>
      <c r="V565" s="3" t="str">
        <f t="shared" si="5"/>
        <v>light black</v>
      </c>
      <c r="W565" s="3">
        <f t="shared" si="6"/>
        <v>4</v>
      </c>
      <c r="X565" s="3" t="str">
        <f t="shared" si="7"/>
        <v>dark magenta</v>
      </c>
      <c r="Y565" s="3" t="str">
        <f t="shared" si="8"/>
        <v/>
      </c>
      <c r="Z565" s="3" t="str">
        <f t="shared" si="9"/>
        <v/>
      </c>
      <c r="AA565" s="13">
        <f t="shared" si="10"/>
        <v>8486990572</v>
      </c>
      <c r="AB565" s="3">
        <f t="shared" si="11"/>
        <v>8486990571</v>
      </c>
      <c r="AC565" s="3">
        <f t="shared" si="12"/>
        <v>5</v>
      </c>
      <c r="AD565" s="3">
        <f t="shared" si="13"/>
        <v>1513927203</v>
      </c>
      <c r="AE565" s="3">
        <f t="shared" si="14"/>
        <v>4</v>
      </c>
      <c r="AF565" s="3">
        <f t="shared" si="15"/>
        <v>132149</v>
      </c>
      <c r="AG565" s="3">
        <f t="shared" si="16"/>
        <v>4</v>
      </c>
      <c r="AH565" s="3">
        <f t="shared" si="17"/>
        <v>229206490</v>
      </c>
      <c r="AI565" s="3" t="str">
        <f t="shared" si="18"/>
        <v/>
      </c>
      <c r="AJ565" s="3">
        <f t="shared" si="19"/>
        <v>0</v>
      </c>
    </row>
    <row r="566">
      <c r="C566" s="6" t="s">
        <v>566</v>
      </c>
      <c r="D566" s="3">
        <f t="shared" si="1"/>
        <v>1</v>
      </c>
      <c r="E566" s="3" t="str">
        <f>IFERROR(__xludf.DUMMYFUNCTION("REGEXEXTRACT(C566,""[^ ]* [^ ]*"")"),"dark plum")</f>
        <v>dark plum</v>
      </c>
      <c r="F566" s="3" t="str">
        <f>IFERROR(__xludf.DUMMYFUNCTION("MID(REGEXEXTRACT(C566,""contain.*$""),9,300)"),"4 wavy yellow bags, 4 shiny salmon bags.")</f>
        <v>4 wavy yellow bags, 4 shiny salmon bags.</v>
      </c>
      <c r="G566" s="3" t="str">
        <f>IFERROR(__xludf.DUMMYFUNCTION("INDEX(SPLIT($F566,"",""),COLUMN()-6)"),"4 wavy yellow bags")</f>
        <v>4 wavy yellow bags</v>
      </c>
      <c r="H566" s="3" t="str">
        <f>IFERROR(__xludf.DUMMYFUNCTION("MID(INDEX(SPLIT($F566,"",""),COLUMN()-6),2,300)"),"4 shiny salmon bags.")</f>
        <v>4 shiny salmon bags.</v>
      </c>
      <c r="I566" s="3" t="str">
        <f>IFERROR(__xludf.DUMMYFUNCTION("MID(INDEX(SPLIT($F566,"",""),COLUMN()-6),2,300)"),"#REF!")</f>
        <v>#REF!</v>
      </c>
      <c r="J566" s="3" t="str">
        <f>IFERROR(__xludf.DUMMYFUNCTION("MID(INDEX(SPLIT($F566,"",""),COLUMN()-6),2,300)"),"#REF!")</f>
        <v>#REF!</v>
      </c>
      <c r="K566" s="3">
        <f>IFERROR(__xludf.DUMMYFUNCTION("INDEX(SPLIT(G566,"" ""),1)"),4.0)</f>
        <v>4</v>
      </c>
      <c r="L566" s="3" t="str">
        <f>IFERROR(__xludf.DUMMYFUNCTION("REGEXEXTRACT(G566,"" [^ ]* [^ ]* "")")," wavy yellow ")</f>
        <v> wavy yellow </v>
      </c>
      <c r="M566" s="3">
        <f>IFERROR(__xludf.DUMMYFUNCTION("INDEX(SPLIT(H566,"" ""),1)"),4.0)</f>
        <v>4</v>
      </c>
      <c r="N566" s="3" t="str">
        <f>IFERROR(__xludf.DUMMYFUNCTION("MID(REGEXEXTRACT(H566,"" [^ ]* [^ ]*""),2,300)"),"shiny salmon")</f>
        <v>shiny salmon</v>
      </c>
      <c r="O566" s="3" t="str">
        <f>IFERROR(__xludf.DUMMYFUNCTION("INDEX(SPLIT(I566,"" ""),1)"),"#REF!")</f>
        <v>#REF!</v>
      </c>
      <c r="P566" s="3" t="str">
        <f>IFERROR(__xludf.DUMMYFUNCTION("MID(REGEXEXTRACT(I566,"" [^ ]* [^ ]*""),2,300)"),"#REF!")</f>
        <v>#REF!</v>
      </c>
      <c r="Q566" s="3" t="str">
        <f>IFERROR(__xludf.DUMMYFUNCTION("INDEX(SPLIT(J566,"" ""),1)"),"#REF!")</f>
        <v>#REF!</v>
      </c>
      <c r="R566" s="3" t="str">
        <f>IFERROR(__xludf.DUMMYFUNCTION("MID(REGEXEXTRACT(J566,"" [^ ]* [^ ]*""),2,300)"),"#REF!")</f>
        <v>#REF!</v>
      </c>
      <c r="S566" s="3">
        <f t="shared" si="2"/>
        <v>4</v>
      </c>
      <c r="T566" s="3" t="str">
        <f t="shared" si="3"/>
        <v>wavy yellow</v>
      </c>
      <c r="U566" s="3">
        <f t="shared" si="4"/>
        <v>4</v>
      </c>
      <c r="V566" s="3" t="str">
        <f t="shared" si="5"/>
        <v>shiny salmon</v>
      </c>
      <c r="W566" s="3" t="str">
        <f t="shared" si="6"/>
        <v/>
      </c>
      <c r="X566" s="3" t="str">
        <f t="shared" si="7"/>
        <v/>
      </c>
      <c r="Y566" s="3" t="str">
        <f t="shared" si="8"/>
        <v/>
      </c>
      <c r="Z566" s="3" t="str">
        <f t="shared" si="9"/>
        <v/>
      </c>
      <c r="AA566" s="13">
        <f t="shared" si="10"/>
        <v>174393</v>
      </c>
      <c r="AB566" s="3">
        <f t="shared" si="11"/>
        <v>174392</v>
      </c>
      <c r="AC566" s="3">
        <f t="shared" si="12"/>
        <v>4</v>
      </c>
      <c r="AD566" s="3">
        <f t="shared" si="13"/>
        <v>25486</v>
      </c>
      <c r="AE566" s="3">
        <f t="shared" si="14"/>
        <v>4</v>
      </c>
      <c r="AF566" s="3">
        <f t="shared" si="15"/>
        <v>18112</v>
      </c>
      <c r="AG566" s="3" t="str">
        <f t="shared" si="16"/>
        <v/>
      </c>
      <c r="AH566" s="3">
        <f t="shared" si="17"/>
        <v>0</v>
      </c>
      <c r="AI566" s="3" t="str">
        <f t="shared" si="18"/>
        <v/>
      </c>
      <c r="AJ566" s="3">
        <f t="shared" si="19"/>
        <v>0</v>
      </c>
    </row>
    <row r="567">
      <c r="C567" s="6" t="s">
        <v>567</v>
      </c>
      <c r="D567" s="3">
        <f t="shared" si="1"/>
        <v>2</v>
      </c>
      <c r="E567" s="3" t="str">
        <f>IFERROR(__xludf.DUMMYFUNCTION("REGEXEXTRACT(C567,""[^ ]* [^ ]*"")"),"dark salmon")</f>
        <v>dark salmon</v>
      </c>
      <c r="F567" s="3" t="str">
        <f>IFERROR(__xludf.DUMMYFUNCTION("MID(REGEXEXTRACT(C567,""contain.*$""),9,300)"),"1 dim bronze bag, 4 pale indigo bags, 5 dotted chartreuse bags.")</f>
        <v>1 dim bronze bag, 4 pale indigo bags, 5 dotted chartreuse bags.</v>
      </c>
      <c r="G567" s="3" t="str">
        <f>IFERROR(__xludf.DUMMYFUNCTION("INDEX(SPLIT($F567,"",""),COLUMN()-6)"),"1 dim bronze bag")</f>
        <v>1 dim bronze bag</v>
      </c>
      <c r="H567" s="3" t="str">
        <f>IFERROR(__xludf.DUMMYFUNCTION("MID(INDEX(SPLIT($F567,"",""),COLUMN()-6),2,300)"),"4 pale indigo bags")</f>
        <v>4 pale indigo bags</v>
      </c>
      <c r="I567" s="3" t="str">
        <f>IFERROR(__xludf.DUMMYFUNCTION("MID(INDEX(SPLIT($F567,"",""),COLUMN()-6),2,300)"),"5 dotted chartreuse bags.")</f>
        <v>5 dotted chartreuse bags.</v>
      </c>
      <c r="J567" s="3" t="str">
        <f>IFERROR(__xludf.DUMMYFUNCTION("MID(INDEX(SPLIT($F567,"",""),COLUMN()-6),2,300)"),"#REF!")</f>
        <v>#REF!</v>
      </c>
      <c r="K567" s="3">
        <f>IFERROR(__xludf.DUMMYFUNCTION("INDEX(SPLIT(G567,"" ""),1)"),1.0)</f>
        <v>1</v>
      </c>
      <c r="L567" s="3" t="str">
        <f>IFERROR(__xludf.DUMMYFUNCTION("REGEXEXTRACT(G567,"" [^ ]* [^ ]* "")")," dim bronze ")</f>
        <v> dim bronze </v>
      </c>
      <c r="M567" s="3">
        <f>IFERROR(__xludf.DUMMYFUNCTION("INDEX(SPLIT(H567,"" ""),1)"),4.0)</f>
        <v>4</v>
      </c>
      <c r="N567" s="3" t="str">
        <f>IFERROR(__xludf.DUMMYFUNCTION("MID(REGEXEXTRACT(H567,"" [^ ]* [^ ]*""),2,300)"),"pale indigo")</f>
        <v>pale indigo</v>
      </c>
      <c r="O567" s="3">
        <f>IFERROR(__xludf.DUMMYFUNCTION("INDEX(SPLIT(I567,"" ""),1)"),5.0)</f>
        <v>5</v>
      </c>
      <c r="P567" s="3" t="str">
        <f>IFERROR(__xludf.DUMMYFUNCTION("MID(REGEXEXTRACT(I567,"" [^ ]* [^ ]*""),2,300)"),"dotted chartreuse")</f>
        <v>dotted chartreuse</v>
      </c>
      <c r="Q567" s="3" t="str">
        <f>IFERROR(__xludf.DUMMYFUNCTION("INDEX(SPLIT(J567,"" ""),1)"),"#REF!")</f>
        <v>#REF!</v>
      </c>
      <c r="R567" s="3" t="str">
        <f>IFERROR(__xludf.DUMMYFUNCTION("MID(REGEXEXTRACT(J567,"" [^ ]* [^ ]*""),2,300)"),"#REF!")</f>
        <v>#REF!</v>
      </c>
      <c r="S567" s="3">
        <f t="shared" si="2"/>
        <v>1</v>
      </c>
      <c r="T567" s="3" t="str">
        <f t="shared" si="3"/>
        <v>dim bronze</v>
      </c>
      <c r="U567" s="3">
        <f t="shared" si="4"/>
        <v>4</v>
      </c>
      <c r="V567" s="3" t="str">
        <f t="shared" si="5"/>
        <v>pale indigo</v>
      </c>
      <c r="W567" s="3">
        <f t="shared" si="6"/>
        <v>5</v>
      </c>
      <c r="X567" s="3" t="str">
        <f t="shared" si="7"/>
        <v>dotted chartreuse</v>
      </c>
      <c r="Y567" s="3" t="str">
        <f t="shared" si="8"/>
        <v/>
      </c>
      <c r="Z567" s="3" t="str">
        <f t="shared" si="9"/>
        <v/>
      </c>
      <c r="AA567" s="13">
        <f t="shared" si="10"/>
        <v>376208840</v>
      </c>
      <c r="AB567" s="3">
        <f t="shared" si="11"/>
        <v>376208839</v>
      </c>
      <c r="AC567" s="3">
        <f t="shared" si="12"/>
        <v>1</v>
      </c>
      <c r="AD567" s="3">
        <f t="shared" si="13"/>
        <v>557021</v>
      </c>
      <c r="AE567" s="3">
        <f t="shared" si="14"/>
        <v>4</v>
      </c>
      <c r="AF567" s="3">
        <f t="shared" si="15"/>
        <v>93823002</v>
      </c>
      <c r="AG567" s="3">
        <f t="shared" si="16"/>
        <v>5</v>
      </c>
      <c r="AH567" s="3">
        <f t="shared" si="17"/>
        <v>71962</v>
      </c>
      <c r="AI567" s="3" t="str">
        <f t="shared" si="18"/>
        <v/>
      </c>
      <c r="AJ567" s="3">
        <f t="shared" si="19"/>
        <v>0</v>
      </c>
    </row>
    <row r="568">
      <c r="C568" s="6" t="s">
        <v>568</v>
      </c>
      <c r="D568" s="3">
        <f t="shared" si="1"/>
        <v>1</v>
      </c>
      <c r="E568" s="3" t="str">
        <f>IFERROR(__xludf.DUMMYFUNCTION("REGEXEXTRACT(C568,""[^ ]* [^ ]*"")"),"dotted lime")</f>
        <v>dotted lime</v>
      </c>
      <c r="F568" s="3" t="str">
        <f>IFERROR(__xludf.DUMMYFUNCTION("MID(REGEXEXTRACT(C568,""contain.*$""),9,300)"),"1 shiny brown bag, 3 faded lavender bags.")</f>
        <v>1 shiny brown bag, 3 faded lavender bags.</v>
      </c>
      <c r="G568" s="3" t="str">
        <f>IFERROR(__xludf.DUMMYFUNCTION("INDEX(SPLIT($F568,"",""),COLUMN()-6)"),"1 shiny brown bag")</f>
        <v>1 shiny brown bag</v>
      </c>
      <c r="H568" s="3" t="str">
        <f>IFERROR(__xludf.DUMMYFUNCTION("MID(INDEX(SPLIT($F568,"",""),COLUMN()-6),2,300)"),"3 faded lavender bags.")</f>
        <v>3 faded lavender bags.</v>
      </c>
      <c r="I568" s="3" t="str">
        <f>IFERROR(__xludf.DUMMYFUNCTION("MID(INDEX(SPLIT($F568,"",""),COLUMN()-6),2,300)"),"#REF!")</f>
        <v>#REF!</v>
      </c>
      <c r="J568" s="3" t="str">
        <f>IFERROR(__xludf.DUMMYFUNCTION("MID(INDEX(SPLIT($F568,"",""),COLUMN()-6),2,300)"),"#REF!")</f>
        <v>#REF!</v>
      </c>
      <c r="K568" s="3">
        <f>IFERROR(__xludf.DUMMYFUNCTION("INDEX(SPLIT(G568,"" ""),1)"),1.0)</f>
        <v>1</v>
      </c>
      <c r="L568" s="3" t="str">
        <f>IFERROR(__xludf.DUMMYFUNCTION("REGEXEXTRACT(G568,"" [^ ]* [^ ]* "")")," shiny brown ")</f>
        <v> shiny brown </v>
      </c>
      <c r="M568" s="3">
        <f>IFERROR(__xludf.DUMMYFUNCTION("INDEX(SPLIT(H568,"" ""),1)"),3.0)</f>
        <v>3</v>
      </c>
      <c r="N568" s="3" t="str">
        <f>IFERROR(__xludf.DUMMYFUNCTION("MID(REGEXEXTRACT(H568,"" [^ ]* [^ ]*""),2,300)"),"faded lavender")</f>
        <v>faded lavender</v>
      </c>
      <c r="O568" s="3" t="str">
        <f>IFERROR(__xludf.DUMMYFUNCTION("INDEX(SPLIT(I568,"" ""),1)"),"#REF!")</f>
        <v>#REF!</v>
      </c>
      <c r="P568" s="3" t="str">
        <f>IFERROR(__xludf.DUMMYFUNCTION("MID(REGEXEXTRACT(I568,"" [^ ]* [^ ]*""),2,300)"),"#REF!")</f>
        <v>#REF!</v>
      </c>
      <c r="Q568" s="3" t="str">
        <f>IFERROR(__xludf.DUMMYFUNCTION("INDEX(SPLIT(J568,"" ""),1)"),"#REF!")</f>
        <v>#REF!</v>
      </c>
      <c r="R568" s="3" t="str">
        <f>IFERROR(__xludf.DUMMYFUNCTION("MID(REGEXEXTRACT(J568,"" [^ ]* [^ ]*""),2,300)"),"#REF!")</f>
        <v>#REF!</v>
      </c>
      <c r="S568" s="3">
        <f t="shared" si="2"/>
        <v>1</v>
      </c>
      <c r="T568" s="3" t="str">
        <f t="shared" si="3"/>
        <v>shiny brown</v>
      </c>
      <c r="U568" s="3">
        <f t="shared" si="4"/>
        <v>3</v>
      </c>
      <c r="V568" s="3" t="str">
        <f t="shared" si="5"/>
        <v>faded lavender</v>
      </c>
      <c r="W568" s="3" t="str">
        <f t="shared" si="6"/>
        <v/>
      </c>
      <c r="X568" s="3" t="str">
        <f t="shared" si="7"/>
        <v/>
      </c>
      <c r="Y568" s="3" t="str">
        <f t="shared" si="8"/>
        <v/>
      </c>
      <c r="Z568" s="3" t="str">
        <f t="shared" si="9"/>
        <v/>
      </c>
      <c r="AA568" s="13">
        <f t="shared" si="10"/>
        <v>7182087446</v>
      </c>
      <c r="AB568" s="3">
        <f t="shared" si="11"/>
        <v>7182087445</v>
      </c>
      <c r="AC568" s="3">
        <f t="shared" si="12"/>
        <v>1</v>
      </c>
      <c r="AD568" s="3">
        <f t="shared" si="13"/>
        <v>3479893</v>
      </c>
      <c r="AE568" s="3">
        <f t="shared" si="14"/>
        <v>3</v>
      </c>
      <c r="AF568" s="3">
        <f t="shared" si="15"/>
        <v>2392869184</v>
      </c>
      <c r="AG568" s="3" t="str">
        <f t="shared" si="16"/>
        <v/>
      </c>
      <c r="AH568" s="3">
        <f t="shared" si="17"/>
        <v>0</v>
      </c>
      <c r="AI568" s="3" t="str">
        <f t="shared" si="18"/>
        <v/>
      </c>
      <c r="AJ568" s="3">
        <f t="shared" si="19"/>
        <v>0</v>
      </c>
    </row>
    <row r="569">
      <c r="C569" s="6" t="s">
        <v>569</v>
      </c>
      <c r="D569" s="3">
        <f t="shared" si="1"/>
        <v>2</v>
      </c>
      <c r="E569" s="3" t="str">
        <f>IFERROR(__xludf.DUMMYFUNCTION("REGEXEXTRACT(C569,""[^ ]* [^ ]*"")"),"dark red")</f>
        <v>dark red</v>
      </c>
      <c r="F569" s="3" t="str">
        <f>IFERROR(__xludf.DUMMYFUNCTION("MID(REGEXEXTRACT(C569,""contain.*$""),9,300)"),"3 posh green bags, 1 vibrant bronze bag, 2 dull maroon bags.")</f>
        <v>3 posh green bags, 1 vibrant bronze bag, 2 dull maroon bags.</v>
      </c>
      <c r="G569" s="3" t="str">
        <f>IFERROR(__xludf.DUMMYFUNCTION("INDEX(SPLIT($F569,"",""),COLUMN()-6)"),"3 posh green bags")</f>
        <v>3 posh green bags</v>
      </c>
      <c r="H569" s="3" t="str">
        <f>IFERROR(__xludf.DUMMYFUNCTION("MID(INDEX(SPLIT($F569,"",""),COLUMN()-6),2,300)"),"1 vibrant bronze bag")</f>
        <v>1 vibrant bronze bag</v>
      </c>
      <c r="I569" s="3" t="str">
        <f>IFERROR(__xludf.DUMMYFUNCTION("MID(INDEX(SPLIT($F569,"",""),COLUMN()-6),2,300)"),"2 dull maroon bags.")</f>
        <v>2 dull maroon bags.</v>
      </c>
      <c r="J569" s="3" t="str">
        <f>IFERROR(__xludf.DUMMYFUNCTION("MID(INDEX(SPLIT($F569,"",""),COLUMN()-6),2,300)"),"#REF!")</f>
        <v>#REF!</v>
      </c>
      <c r="K569" s="3">
        <f>IFERROR(__xludf.DUMMYFUNCTION("INDEX(SPLIT(G569,"" ""),1)"),3.0)</f>
        <v>3</v>
      </c>
      <c r="L569" s="3" t="str">
        <f>IFERROR(__xludf.DUMMYFUNCTION("REGEXEXTRACT(G569,"" [^ ]* [^ ]* "")")," posh green ")</f>
        <v> posh green </v>
      </c>
      <c r="M569" s="3">
        <f>IFERROR(__xludf.DUMMYFUNCTION("INDEX(SPLIT(H569,"" ""),1)"),1.0)</f>
        <v>1</v>
      </c>
      <c r="N569" s="3" t="str">
        <f>IFERROR(__xludf.DUMMYFUNCTION("MID(REGEXEXTRACT(H569,"" [^ ]* [^ ]*""),2,300)"),"vibrant bronze")</f>
        <v>vibrant bronze</v>
      </c>
      <c r="O569" s="3">
        <f>IFERROR(__xludf.DUMMYFUNCTION("INDEX(SPLIT(I569,"" ""),1)"),2.0)</f>
        <v>2</v>
      </c>
      <c r="P569" s="3" t="str">
        <f>IFERROR(__xludf.DUMMYFUNCTION("MID(REGEXEXTRACT(I569,"" [^ ]* [^ ]*""),2,300)"),"dull maroon")</f>
        <v>dull maroon</v>
      </c>
      <c r="Q569" s="3" t="str">
        <f>IFERROR(__xludf.DUMMYFUNCTION("INDEX(SPLIT(J569,"" ""),1)"),"#REF!")</f>
        <v>#REF!</v>
      </c>
      <c r="R569" s="3" t="str">
        <f>IFERROR(__xludf.DUMMYFUNCTION("MID(REGEXEXTRACT(J569,"" [^ ]* [^ ]*""),2,300)"),"#REF!")</f>
        <v>#REF!</v>
      </c>
      <c r="S569" s="3">
        <f t="shared" si="2"/>
        <v>3</v>
      </c>
      <c r="T569" s="3" t="str">
        <f t="shared" si="3"/>
        <v>posh green</v>
      </c>
      <c r="U569" s="3">
        <f t="shared" si="4"/>
        <v>1</v>
      </c>
      <c r="V569" s="3" t="str">
        <f t="shared" si="5"/>
        <v>vibrant bronze</v>
      </c>
      <c r="W569" s="3">
        <f t="shared" si="6"/>
        <v>2</v>
      </c>
      <c r="X569" s="3" t="str">
        <f t="shared" si="7"/>
        <v>dull maroon</v>
      </c>
      <c r="Y569" s="3" t="str">
        <f t="shared" si="8"/>
        <v/>
      </c>
      <c r="Z569" s="3" t="str">
        <f t="shared" si="9"/>
        <v/>
      </c>
      <c r="AA569" s="13">
        <f t="shared" si="10"/>
        <v>44592</v>
      </c>
      <c r="AB569" s="3">
        <f t="shared" si="11"/>
        <v>44591</v>
      </c>
      <c r="AC569" s="3">
        <f t="shared" si="12"/>
        <v>3</v>
      </c>
      <c r="AD569" s="3">
        <f t="shared" si="13"/>
        <v>6367</v>
      </c>
      <c r="AE569" s="3">
        <f t="shared" si="14"/>
        <v>1</v>
      </c>
      <c r="AF569" s="3">
        <f t="shared" si="15"/>
        <v>2520</v>
      </c>
      <c r="AG569" s="3">
        <f t="shared" si="16"/>
        <v>2</v>
      </c>
      <c r="AH569" s="3">
        <f t="shared" si="17"/>
        <v>11485</v>
      </c>
      <c r="AI569" s="3" t="str">
        <f t="shared" si="18"/>
        <v/>
      </c>
      <c r="AJ569" s="3">
        <f t="shared" si="19"/>
        <v>0</v>
      </c>
    </row>
    <row r="570">
      <c r="C570" s="6" t="s">
        <v>570</v>
      </c>
      <c r="D570" s="3">
        <f t="shared" si="1"/>
        <v>0</v>
      </c>
      <c r="E570" s="3" t="str">
        <f>IFERROR(__xludf.DUMMYFUNCTION("REGEXEXTRACT(C570,""[^ ]* [^ ]*"")"),"dim lavender")</f>
        <v>dim lavender</v>
      </c>
      <c r="F570" s="3" t="str">
        <f>IFERROR(__xludf.DUMMYFUNCTION("MID(REGEXEXTRACT(C570,""contain.*$""),9,300)"),"2 dark turquoise bags.")</f>
        <v>2 dark turquoise bags.</v>
      </c>
      <c r="G570" s="3" t="str">
        <f>IFERROR(__xludf.DUMMYFUNCTION("INDEX(SPLIT($F570,"",""),COLUMN()-6)"),"2 dark turquoise bags.")</f>
        <v>2 dark turquoise bags.</v>
      </c>
      <c r="H570" s="3" t="str">
        <f>IFERROR(__xludf.DUMMYFUNCTION("MID(INDEX(SPLIT($F570,"",""),COLUMN()-6),2,300)"),"#REF!")</f>
        <v>#REF!</v>
      </c>
      <c r="I570" s="3" t="str">
        <f>IFERROR(__xludf.DUMMYFUNCTION("MID(INDEX(SPLIT($F570,"",""),COLUMN()-6),2,300)"),"#REF!")</f>
        <v>#REF!</v>
      </c>
      <c r="J570" s="3" t="str">
        <f>IFERROR(__xludf.DUMMYFUNCTION("MID(INDEX(SPLIT($F570,"",""),COLUMN()-6),2,300)"),"#REF!")</f>
        <v>#REF!</v>
      </c>
      <c r="K570" s="3">
        <f>IFERROR(__xludf.DUMMYFUNCTION("INDEX(SPLIT(G570,"" ""),1)"),2.0)</f>
        <v>2</v>
      </c>
      <c r="L570" s="3" t="str">
        <f>IFERROR(__xludf.DUMMYFUNCTION("REGEXEXTRACT(G570,"" [^ ]* [^ ]* "")")," dark turquoise ")</f>
        <v> dark turquoise </v>
      </c>
      <c r="M570" s="3" t="str">
        <f>IFERROR(__xludf.DUMMYFUNCTION("INDEX(SPLIT(H570,"" ""),1)"),"#REF!")</f>
        <v>#REF!</v>
      </c>
      <c r="N570" s="3" t="str">
        <f>IFERROR(__xludf.DUMMYFUNCTION("MID(REGEXEXTRACT(H570,"" [^ ]* [^ ]*""),2,300)"),"#REF!")</f>
        <v>#REF!</v>
      </c>
      <c r="O570" s="3" t="str">
        <f>IFERROR(__xludf.DUMMYFUNCTION("INDEX(SPLIT(I570,"" ""),1)"),"#REF!")</f>
        <v>#REF!</v>
      </c>
      <c r="P570" s="3" t="str">
        <f>IFERROR(__xludf.DUMMYFUNCTION("MID(REGEXEXTRACT(I570,"" [^ ]* [^ ]*""),2,300)"),"#REF!")</f>
        <v>#REF!</v>
      </c>
      <c r="Q570" s="3" t="str">
        <f>IFERROR(__xludf.DUMMYFUNCTION("INDEX(SPLIT(J570,"" ""),1)"),"#REF!")</f>
        <v>#REF!</v>
      </c>
      <c r="R570" s="3" t="str">
        <f>IFERROR(__xludf.DUMMYFUNCTION("MID(REGEXEXTRACT(J570,"" [^ ]* [^ ]*""),2,300)"),"#REF!")</f>
        <v>#REF!</v>
      </c>
      <c r="S570" s="3">
        <f t="shared" si="2"/>
        <v>2</v>
      </c>
      <c r="T570" s="3" t="str">
        <f t="shared" si="3"/>
        <v>dark turquoise</v>
      </c>
      <c r="U570" s="3" t="str">
        <f t="shared" si="4"/>
        <v/>
      </c>
      <c r="V570" s="3" t="str">
        <f t="shared" si="5"/>
        <v/>
      </c>
      <c r="W570" s="3" t="str">
        <f t="shared" si="6"/>
        <v/>
      </c>
      <c r="X570" s="3" t="str">
        <f t="shared" si="7"/>
        <v/>
      </c>
      <c r="Y570" s="3" t="str">
        <f t="shared" si="8"/>
        <v/>
      </c>
      <c r="Z570" s="3" t="str">
        <f t="shared" si="9"/>
        <v/>
      </c>
      <c r="AA570" s="13">
        <f t="shared" si="10"/>
        <v>771399</v>
      </c>
      <c r="AB570" s="3">
        <f t="shared" si="11"/>
        <v>771398</v>
      </c>
      <c r="AC570" s="3">
        <f t="shared" si="12"/>
        <v>2</v>
      </c>
      <c r="AD570" s="3">
        <f t="shared" si="13"/>
        <v>385699</v>
      </c>
      <c r="AE570" s="3" t="str">
        <f t="shared" si="14"/>
        <v/>
      </c>
      <c r="AF570" s="3">
        <f t="shared" si="15"/>
        <v>0</v>
      </c>
      <c r="AG570" s="3" t="str">
        <f t="shared" si="16"/>
        <v/>
      </c>
      <c r="AH570" s="3">
        <f t="shared" si="17"/>
        <v>0</v>
      </c>
      <c r="AI570" s="3" t="str">
        <f t="shared" si="18"/>
        <v/>
      </c>
      <c r="AJ570" s="3">
        <f t="shared" si="19"/>
        <v>0</v>
      </c>
    </row>
    <row r="571">
      <c r="C571" s="6" t="s">
        <v>571</v>
      </c>
      <c r="D571" s="3">
        <f t="shared" si="1"/>
        <v>0</v>
      </c>
      <c r="E571" s="3" t="str">
        <f>IFERROR(__xludf.DUMMYFUNCTION("REGEXEXTRACT(C571,""[^ ]* [^ ]*"")"),"striped cyan")</f>
        <v>striped cyan</v>
      </c>
      <c r="F571" s="3" t="str">
        <f>IFERROR(__xludf.DUMMYFUNCTION("MID(REGEXEXTRACT(C571,""contain.*$""),9,300)"),"1 clear chartreuse bag.")</f>
        <v>1 clear chartreuse bag.</v>
      </c>
      <c r="G571" s="3" t="str">
        <f>IFERROR(__xludf.DUMMYFUNCTION("INDEX(SPLIT($F571,"",""),COLUMN()-6)"),"1 clear chartreuse bag.")</f>
        <v>1 clear chartreuse bag.</v>
      </c>
      <c r="H571" s="3" t="str">
        <f>IFERROR(__xludf.DUMMYFUNCTION("MID(INDEX(SPLIT($F571,"",""),COLUMN()-6),2,300)"),"#REF!")</f>
        <v>#REF!</v>
      </c>
      <c r="I571" s="3" t="str">
        <f>IFERROR(__xludf.DUMMYFUNCTION("MID(INDEX(SPLIT($F571,"",""),COLUMN()-6),2,300)"),"#REF!")</f>
        <v>#REF!</v>
      </c>
      <c r="J571" s="3" t="str">
        <f>IFERROR(__xludf.DUMMYFUNCTION("MID(INDEX(SPLIT($F571,"",""),COLUMN()-6),2,300)"),"#REF!")</f>
        <v>#REF!</v>
      </c>
      <c r="K571" s="3">
        <f>IFERROR(__xludf.DUMMYFUNCTION("INDEX(SPLIT(G571,"" ""),1)"),1.0)</f>
        <v>1</v>
      </c>
      <c r="L571" s="3" t="str">
        <f>IFERROR(__xludf.DUMMYFUNCTION("REGEXEXTRACT(G571,"" [^ ]* [^ ]* "")")," clear chartreuse ")</f>
        <v> clear chartreuse </v>
      </c>
      <c r="M571" s="3" t="str">
        <f>IFERROR(__xludf.DUMMYFUNCTION("INDEX(SPLIT(H571,"" ""),1)"),"#REF!")</f>
        <v>#REF!</v>
      </c>
      <c r="N571" s="3" t="str">
        <f>IFERROR(__xludf.DUMMYFUNCTION("MID(REGEXEXTRACT(H571,"" [^ ]* [^ ]*""),2,300)"),"#REF!")</f>
        <v>#REF!</v>
      </c>
      <c r="O571" s="3" t="str">
        <f>IFERROR(__xludf.DUMMYFUNCTION("INDEX(SPLIT(I571,"" ""),1)"),"#REF!")</f>
        <v>#REF!</v>
      </c>
      <c r="P571" s="3" t="str">
        <f>IFERROR(__xludf.DUMMYFUNCTION("MID(REGEXEXTRACT(I571,"" [^ ]* [^ ]*""),2,300)"),"#REF!")</f>
        <v>#REF!</v>
      </c>
      <c r="Q571" s="3" t="str">
        <f>IFERROR(__xludf.DUMMYFUNCTION("INDEX(SPLIT(J571,"" ""),1)"),"#REF!")</f>
        <v>#REF!</v>
      </c>
      <c r="R571" s="3" t="str">
        <f>IFERROR(__xludf.DUMMYFUNCTION("MID(REGEXEXTRACT(J571,"" [^ ]* [^ ]*""),2,300)"),"#REF!")</f>
        <v>#REF!</v>
      </c>
      <c r="S571" s="3">
        <f t="shared" si="2"/>
        <v>1</v>
      </c>
      <c r="T571" s="3" t="str">
        <f t="shared" si="3"/>
        <v>clear chartreuse</v>
      </c>
      <c r="U571" s="3" t="str">
        <f t="shared" si="4"/>
        <v/>
      </c>
      <c r="V571" s="3" t="str">
        <f t="shared" si="5"/>
        <v/>
      </c>
      <c r="W571" s="3" t="str">
        <f t="shared" si="6"/>
        <v/>
      </c>
      <c r="X571" s="3" t="str">
        <f t="shared" si="7"/>
        <v/>
      </c>
      <c r="Y571" s="3" t="str">
        <f t="shared" si="8"/>
        <v/>
      </c>
      <c r="Z571" s="3" t="str">
        <f t="shared" si="9"/>
        <v/>
      </c>
      <c r="AA571" s="13">
        <f t="shared" si="10"/>
        <v>52325345</v>
      </c>
      <c r="AB571" s="3">
        <f t="shared" si="11"/>
        <v>52325344</v>
      </c>
      <c r="AC571" s="3">
        <f t="shared" si="12"/>
        <v>1</v>
      </c>
      <c r="AD571" s="3">
        <f t="shared" si="13"/>
        <v>52325344</v>
      </c>
      <c r="AE571" s="3" t="str">
        <f t="shared" si="14"/>
        <v/>
      </c>
      <c r="AF571" s="3">
        <f t="shared" si="15"/>
        <v>0</v>
      </c>
      <c r="AG571" s="3" t="str">
        <f t="shared" si="16"/>
        <v/>
      </c>
      <c r="AH571" s="3">
        <f t="shared" si="17"/>
        <v>0</v>
      </c>
      <c r="AI571" s="3" t="str">
        <f t="shared" si="18"/>
        <v/>
      </c>
      <c r="AJ571" s="3">
        <f t="shared" si="19"/>
        <v>0</v>
      </c>
    </row>
    <row r="572">
      <c r="C572" s="6" t="s">
        <v>572</v>
      </c>
      <c r="D572" s="3">
        <f t="shared" si="1"/>
        <v>0</v>
      </c>
      <c r="E572" s="3" t="str">
        <f>IFERROR(__xludf.DUMMYFUNCTION("REGEXEXTRACT(C572,""[^ ]* [^ ]*"")"),"dull indigo")</f>
        <v>dull indigo</v>
      </c>
      <c r="F572" s="3" t="str">
        <f>IFERROR(__xludf.DUMMYFUNCTION("MID(REGEXEXTRACT(C572,""contain.*$""),9,300)"),"5 shiny brown bags.")</f>
        <v>5 shiny brown bags.</v>
      </c>
      <c r="G572" s="3" t="str">
        <f>IFERROR(__xludf.DUMMYFUNCTION("INDEX(SPLIT($F572,"",""),COLUMN()-6)"),"5 shiny brown bags.")</f>
        <v>5 shiny brown bags.</v>
      </c>
      <c r="H572" s="3" t="str">
        <f>IFERROR(__xludf.DUMMYFUNCTION("MID(INDEX(SPLIT($F572,"",""),COLUMN()-6),2,300)"),"#REF!")</f>
        <v>#REF!</v>
      </c>
      <c r="I572" s="3" t="str">
        <f>IFERROR(__xludf.DUMMYFUNCTION("MID(INDEX(SPLIT($F572,"",""),COLUMN()-6),2,300)"),"#REF!")</f>
        <v>#REF!</v>
      </c>
      <c r="J572" s="3" t="str">
        <f>IFERROR(__xludf.DUMMYFUNCTION("MID(INDEX(SPLIT($F572,"",""),COLUMN()-6),2,300)"),"#REF!")</f>
        <v>#REF!</v>
      </c>
      <c r="K572" s="3">
        <f>IFERROR(__xludf.DUMMYFUNCTION("INDEX(SPLIT(G572,"" ""),1)"),5.0)</f>
        <v>5</v>
      </c>
      <c r="L572" s="3" t="str">
        <f>IFERROR(__xludf.DUMMYFUNCTION("REGEXEXTRACT(G572,"" [^ ]* [^ ]* "")")," shiny brown ")</f>
        <v> shiny brown </v>
      </c>
      <c r="M572" s="3" t="str">
        <f>IFERROR(__xludf.DUMMYFUNCTION("INDEX(SPLIT(H572,"" ""),1)"),"#REF!")</f>
        <v>#REF!</v>
      </c>
      <c r="N572" s="3" t="str">
        <f>IFERROR(__xludf.DUMMYFUNCTION("MID(REGEXEXTRACT(H572,"" [^ ]* [^ ]*""),2,300)"),"#REF!")</f>
        <v>#REF!</v>
      </c>
      <c r="O572" s="3" t="str">
        <f>IFERROR(__xludf.DUMMYFUNCTION("INDEX(SPLIT(I572,"" ""),1)"),"#REF!")</f>
        <v>#REF!</v>
      </c>
      <c r="P572" s="3" t="str">
        <f>IFERROR(__xludf.DUMMYFUNCTION("MID(REGEXEXTRACT(I572,"" [^ ]* [^ ]*""),2,300)"),"#REF!")</f>
        <v>#REF!</v>
      </c>
      <c r="Q572" s="3" t="str">
        <f>IFERROR(__xludf.DUMMYFUNCTION("INDEX(SPLIT(J572,"" ""),1)"),"#REF!")</f>
        <v>#REF!</v>
      </c>
      <c r="R572" s="3" t="str">
        <f>IFERROR(__xludf.DUMMYFUNCTION("MID(REGEXEXTRACT(J572,"" [^ ]* [^ ]*""),2,300)"),"#REF!")</f>
        <v>#REF!</v>
      </c>
      <c r="S572" s="3">
        <f t="shared" si="2"/>
        <v>5</v>
      </c>
      <c r="T572" s="3" t="str">
        <f t="shared" si="3"/>
        <v>shiny brown</v>
      </c>
      <c r="U572" s="3" t="str">
        <f t="shared" si="4"/>
        <v/>
      </c>
      <c r="V572" s="3" t="str">
        <f t="shared" si="5"/>
        <v/>
      </c>
      <c r="W572" s="3" t="str">
        <f t="shared" si="6"/>
        <v/>
      </c>
      <c r="X572" s="3" t="str">
        <f t="shared" si="7"/>
        <v/>
      </c>
      <c r="Y572" s="3" t="str">
        <f t="shared" si="8"/>
        <v/>
      </c>
      <c r="Z572" s="3" t="str">
        <f t="shared" si="9"/>
        <v/>
      </c>
      <c r="AA572" s="13">
        <f t="shared" si="10"/>
        <v>17399466</v>
      </c>
      <c r="AB572" s="3">
        <f t="shared" si="11"/>
        <v>17399465</v>
      </c>
      <c r="AC572" s="3">
        <f t="shared" si="12"/>
        <v>5</v>
      </c>
      <c r="AD572" s="3">
        <f t="shared" si="13"/>
        <v>3479893</v>
      </c>
      <c r="AE572" s="3" t="str">
        <f t="shared" si="14"/>
        <v/>
      </c>
      <c r="AF572" s="3">
        <f t="shared" si="15"/>
        <v>0</v>
      </c>
      <c r="AG572" s="3" t="str">
        <f t="shared" si="16"/>
        <v/>
      </c>
      <c r="AH572" s="3">
        <f t="shared" si="17"/>
        <v>0</v>
      </c>
      <c r="AI572" s="3" t="str">
        <f t="shared" si="18"/>
        <v/>
      </c>
      <c r="AJ572" s="3">
        <f t="shared" si="19"/>
        <v>0</v>
      </c>
    </row>
    <row r="573">
      <c r="C573" s="6" t="s">
        <v>573</v>
      </c>
      <c r="D573" s="3">
        <f t="shared" si="1"/>
        <v>0</v>
      </c>
      <c r="E573" s="3" t="str">
        <f>IFERROR(__xludf.DUMMYFUNCTION("REGEXEXTRACT(C573,""[^ ]* [^ ]*"")"),"faded green")</f>
        <v>faded green</v>
      </c>
      <c r="F573" s="3" t="str">
        <f>IFERROR(__xludf.DUMMYFUNCTION("MID(REGEXEXTRACT(C573,""contain.*$""),9,300)"),"1 drab maroon bag.")</f>
        <v>1 drab maroon bag.</v>
      </c>
      <c r="G573" s="3" t="str">
        <f>IFERROR(__xludf.DUMMYFUNCTION("INDEX(SPLIT($F573,"",""),COLUMN()-6)"),"1 drab maroon bag.")</f>
        <v>1 drab maroon bag.</v>
      </c>
      <c r="H573" s="3" t="str">
        <f>IFERROR(__xludf.DUMMYFUNCTION("MID(INDEX(SPLIT($F573,"",""),COLUMN()-6),2,300)"),"#REF!")</f>
        <v>#REF!</v>
      </c>
      <c r="I573" s="3" t="str">
        <f>IFERROR(__xludf.DUMMYFUNCTION("MID(INDEX(SPLIT($F573,"",""),COLUMN()-6),2,300)"),"#REF!")</f>
        <v>#REF!</v>
      </c>
      <c r="J573" s="3" t="str">
        <f>IFERROR(__xludf.DUMMYFUNCTION("MID(INDEX(SPLIT($F573,"",""),COLUMN()-6),2,300)"),"#REF!")</f>
        <v>#REF!</v>
      </c>
      <c r="K573" s="3">
        <f>IFERROR(__xludf.DUMMYFUNCTION("INDEX(SPLIT(G573,"" ""),1)"),1.0)</f>
        <v>1</v>
      </c>
      <c r="L573" s="3" t="str">
        <f>IFERROR(__xludf.DUMMYFUNCTION("REGEXEXTRACT(G573,"" [^ ]* [^ ]* "")")," drab maroon ")</f>
        <v> drab maroon </v>
      </c>
      <c r="M573" s="3" t="str">
        <f>IFERROR(__xludf.DUMMYFUNCTION("INDEX(SPLIT(H573,"" ""),1)"),"#REF!")</f>
        <v>#REF!</v>
      </c>
      <c r="N573" s="3" t="str">
        <f>IFERROR(__xludf.DUMMYFUNCTION("MID(REGEXEXTRACT(H573,"" [^ ]* [^ ]*""),2,300)"),"#REF!")</f>
        <v>#REF!</v>
      </c>
      <c r="O573" s="3" t="str">
        <f>IFERROR(__xludf.DUMMYFUNCTION("INDEX(SPLIT(I573,"" ""),1)"),"#REF!")</f>
        <v>#REF!</v>
      </c>
      <c r="P573" s="3" t="str">
        <f>IFERROR(__xludf.DUMMYFUNCTION("MID(REGEXEXTRACT(I573,"" [^ ]* [^ ]*""),2,300)"),"#REF!")</f>
        <v>#REF!</v>
      </c>
      <c r="Q573" s="3" t="str">
        <f>IFERROR(__xludf.DUMMYFUNCTION("INDEX(SPLIT(J573,"" ""),1)"),"#REF!")</f>
        <v>#REF!</v>
      </c>
      <c r="R573" s="3" t="str">
        <f>IFERROR(__xludf.DUMMYFUNCTION("MID(REGEXEXTRACT(J573,"" [^ ]* [^ ]*""),2,300)"),"#REF!")</f>
        <v>#REF!</v>
      </c>
      <c r="S573" s="3">
        <f t="shared" si="2"/>
        <v>1</v>
      </c>
      <c r="T573" s="3" t="str">
        <f t="shared" si="3"/>
        <v>drab maroon</v>
      </c>
      <c r="U573" s="3" t="str">
        <f t="shared" si="4"/>
        <v/>
      </c>
      <c r="V573" s="3" t="str">
        <f t="shared" si="5"/>
        <v/>
      </c>
      <c r="W573" s="3" t="str">
        <f t="shared" si="6"/>
        <v/>
      </c>
      <c r="X573" s="3" t="str">
        <f t="shared" si="7"/>
        <v/>
      </c>
      <c r="Y573" s="3" t="str">
        <f t="shared" si="8"/>
        <v/>
      </c>
      <c r="Z573" s="3" t="str">
        <f t="shared" si="9"/>
        <v/>
      </c>
      <c r="AA573" s="13">
        <f t="shared" si="10"/>
        <v>3598</v>
      </c>
      <c r="AB573" s="3">
        <f t="shared" si="11"/>
        <v>3597</v>
      </c>
      <c r="AC573" s="3">
        <f t="shared" si="12"/>
        <v>1</v>
      </c>
      <c r="AD573" s="3">
        <f t="shared" si="13"/>
        <v>3597</v>
      </c>
      <c r="AE573" s="3" t="str">
        <f t="shared" si="14"/>
        <v/>
      </c>
      <c r="AF573" s="3">
        <f t="shared" si="15"/>
        <v>0</v>
      </c>
      <c r="AG573" s="3" t="str">
        <f t="shared" si="16"/>
        <v/>
      </c>
      <c r="AH573" s="3">
        <f t="shared" si="17"/>
        <v>0</v>
      </c>
      <c r="AI573" s="3" t="str">
        <f t="shared" si="18"/>
        <v/>
      </c>
      <c r="AJ573" s="3">
        <f t="shared" si="19"/>
        <v>0</v>
      </c>
    </row>
    <row r="574">
      <c r="C574" s="6" t="s">
        <v>574</v>
      </c>
      <c r="D574" s="3">
        <f t="shared" si="1"/>
        <v>1</v>
      </c>
      <c r="E574" s="3" t="str">
        <f>IFERROR(__xludf.DUMMYFUNCTION("REGEXEXTRACT(C574,""[^ ]* [^ ]*"")"),"drab fuchsia")</f>
        <v>drab fuchsia</v>
      </c>
      <c r="F574" s="3" t="str">
        <f>IFERROR(__xludf.DUMMYFUNCTION("MID(REGEXEXTRACT(C574,""contain.*$""),9,300)"),"2 clear olive bags, 1 bright cyan bag.")</f>
        <v>2 clear olive bags, 1 bright cyan bag.</v>
      </c>
      <c r="G574" s="3" t="str">
        <f>IFERROR(__xludf.DUMMYFUNCTION("INDEX(SPLIT($F574,"",""),COLUMN()-6)"),"2 clear olive bags")</f>
        <v>2 clear olive bags</v>
      </c>
      <c r="H574" s="3" t="str">
        <f>IFERROR(__xludf.DUMMYFUNCTION("MID(INDEX(SPLIT($F574,"",""),COLUMN()-6),2,300)"),"1 bright cyan bag.")</f>
        <v>1 bright cyan bag.</v>
      </c>
      <c r="I574" s="3" t="str">
        <f>IFERROR(__xludf.DUMMYFUNCTION("MID(INDEX(SPLIT($F574,"",""),COLUMN()-6),2,300)"),"#REF!")</f>
        <v>#REF!</v>
      </c>
      <c r="J574" s="3" t="str">
        <f>IFERROR(__xludf.DUMMYFUNCTION("MID(INDEX(SPLIT($F574,"",""),COLUMN()-6),2,300)"),"#REF!")</f>
        <v>#REF!</v>
      </c>
      <c r="K574" s="3">
        <f>IFERROR(__xludf.DUMMYFUNCTION("INDEX(SPLIT(G574,"" ""),1)"),2.0)</f>
        <v>2</v>
      </c>
      <c r="L574" s="3" t="str">
        <f>IFERROR(__xludf.DUMMYFUNCTION("REGEXEXTRACT(G574,"" [^ ]* [^ ]* "")")," clear olive ")</f>
        <v> clear olive </v>
      </c>
      <c r="M574" s="3">
        <f>IFERROR(__xludf.DUMMYFUNCTION("INDEX(SPLIT(H574,"" ""),1)"),1.0)</f>
        <v>1</v>
      </c>
      <c r="N574" s="3" t="str">
        <f>IFERROR(__xludf.DUMMYFUNCTION("MID(REGEXEXTRACT(H574,"" [^ ]* [^ ]*""),2,300)"),"bright cyan")</f>
        <v>bright cyan</v>
      </c>
      <c r="O574" s="3" t="str">
        <f>IFERROR(__xludf.DUMMYFUNCTION("INDEX(SPLIT(I574,"" ""),1)"),"#REF!")</f>
        <v>#REF!</v>
      </c>
      <c r="P574" s="3" t="str">
        <f>IFERROR(__xludf.DUMMYFUNCTION("MID(REGEXEXTRACT(I574,"" [^ ]* [^ ]*""),2,300)"),"#REF!")</f>
        <v>#REF!</v>
      </c>
      <c r="Q574" s="3" t="str">
        <f>IFERROR(__xludf.DUMMYFUNCTION("INDEX(SPLIT(J574,"" ""),1)"),"#REF!")</f>
        <v>#REF!</v>
      </c>
      <c r="R574" s="3" t="str">
        <f>IFERROR(__xludf.DUMMYFUNCTION("MID(REGEXEXTRACT(J574,"" [^ ]* [^ ]*""),2,300)"),"#REF!")</f>
        <v>#REF!</v>
      </c>
      <c r="S574" s="3">
        <f t="shared" si="2"/>
        <v>2</v>
      </c>
      <c r="T574" s="3" t="str">
        <f t="shared" si="3"/>
        <v>clear olive</v>
      </c>
      <c r="U574" s="3">
        <f t="shared" si="4"/>
        <v>1</v>
      </c>
      <c r="V574" s="3" t="str">
        <f t="shared" si="5"/>
        <v>bright cyan</v>
      </c>
      <c r="W574" s="3" t="str">
        <f t="shared" si="6"/>
        <v/>
      </c>
      <c r="X574" s="3" t="str">
        <f t="shared" si="7"/>
        <v/>
      </c>
      <c r="Y574" s="3" t="str">
        <f t="shared" si="8"/>
        <v/>
      </c>
      <c r="Z574" s="3" t="str">
        <f t="shared" si="9"/>
        <v/>
      </c>
      <c r="AA574" s="13">
        <f t="shared" si="10"/>
        <v>5394972</v>
      </c>
      <c r="AB574" s="3">
        <f t="shared" si="11"/>
        <v>5394971</v>
      </c>
      <c r="AC574" s="3">
        <f t="shared" si="12"/>
        <v>2</v>
      </c>
      <c r="AD574" s="3">
        <f t="shared" si="13"/>
        <v>2697220</v>
      </c>
      <c r="AE574" s="3">
        <f t="shared" si="14"/>
        <v>1</v>
      </c>
      <c r="AF574" s="3">
        <f t="shared" si="15"/>
        <v>531</v>
      </c>
      <c r="AG574" s="3" t="str">
        <f t="shared" si="16"/>
        <v/>
      </c>
      <c r="AH574" s="3">
        <f t="shared" si="17"/>
        <v>0</v>
      </c>
      <c r="AI574" s="3" t="str">
        <f t="shared" si="18"/>
        <v/>
      </c>
      <c r="AJ574" s="3">
        <f t="shared" si="19"/>
        <v>0</v>
      </c>
    </row>
    <row r="575">
      <c r="C575" s="6" t="s">
        <v>575</v>
      </c>
      <c r="D575" s="3">
        <f t="shared" si="1"/>
        <v>2</v>
      </c>
      <c r="E575" s="3" t="str">
        <f>IFERROR(__xludf.DUMMYFUNCTION("REGEXEXTRACT(C575,""[^ ]* [^ ]*"")"),"drab gold")</f>
        <v>drab gold</v>
      </c>
      <c r="F575" s="3" t="str">
        <f>IFERROR(__xludf.DUMMYFUNCTION("MID(REGEXEXTRACT(C575,""contain.*$""),9,300)"),"2 dull turquoise bags, 5 dim lavender bags, 4 light teal bags.")</f>
        <v>2 dull turquoise bags, 5 dim lavender bags, 4 light teal bags.</v>
      </c>
      <c r="G575" s="3" t="str">
        <f>IFERROR(__xludf.DUMMYFUNCTION("INDEX(SPLIT($F575,"",""),COLUMN()-6)"),"2 dull turquoise bags")</f>
        <v>2 dull turquoise bags</v>
      </c>
      <c r="H575" s="3" t="str">
        <f>IFERROR(__xludf.DUMMYFUNCTION("MID(INDEX(SPLIT($F575,"",""),COLUMN()-6),2,300)"),"5 dim lavender bags")</f>
        <v>5 dim lavender bags</v>
      </c>
      <c r="I575" s="3" t="str">
        <f>IFERROR(__xludf.DUMMYFUNCTION("MID(INDEX(SPLIT($F575,"",""),COLUMN()-6),2,300)"),"4 light teal bags.")</f>
        <v>4 light teal bags.</v>
      </c>
      <c r="J575" s="3" t="str">
        <f>IFERROR(__xludf.DUMMYFUNCTION("MID(INDEX(SPLIT($F575,"",""),COLUMN()-6),2,300)"),"#REF!")</f>
        <v>#REF!</v>
      </c>
      <c r="K575" s="3">
        <f>IFERROR(__xludf.DUMMYFUNCTION("INDEX(SPLIT(G575,"" ""),1)"),2.0)</f>
        <v>2</v>
      </c>
      <c r="L575" s="3" t="str">
        <f>IFERROR(__xludf.DUMMYFUNCTION("REGEXEXTRACT(G575,"" [^ ]* [^ ]* "")")," dull turquoise ")</f>
        <v> dull turquoise </v>
      </c>
      <c r="M575" s="3">
        <f>IFERROR(__xludf.DUMMYFUNCTION("INDEX(SPLIT(H575,"" ""),1)"),5.0)</f>
        <v>5</v>
      </c>
      <c r="N575" s="3" t="str">
        <f>IFERROR(__xludf.DUMMYFUNCTION("MID(REGEXEXTRACT(H575,"" [^ ]* [^ ]*""),2,300)"),"dim lavender")</f>
        <v>dim lavender</v>
      </c>
      <c r="O575" s="3">
        <f>IFERROR(__xludf.DUMMYFUNCTION("INDEX(SPLIT(I575,"" ""),1)"),4.0)</f>
        <v>4</v>
      </c>
      <c r="P575" s="3" t="str">
        <f>IFERROR(__xludf.DUMMYFUNCTION("MID(REGEXEXTRACT(I575,"" [^ ]* [^ ]*""),2,300)"),"light teal")</f>
        <v>light teal</v>
      </c>
      <c r="Q575" s="3" t="str">
        <f>IFERROR(__xludf.DUMMYFUNCTION("INDEX(SPLIT(J575,"" ""),1)"),"#REF!")</f>
        <v>#REF!</v>
      </c>
      <c r="R575" s="3" t="str">
        <f>IFERROR(__xludf.DUMMYFUNCTION("MID(REGEXEXTRACT(J575,"" [^ ]* [^ ]*""),2,300)"),"#REF!")</f>
        <v>#REF!</v>
      </c>
      <c r="S575" s="3">
        <f t="shared" si="2"/>
        <v>2</v>
      </c>
      <c r="T575" s="3" t="str">
        <f t="shared" si="3"/>
        <v>dull turquoise</v>
      </c>
      <c r="U575" s="3">
        <f t="shared" si="4"/>
        <v>5</v>
      </c>
      <c r="V575" s="3" t="str">
        <f t="shared" si="5"/>
        <v>dim lavender</v>
      </c>
      <c r="W575" s="3">
        <f t="shared" si="6"/>
        <v>4</v>
      </c>
      <c r="X575" s="3" t="str">
        <f t="shared" si="7"/>
        <v>light teal</v>
      </c>
      <c r="Y575" s="3" t="str">
        <f t="shared" si="8"/>
        <v/>
      </c>
      <c r="Z575" s="3" t="str">
        <f t="shared" si="9"/>
        <v/>
      </c>
      <c r="AA575" s="13">
        <f t="shared" si="10"/>
        <v>4743886</v>
      </c>
      <c r="AB575" s="3">
        <f t="shared" si="11"/>
        <v>4743885</v>
      </c>
      <c r="AC575" s="3">
        <f t="shared" si="12"/>
        <v>2</v>
      </c>
      <c r="AD575" s="3">
        <f t="shared" si="13"/>
        <v>346469</v>
      </c>
      <c r="AE575" s="3">
        <f t="shared" si="14"/>
        <v>5</v>
      </c>
      <c r="AF575" s="3">
        <f t="shared" si="15"/>
        <v>771399</v>
      </c>
      <c r="AG575" s="3">
        <f t="shared" si="16"/>
        <v>4</v>
      </c>
      <c r="AH575" s="3">
        <f t="shared" si="17"/>
        <v>48488</v>
      </c>
      <c r="AI575" s="3" t="str">
        <f t="shared" si="18"/>
        <v/>
      </c>
      <c r="AJ575" s="3">
        <f t="shared" si="19"/>
        <v>0</v>
      </c>
    </row>
    <row r="576">
      <c r="C576" s="6" t="s">
        <v>576</v>
      </c>
      <c r="D576" s="3">
        <f t="shared" si="1"/>
        <v>2</v>
      </c>
      <c r="E576" s="3" t="str">
        <f>IFERROR(__xludf.DUMMYFUNCTION("REGEXEXTRACT(C576,""[^ ]* [^ ]*"")"),"dotted violet")</f>
        <v>dotted violet</v>
      </c>
      <c r="F576" s="3" t="str">
        <f>IFERROR(__xludf.DUMMYFUNCTION("MID(REGEXEXTRACT(C576,""contain.*$""),9,300)"),"3 drab tomato bags, 5 dark lavender bags, 4 bright fuchsia bags.")</f>
        <v>3 drab tomato bags, 5 dark lavender bags, 4 bright fuchsia bags.</v>
      </c>
      <c r="G576" s="3" t="str">
        <f>IFERROR(__xludf.DUMMYFUNCTION("INDEX(SPLIT($F576,"",""),COLUMN()-6)"),"3 drab tomato bags")</f>
        <v>3 drab tomato bags</v>
      </c>
      <c r="H576" s="3" t="str">
        <f>IFERROR(__xludf.DUMMYFUNCTION("MID(INDEX(SPLIT($F576,"",""),COLUMN()-6),2,300)"),"5 dark lavender bags")</f>
        <v>5 dark lavender bags</v>
      </c>
      <c r="I576" s="3" t="str">
        <f>IFERROR(__xludf.DUMMYFUNCTION("MID(INDEX(SPLIT($F576,"",""),COLUMN()-6),2,300)"),"4 bright fuchsia bags.")</f>
        <v>4 bright fuchsia bags.</v>
      </c>
      <c r="J576" s="3" t="str">
        <f>IFERROR(__xludf.DUMMYFUNCTION("MID(INDEX(SPLIT($F576,"",""),COLUMN()-6),2,300)"),"#REF!")</f>
        <v>#REF!</v>
      </c>
      <c r="K576" s="3">
        <f>IFERROR(__xludf.DUMMYFUNCTION("INDEX(SPLIT(G576,"" ""),1)"),3.0)</f>
        <v>3</v>
      </c>
      <c r="L576" s="3" t="str">
        <f>IFERROR(__xludf.DUMMYFUNCTION("REGEXEXTRACT(G576,"" [^ ]* [^ ]* "")")," drab tomato ")</f>
        <v> drab tomato </v>
      </c>
      <c r="M576" s="3">
        <f>IFERROR(__xludf.DUMMYFUNCTION("INDEX(SPLIT(H576,"" ""),1)"),5.0)</f>
        <v>5</v>
      </c>
      <c r="N576" s="3" t="str">
        <f>IFERROR(__xludf.DUMMYFUNCTION("MID(REGEXEXTRACT(H576,"" [^ ]* [^ ]*""),2,300)"),"dark lavender")</f>
        <v>dark lavender</v>
      </c>
      <c r="O576" s="3">
        <f>IFERROR(__xludf.DUMMYFUNCTION("INDEX(SPLIT(I576,"" ""),1)"),4.0)</f>
        <v>4</v>
      </c>
      <c r="P576" s="3" t="str">
        <f>IFERROR(__xludf.DUMMYFUNCTION("MID(REGEXEXTRACT(I576,"" [^ ]* [^ ]*""),2,300)"),"bright fuchsia")</f>
        <v>bright fuchsia</v>
      </c>
      <c r="Q576" s="3" t="str">
        <f>IFERROR(__xludf.DUMMYFUNCTION("INDEX(SPLIT(J576,"" ""),1)"),"#REF!")</f>
        <v>#REF!</v>
      </c>
      <c r="R576" s="3" t="str">
        <f>IFERROR(__xludf.DUMMYFUNCTION("MID(REGEXEXTRACT(J576,"" [^ ]* [^ ]*""),2,300)"),"#REF!")</f>
        <v>#REF!</v>
      </c>
      <c r="S576" s="3">
        <f t="shared" si="2"/>
        <v>3</v>
      </c>
      <c r="T576" s="3" t="str">
        <f t="shared" si="3"/>
        <v>drab tomato</v>
      </c>
      <c r="U576" s="3">
        <f t="shared" si="4"/>
        <v>5</v>
      </c>
      <c r="V576" s="3" t="str">
        <f t="shared" si="5"/>
        <v>dark lavender</v>
      </c>
      <c r="W576" s="3">
        <f t="shared" si="6"/>
        <v>4</v>
      </c>
      <c r="X576" s="3" t="str">
        <f t="shared" si="7"/>
        <v>bright fuchsia</v>
      </c>
      <c r="Y576" s="3" t="str">
        <f t="shared" si="8"/>
        <v/>
      </c>
      <c r="Z576" s="3" t="str">
        <f t="shared" si="9"/>
        <v/>
      </c>
      <c r="AA576" s="13">
        <f t="shared" si="10"/>
        <v>165251</v>
      </c>
      <c r="AB576" s="3">
        <f t="shared" si="11"/>
        <v>165250</v>
      </c>
      <c r="AC576" s="3">
        <f t="shared" si="12"/>
        <v>3</v>
      </c>
      <c r="AD576" s="3">
        <f t="shared" si="13"/>
        <v>38687</v>
      </c>
      <c r="AE576" s="3">
        <f t="shared" si="14"/>
        <v>5</v>
      </c>
      <c r="AF576" s="3">
        <f t="shared" si="15"/>
        <v>133</v>
      </c>
      <c r="AG576" s="3">
        <f t="shared" si="16"/>
        <v>4</v>
      </c>
      <c r="AH576" s="3">
        <f t="shared" si="17"/>
        <v>12131</v>
      </c>
      <c r="AI576" s="3" t="str">
        <f t="shared" si="18"/>
        <v/>
      </c>
      <c r="AJ576" s="3">
        <f t="shared" si="19"/>
        <v>0</v>
      </c>
    </row>
    <row r="577">
      <c r="C577" s="6" t="s">
        <v>577</v>
      </c>
      <c r="D577" s="3">
        <f t="shared" si="1"/>
        <v>0</v>
      </c>
      <c r="E577" s="3" t="str">
        <f>IFERROR(__xludf.DUMMYFUNCTION("REGEXEXTRACT(C577,""[^ ]* [^ ]*"")"),"shiny turquoise")</f>
        <v>shiny turquoise</v>
      </c>
      <c r="F577" s="3" t="str">
        <f>IFERROR(__xludf.DUMMYFUNCTION("MID(REGEXEXTRACT(C577,""contain.*$""),9,300)"),"4 light black bags.")</f>
        <v>4 light black bags.</v>
      </c>
      <c r="G577" s="3" t="str">
        <f>IFERROR(__xludf.DUMMYFUNCTION("INDEX(SPLIT($F577,"",""),COLUMN()-6)"),"4 light black bags.")</f>
        <v>4 light black bags.</v>
      </c>
      <c r="H577" s="3" t="str">
        <f>IFERROR(__xludf.DUMMYFUNCTION("MID(INDEX(SPLIT($F577,"",""),COLUMN()-6),2,300)"),"#REF!")</f>
        <v>#REF!</v>
      </c>
      <c r="I577" s="3" t="str">
        <f>IFERROR(__xludf.DUMMYFUNCTION("MID(INDEX(SPLIT($F577,"",""),COLUMN()-6),2,300)"),"#REF!")</f>
        <v>#REF!</v>
      </c>
      <c r="J577" s="3" t="str">
        <f>IFERROR(__xludf.DUMMYFUNCTION("MID(INDEX(SPLIT($F577,"",""),COLUMN()-6),2,300)"),"#REF!")</f>
        <v>#REF!</v>
      </c>
      <c r="K577" s="3">
        <f>IFERROR(__xludf.DUMMYFUNCTION("INDEX(SPLIT(G577,"" ""),1)"),4.0)</f>
        <v>4</v>
      </c>
      <c r="L577" s="3" t="str">
        <f>IFERROR(__xludf.DUMMYFUNCTION("REGEXEXTRACT(G577,"" [^ ]* [^ ]* "")")," light black ")</f>
        <v> light black </v>
      </c>
      <c r="M577" s="3" t="str">
        <f>IFERROR(__xludf.DUMMYFUNCTION("INDEX(SPLIT(H577,"" ""),1)"),"#REF!")</f>
        <v>#REF!</v>
      </c>
      <c r="N577" s="3" t="str">
        <f>IFERROR(__xludf.DUMMYFUNCTION("MID(REGEXEXTRACT(H577,"" [^ ]* [^ ]*""),2,300)"),"#REF!")</f>
        <v>#REF!</v>
      </c>
      <c r="O577" s="3" t="str">
        <f>IFERROR(__xludf.DUMMYFUNCTION("INDEX(SPLIT(I577,"" ""),1)"),"#REF!")</f>
        <v>#REF!</v>
      </c>
      <c r="P577" s="3" t="str">
        <f>IFERROR(__xludf.DUMMYFUNCTION("MID(REGEXEXTRACT(I577,"" [^ ]* [^ ]*""),2,300)"),"#REF!")</f>
        <v>#REF!</v>
      </c>
      <c r="Q577" s="3" t="str">
        <f>IFERROR(__xludf.DUMMYFUNCTION("INDEX(SPLIT(J577,"" ""),1)"),"#REF!")</f>
        <v>#REF!</v>
      </c>
      <c r="R577" s="3" t="str">
        <f>IFERROR(__xludf.DUMMYFUNCTION("MID(REGEXEXTRACT(J577,"" [^ ]* [^ ]*""),2,300)"),"#REF!")</f>
        <v>#REF!</v>
      </c>
      <c r="S577" s="3">
        <f t="shared" si="2"/>
        <v>4</v>
      </c>
      <c r="T577" s="3" t="str">
        <f t="shared" si="3"/>
        <v>light black</v>
      </c>
      <c r="U577" s="3" t="str">
        <f t="shared" si="4"/>
        <v/>
      </c>
      <c r="V577" s="3" t="str">
        <f t="shared" si="5"/>
        <v/>
      </c>
      <c r="W577" s="3" t="str">
        <f t="shared" si="6"/>
        <v/>
      </c>
      <c r="X577" s="3" t="str">
        <f t="shared" si="7"/>
        <v/>
      </c>
      <c r="Y577" s="3" t="str">
        <f t="shared" si="8"/>
        <v/>
      </c>
      <c r="Z577" s="3" t="str">
        <f t="shared" si="9"/>
        <v/>
      </c>
      <c r="AA577" s="13">
        <f t="shared" si="10"/>
        <v>528597</v>
      </c>
      <c r="AB577" s="3">
        <f t="shared" si="11"/>
        <v>528596</v>
      </c>
      <c r="AC577" s="3">
        <f t="shared" si="12"/>
        <v>4</v>
      </c>
      <c r="AD577" s="3">
        <f t="shared" si="13"/>
        <v>132149</v>
      </c>
      <c r="AE577" s="3" t="str">
        <f t="shared" si="14"/>
        <v/>
      </c>
      <c r="AF577" s="3">
        <f t="shared" si="15"/>
        <v>0</v>
      </c>
      <c r="AG577" s="3" t="str">
        <f t="shared" si="16"/>
        <v/>
      </c>
      <c r="AH577" s="3">
        <f t="shared" si="17"/>
        <v>0</v>
      </c>
      <c r="AI577" s="3" t="str">
        <f t="shared" si="18"/>
        <v/>
      </c>
      <c r="AJ577" s="3">
        <f t="shared" si="19"/>
        <v>0</v>
      </c>
    </row>
    <row r="578">
      <c r="C578" s="6" t="s">
        <v>578</v>
      </c>
      <c r="D578" s="3">
        <f t="shared" si="1"/>
        <v>3</v>
      </c>
      <c r="E578" s="3" t="str">
        <f>IFERROR(__xludf.DUMMYFUNCTION("REGEXEXTRACT(C578,""[^ ]* [^ ]*"")"),"muted green")</f>
        <v>muted green</v>
      </c>
      <c r="F578" s="3" t="str">
        <f>IFERROR(__xludf.DUMMYFUNCTION("MID(REGEXEXTRACT(C578,""contain.*$""),9,300)"),"3 vibrant bronze bags, 4 dim olive bags, 2 posh yellow bags, 2 dull cyan bags.")</f>
        <v>3 vibrant bronze bags, 4 dim olive bags, 2 posh yellow bags, 2 dull cyan bags.</v>
      </c>
      <c r="G578" s="3" t="str">
        <f>IFERROR(__xludf.DUMMYFUNCTION("INDEX(SPLIT($F578,"",""),COLUMN()-6)"),"3 vibrant bronze bags")</f>
        <v>3 vibrant bronze bags</v>
      </c>
      <c r="H578" s="3" t="str">
        <f>IFERROR(__xludf.DUMMYFUNCTION("MID(INDEX(SPLIT($F578,"",""),COLUMN()-6),2,300)"),"4 dim olive bags")</f>
        <v>4 dim olive bags</v>
      </c>
      <c r="I578" s="3" t="str">
        <f>IFERROR(__xludf.DUMMYFUNCTION("MID(INDEX(SPLIT($F578,"",""),COLUMN()-6),2,300)"),"2 posh yellow bags")</f>
        <v>2 posh yellow bags</v>
      </c>
      <c r="J578" s="3" t="str">
        <f>IFERROR(__xludf.DUMMYFUNCTION("MID(INDEX(SPLIT($F578,"",""),COLUMN()-6),2,300)"),"2 dull cyan bags.")</f>
        <v>2 dull cyan bags.</v>
      </c>
      <c r="K578" s="3">
        <f>IFERROR(__xludf.DUMMYFUNCTION("INDEX(SPLIT(G578,"" ""),1)"),3.0)</f>
        <v>3</v>
      </c>
      <c r="L578" s="3" t="str">
        <f>IFERROR(__xludf.DUMMYFUNCTION("REGEXEXTRACT(G578,"" [^ ]* [^ ]* "")")," vibrant bronze ")</f>
        <v> vibrant bronze </v>
      </c>
      <c r="M578" s="3">
        <f>IFERROR(__xludf.DUMMYFUNCTION("INDEX(SPLIT(H578,"" ""),1)"),4.0)</f>
        <v>4</v>
      </c>
      <c r="N578" s="3" t="str">
        <f>IFERROR(__xludf.DUMMYFUNCTION("MID(REGEXEXTRACT(H578,"" [^ ]* [^ ]*""),2,300)"),"dim olive")</f>
        <v>dim olive</v>
      </c>
      <c r="O578" s="3">
        <f>IFERROR(__xludf.DUMMYFUNCTION("INDEX(SPLIT(I578,"" ""),1)"),2.0)</f>
        <v>2</v>
      </c>
      <c r="P578" s="3" t="str">
        <f>IFERROR(__xludf.DUMMYFUNCTION("MID(REGEXEXTRACT(I578,"" [^ ]* [^ ]*""),2,300)"),"posh yellow")</f>
        <v>posh yellow</v>
      </c>
      <c r="Q578" s="3">
        <f>IFERROR(__xludf.DUMMYFUNCTION("INDEX(SPLIT(J578,"" ""),1)"),2.0)</f>
        <v>2</v>
      </c>
      <c r="R578" s="3" t="str">
        <f>IFERROR(__xludf.DUMMYFUNCTION("MID(REGEXEXTRACT(J578,"" [^ ]* [^ ]*""),2,300)"),"dull cyan")</f>
        <v>dull cyan</v>
      </c>
      <c r="S578" s="3">
        <f t="shared" si="2"/>
        <v>3</v>
      </c>
      <c r="T578" s="3" t="str">
        <f t="shared" si="3"/>
        <v>vibrant bronze</v>
      </c>
      <c r="U578" s="3">
        <f t="shared" si="4"/>
        <v>4</v>
      </c>
      <c r="V578" s="3" t="str">
        <f t="shared" si="5"/>
        <v>dim olive</v>
      </c>
      <c r="W578" s="3">
        <f t="shared" si="6"/>
        <v>2</v>
      </c>
      <c r="X578" s="3" t="str">
        <f t="shared" si="7"/>
        <v>posh yellow</v>
      </c>
      <c r="Y578" s="3">
        <f t="shared" si="8"/>
        <v>2</v>
      </c>
      <c r="Z578" s="3" t="str">
        <f t="shared" si="9"/>
        <v>dull cyan</v>
      </c>
      <c r="AA578" s="13">
        <f t="shared" si="10"/>
        <v>13589</v>
      </c>
      <c r="AB578" s="3">
        <f t="shared" si="11"/>
        <v>13588</v>
      </c>
      <c r="AC578" s="3">
        <f t="shared" si="12"/>
        <v>3</v>
      </c>
      <c r="AD578" s="3">
        <f t="shared" si="13"/>
        <v>2520</v>
      </c>
      <c r="AE578" s="3">
        <f t="shared" si="14"/>
        <v>4</v>
      </c>
      <c r="AF578" s="3">
        <f t="shared" si="15"/>
        <v>1</v>
      </c>
      <c r="AG578" s="3">
        <f t="shared" si="16"/>
        <v>2</v>
      </c>
      <c r="AH578" s="3">
        <f t="shared" si="17"/>
        <v>4</v>
      </c>
      <c r="AI578" s="3">
        <f t="shared" si="18"/>
        <v>2</v>
      </c>
      <c r="AJ578" s="3">
        <f t="shared" si="19"/>
        <v>3008</v>
      </c>
    </row>
    <row r="579">
      <c r="C579" s="6" t="s">
        <v>579</v>
      </c>
      <c r="D579" s="3">
        <f t="shared" si="1"/>
        <v>1</v>
      </c>
      <c r="E579" s="3" t="str">
        <f>IFERROR(__xludf.DUMMYFUNCTION("REGEXEXTRACT(C579,""[^ ]* [^ ]*"")"),"pale purple")</f>
        <v>pale purple</v>
      </c>
      <c r="F579" s="3" t="str">
        <f>IFERROR(__xludf.DUMMYFUNCTION("MID(REGEXEXTRACT(C579,""contain.*$""),9,300)"),"2 drab yellow bags, 3 bright crimson bags.")</f>
        <v>2 drab yellow bags, 3 bright crimson bags.</v>
      </c>
      <c r="G579" s="3" t="str">
        <f>IFERROR(__xludf.DUMMYFUNCTION("INDEX(SPLIT($F579,"",""),COLUMN()-6)"),"2 drab yellow bags")</f>
        <v>2 drab yellow bags</v>
      </c>
      <c r="H579" s="3" t="str">
        <f>IFERROR(__xludf.DUMMYFUNCTION("MID(INDEX(SPLIT($F579,"",""),COLUMN()-6),2,300)"),"3 bright crimson bags.")</f>
        <v>3 bright crimson bags.</v>
      </c>
      <c r="I579" s="3" t="str">
        <f>IFERROR(__xludf.DUMMYFUNCTION("MID(INDEX(SPLIT($F579,"",""),COLUMN()-6),2,300)"),"#REF!")</f>
        <v>#REF!</v>
      </c>
      <c r="J579" s="3" t="str">
        <f>IFERROR(__xludf.DUMMYFUNCTION("MID(INDEX(SPLIT($F579,"",""),COLUMN()-6),2,300)"),"#REF!")</f>
        <v>#REF!</v>
      </c>
      <c r="K579" s="3">
        <f>IFERROR(__xludf.DUMMYFUNCTION("INDEX(SPLIT(G579,"" ""),1)"),2.0)</f>
        <v>2</v>
      </c>
      <c r="L579" s="3" t="str">
        <f>IFERROR(__xludf.DUMMYFUNCTION("REGEXEXTRACT(G579,"" [^ ]* [^ ]* "")")," drab yellow ")</f>
        <v> drab yellow </v>
      </c>
      <c r="M579" s="3">
        <f>IFERROR(__xludf.DUMMYFUNCTION("INDEX(SPLIT(H579,"" ""),1)"),3.0)</f>
        <v>3</v>
      </c>
      <c r="N579" s="3" t="str">
        <f>IFERROR(__xludf.DUMMYFUNCTION("MID(REGEXEXTRACT(H579,"" [^ ]* [^ ]*""),2,300)"),"bright crimson")</f>
        <v>bright crimson</v>
      </c>
      <c r="O579" s="3" t="str">
        <f>IFERROR(__xludf.DUMMYFUNCTION("INDEX(SPLIT(I579,"" ""),1)"),"#REF!")</f>
        <v>#REF!</v>
      </c>
      <c r="P579" s="3" t="str">
        <f>IFERROR(__xludf.DUMMYFUNCTION("MID(REGEXEXTRACT(I579,"" [^ ]* [^ ]*""),2,300)"),"#REF!")</f>
        <v>#REF!</v>
      </c>
      <c r="Q579" s="3" t="str">
        <f>IFERROR(__xludf.DUMMYFUNCTION("INDEX(SPLIT(J579,"" ""),1)"),"#REF!")</f>
        <v>#REF!</v>
      </c>
      <c r="R579" s="3" t="str">
        <f>IFERROR(__xludf.DUMMYFUNCTION("MID(REGEXEXTRACT(J579,"" [^ ]* [^ ]*""),2,300)"),"#REF!")</f>
        <v>#REF!</v>
      </c>
      <c r="S579" s="3">
        <f t="shared" si="2"/>
        <v>2</v>
      </c>
      <c r="T579" s="3" t="str">
        <f t="shared" si="3"/>
        <v>drab yellow</v>
      </c>
      <c r="U579" s="3">
        <f t="shared" si="4"/>
        <v>3</v>
      </c>
      <c r="V579" s="3" t="str">
        <f t="shared" si="5"/>
        <v>bright crimson</v>
      </c>
      <c r="W579" s="3" t="str">
        <f t="shared" si="6"/>
        <v/>
      </c>
      <c r="X579" s="3" t="str">
        <f t="shared" si="7"/>
        <v/>
      </c>
      <c r="Y579" s="3" t="str">
        <f t="shared" si="8"/>
        <v/>
      </c>
      <c r="Z579" s="3" t="str">
        <f t="shared" si="9"/>
        <v/>
      </c>
      <c r="AA579" s="13">
        <f t="shared" si="10"/>
        <v>1187887608</v>
      </c>
      <c r="AB579" s="3">
        <f t="shared" si="11"/>
        <v>1187887607</v>
      </c>
      <c r="AC579" s="3">
        <f t="shared" si="12"/>
        <v>2</v>
      </c>
      <c r="AD579" s="3">
        <f t="shared" si="13"/>
        <v>593942644</v>
      </c>
      <c r="AE579" s="3">
        <f t="shared" si="14"/>
        <v>3</v>
      </c>
      <c r="AF579" s="3">
        <f t="shared" si="15"/>
        <v>773</v>
      </c>
      <c r="AG579" s="3" t="str">
        <f t="shared" si="16"/>
        <v/>
      </c>
      <c r="AH579" s="3">
        <f t="shared" si="17"/>
        <v>0</v>
      </c>
      <c r="AI579" s="3" t="str">
        <f t="shared" si="18"/>
        <v/>
      </c>
      <c r="AJ579" s="3">
        <f t="shared" si="19"/>
        <v>0</v>
      </c>
    </row>
    <row r="580">
      <c r="C580" s="6" t="s">
        <v>580</v>
      </c>
      <c r="D580" s="3">
        <f t="shared" si="1"/>
        <v>1</v>
      </c>
      <c r="E580" s="3" t="str">
        <f>IFERROR(__xludf.DUMMYFUNCTION("REGEXEXTRACT(C580,""[^ ]* [^ ]*"")"),"posh fuchsia")</f>
        <v>posh fuchsia</v>
      </c>
      <c r="F580" s="3" t="str">
        <f>IFERROR(__xludf.DUMMYFUNCTION("MID(REGEXEXTRACT(C580,""contain.*$""),9,300)"),"1 dull tan bag, 2 dim orange bags.")</f>
        <v>1 dull tan bag, 2 dim orange bags.</v>
      </c>
      <c r="G580" s="3" t="str">
        <f>IFERROR(__xludf.DUMMYFUNCTION("INDEX(SPLIT($F580,"",""),COLUMN()-6)"),"1 dull tan bag")</f>
        <v>1 dull tan bag</v>
      </c>
      <c r="H580" s="3" t="str">
        <f>IFERROR(__xludf.DUMMYFUNCTION("MID(INDEX(SPLIT($F580,"",""),COLUMN()-6),2,300)"),"2 dim orange bags.")</f>
        <v>2 dim orange bags.</v>
      </c>
      <c r="I580" s="3" t="str">
        <f>IFERROR(__xludf.DUMMYFUNCTION("MID(INDEX(SPLIT($F580,"",""),COLUMN()-6),2,300)"),"#REF!")</f>
        <v>#REF!</v>
      </c>
      <c r="J580" s="3" t="str">
        <f>IFERROR(__xludf.DUMMYFUNCTION("MID(INDEX(SPLIT($F580,"",""),COLUMN()-6),2,300)"),"#REF!")</f>
        <v>#REF!</v>
      </c>
      <c r="K580" s="3">
        <f>IFERROR(__xludf.DUMMYFUNCTION("INDEX(SPLIT(G580,"" ""),1)"),1.0)</f>
        <v>1</v>
      </c>
      <c r="L580" s="3" t="str">
        <f>IFERROR(__xludf.DUMMYFUNCTION("REGEXEXTRACT(G580,"" [^ ]* [^ ]* "")")," dull tan ")</f>
        <v> dull tan </v>
      </c>
      <c r="M580" s="3">
        <f>IFERROR(__xludf.DUMMYFUNCTION("INDEX(SPLIT(H580,"" ""),1)"),2.0)</f>
        <v>2</v>
      </c>
      <c r="N580" s="3" t="str">
        <f>IFERROR(__xludf.DUMMYFUNCTION("MID(REGEXEXTRACT(H580,"" [^ ]* [^ ]*""),2,300)"),"dim orange")</f>
        <v>dim orange</v>
      </c>
      <c r="O580" s="3" t="str">
        <f>IFERROR(__xludf.DUMMYFUNCTION("INDEX(SPLIT(I580,"" ""),1)"),"#REF!")</f>
        <v>#REF!</v>
      </c>
      <c r="P580" s="3" t="str">
        <f>IFERROR(__xludf.DUMMYFUNCTION("MID(REGEXEXTRACT(I580,"" [^ ]* [^ ]*""),2,300)"),"#REF!")</f>
        <v>#REF!</v>
      </c>
      <c r="Q580" s="3" t="str">
        <f>IFERROR(__xludf.DUMMYFUNCTION("INDEX(SPLIT(J580,"" ""),1)"),"#REF!")</f>
        <v>#REF!</v>
      </c>
      <c r="R580" s="3" t="str">
        <f>IFERROR(__xludf.DUMMYFUNCTION("MID(REGEXEXTRACT(J580,"" [^ ]* [^ ]*""),2,300)"),"#REF!")</f>
        <v>#REF!</v>
      </c>
      <c r="S580" s="3">
        <f t="shared" si="2"/>
        <v>1</v>
      </c>
      <c r="T580" s="3" t="str">
        <f t="shared" si="3"/>
        <v>dull tan</v>
      </c>
      <c r="U580" s="3">
        <f t="shared" si="4"/>
        <v>2</v>
      </c>
      <c r="V580" s="3" t="str">
        <f t="shared" si="5"/>
        <v>dim orange</v>
      </c>
      <c r="W580" s="3" t="str">
        <f t="shared" si="6"/>
        <v/>
      </c>
      <c r="X580" s="3" t="str">
        <f t="shared" si="7"/>
        <v/>
      </c>
      <c r="Y580" s="3" t="str">
        <f t="shared" si="8"/>
        <v/>
      </c>
      <c r="Z580" s="3" t="str">
        <f t="shared" si="9"/>
        <v/>
      </c>
      <c r="AA580" s="13">
        <f t="shared" si="10"/>
        <v>3398927830</v>
      </c>
      <c r="AB580" s="3">
        <f t="shared" si="11"/>
        <v>3398927829</v>
      </c>
      <c r="AC580" s="3">
        <f t="shared" si="12"/>
        <v>1</v>
      </c>
      <c r="AD580" s="3">
        <f t="shared" si="13"/>
        <v>321177</v>
      </c>
      <c r="AE580" s="3">
        <f t="shared" si="14"/>
        <v>2</v>
      </c>
      <c r="AF580" s="3">
        <f t="shared" si="15"/>
        <v>1699303326</v>
      </c>
      <c r="AG580" s="3" t="str">
        <f t="shared" si="16"/>
        <v/>
      </c>
      <c r="AH580" s="3">
        <f t="shared" si="17"/>
        <v>0</v>
      </c>
      <c r="AI580" s="3" t="str">
        <f t="shared" si="18"/>
        <v/>
      </c>
      <c r="AJ580" s="3">
        <f t="shared" si="19"/>
        <v>0</v>
      </c>
    </row>
    <row r="581">
      <c r="C581" s="6" t="s">
        <v>581</v>
      </c>
      <c r="D581" s="3">
        <f t="shared" si="1"/>
        <v>3</v>
      </c>
      <c r="E581" s="3" t="str">
        <f>IFERROR(__xludf.DUMMYFUNCTION("REGEXEXTRACT(C581,""[^ ]* [^ ]*"")"),"drab teal")</f>
        <v>drab teal</v>
      </c>
      <c r="F581" s="3" t="str">
        <f>IFERROR(__xludf.DUMMYFUNCTION("MID(REGEXEXTRACT(C581,""contain.*$""),9,300)"),"1 dim violet bag, 2 drab green bags, 5 mirrored lavender bags, 2 faded purple bags.")</f>
        <v>1 dim violet bag, 2 drab green bags, 5 mirrored lavender bags, 2 faded purple bags.</v>
      </c>
      <c r="G581" s="3" t="str">
        <f>IFERROR(__xludf.DUMMYFUNCTION("INDEX(SPLIT($F581,"",""),COLUMN()-6)"),"1 dim violet bag")</f>
        <v>1 dim violet bag</v>
      </c>
      <c r="H581" s="3" t="str">
        <f>IFERROR(__xludf.DUMMYFUNCTION("MID(INDEX(SPLIT($F581,"",""),COLUMN()-6),2,300)"),"2 drab green bags")</f>
        <v>2 drab green bags</v>
      </c>
      <c r="I581" s="3" t="str">
        <f>IFERROR(__xludf.DUMMYFUNCTION("MID(INDEX(SPLIT($F581,"",""),COLUMN()-6),2,300)"),"5 mirrored lavender bags")</f>
        <v>5 mirrored lavender bags</v>
      </c>
      <c r="J581" s="3" t="str">
        <f>IFERROR(__xludf.DUMMYFUNCTION("MID(INDEX(SPLIT($F581,"",""),COLUMN()-6),2,300)"),"2 faded purple bags.")</f>
        <v>2 faded purple bags.</v>
      </c>
      <c r="K581" s="3">
        <f>IFERROR(__xludf.DUMMYFUNCTION("INDEX(SPLIT(G581,"" ""),1)"),1.0)</f>
        <v>1</v>
      </c>
      <c r="L581" s="3" t="str">
        <f>IFERROR(__xludf.DUMMYFUNCTION("REGEXEXTRACT(G581,"" [^ ]* [^ ]* "")")," dim violet ")</f>
        <v> dim violet </v>
      </c>
      <c r="M581" s="3">
        <f>IFERROR(__xludf.DUMMYFUNCTION("INDEX(SPLIT(H581,"" ""),1)"),2.0)</f>
        <v>2</v>
      </c>
      <c r="N581" s="3" t="str">
        <f>IFERROR(__xludf.DUMMYFUNCTION("MID(REGEXEXTRACT(H581,"" [^ ]* [^ ]*""),2,300)"),"drab green")</f>
        <v>drab green</v>
      </c>
      <c r="O581" s="3">
        <f>IFERROR(__xludf.DUMMYFUNCTION("INDEX(SPLIT(I581,"" ""),1)"),5.0)</f>
        <v>5</v>
      </c>
      <c r="P581" s="3" t="str">
        <f>IFERROR(__xludf.DUMMYFUNCTION("MID(REGEXEXTRACT(I581,"" [^ ]* [^ ]*""),2,300)"),"mirrored lavender")</f>
        <v>mirrored lavender</v>
      </c>
      <c r="Q581" s="3">
        <f>IFERROR(__xludf.DUMMYFUNCTION("INDEX(SPLIT(J581,"" ""),1)"),2.0)</f>
        <v>2</v>
      </c>
      <c r="R581" s="3" t="str">
        <f>IFERROR(__xludf.DUMMYFUNCTION("MID(REGEXEXTRACT(J581,"" [^ ]* [^ ]*""),2,300)"),"faded purple")</f>
        <v>faded purple</v>
      </c>
      <c r="S581" s="3">
        <f t="shared" si="2"/>
        <v>1</v>
      </c>
      <c r="T581" s="3" t="str">
        <f t="shared" si="3"/>
        <v>dim violet</v>
      </c>
      <c r="U581" s="3">
        <f t="shared" si="4"/>
        <v>2</v>
      </c>
      <c r="V581" s="3" t="str">
        <f t="shared" si="5"/>
        <v>drab green</v>
      </c>
      <c r="W581" s="3">
        <f t="shared" si="6"/>
        <v>5</v>
      </c>
      <c r="X581" s="3" t="str">
        <f t="shared" si="7"/>
        <v>mirrored lavender</v>
      </c>
      <c r="Y581" s="3">
        <f t="shared" si="8"/>
        <v>2</v>
      </c>
      <c r="Z581" s="3" t="str">
        <f t="shared" si="9"/>
        <v>faded purple</v>
      </c>
      <c r="AA581" s="13">
        <f t="shared" si="10"/>
        <v>40693</v>
      </c>
      <c r="AB581" s="3">
        <f t="shared" si="11"/>
        <v>40692</v>
      </c>
      <c r="AC581" s="3">
        <f t="shared" si="12"/>
        <v>1</v>
      </c>
      <c r="AD581" s="3">
        <f t="shared" si="13"/>
        <v>153</v>
      </c>
      <c r="AE581" s="3">
        <f t="shared" si="14"/>
        <v>2</v>
      </c>
      <c r="AF581" s="3">
        <f t="shared" si="15"/>
        <v>5</v>
      </c>
      <c r="AG581" s="3">
        <f t="shared" si="16"/>
        <v>5</v>
      </c>
      <c r="AH581" s="3">
        <f t="shared" si="17"/>
        <v>5563</v>
      </c>
      <c r="AI581" s="3">
        <f t="shared" si="18"/>
        <v>2</v>
      </c>
      <c r="AJ581" s="3">
        <f t="shared" si="19"/>
        <v>6357</v>
      </c>
    </row>
    <row r="582">
      <c r="C582" s="6" t="s">
        <v>582</v>
      </c>
      <c r="D582" s="3">
        <f t="shared" si="1"/>
        <v>3</v>
      </c>
      <c r="E582" s="3" t="str">
        <f>IFERROR(__xludf.DUMMYFUNCTION("REGEXEXTRACT(C582,""[^ ]* [^ ]*"")"),"mirrored teal")</f>
        <v>mirrored teal</v>
      </c>
      <c r="F582" s="3" t="str">
        <f>IFERROR(__xludf.DUMMYFUNCTION("MID(REGEXEXTRACT(C582,""contain.*$""),9,300)"),"4 vibrant aqua bags, 2 dull turquoise bags, 4 vibrant bronze bags, 3 mirrored olive bags.")</f>
        <v>4 vibrant aqua bags, 2 dull turquoise bags, 4 vibrant bronze bags, 3 mirrored olive bags.</v>
      </c>
      <c r="G582" s="3" t="str">
        <f>IFERROR(__xludf.DUMMYFUNCTION("INDEX(SPLIT($F582,"",""),COLUMN()-6)"),"4 vibrant aqua bags")</f>
        <v>4 vibrant aqua bags</v>
      </c>
      <c r="H582" s="3" t="str">
        <f>IFERROR(__xludf.DUMMYFUNCTION("MID(INDEX(SPLIT($F582,"",""),COLUMN()-6),2,300)"),"2 dull turquoise bags")</f>
        <v>2 dull turquoise bags</v>
      </c>
      <c r="I582" s="3" t="str">
        <f>IFERROR(__xludf.DUMMYFUNCTION("MID(INDEX(SPLIT($F582,"",""),COLUMN()-6),2,300)"),"4 vibrant bronze bags")</f>
        <v>4 vibrant bronze bags</v>
      </c>
      <c r="J582" s="3" t="str">
        <f>IFERROR(__xludf.DUMMYFUNCTION("MID(INDEX(SPLIT($F582,"",""),COLUMN()-6),2,300)"),"3 mirrored olive bags.")</f>
        <v>3 mirrored olive bags.</v>
      </c>
      <c r="K582" s="3">
        <f>IFERROR(__xludf.DUMMYFUNCTION("INDEX(SPLIT(G582,"" ""),1)"),4.0)</f>
        <v>4</v>
      </c>
      <c r="L582" s="3" t="str">
        <f>IFERROR(__xludf.DUMMYFUNCTION("REGEXEXTRACT(G582,"" [^ ]* [^ ]* "")")," vibrant aqua ")</f>
        <v> vibrant aqua </v>
      </c>
      <c r="M582" s="3">
        <f>IFERROR(__xludf.DUMMYFUNCTION("INDEX(SPLIT(H582,"" ""),1)"),2.0)</f>
        <v>2</v>
      </c>
      <c r="N582" s="3" t="str">
        <f>IFERROR(__xludf.DUMMYFUNCTION("MID(REGEXEXTRACT(H582,"" [^ ]* [^ ]*""),2,300)"),"dull turquoise")</f>
        <v>dull turquoise</v>
      </c>
      <c r="O582" s="3">
        <f>IFERROR(__xludf.DUMMYFUNCTION("INDEX(SPLIT(I582,"" ""),1)"),4.0)</f>
        <v>4</v>
      </c>
      <c r="P582" s="3" t="str">
        <f>IFERROR(__xludf.DUMMYFUNCTION("MID(REGEXEXTRACT(I582,"" [^ ]* [^ ]*""),2,300)"),"vibrant bronze")</f>
        <v>vibrant bronze</v>
      </c>
      <c r="Q582" s="3">
        <f>IFERROR(__xludf.DUMMYFUNCTION("INDEX(SPLIT(J582,"" ""),1)"),3.0)</f>
        <v>3</v>
      </c>
      <c r="R582" s="3" t="str">
        <f>IFERROR(__xludf.DUMMYFUNCTION("MID(REGEXEXTRACT(J582,"" [^ ]* [^ ]*""),2,300)"),"mirrored olive")</f>
        <v>mirrored olive</v>
      </c>
      <c r="S582" s="3">
        <f t="shared" si="2"/>
        <v>4</v>
      </c>
      <c r="T582" s="3" t="str">
        <f t="shared" si="3"/>
        <v>vibrant aqua</v>
      </c>
      <c r="U582" s="3">
        <f t="shared" si="4"/>
        <v>2</v>
      </c>
      <c r="V582" s="3" t="str">
        <f t="shared" si="5"/>
        <v>dull turquoise</v>
      </c>
      <c r="W582" s="3">
        <f t="shared" si="6"/>
        <v>4</v>
      </c>
      <c r="X582" s="3" t="str">
        <f t="shared" si="7"/>
        <v>vibrant bronze</v>
      </c>
      <c r="Y582" s="3">
        <f t="shared" si="8"/>
        <v>3</v>
      </c>
      <c r="Z582" s="3" t="str">
        <f t="shared" si="9"/>
        <v>mirrored olive</v>
      </c>
      <c r="AA582" s="13">
        <f t="shared" si="10"/>
        <v>725247</v>
      </c>
      <c r="AB582" s="3">
        <f t="shared" si="11"/>
        <v>725246</v>
      </c>
      <c r="AC582" s="3">
        <f t="shared" si="12"/>
        <v>4</v>
      </c>
      <c r="AD582" s="3">
        <f t="shared" si="13"/>
        <v>1</v>
      </c>
      <c r="AE582" s="3">
        <f t="shared" si="14"/>
        <v>2</v>
      </c>
      <c r="AF582" s="3">
        <f t="shared" si="15"/>
        <v>346469</v>
      </c>
      <c r="AG582" s="3">
        <f t="shared" si="16"/>
        <v>4</v>
      </c>
      <c r="AH582" s="3">
        <f t="shared" si="17"/>
        <v>2520</v>
      </c>
      <c r="AI582" s="3">
        <f t="shared" si="18"/>
        <v>3</v>
      </c>
      <c r="AJ582" s="3">
        <f t="shared" si="19"/>
        <v>7408</v>
      </c>
    </row>
    <row r="583">
      <c r="C583" s="6" t="s">
        <v>583</v>
      </c>
      <c r="D583" s="3">
        <f t="shared" si="1"/>
        <v>0</v>
      </c>
      <c r="E583" s="3" t="str">
        <f>IFERROR(__xludf.DUMMYFUNCTION("REGEXEXTRACT(C583,""[^ ]* [^ ]*"")"),"muted violet")</f>
        <v>muted violet</v>
      </c>
      <c r="F583" s="3" t="str">
        <f>IFERROR(__xludf.DUMMYFUNCTION("MID(REGEXEXTRACT(C583,""contain.*$""),9,300)"),"3 wavy chartreuse bags.")</f>
        <v>3 wavy chartreuse bags.</v>
      </c>
      <c r="G583" s="3" t="str">
        <f>IFERROR(__xludf.DUMMYFUNCTION("INDEX(SPLIT($F583,"",""),COLUMN()-6)"),"3 wavy chartreuse bags.")</f>
        <v>3 wavy chartreuse bags.</v>
      </c>
      <c r="H583" s="3" t="str">
        <f>IFERROR(__xludf.DUMMYFUNCTION("MID(INDEX(SPLIT($F583,"",""),COLUMN()-6),2,300)"),"#REF!")</f>
        <v>#REF!</v>
      </c>
      <c r="I583" s="3" t="str">
        <f>IFERROR(__xludf.DUMMYFUNCTION("MID(INDEX(SPLIT($F583,"",""),COLUMN()-6),2,300)"),"#REF!")</f>
        <v>#REF!</v>
      </c>
      <c r="J583" s="3" t="str">
        <f>IFERROR(__xludf.DUMMYFUNCTION("MID(INDEX(SPLIT($F583,"",""),COLUMN()-6),2,300)"),"#REF!")</f>
        <v>#REF!</v>
      </c>
      <c r="K583" s="3">
        <f>IFERROR(__xludf.DUMMYFUNCTION("INDEX(SPLIT(G583,"" ""),1)"),3.0)</f>
        <v>3</v>
      </c>
      <c r="L583" s="3" t="str">
        <f>IFERROR(__xludf.DUMMYFUNCTION("REGEXEXTRACT(G583,"" [^ ]* [^ ]* "")")," wavy chartreuse ")</f>
        <v> wavy chartreuse </v>
      </c>
      <c r="M583" s="3" t="str">
        <f>IFERROR(__xludf.DUMMYFUNCTION("INDEX(SPLIT(H583,"" ""),1)"),"#REF!")</f>
        <v>#REF!</v>
      </c>
      <c r="N583" s="3" t="str">
        <f>IFERROR(__xludf.DUMMYFUNCTION("MID(REGEXEXTRACT(H583,"" [^ ]* [^ ]*""),2,300)"),"#REF!")</f>
        <v>#REF!</v>
      </c>
      <c r="O583" s="3" t="str">
        <f>IFERROR(__xludf.DUMMYFUNCTION("INDEX(SPLIT(I583,"" ""),1)"),"#REF!")</f>
        <v>#REF!</v>
      </c>
      <c r="P583" s="3" t="str">
        <f>IFERROR(__xludf.DUMMYFUNCTION("MID(REGEXEXTRACT(I583,"" [^ ]* [^ ]*""),2,300)"),"#REF!")</f>
        <v>#REF!</v>
      </c>
      <c r="Q583" s="3" t="str">
        <f>IFERROR(__xludf.DUMMYFUNCTION("INDEX(SPLIT(J583,"" ""),1)"),"#REF!")</f>
        <v>#REF!</v>
      </c>
      <c r="R583" s="3" t="str">
        <f>IFERROR(__xludf.DUMMYFUNCTION("MID(REGEXEXTRACT(J583,"" [^ ]* [^ ]*""),2,300)"),"#REF!")</f>
        <v>#REF!</v>
      </c>
      <c r="S583" s="3">
        <f t="shared" si="2"/>
        <v>3</v>
      </c>
      <c r="T583" s="3" t="str">
        <f t="shared" si="3"/>
        <v>wavy chartreuse</v>
      </c>
      <c r="U583" s="3" t="str">
        <f t="shared" si="4"/>
        <v/>
      </c>
      <c r="V583" s="3" t="str">
        <f t="shared" si="5"/>
        <v/>
      </c>
      <c r="W583" s="3" t="str">
        <f t="shared" si="6"/>
        <v/>
      </c>
      <c r="X583" s="3" t="str">
        <f t="shared" si="7"/>
        <v/>
      </c>
      <c r="Y583" s="3" t="str">
        <f t="shared" si="8"/>
        <v/>
      </c>
      <c r="Z583" s="3" t="str">
        <f t="shared" si="9"/>
        <v/>
      </c>
      <c r="AA583" s="13">
        <f t="shared" si="10"/>
        <v>4</v>
      </c>
      <c r="AB583" s="3">
        <f t="shared" si="11"/>
        <v>3</v>
      </c>
      <c r="AC583" s="3">
        <f t="shared" si="12"/>
        <v>3</v>
      </c>
      <c r="AD583" s="3">
        <f t="shared" si="13"/>
        <v>1</v>
      </c>
      <c r="AE583" s="3" t="str">
        <f t="shared" si="14"/>
        <v/>
      </c>
      <c r="AF583" s="3">
        <f t="shared" si="15"/>
        <v>0</v>
      </c>
      <c r="AG583" s="3" t="str">
        <f t="shared" si="16"/>
        <v/>
      </c>
      <c r="AH583" s="3">
        <f t="shared" si="17"/>
        <v>0</v>
      </c>
      <c r="AI583" s="3" t="str">
        <f t="shared" si="18"/>
        <v/>
      </c>
      <c r="AJ583" s="3">
        <f t="shared" si="19"/>
        <v>0</v>
      </c>
    </row>
    <row r="584">
      <c r="C584" s="6" t="s">
        <v>584</v>
      </c>
      <c r="D584" s="3">
        <f t="shared" si="1"/>
        <v>2</v>
      </c>
      <c r="E584" s="3" t="str">
        <f>IFERROR(__xludf.DUMMYFUNCTION("REGEXEXTRACT(C584,""[^ ]* [^ ]*"")"),"mirrored salmon")</f>
        <v>mirrored salmon</v>
      </c>
      <c r="F584" s="3" t="str">
        <f>IFERROR(__xludf.DUMMYFUNCTION("MID(REGEXEXTRACT(C584,""contain.*$""),9,300)"),"3 clear cyan bags, 5 posh plum bags, 1 shiny coral bag.")</f>
        <v>3 clear cyan bags, 5 posh plum bags, 1 shiny coral bag.</v>
      </c>
      <c r="G584" s="3" t="str">
        <f>IFERROR(__xludf.DUMMYFUNCTION("INDEX(SPLIT($F584,"",""),COLUMN()-6)"),"3 clear cyan bags")</f>
        <v>3 clear cyan bags</v>
      </c>
      <c r="H584" s="3" t="str">
        <f>IFERROR(__xludf.DUMMYFUNCTION("MID(INDEX(SPLIT($F584,"",""),COLUMN()-6),2,300)"),"5 posh plum bags")</f>
        <v>5 posh plum bags</v>
      </c>
      <c r="I584" s="3" t="str">
        <f>IFERROR(__xludf.DUMMYFUNCTION("MID(INDEX(SPLIT($F584,"",""),COLUMN()-6),2,300)"),"1 shiny coral bag.")</f>
        <v>1 shiny coral bag.</v>
      </c>
      <c r="J584" s="3" t="str">
        <f>IFERROR(__xludf.DUMMYFUNCTION("MID(INDEX(SPLIT($F584,"",""),COLUMN()-6),2,300)"),"#REF!")</f>
        <v>#REF!</v>
      </c>
      <c r="K584" s="3">
        <f>IFERROR(__xludf.DUMMYFUNCTION("INDEX(SPLIT(G584,"" ""),1)"),3.0)</f>
        <v>3</v>
      </c>
      <c r="L584" s="3" t="str">
        <f>IFERROR(__xludf.DUMMYFUNCTION("REGEXEXTRACT(G584,"" [^ ]* [^ ]* "")")," clear cyan ")</f>
        <v> clear cyan </v>
      </c>
      <c r="M584" s="3">
        <f>IFERROR(__xludf.DUMMYFUNCTION("INDEX(SPLIT(H584,"" ""),1)"),5.0)</f>
        <v>5</v>
      </c>
      <c r="N584" s="3" t="str">
        <f>IFERROR(__xludf.DUMMYFUNCTION("MID(REGEXEXTRACT(H584,"" [^ ]* [^ ]*""),2,300)"),"posh plum")</f>
        <v>posh plum</v>
      </c>
      <c r="O584" s="3">
        <f>IFERROR(__xludf.DUMMYFUNCTION("INDEX(SPLIT(I584,"" ""),1)"),1.0)</f>
        <v>1</v>
      </c>
      <c r="P584" s="3" t="str">
        <f>IFERROR(__xludf.DUMMYFUNCTION("MID(REGEXEXTRACT(I584,"" [^ ]* [^ ]*""),2,300)"),"shiny coral")</f>
        <v>shiny coral</v>
      </c>
      <c r="Q584" s="3" t="str">
        <f>IFERROR(__xludf.DUMMYFUNCTION("INDEX(SPLIT(J584,"" ""),1)"),"#REF!")</f>
        <v>#REF!</v>
      </c>
      <c r="R584" s="3" t="str">
        <f>IFERROR(__xludf.DUMMYFUNCTION("MID(REGEXEXTRACT(J584,"" [^ ]* [^ ]*""),2,300)"),"#REF!")</f>
        <v>#REF!</v>
      </c>
      <c r="S584" s="3">
        <f t="shared" si="2"/>
        <v>3</v>
      </c>
      <c r="T584" s="3" t="str">
        <f t="shared" si="3"/>
        <v>clear cyan</v>
      </c>
      <c r="U584" s="3">
        <f t="shared" si="4"/>
        <v>5</v>
      </c>
      <c r="V584" s="3" t="str">
        <f t="shared" si="5"/>
        <v>posh plum</v>
      </c>
      <c r="W584" s="3">
        <f t="shared" si="6"/>
        <v>1</v>
      </c>
      <c r="X584" s="3" t="str">
        <f t="shared" si="7"/>
        <v>shiny coral</v>
      </c>
      <c r="Y584" s="3" t="str">
        <f t="shared" si="8"/>
        <v/>
      </c>
      <c r="Z584" s="3" t="str">
        <f t="shared" si="9"/>
        <v/>
      </c>
      <c r="AA584" s="13">
        <f t="shared" si="10"/>
        <v>2728077</v>
      </c>
      <c r="AB584" s="3">
        <f t="shared" si="11"/>
        <v>2728076</v>
      </c>
      <c r="AC584" s="3">
        <f t="shared" si="12"/>
        <v>3</v>
      </c>
      <c r="AD584" s="3">
        <f t="shared" si="13"/>
        <v>899055</v>
      </c>
      <c r="AE584" s="3">
        <f t="shared" si="14"/>
        <v>5</v>
      </c>
      <c r="AF584" s="3">
        <f t="shared" si="15"/>
        <v>6182</v>
      </c>
      <c r="AG584" s="3">
        <f t="shared" si="16"/>
        <v>1</v>
      </c>
      <c r="AH584" s="3">
        <f t="shared" si="17"/>
        <v>1</v>
      </c>
      <c r="AI584" s="3" t="str">
        <f t="shared" si="18"/>
        <v/>
      </c>
      <c r="AJ584" s="3">
        <f t="shared" si="19"/>
        <v>0</v>
      </c>
    </row>
    <row r="585">
      <c r="C585" s="6" t="s">
        <v>585</v>
      </c>
      <c r="D585" s="3">
        <f t="shared" si="1"/>
        <v>2</v>
      </c>
      <c r="E585" s="3" t="str">
        <f>IFERROR(__xludf.DUMMYFUNCTION("REGEXEXTRACT(C585,""[^ ]* [^ ]*"")"),"vibrant crimson")</f>
        <v>vibrant crimson</v>
      </c>
      <c r="F585" s="3" t="str">
        <f>IFERROR(__xludf.DUMMYFUNCTION("MID(REGEXEXTRACT(C585,""contain.*$""),9,300)"),"4 dotted chartreuse bags, 2 wavy yellow bags, 3 drab green bags.")</f>
        <v>4 dotted chartreuse bags, 2 wavy yellow bags, 3 drab green bags.</v>
      </c>
      <c r="G585" s="3" t="str">
        <f>IFERROR(__xludf.DUMMYFUNCTION("INDEX(SPLIT($F585,"",""),COLUMN()-6)"),"4 dotted chartreuse bags")</f>
        <v>4 dotted chartreuse bags</v>
      </c>
      <c r="H585" s="3" t="str">
        <f>IFERROR(__xludf.DUMMYFUNCTION("MID(INDEX(SPLIT($F585,"",""),COLUMN()-6),2,300)"),"2 wavy yellow bags")</f>
        <v>2 wavy yellow bags</v>
      </c>
      <c r="I585" s="3" t="str">
        <f>IFERROR(__xludf.DUMMYFUNCTION("MID(INDEX(SPLIT($F585,"",""),COLUMN()-6),2,300)"),"3 drab green bags.")</f>
        <v>3 drab green bags.</v>
      </c>
      <c r="J585" s="3" t="str">
        <f>IFERROR(__xludf.DUMMYFUNCTION("MID(INDEX(SPLIT($F585,"",""),COLUMN()-6),2,300)"),"#REF!")</f>
        <v>#REF!</v>
      </c>
      <c r="K585" s="3">
        <f>IFERROR(__xludf.DUMMYFUNCTION("INDEX(SPLIT(G585,"" ""),1)"),4.0)</f>
        <v>4</v>
      </c>
      <c r="L585" s="3" t="str">
        <f>IFERROR(__xludf.DUMMYFUNCTION("REGEXEXTRACT(G585,"" [^ ]* [^ ]* "")")," dotted chartreuse ")</f>
        <v> dotted chartreuse </v>
      </c>
      <c r="M585" s="3">
        <f>IFERROR(__xludf.DUMMYFUNCTION("INDEX(SPLIT(H585,"" ""),1)"),2.0)</f>
        <v>2</v>
      </c>
      <c r="N585" s="3" t="str">
        <f>IFERROR(__xludf.DUMMYFUNCTION("MID(REGEXEXTRACT(H585,"" [^ ]* [^ ]*""),2,300)"),"wavy yellow")</f>
        <v>wavy yellow</v>
      </c>
      <c r="O585" s="3">
        <f>IFERROR(__xludf.DUMMYFUNCTION("INDEX(SPLIT(I585,"" ""),1)"),3.0)</f>
        <v>3</v>
      </c>
      <c r="P585" s="3" t="str">
        <f>IFERROR(__xludf.DUMMYFUNCTION("MID(REGEXEXTRACT(I585,"" [^ ]* [^ ]*""),2,300)"),"drab green")</f>
        <v>drab green</v>
      </c>
      <c r="Q585" s="3" t="str">
        <f>IFERROR(__xludf.DUMMYFUNCTION("INDEX(SPLIT(J585,"" ""),1)"),"#REF!")</f>
        <v>#REF!</v>
      </c>
      <c r="R585" s="3" t="str">
        <f>IFERROR(__xludf.DUMMYFUNCTION("MID(REGEXEXTRACT(J585,"" [^ ]* [^ ]*""),2,300)"),"#REF!")</f>
        <v>#REF!</v>
      </c>
      <c r="S585" s="3">
        <f t="shared" si="2"/>
        <v>4</v>
      </c>
      <c r="T585" s="3" t="str">
        <f t="shared" si="3"/>
        <v>dotted chartreuse</v>
      </c>
      <c r="U585" s="3">
        <f t="shared" si="4"/>
        <v>2</v>
      </c>
      <c r="V585" s="3" t="str">
        <f t="shared" si="5"/>
        <v>wavy yellow</v>
      </c>
      <c r="W585" s="3">
        <f t="shared" si="6"/>
        <v>3</v>
      </c>
      <c r="X585" s="3" t="str">
        <f t="shared" si="7"/>
        <v>drab green</v>
      </c>
      <c r="Y585" s="3" t="str">
        <f t="shared" si="8"/>
        <v/>
      </c>
      <c r="Z585" s="3" t="str">
        <f t="shared" si="9"/>
        <v/>
      </c>
      <c r="AA585" s="13">
        <f t="shared" si="10"/>
        <v>338836</v>
      </c>
      <c r="AB585" s="3">
        <f t="shared" si="11"/>
        <v>338835</v>
      </c>
      <c r="AC585" s="3">
        <f t="shared" si="12"/>
        <v>4</v>
      </c>
      <c r="AD585" s="3">
        <f t="shared" si="13"/>
        <v>71962</v>
      </c>
      <c r="AE585" s="3">
        <f t="shared" si="14"/>
        <v>2</v>
      </c>
      <c r="AF585" s="3">
        <f t="shared" si="15"/>
        <v>25486</v>
      </c>
      <c r="AG585" s="3">
        <f t="shared" si="16"/>
        <v>3</v>
      </c>
      <c r="AH585" s="3">
        <f t="shared" si="17"/>
        <v>5</v>
      </c>
      <c r="AI585" s="3" t="str">
        <f t="shared" si="18"/>
        <v/>
      </c>
      <c r="AJ585" s="3">
        <f t="shared" si="19"/>
        <v>0</v>
      </c>
    </row>
    <row r="586">
      <c r="C586" s="6" t="s">
        <v>586</v>
      </c>
      <c r="D586" s="3">
        <f t="shared" si="1"/>
        <v>3</v>
      </c>
      <c r="E586" s="3" t="str">
        <f>IFERROR(__xludf.DUMMYFUNCTION("REGEXEXTRACT(C586,""[^ ]* [^ ]*"")"),"dotted teal")</f>
        <v>dotted teal</v>
      </c>
      <c r="F586" s="3" t="str">
        <f>IFERROR(__xludf.DUMMYFUNCTION("MID(REGEXEXTRACT(C586,""contain.*$""),9,300)"),"3 clear black bags, 1 faded blue bag, 1 clear beige bag, 4 striped brown bags.")</f>
        <v>3 clear black bags, 1 faded blue bag, 1 clear beige bag, 4 striped brown bags.</v>
      </c>
      <c r="G586" s="3" t="str">
        <f>IFERROR(__xludf.DUMMYFUNCTION("INDEX(SPLIT($F586,"",""),COLUMN()-6)"),"3 clear black bags")</f>
        <v>3 clear black bags</v>
      </c>
      <c r="H586" s="3" t="str">
        <f>IFERROR(__xludf.DUMMYFUNCTION("MID(INDEX(SPLIT($F586,"",""),COLUMN()-6),2,300)"),"1 faded blue bag")</f>
        <v>1 faded blue bag</v>
      </c>
      <c r="I586" s="3" t="str">
        <f>IFERROR(__xludf.DUMMYFUNCTION("MID(INDEX(SPLIT($F586,"",""),COLUMN()-6),2,300)"),"1 clear beige bag")</f>
        <v>1 clear beige bag</v>
      </c>
      <c r="J586" s="3" t="str">
        <f>IFERROR(__xludf.DUMMYFUNCTION("MID(INDEX(SPLIT($F586,"",""),COLUMN()-6),2,300)"),"4 striped brown bags.")</f>
        <v>4 striped brown bags.</v>
      </c>
      <c r="K586" s="3">
        <f>IFERROR(__xludf.DUMMYFUNCTION("INDEX(SPLIT(G586,"" ""),1)"),3.0)</f>
        <v>3</v>
      </c>
      <c r="L586" s="3" t="str">
        <f>IFERROR(__xludf.DUMMYFUNCTION("REGEXEXTRACT(G586,"" [^ ]* [^ ]* "")")," clear black ")</f>
        <v> clear black </v>
      </c>
      <c r="M586" s="3">
        <f>IFERROR(__xludf.DUMMYFUNCTION("INDEX(SPLIT(H586,"" ""),1)"),1.0)</f>
        <v>1</v>
      </c>
      <c r="N586" s="3" t="str">
        <f>IFERROR(__xludf.DUMMYFUNCTION("MID(REGEXEXTRACT(H586,"" [^ ]* [^ ]*""),2,300)"),"faded blue")</f>
        <v>faded blue</v>
      </c>
      <c r="O586" s="3">
        <f>IFERROR(__xludf.DUMMYFUNCTION("INDEX(SPLIT(I586,"" ""),1)"),1.0)</f>
        <v>1</v>
      </c>
      <c r="P586" s="3" t="str">
        <f>IFERROR(__xludf.DUMMYFUNCTION("MID(REGEXEXTRACT(I586,"" [^ ]* [^ ]*""),2,300)"),"clear beige")</f>
        <v>clear beige</v>
      </c>
      <c r="Q586" s="3">
        <f>IFERROR(__xludf.DUMMYFUNCTION("INDEX(SPLIT(J586,"" ""),1)"),4.0)</f>
        <v>4</v>
      </c>
      <c r="R586" s="3" t="str">
        <f>IFERROR(__xludf.DUMMYFUNCTION("MID(REGEXEXTRACT(J586,"" [^ ]* [^ ]*""),2,300)"),"striped brown")</f>
        <v>striped brown</v>
      </c>
      <c r="S586" s="3">
        <f t="shared" si="2"/>
        <v>3</v>
      </c>
      <c r="T586" s="3" t="str">
        <f t="shared" si="3"/>
        <v>clear black</v>
      </c>
      <c r="U586" s="3">
        <f t="shared" si="4"/>
        <v>1</v>
      </c>
      <c r="V586" s="3" t="str">
        <f t="shared" si="5"/>
        <v>faded blue</v>
      </c>
      <c r="W586" s="3">
        <f t="shared" si="6"/>
        <v>1</v>
      </c>
      <c r="X586" s="3" t="str">
        <f t="shared" si="7"/>
        <v>clear beige</v>
      </c>
      <c r="Y586" s="3">
        <f t="shared" si="8"/>
        <v>4</v>
      </c>
      <c r="Z586" s="3" t="str">
        <f t="shared" si="9"/>
        <v>striped brown</v>
      </c>
      <c r="AA586" s="13">
        <f t="shared" si="10"/>
        <v>797530850</v>
      </c>
      <c r="AB586" s="3">
        <f t="shared" si="11"/>
        <v>797530849</v>
      </c>
      <c r="AC586" s="3">
        <f t="shared" si="12"/>
        <v>3</v>
      </c>
      <c r="AD586" s="3">
        <f t="shared" si="13"/>
        <v>12</v>
      </c>
      <c r="AE586" s="3">
        <f t="shared" si="14"/>
        <v>1</v>
      </c>
      <c r="AF586" s="3">
        <f t="shared" si="15"/>
        <v>12631028</v>
      </c>
      <c r="AG586" s="3">
        <f t="shared" si="16"/>
        <v>1</v>
      </c>
      <c r="AH586" s="3">
        <f t="shared" si="17"/>
        <v>156976053</v>
      </c>
      <c r="AI586" s="3">
        <f t="shared" si="18"/>
        <v>4</v>
      </c>
      <c r="AJ586" s="3">
        <f t="shared" si="19"/>
        <v>156980933</v>
      </c>
    </row>
    <row r="587">
      <c r="C587" s="6" t="s">
        <v>587</v>
      </c>
      <c r="D587" s="3">
        <f t="shared" si="1"/>
        <v>0</v>
      </c>
      <c r="E587" s="3" t="str">
        <f>IFERROR(__xludf.DUMMYFUNCTION("REGEXEXTRACT(C587,""[^ ]* [^ ]*"")"),"posh orange")</f>
        <v>posh orange</v>
      </c>
      <c r="F587" s="3" t="str">
        <f>IFERROR(__xludf.DUMMYFUNCTION("MID(REGEXEXTRACT(C587,""contain.*$""),9,300)"),"1 dim olive bag.")</f>
        <v>1 dim olive bag.</v>
      </c>
      <c r="G587" s="3" t="str">
        <f>IFERROR(__xludf.DUMMYFUNCTION("INDEX(SPLIT($F587,"",""),COLUMN()-6)"),"1 dim olive bag.")</f>
        <v>1 dim olive bag.</v>
      </c>
      <c r="H587" s="3" t="str">
        <f>IFERROR(__xludf.DUMMYFUNCTION("MID(INDEX(SPLIT($F587,"",""),COLUMN()-6),2,300)"),"#REF!")</f>
        <v>#REF!</v>
      </c>
      <c r="I587" s="3" t="str">
        <f>IFERROR(__xludf.DUMMYFUNCTION("MID(INDEX(SPLIT($F587,"",""),COLUMN()-6),2,300)"),"#REF!")</f>
        <v>#REF!</v>
      </c>
      <c r="J587" s="3" t="str">
        <f>IFERROR(__xludf.DUMMYFUNCTION("MID(INDEX(SPLIT($F587,"",""),COLUMN()-6),2,300)"),"#REF!")</f>
        <v>#REF!</v>
      </c>
      <c r="K587" s="3">
        <f>IFERROR(__xludf.DUMMYFUNCTION("INDEX(SPLIT(G587,"" ""),1)"),1.0)</f>
        <v>1</v>
      </c>
      <c r="L587" s="3" t="str">
        <f>IFERROR(__xludf.DUMMYFUNCTION("REGEXEXTRACT(G587,"" [^ ]* [^ ]* "")")," dim olive ")</f>
        <v> dim olive </v>
      </c>
      <c r="M587" s="3" t="str">
        <f>IFERROR(__xludf.DUMMYFUNCTION("INDEX(SPLIT(H587,"" ""),1)"),"#REF!")</f>
        <v>#REF!</v>
      </c>
      <c r="N587" s="3" t="str">
        <f>IFERROR(__xludf.DUMMYFUNCTION("MID(REGEXEXTRACT(H587,"" [^ ]* [^ ]*""),2,300)"),"#REF!")</f>
        <v>#REF!</v>
      </c>
      <c r="O587" s="3" t="str">
        <f>IFERROR(__xludf.DUMMYFUNCTION("INDEX(SPLIT(I587,"" ""),1)"),"#REF!")</f>
        <v>#REF!</v>
      </c>
      <c r="P587" s="3" t="str">
        <f>IFERROR(__xludf.DUMMYFUNCTION("MID(REGEXEXTRACT(I587,"" [^ ]* [^ ]*""),2,300)"),"#REF!")</f>
        <v>#REF!</v>
      </c>
      <c r="Q587" s="3" t="str">
        <f>IFERROR(__xludf.DUMMYFUNCTION("INDEX(SPLIT(J587,"" ""),1)"),"#REF!")</f>
        <v>#REF!</v>
      </c>
      <c r="R587" s="3" t="str">
        <f>IFERROR(__xludf.DUMMYFUNCTION("MID(REGEXEXTRACT(J587,"" [^ ]* [^ ]*""),2,300)"),"#REF!")</f>
        <v>#REF!</v>
      </c>
      <c r="S587" s="3">
        <f t="shared" si="2"/>
        <v>1</v>
      </c>
      <c r="T587" s="3" t="str">
        <f t="shared" si="3"/>
        <v>dim olive</v>
      </c>
      <c r="U587" s="3" t="str">
        <f t="shared" si="4"/>
        <v/>
      </c>
      <c r="V587" s="3" t="str">
        <f t="shared" si="5"/>
        <v/>
      </c>
      <c r="W587" s="3" t="str">
        <f t="shared" si="6"/>
        <v/>
      </c>
      <c r="X587" s="3" t="str">
        <f t="shared" si="7"/>
        <v/>
      </c>
      <c r="Y587" s="3" t="str">
        <f t="shared" si="8"/>
        <v/>
      </c>
      <c r="Z587" s="3" t="str">
        <f t="shared" si="9"/>
        <v/>
      </c>
      <c r="AA587" s="13">
        <f t="shared" si="10"/>
        <v>2</v>
      </c>
      <c r="AB587" s="3">
        <f t="shared" si="11"/>
        <v>1</v>
      </c>
      <c r="AC587" s="3">
        <f t="shared" si="12"/>
        <v>1</v>
      </c>
      <c r="AD587" s="3">
        <f t="shared" si="13"/>
        <v>1</v>
      </c>
      <c r="AE587" s="3" t="str">
        <f t="shared" si="14"/>
        <v/>
      </c>
      <c r="AF587" s="3">
        <f t="shared" si="15"/>
        <v>0</v>
      </c>
      <c r="AG587" s="3" t="str">
        <f t="shared" si="16"/>
        <v/>
      </c>
      <c r="AH587" s="3">
        <f t="shared" si="17"/>
        <v>0</v>
      </c>
      <c r="AI587" s="3" t="str">
        <f t="shared" si="18"/>
        <v/>
      </c>
      <c r="AJ587" s="3">
        <f t="shared" si="19"/>
        <v>0</v>
      </c>
    </row>
    <row r="588">
      <c r="C588" s="6" t="s">
        <v>588</v>
      </c>
      <c r="D588" s="3">
        <f t="shared" si="1"/>
        <v>3</v>
      </c>
      <c r="E588" s="3" t="str">
        <f>IFERROR(__xludf.DUMMYFUNCTION("REGEXEXTRACT(C588,""[^ ]* [^ ]*"")"),"striped bronze")</f>
        <v>striped bronze</v>
      </c>
      <c r="F588" s="3" t="str">
        <f>IFERROR(__xludf.DUMMYFUNCTION("MID(REGEXEXTRACT(C588,""contain.*$""),9,300)"),"1 dull salmon bag, 4 wavy teal bags, 1 pale salmon bag, 2 dim aqua bags.")</f>
        <v>1 dull salmon bag, 4 wavy teal bags, 1 pale salmon bag, 2 dim aqua bags.</v>
      </c>
      <c r="G588" s="3" t="str">
        <f>IFERROR(__xludf.DUMMYFUNCTION("INDEX(SPLIT($F588,"",""),COLUMN()-6)"),"1 dull salmon bag")</f>
        <v>1 dull salmon bag</v>
      </c>
      <c r="H588" s="3" t="str">
        <f>IFERROR(__xludf.DUMMYFUNCTION("MID(INDEX(SPLIT($F588,"",""),COLUMN()-6),2,300)"),"4 wavy teal bags")</f>
        <v>4 wavy teal bags</v>
      </c>
      <c r="I588" s="3" t="str">
        <f>IFERROR(__xludf.DUMMYFUNCTION("MID(INDEX(SPLIT($F588,"",""),COLUMN()-6),2,300)"),"1 pale salmon bag")</f>
        <v>1 pale salmon bag</v>
      </c>
      <c r="J588" s="3" t="str">
        <f>IFERROR(__xludf.DUMMYFUNCTION("MID(INDEX(SPLIT($F588,"",""),COLUMN()-6),2,300)"),"2 dim aqua bags.")</f>
        <v>2 dim aqua bags.</v>
      </c>
      <c r="K588" s="3">
        <f>IFERROR(__xludf.DUMMYFUNCTION("INDEX(SPLIT(G588,"" ""),1)"),1.0)</f>
        <v>1</v>
      </c>
      <c r="L588" s="3" t="str">
        <f>IFERROR(__xludf.DUMMYFUNCTION("REGEXEXTRACT(G588,"" [^ ]* [^ ]* "")")," dull salmon ")</f>
        <v> dull salmon </v>
      </c>
      <c r="M588" s="3">
        <f>IFERROR(__xludf.DUMMYFUNCTION("INDEX(SPLIT(H588,"" ""),1)"),4.0)</f>
        <v>4</v>
      </c>
      <c r="N588" s="3" t="str">
        <f>IFERROR(__xludf.DUMMYFUNCTION("MID(REGEXEXTRACT(H588,"" [^ ]* [^ ]*""),2,300)"),"wavy teal")</f>
        <v>wavy teal</v>
      </c>
      <c r="O588" s="3">
        <f>IFERROR(__xludf.DUMMYFUNCTION("INDEX(SPLIT(I588,"" ""),1)"),1.0)</f>
        <v>1</v>
      </c>
      <c r="P588" s="3" t="str">
        <f>IFERROR(__xludf.DUMMYFUNCTION("MID(REGEXEXTRACT(I588,"" [^ ]* [^ ]*""),2,300)"),"pale salmon")</f>
        <v>pale salmon</v>
      </c>
      <c r="Q588" s="3">
        <f>IFERROR(__xludf.DUMMYFUNCTION("INDEX(SPLIT(J588,"" ""),1)"),2.0)</f>
        <v>2</v>
      </c>
      <c r="R588" s="3" t="str">
        <f>IFERROR(__xludf.DUMMYFUNCTION("MID(REGEXEXTRACT(J588,"" [^ ]* [^ ]*""),2,300)"),"dim aqua")</f>
        <v>dim aqua</v>
      </c>
      <c r="S588" s="3">
        <f t="shared" si="2"/>
        <v>1</v>
      </c>
      <c r="T588" s="3" t="str">
        <f t="shared" si="3"/>
        <v>dull salmon</v>
      </c>
      <c r="U588" s="3">
        <f t="shared" si="4"/>
        <v>4</v>
      </c>
      <c r="V588" s="3" t="str">
        <f t="shared" si="5"/>
        <v>wavy teal</v>
      </c>
      <c r="W588" s="3">
        <f t="shared" si="6"/>
        <v>1</v>
      </c>
      <c r="X588" s="3" t="str">
        <f t="shared" si="7"/>
        <v>pale salmon</v>
      </c>
      <c r="Y588" s="3">
        <f t="shared" si="8"/>
        <v>2</v>
      </c>
      <c r="Z588" s="3" t="str">
        <f t="shared" si="9"/>
        <v>dim aqua</v>
      </c>
      <c r="AA588" s="13">
        <f t="shared" si="10"/>
        <v>3362673</v>
      </c>
      <c r="AB588" s="3">
        <f t="shared" si="11"/>
        <v>3362672</v>
      </c>
      <c r="AC588" s="3">
        <f t="shared" si="12"/>
        <v>1</v>
      </c>
      <c r="AD588" s="3">
        <f t="shared" si="13"/>
        <v>2893451</v>
      </c>
      <c r="AE588" s="3">
        <f t="shared" si="14"/>
        <v>4</v>
      </c>
      <c r="AF588" s="3">
        <f t="shared" si="15"/>
        <v>84750</v>
      </c>
      <c r="AG588" s="3">
        <f t="shared" si="16"/>
        <v>1</v>
      </c>
      <c r="AH588" s="3">
        <f t="shared" si="17"/>
        <v>9889</v>
      </c>
      <c r="AI588" s="3">
        <f t="shared" si="18"/>
        <v>2</v>
      </c>
      <c r="AJ588" s="3">
        <f t="shared" si="19"/>
        <v>60166</v>
      </c>
    </row>
    <row r="589">
      <c r="C589" s="6" t="s">
        <v>589</v>
      </c>
      <c r="D589" s="3">
        <f t="shared" si="1"/>
        <v>1</v>
      </c>
      <c r="E589" s="3" t="str">
        <f>IFERROR(__xludf.DUMMYFUNCTION("REGEXEXTRACT(C589,""[^ ]* [^ ]*"")"),"clear lime")</f>
        <v>clear lime</v>
      </c>
      <c r="F589" s="3" t="str">
        <f>IFERROR(__xludf.DUMMYFUNCTION("MID(REGEXEXTRACT(C589,""contain.*$""),9,300)"),"1 dim lavender bag, 1 drab magenta bag.")</f>
        <v>1 dim lavender bag, 1 drab magenta bag.</v>
      </c>
      <c r="G589" s="3" t="str">
        <f>IFERROR(__xludf.DUMMYFUNCTION("INDEX(SPLIT($F589,"",""),COLUMN()-6)"),"1 dim lavender bag")</f>
        <v>1 dim lavender bag</v>
      </c>
      <c r="H589" s="3" t="str">
        <f>IFERROR(__xludf.DUMMYFUNCTION("MID(INDEX(SPLIT($F589,"",""),COLUMN()-6),2,300)"),"1 drab magenta bag.")</f>
        <v>1 drab magenta bag.</v>
      </c>
      <c r="I589" s="3" t="str">
        <f>IFERROR(__xludf.DUMMYFUNCTION("MID(INDEX(SPLIT($F589,"",""),COLUMN()-6),2,300)"),"#REF!")</f>
        <v>#REF!</v>
      </c>
      <c r="J589" s="3" t="str">
        <f>IFERROR(__xludf.DUMMYFUNCTION("MID(INDEX(SPLIT($F589,"",""),COLUMN()-6),2,300)"),"#REF!")</f>
        <v>#REF!</v>
      </c>
      <c r="K589" s="3">
        <f>IFERROR(__xludf.DUMMYFUNCTION("INDEX(SPLIT(G589,"" ""),1)"),1.0)</f>
        <v>1</v>
      </c>
      <c r="L589" s="3" t="str">
        <f>IFERROR(__xludf.DUMMYFUNCTION("REGEXEXTRACT(G589,"" [^ ]* [^ ]* "")")," dim lavender ")</f>
        <v> dim lavender </v>
      </c>
      <c r="M589" s="3">
        <f>IFERROR(__xludf.DUMMYFUNCTION("INDEX(SPLIT(H589,"" ""),1)"),1.0)</f>
        <v>1</v>
      </c>
      <c r="N589" s="3" t="str">
        <f>IFERROR(__xludf.DUMMYFUNCTION("MID(REGEXEXTRACT(H589,"" [^ ]* [^ ]*""),2,300)"),"drab magenta")</f>
        <v>drab magenta</v>
      </c>
      <c r="O589" s="3" t="str">
        <f>IFERROR(__xludf.DUMMYFUNCTION("INDEX(SPLIT(I589,"" ""),1)"),"#REF!")</f>
        <v>#REF!</v>
      </c>
      <c r="P589" s="3" t="str">
        <f>IFERROR(__xludf.DUMMYFUNCTION("MID(REGEXEXTRACT(I589,"" [^ ]* [^ ]*""),2,300)"),"#REF!")</f>
        <v>#REF!</v>
      </c>
      <c r="Q589" s="3" t="str">
        <f>IFERROR(__xludf.DUMMYFUNCTION("INDEX(SPLIT(J589,"" ""),1)"),"#REF!")</f>
        <v>#REF!</v>
      </c>
      <c r="R589" s="3" t="str">
        <f>IFERROR(__xludf.DUMMYFUNCTION("MID(REGEXEXTRACT(J589,"" [^ ]* [^ ]*""),2,300)"),"#REF!")</f>
        <v>#REF!</v>
      </c>
      <c r="S589" s="3">
        <f t="shared" si="2"/>
        <v>1</v>
      </c>
      <c r="T589" s="3" t="str">
        <f t="shared" si="3"/>
        <v>dim lavender</v>
      </c>
      <c r="U589" s="3">
        <f t="shared" si="4"/>
        <v>1</v>
      </c>
      <c r="V589" s="3" t="str">
        <f t="shared" si="5"/>
        <v>drab magenta</v>
      </c>
      <c r="W589" s="3" t="str">
        <f t="shared" si="6"/>
        <v/>
      </c>
      <c r="X589" s="3" t="str">
        <f t="shared" si="7"/>
        <v/>
      </c>
      <c r="Y589" s="3" t="str">
        <f t="shared" si="8"/>
        <v/>
      </c>
      <c r="Z589" s="3" t="str">
        <f t="shared" si="9"/>
        <v/>
      </c>
      <c r="AA589" s="13">
        <f t="shared" si="10"/>
        <v>772625</v>
      </c>
      <c r="AB589" s="3">
        <f t="shared" si="11"/>
        <v>772624</v>
      </c>
      <c r="AC589" s="3">
        <f t="shared" si="12"/>
        <v>1</v>
      </c>
      <c r="AD589" s="3">
        <f t="shared" si="13"/>
        <v>771399</v>
      </c>
      <c r="AE589" s="3">
        <f t="shared" si="14"/>
        <v>1</v>
      </c>
      <c r="AF589" s="3">
        <f t="shared" si="15"/>
        <v>1225</v>
      </c>
      <c r="AG589" s="3" t="str">
        <f t="shared" si="16"/>
        <v/>
      </c>
      <c r="AH589" s="3">
        <f t="shared" si="17"/>
        <v>0</v>
      </c>
      <c r="AI589" s="3" t="str">
        <f t="shared" si="18"/>
        <v/>
      </c>
      <c r="AJ589" s="3">
        <f t="shared" si="19"/>
        <v>0</v>
      </c>
    </row>
    <row r="590">
      <c r="C590" s="6" t="s">
        <v>590</v>
      </c>
      <c r="D590" s="3">
        <f t="shared" si="1"/>
        <v>3</v>
      </c>
      <c r="E590" s="3" t="str">
        <f>IFERROR(__xludf.DUMMYFUNCTION("REGEXEXTRACT(C590,""[^ ]* [^ ]*"")"),"muted magenta")</f>
        <v>muted magenta</v>
      </c>
      <c r="F590" s="3" t="str">
        <f>IFERROR(__xludf.DUMMYFUNCTION("MID(REGEXEXTRACT(C590,""contain.*$""),9,300)"),"1 shiny indigo bag, 4 mirrored cyan bags, 4 shiny cyan bags, 2 posh bronze bags.")</f>
        <v>1 shiny indigo bag, 4 mirrored cyan bags, 4 shiny cyan bags, 2 posh bronze bags.</v>
      </c>
      <c r="G590" s="3" t="str">
        <f>IFERROR(__xludf.DUMMYFUNCTION("INDEX(SPLIT($F590,"",""),COLUMN()-6)"),"1 shiny indigo bag")</f>
        <v>1 shiny indigo bag</v>
      </c>
      <c r="H590" s="3" t="str">
        <f>IFERROR(__xludf.DUMMYFUNCTION("MID(INDEX(SPLIT($F590,"",""),COLUMN()-6),2,300)"),"4 mirrored cyan bags")</f>
        <v>4 mirrored cyan bags</v>
      </c>
      <c r="I590" s="3" t="str">
        <f>IFERROR(__xludf.DUMMYFUNCTION("MID(INDEX(SPLIT($F590,"",""),COLUMN()-6),2,300)"),"4 shiny cyan bags")</f>
        <v>4 shiny cyan bags</v>
      </c>
      <c r="J590" s="3" t="str">
        <f>IFERROR(__xludf.DUMMYFUNCTION("MID(INDEX(SPLIT($F590,"",""),COLUMN()-6),2,300)"),"2 posh bronze bags.")</f>
        <v>2 posh bronze bags.</v>
      </c>
      <c r="K590" s="3">
        <f>IFERROR(__xludf.DUMMYFUNCTION("INDEX(SPLIT(G590,"" ""),1)"),1.0)</f>
        <v>1</v>
      </c>
      <c r="L590" s="3" t="str">
        <f>IFERROR(__xludf.DUMMYFUNCTION("REGEXEXTRACT(G590,"" [^ ]* [^ ]* "")")," shiny indigo ")</f>
        <v> shiny indigo </v>
      </c>
      <c r="M590" s="3">
        <f>IFERROR(__xludf.DUMMYFUNCTION("INDEX(SPLIT(H590,"" ""),1)"),4.0)</f>
        <v>4</v>
      </c>
      <c r="N590" s="3" t="str">
        <f>IFERROR(__xludf.DUMMYFUNCTION("MID(REGEXEXTRACT(H590,"" [^ ]* [^ ]*""),2,300)"),"mirrored cyan")</f>
        <v>mirrored cyan</v>
      </c>
      <c r="O590" s="3">
        <f>IFERROR(__xludf.DUMMYFUNCTION("INDEX(SPLIT(I590,"" ""),1)"),4.0)</f>
        <v>4</v>
      </c>
      <c r="P590" s="3" t="str">
        <f>IFERROR(__xludf.DUMMYFUNCTION("MID(REGEXEXTRACT(I590,"" [^ ]* [^ ]*""),2,300)"),"shiny cyan")</f>
        <v>shiny cyan</v>
      </c>
      <c r="Q590" s="3">
        <f>IFERROR(__xludf.DUMMYFUNCTION("INDEX(SPLIT(J590,"" ""),1)"),2.0)</f>
        <v>2</v>
      </c>
      <c r="R590" s="3" t="str">
        <f>IFERROR(__xludf.DUMMYFUNCTION("MID(REGEXEXTRACT(J590,"" [^ ]* [^ ]*""),2,300)"),"posh bronze")</f>
        <v>posh bronze</v>
      </c>
      <c r="S590" s="3">
        <f t="shared" si="2"/>
        <v>1</v>
      </c>
      <c r="T590" s="3" t="str">
        <f t="shared" si="3"/>
        <v>shiny indigo</v>
      </c>
      <c r="U590" s="3">
        <f t="shared" si="4"/>
        <v>4</v>
      </c>
      <c r="V590" s="3" t="str">
        <f t="shared" si="5"/>
        <v>mirrored cyan</v>
      </c>
      <c r="W590" s="3">
        <f t="shared" si="6"/>
        <v>4</v>
      </c>
      <c r="X590" s="3" t="str">
        <f t="shared" si="7"/>
        <v>shiny cyan</v>
      </c>
      <c r="Y590" s="3">
        <f t="shared" si="8"/>
        <v>2</v>
      </c>
      <c r="Z590" s="3" t="str">
        <f t="shared" si="9"/>
        <v>posh bronze</v>
      </c>
      <c r="AA590" s="13">
        <f t="shared" si="10"/>
        <v>762011</v>
      </c>
      <c r="AB590" s="3">
        <f t="shared" si="11"/>
        <v>762010</v>
      </c>
      <c r="AC590" s="3">
        <f t="shared" si="12"/>
        <v>1</v>
      </c>
      <c r="AD590" s="3">
        <f t="shared" si="13"/>
        <v>754536</v>
      </c>
      <c r="AE590" s="3">
        <f t="shared" si="14"/>
        <v>4</v>
      </c>
      <c r="AF590" s="3">
        <f t="shared" si="15"/>
        <v>1854</v>
      </c>
      <c r="AG590" s="3">
        <f t="shared" si="16"/>
        <v>4</v>
      </c>
      <c r="AH590" s="3">
        <f t="shared" si="17"/>
        <v>4</v>
      </c>
      <c r="AI590" s="3">
        <f t="shared" si="18"/>
        <v>2</v>
      </c>
      <c r="AJ590" s="3">
        <f t="shared" si="19"/>
        <v>21</v>
      </c>
    </row>
    <row r="591">
      <c r="C591" s="6" t="s">
        <v>591</v>
      </c>
      <c r="D591" s="3">
        <f t="shared" si="1"/>
        <v>1</v>
      </c>
      <c r="E591" s="3" t="str">
        <f>IFERROR(__xludf.DUMMYFUNCTION("REGEXEXTRACT(C591,""[^ ]* [^ ]*"")"),"bright chartreuse")</f>
        <v>bright chartreuse</v>
      </c>
      <c r="F591" s="3" t="str">
        <f>IFERROR(__xludf.DUMMYFUNCTION("MID(REGEXEXTRACT(C591,""contain.*$""),9,300)"),"5 drab white bags, 3 dotted purple bags.")</f>
        <v>5 drab white bags, 3 dotted purple bags.</v>
      </c>
      <c r="G591" s="3" t="str">
        <f>IFERROR(__xludf.DUMMYFUNCTION("INDEX(SPLIT($F591,"",""),COLUMN()-6)"),"5 drab white bags")</f>
        <v>5 drab white bags</v>
      </c>
      <c r="H591" s="3" t="str">
        <f>IFERROR(__xludf.DUMMYFUNCTION("MID(INDEX(SPLIT($F591,"",""),COLUMN()-6),2,300)"),"3 dotted purple bags.")</f>
        <v>3 dotted purple bags.</v>
      </c>
      <c r="I591" s="3" t="str">
        <f>IFERROR(__xludf.DUMMYFUNCTION("MID(INDEX(SPLIT($F591,"",""),COLUMN()-6),2,300)"),"#REF!")</f>
        <v>#REF!</v>
      </c>
      <c r="J591" s="3" t="str">
        <f>IFERROR(__xludf.DUMMYFUNCTION("MID(INDEX(SPLIT($F591,"",""),COLUMN()-6),2,300)"),"#REF!")</f>
        <v>#REF!</v>
      </c>
      <c r="K591" s="3">
        <f>IFERROR(__xludf.DUMMYFUNCTION("INDEX(SPLIT(G591,"" ""),1)"),5.0)</f>
        <v>5</v>
      </c>
      <c r="L591" s="3" t="str">
        <f>IFERROR(__xludf.DUMMYFUNCTION("REGEXEXTRACT(G591,"" [^ ]* [^ ]* "")")," drab white ")</f>
        <v> drab white </v>
      </c>
      <c r="M591" s="3">
        <f>IFERROR(__xludf.DUMMYFUNCTION("INDEX(SPLIT(H591,"" ""),1)"),3.0)</f>
        <v>3</v>
      </c>
      <c r="N591" s="3" t="str">
        <f>IFERROR(__xludf.DUMMYFUNCTION("MID(REGEXEXTRACT(H591,"" [^ ]* [^ ]*""),2,300)"),"dotted purple")</f>
        <v>dotted purple</v>
      </c>
      <c r="O591" s="3" t="str">
        <f>IFERROR(__xludf.DUMMYFUNCTION("INDEX(SPLIT(I591,"" ""),1)"),"#REF!")</f>
        <v>#REF!</v>
      </c>
      <c r="P591" s="3" t="str">
        <f>IFERROR(__xludf.DUMMYFUNCTION("MID(REGEXEXTRACT(I591,"" [^ ]* [^ ]*""),2,300)"),"#REF!")</f>
        <v>#REF!</v>
      </c>
      <c r="Q591" s="3" t="str">
        <f>IFERROR(__xludf.DUMMYFUNCTION("INDEX(SPLIT(J591,"" ""),1)"),"#REF!")</f>
        <v>#REF!</v>
      </c>
      <c r="R591" s="3" t="str">
        <f>IFERROR(__xludf.DUMMYFUNCTION("MID(REGEXEXTRACT(J591,"" [^ ]* [^ ]*""),2,300)"),"#REF!")</f>
        <v>#REF!</v>
      </c>
      <c r="S591" s="3">
        <f t="shared" si="2"/>
        <v>5</v>
      </c>
      <c r="T591" s="3" t="str">
        <f t="shared" si="3"/>
        <v>drab white</v>
      </c>
      <c r="U591" s="3">
        <f t="shared" si="4"/>
        <v>3</v>
      </c>
      <c r="V591" s="3" t="str">
        <f t="shared" si="5"/>
        <v>dotted purple</v>
      </c>
      <c r="W591" s="3" t="str">
        <f t="shared" si="6"/>
        <v/>
      </c>
      <c r="X591" s="3" t="str">
        <f t="shared" si="7"/>
        <v/>
      </c>
      <c r="Y591" s="3" t="str">
        <f t="shared" si="8"/>
        <v/>
      </c>
      <c r="Z591" s="3" t="str">
        <f t="shared" si="9"/>
        <v/>
      </c>
      <c r="AA591" s="13">
        <f t="shared" si="10"/>
        <v>132604</v>
      </c>
      <c r="AB591" s="3">
        <f t="shared" si="11"/>
        <v>132603</v>
      </c>
      <c r="AC591" s="3">
        <f t="shared" si="12"/>
        <v>5</v>
      </c>
      <c r="AD591" s="3">
        <f t="shared" si="13"/>
        <v>14961</v>
      </c>
      <c r="AE591" s="3">
        <f t="shared" si="14"/>
        <v>3</v>
      </c>
      <c r="AF591" s="3">
        <f t="shared" si="15"/>
        <v>19266</v>
      </c>
      <c r="AG591" s="3" t="str">
        <f t="shared" si="16"/>
        <v/>
      </c>
      <c r="AH591" s="3">
        <f t="shared" si="17"/>
        <v>0</v>
      </c>
      <c r="AI591" s="3" t="str">
        <f t="shared" si="18"/>
        <v/>
      </c>
      <c r="AJ591" s="3">
        <f t="shared" si="19"/>
        <v>0</v>
      </c>
    </row>
    <row r="592">
      <c r="C592" s="6" t="s">
        <v>592</v>
      </c>
      <c r="D592" s="3">
        <f t="shared" si="1"/>
        <v>3</v>
      </c>
      <c r="E592" s="3" t="str">
        <f>IFERROR(__xludf.DUMMYFUNCTION("REGEXEXTRACT(C592,""[^ ]* [^ ]*"")"),"dim magenta")</f>
        <v>dim magenta</v>
      </c>
      <c r="F592" s="3" t="str">
        <f>IFERROR(__xludf.DUMMYFUNCTION("MID(REGEXEXTRACT(C592,""contain.*$""),9,300)"),"2 dull turquoise bags, 1 dull coral bag, 3 dark violet bags, 4 muted crimson bags.")</f>
        <v>2 dull turquoise bags, 1 dull coral bag, 3 dark violet bags, 4 muted crimson bags.</v>
      </c>
      <c r="G592" s="3" t="str">
        <f>IFERROR(__xludf.DUMMYFUNCTION("INDEX(SPLIT($F592,"",""),COLUMN()-6)"),"2 dull turquoise bags")</f>
        <v>2 dull turquoise bags</v>
      </c>
      <c r="H592" s="3" t="str">
        <f>IFERROR(__xludf.DUMMYFUNCTION("MID(INDEX(SPLIT($F592,"",""),COLUMN()-6),2,300)"),"1 dull coral bag")</f>
        <v>1 dull coral bag</v>
      </c>
      <c r="I592" s="3" t="str">
        <f>IFERROR(__xludf.DUMMYFUNCTION("MID(INDEX(SPLIT($F592,"",""),COLUMN()-6),2,300)"),"3 dark violet bags")</f>
        <v>3 dark violet bags</v>
      </c>
      <c r="J592" s="3" t="str">
        <f>IFERROR(__xludf.DUMMYFUNCTION("MID(INDEX(SPLIT($F592,"",""),COLUMN()-6),2,300)"),"4 muted crimson bags.")</f>
        <v>4 muted crimson bags.</v>
      </c>
      <c r="K592" s="3">
        <f>IFERROR(__xludf.DUMMYFUNCTION("INDEX(SPLIT(G592,"" ""),1)"),2.0)</f>
        <v>2</v>
      </c>
      <c r="L592" s="3" t="str">
        <f>IFERROR(__xludf.DUMMYFUNCTION("REGEXEXTRACT(G592,"" [^ ]* [^ ]* "")")," dull turquoise ")</f>
        <v> dull turquoise </v>
      </c>
      <c r="M592" s="3">
        <f>IFERROR(__xludf.DUMMYFUNCTION("INDEX(SPLIT(H592,"" ""),1)"),1.0)</f>
        <v>1</v>
      </c>
      <c r="N592" s="3" t="str">
        <f>IFERROR(__xludf.DUMMYFUNCTION("MID(REGEXEXTRACT(H592,"" [^ ]* [^ ]*""),2,300)"),"dull coral")</f>
        <v>dull coral</v>
      </c>
      <c r="O592" s="3">
        <f>IFERROR(__xludf.DUMMYFUNCTION("INDEX(SPLIT(I592,"" ""),1)"),3.0)</f>
        <v>3</v>
      </c>
      <c r="P592" s="3" t="str">
        <f>IFERROR(__xludf.DUMMYFUNCTION("MID(REGEXEXTRACT(I592,"" [^ ]* [^ ]*""),2,300)"),"dark violet")</f>
        <v>dark violet</v>
      </c>
      <c r="Q592" s="3">
        <f>IFERROR(__xludf.DUMMYFUNCTION("INDEX(SPLIT(J592,"" ""),1)"),4.0)</f>
        <v>4</v>
      </c>
      <c r="R592" s="3" t="str">
        <f>IFERROR(__xludf.DUMMYFUNCTION("MID(REGEXEXTRACT(J592,"" [^ ]* [^ ]*""),2,300)"),"muted crimson")</f>
        <v>muted crimson</v>
      </c>
      <c r="S592" s="3">
        <f t="shared" si="2"/>
        <v>2</v>
      </c>
      <c r="T592" s="3" t="str">
        <f t="shared" si="3"/>
        <v>dull turquoise</v>
      </c>
      <c r="U592" s="3">
        <f t="shared" si="4"/>
        <v>1</v>
      </c>
      <c r="V592" s="3" t="str">
        <f t="shared" si="5"/>
        <v>dull coral</v>
      </c>
      <c r="W592" s="3">
        <f t="shared" si="6"/>
        <v>3</v>
      </c>
      <c r="X592" s="3" t="str">
        <f t="shared" si="7"/>
        <v>dark violet</v>
      </c>
      <c r="Y592" s="3">
        <f t="shared" si="8"/>
        <v>4</v>
      </c>
      <c r="Z592" s="3" t="str">
        <f t="shared" si="9"/>
        <v>muted crimson</v>
      </c>
      <c r="AA592" s="13">
        <f t="shared" si="10"/>
        <v>2222594</v>
      </c>
      <c r="AB592" s="3">
        <f t="shared" si="11"/>
        <v>2222593</v>
      </c>
      <c r="AC592" s="3">
        <f t="shared" si="12"/>
        <v>2</v>
      </c>
      <c r="AD592" s="3">
        <f t="shared" si="13"/>
        <v>346469</v>
      </c>
      <c r="AE592" s="3">
        <f t="shared" si="14"/>
        <v>1</v>
      </c>
      <c r="AF592" s="3">
        <f t="shared" si="15"/>
        <v>924</v>
      </c>
      <c r="AG592" s="3">
        <f t="shared" si="16"/>
        <v>3</v>
      </c>
      <c r="AH592" s="3">
        <f t="shared" si="17"/>
        <v>508749</v>
      </c>
      <c r="AI592" s="3">
        <f t="shared" si="18"/>
        <v>4</v>
      </c>
      <c r="AJ592" s="3">
        <f t="shared" si="19"/>
        <v>621</v>
      </c>
    </row>
    <row r="593">
      <c r="C593" s="6" t="s">
        <v>593</v>
      </c>
      <c r="D593" s="3">
        <f t="shared" si="1"/>
        <v>2</v>
      </c>
      <c r="E593" s="3" t="str">
        <f>IFERROR(__xludf.DUMMYFUNCTION("REGEXEXTRACT(C593,""[^ ]* [^ ]*"")"),"pale cyan")</f>
        <v>pale cyan</v>
      </c>
      <c r="F593" s="3" t="str">
        <f>IFERROR(__xludf.DUMMYFUNCTION("MID(REGEXEXTRACT(C593,""contain.*$""),9,300)"),"5 dotted coral bags, 4 drab chartreuse bags, 4 dull plum bags.")</f>
        <v>5 dotted coral bags, 4 drab chartreuse bags, 4 dull plum bags.</v>
      </c>
      <c r="G593" s="3" t="str">
        <f>IFERROR(__xludf.DUMMYFUNCTION("INDEX(SPLIT($F593,"",""),COLUMN()-6)"),"5 dotted coral bags")</f>
        <v>5 dotted coral bags</v>
      </c>
      <c r="H593" s="3" t="str">
        <f>IFERROR(__xludf.DUMMYFUNCTION("MID(INDEX(SPLIT($F593,"",""),COLUMN()-6),2,300)"),"4 drab chartreuse bags")</f>
        <v>4 drab chartreuse bags</v>
      </c>
      <c r="I593" s="3" t="str">
        <f>IFERROR(__xludf.DUMMYFUNCTION("MID(INDEX(SPLIT($F593,"",""),COLUMN()-6),2,300)"),"4 dull plum bags.")</f>
        <v>4 dull plum bags.</v>
      </c>
      <c r="J593" s="3" t="str">
        <f>IFERROR(__xludf.DUMMYFUNCTION("MID(INDEX(SPLIT($F593,"",""),COLUMN()-6),2,300)"),"#REF!")</f>
        <v>#REF!</v>
      </c>
      <c r="K593" s="3">
        <f>IFERROR(__xludf.DUMMYFUNCTION("INDEX(SPLIT(G593,"" ""),1)"),5.0)</f>
        <v>5</v>
      </c>
      <c r="L593" s="3" t="str">
        <f>IFERROR(__xludf.DUMMYFUNCTION("REGEXEXTRACT(G593,"" [^ ]* [^ ]* "")")," dotted coral ")</f>
        <v> dotted coral </v>
      </c>
      <c r="M593" s="3">
        <f>IFERROR(__xludf.DUMMYFUNCTION("INDEX(SPLIT(H593,"" ""),1)"),4.0)</f>
        <v>4</v>
      </c>
      <c r="N593" s="3" t="str">
        <f>IFERROR(__xludf.DUMMYFUNCTION("MID(REGEXEXTRACT(H593,"" [^ ]* [^ ]*""),2,300)"),"drab chartreuse")</f>
        <v>drab chartreuse</v>
      </c>
      <c r="O593" s="3">
        <f>IFERROR(__xludf.DUMMYFUNCTION("INDEX(SPLIT(I593,"" ""),1)"),4.0)</f>
        <v>4</v>
      </c>
      <c r="P593" s="3" t="str">
        <f>IFERROR(__xludf.DUMMYFUNCTION("MID(REGEXEXTRACT(I593,"" [^ ]* [^ ]*""),2,300)"),"dull plum")</f>
        <v>dull plum</v>
      </c>
      <c r="Q593" s="3" t="str">
        <f>IFERROR(__xludf.DUMMYFUNCTION("INDEX(SPLIT(J593,"" ""),1)"),"#REF!")</f>
        <v>#REF!</v>
      </c>
      <c r="R593" s="3" t="str">
        <f>IFERROR(__xludf.DUMMYFUNCTION("MID(REGEXEXTRACT(J593,"" [^ ]* [^ ]*""),2,300)"),"#REF!")</f>
        <v>#REF!</v>
      </c>
      <c r="S593" s="3">
        <f t="shared" si="2"/>
        <v>5</v>
      </c>
      <c r="T593" s="3" t="str">
        <f t="shared" si="3"/>
        <v>dotted coral</v>
      </c>
      <c r="U593" s="3">
        <f t="shared" si="4"/>
        <v>4</v>
      </c>
      <c r="V593" s="3" t="str">
        <f t="shared" si="5"/>
        <v>drab chartreuse</v>
      </c>
      <c r="W593" s="3">
        <f t="shared" si="6"/>
        <v>4</v>
      </c>
      <c r="X593" s="3" t="str">
        <f t="shared" si="7"/>
        <v>dull plum</v>
      </c>
      <c r="Y593" s="3" t="str">
        <f t="shared" si="8"/>
        <v/>
      </c>
      <c r="Z593" s="3" t="str">
        <f t="shared" si="9"/>
        <v/>
      </c>
      <c r="AA593" s="13">
        <f t="shared" si="10"/>
        <v>54344884</v>
      </c>
      <c r="AB593" s="3">
        <f t="shared" si="11"/>
        <v>54344883</v>
      </c>
      <c r="AC593" s="3">
        <f t="shared" si="12"/>
        <v>5</v>
      </c>
      <c r="AD593" s="3">
        <f t="shared" si="13"/>
        <v>10803</v>
      </c>
      <c r="AE593" s="3">
        <f t="shared" si="14"/>
        <v>4</v>
      </c>
      <c r="AF593" s="3">
        <f t="shared" si="15"/>
        <v>26949</v>
      </c>
      <c r="AG593" s="3">
        <f t="shared" si="16"/>
        <v>4</v>
      </c>
      <c r="AH593" s="3">
        <f t="shared" si="17"/>
        <v>13545768</v>
      </c>
      <c r="AI593" s="3" t="str">
        <f t="shared" si="18"/>
        <v/>
      </c>
      <c r="AJ593" s="3">
        <f t="shared" si="19"/>
        <v>0</v>
      </c>
    </row>
    <row r="594">
      <c r="C594" s="6" t="s">
        <v>594</v>
      </c>
      <c r="D594" s="3">
        <f t="shared" si="1"/>
        <v>1</v>
      </c>
      <c r="E594" s="3" t="str">
        <f>IFERROR(__xludf.DUMMYFUNCTION("REGEXEXTRACT(C594,""[^ ]* [^ ]*"")"),"shiny white")</f>
        <v>shiny white</v>
      </c>
      <c r="F594" s="3" t="str">
        <f>IFERROR(__xludf.DUMMYFUNCTION("MID(REGEXEXTRACT(C594,""contain.*$""),9,300)"),"2 drab salmon bags, 3 shiny silver bags.")</f>
        <v>2 drab salmon bags, 3 shiny silver bags.</v>
      </c>
      <c r="G594" s="3" t="str">
        <f>IFERROR(__xludf.DUMMYFUNCTION("INDEX(SPLIT($F594,"",""),COLUMN()-6)"),"2 drab salmon bags")</f>
        <v>2 drab salmon bags</v>
      </c>
      <c r="H594" s="3" t="str">
        <f>IFERROR(__xludf.DUMMYFUNCTION("MID(INDEX(SPLIT($F594,"",""),COLUMN()-6),2,300)"),"3 shiny silver bags.")</f>
        <v>3 shiny silver bags.</v>
      </c>
      <c r="I594" s="3" t="str">
        <f>IFERROR(__xludf.DUMMYFUNCTION("MID(INDEX(SPLIT($F594,"",""),COLUMN()-6),2,300)"),"#REF!")</f>
        <v>#REF!</v>
      </c>
      <c r="J594" s="3" t="str">
        <f>IFERROR(__xludf.DUMMYFUNCTION("MID(INDEX(SPLIT($F594,"",""),COLUMN()-6),2,300)"),"#REF!")</f>
        <v>#REF!</v>
      </c>
      <c r="K594" s="3">
        <f>IFERROR(__xludf.DUMMYFUNCTION("INDEX(SPLIT(G594,"" ""),1)"),2.0)</f>
        <v>2</v>
      </c>
      <c r="L594" s="3" t="str">
        <f>IFERROR(__xludf.DUMMYFUNCTION("REGEXEXTRACT(G594,"" [^ ]* [^ ]* "")")," drab salmon ")</f>
        <v> drab salmon </v>
      </c>
      <c r="M594" s="3">
        <f>IFERROR(__xludf.DUMMYFUNCTION("INDEX(SPLIT(H594,"" ""),1)"),3.0)</f>
        <v>3</v>
      </c>
      <c r="N594" s="3" t="str">
        <f>IFERROR(__xludf.DUMMYFUNCTION("MID(REGEXEXTRACT(H594,"" [^ ]* [^ ]*""),2,300)"),"shiny silver")</f>
        <v>shiny silver</v>
      </c>
      <c r="O594" s="3" t="str">
        <f>IFERROR(__xludf.DUMMYFUNCTION("INDEX(SPLIT(I594,"" ""),1)"),"#REF!")</f>
        <v>#REF!</v>
      </c>
      <c r="P594" s="3" t="str">
        <f>IFERROR(__xludf.DUMMYFUNCTION("MID(REGEXEXTRACT(I594,"" [^ ]* [^ ]*""),2,300)"),"#REF!")</f>
        <v>#REF!</v>
      </c>
      <c r="Q594" s="3" t="str">
        <f>IFERROR(__xludf.DUMMYFUNCTION("INDEX(SPLIT(J594,"" ""),1)"),"#REF!")</f>
        <v>#REF!</v>
      </c>
      <c r="R594" s="3" t="str">
        <f>IFERROR(__xludf.DUMMYFUNCTION("MID(REGEXEXTRACT(J594,"" [^ ]* [^ ]*""),2,300)"),"#REF!")</f>
        <v>#REF!</v>
      </c>
      <c r="S594" s="3">
        <f t="shared" si="2"/>
        <v>2</v>
      </c>
      <c r="T594" s="3" t="str">
        <f t="shared" si="3"/>
        <v>drab salmon</v>
      </c>
      <c r="U594" s="3">
        <f t="shared" si="4"/>
        <v>3</v>
      </c>
      <c r="V594" s="3" t="str">
        <f t="shared" si="5"/>
        <v>shiny silver</v>
      </c>
      <c r="W594" s="3" t="str">
        <f t="shared" si="6"/>
        <v/>
      </c>
      <c r="X594" s="3" t="str">
        <f t="shared" si="7"/>
        <v/>
      </c>
      <c r="Y594" s="3" t="str">
        <f t="shared" si="8"/>
        <v/>
      </c>
      <c r="Z594" s="3" t="str">
        <f t="shared" si="9"/>
        <v/>
      </c>
      <c r="AA594" s="13">
        <f t="shared" si="10"/>
        <v>118192</v>
      </c>
      <c r="AB594" s="3">
        <f t="shared" si="11"/>
        <v>118191</v>
      </c>
      <c r="AC594" s="3">
        <f t="shared" si="12"/>
        <v>2</v>
      </c>
      <c r="AD594" s="3">
        <f t="shared" si="13"/>
        <v>15045</v>
      </c>
      <c r="AE594" s="3">
        <f t="shared" si="14"/>
        <v>3</v>
      </c>
      <c r="AF594" s="3">
        <f t="shared" si="15"/>
        <v>29367</v>
      </c>
      <c r="AG594" s="3" t="str">
        <f t="shared" si="16"/>
        <v/>
      </c>
      <c r="AH594" s="3">
        <f t="shared" si="17"/>
        <v>0</v>
      </c>
      <c r="AI594" s="3" t="str">
        <f t="shared" si="18"/>
        <v/>
      </c>
      <c r="AJ594" s="3">
        <f t="shared" si="19"/>
        <v>0</v>
      </c>
    </row>
    <row r="595">
      <c r="C595" s="6" t="s">
        <v>595</v>
      </c>
      <c r="D595" s="3">
        <f t="shared" si="1"/>
        <v>1</v>
      </c>
      <c r="E595" s="3" t="str">
        <f>IFERROR(__xludf.DUMMYFUNCTION("REGEXEXTRACT(C595,""[^ ]* [^ ]*"")"),"faded tan")</f>
        <v>faded tan</v>
      </c>
      <c r="F595" s="3" t="str">
        <f>IFERROR(__xludf.DUMMYFUNCTION("MID(REGEXEXTRACT(C595,""contain.*$""),9,300)"),"4 posh magenta bags, 1 pale teal bag.")</f>
        <v>4 posh magenta bags, 1 pale teal bag.</v>
      </c>
      <c r="G595" s="3" t="str">
        <f>IFERROR(__xludf.DUMMYFUNCTION("INDEX(SPLIT($F595,"",""),COLUMN()-6)"),"4 posh magenta bags")</f>
        <v>4 posh magenta bags</v>
      </c>
      <c r="H595" s="3" t="str">
        <f>IFERROR(__xludf.DUMMYFUNCTION("MID(INDEX(SPLIT($F595,"",""),COLUMN()-6),2,300)"),"1 pale teal bag.")</f>
        <v>1 pale teal bag.</v>
      </c>
      <c r="I595" s="3" t="str">
        <f>IFERROR(__xludf.DUMMYFUNCTION("MID(INDEX(SPLIT($F595,"",""),COLUMN()-6),2,300)"),"#REF!")</f>
        <v>#REF!</v>
      </c>
      <c r="J595" s="3" t="str">
        <f>IFERROR(__xludf.DUMMYFUNCTION("MID(INDEX(SPLIT($F595,"",""),COLUMN()-6),2,300)"),"#REF!")</f>
        <v>#REF!</v>
      </c>
      <c r="K595" s="3">
        <f>IFERROR(__xludf.DUMMYFUNCTION("INDEX(SPLIT(G595,"" ""),1)"),4.0)</f>
        <v>4</v>
      </c>
      <c r="L595" s="3" t="str">
        <f>IFERROR(__xludf.DUMMYFUNCTION("REGEXEXTRACT(G595,"" [^ ]* [^ ]* "")")," posh magenta ")</f>
        <v> posh magenta </v>
      </c>
      <c r="M595" s="3">
        <f>IFERROR(__xludf.DUMMYFUNCTION("INDEX(SPLIT(H595,"" ""),1)"),1.0)</f>
        <v>1</v>
      </c>
      <c r="N595" s="3" t="str">
        <f>IFERROR(__xludf.DUMMYFUNCTION("MID(REGEXEXTRACT(H595,"" [^ ]* [^ ]*""),2,300)"),"pale teal")</f>
        <v>pale teal</v>
      </c>
      <c r="O595" s="3" t="str">
        <f>IFERROR(__xludf.DUMMYFUNCTION("INDEX(SPLIT(I595,"" ""),1)"),"#REF!")</f>
        <v>#REF!</v>
      </c>
      <c r="P595" s="3" t="str">
        <f>IFERROR(__xludf.DUMMYFUNCTION("MID(REGEXEXTRACT(I595,"" [^ ]* [^ ]*""),2,300)"),"#REF!")</f>
        <v>#REF!</v>
      </c>
      <c r="Q595" s="3" t="str">
        <f>IFERROR(__xludf.DUMMYFUNCTION("INDEX(SPLIT(J595,"" ""),1)"),"#REF!")</f>
        <v>#REF!</v>
      </c>
      <c r="R595" s="3" t="str">
        <f>IFERROR(__xludf.DUMMYFUNCTION("MID(REGEXEXTRACT(J595,"" [^ ]* [^ ]*""),2,300)"),"#REF!")</f>
        <v>#REF!</v>
      </c>
      <c r="S595" s="3">
        <f t="shared" si="2"/>
        <v>4</v>
      </c>
      <c r="T595" s="3" t="str">
        <f t="shared" si="3"/>
        <v>posh magenta</v>
      </c>
      <c r="U595" s="3">
        <f t="shared" si="4"/>
        <v>1</v>
      </c>
      <c r="V595" s="3" t="str">
        <f t="shared" si="5"/>
        <v>pale teal</v>
      </c>
      <c r="W595" s="3" t="str">
        <f t="shared" si="6"/>
        <v/>
      </c>
      <c r="X595" s="3" t="str">
        <f t="shared" si="7"/>
        <v/>
      </c>
      <c r="Y595" s="3" t="str">
        <f t="shared" si="8"/>
        <v/>
      </c>
      <c r="Z595" s="3" t="str">
        <f t="shared" si="9"/>
        <v/>
      </c>
      <c r="AA595" s="13">
        <f t="shared" si="10"/>
        <v>314592024</v>
      </c>
      <c r="AB595" s="3">
        <f t="shared" si="11"/>
        <v>314592023</v>
      </c>
      <c r="AC595" s="3">
        <f t="shared" si="12"/>
        <v>4</v>
      </c>
      <c r="AD595" s="3">
        <f t="shared" si="13"/>
        <v>1</v>
      </c>
      <c r="AE595" s="3">
        <f t="shared" si="14"/>
        <v>1</v>
      </c>
      <c r="AF595" s="3">
        <f t="shared" si="15"/>
        <v>314592019</v>
      </c>
      <c r="AG595" s="3" t="str">
        <f t="shared" si="16"/>
        <v/>
      </c>
      <c r="AH595" s="3">
        <f t="shared" si="17"/>
        <v>0</v>
      </c>
      <c r="AI595" s="3" t="str">
        <f t="shared" si="18"/>
        <v/>
      </c>
      <c r="AJ595" s="3">
        <f t="shared" si="19"/>
        <v>0</v>
      </c>
    </row>
    <row r="596">
      <c r="C596" s="6"/>
      <c r="S596" s="3" t="str">
        <f t="shared" si="2"/>
        <v/>
      </c>
      <c r="T596" s="3" t="str">
        <f t="shared" si="3"/>
        <v/>
      </c>
      <c r="U596" s="3" t="str">
        <f t="shared" si="4"/>
        <v/>
      </c>
      <c r="V596" s="3" t="str">
        <f t="shared" si="5"/>
        <v/>
      </c>
      <c r="W596" s="3" t="str">
        <f t="shared" si="6"/>
        <v/>
      </c>
      <c r="X596" s="3" t="str">
        <f t="shared" si="7"/>
        <v/>
      </c>
      <c r="Y596" s="3" t="str">
        <f t="shared" si="8"/>
        <v/>
      </c>
      <c r="Z596" s="3" t="str">
        <f t="shared" si="9"/>
        <v/>
      </c>
      <c r="AA596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hidden="1" min="6" max="6" width="81.43"/>
    <col customWidth="1" hidden="1" min="7" max="7" width="22.86"/>
    <col hidden="1" min="8" max="18" width="14.43"/>
  </cols>
  <sheetData>
    <row r="1">
      <c r="C1" s="1"/>
      <c r="D1" s="3">
        <f>MAX(D2:D596)</f>
        <v>3</v>
      </c>
      <c r="E1" s="2" t="s">
        <v>0</v>
      </c>
      <c r="F1" s="2" t="s">
        <v>599</v>
      </c>
      <c r="G1" s="2" t="s">
        <v>600</v>
      </c>
      <c r="H1" s="2">
        <v>2.0</v>
      </c>
      <c r="I1" s="2">
        <v>3.0</v>
      </c>
      <c r="J1" s="2">
        <v>4.0</v>
      </c>
      <c r="K1" s="2" t="s">
        <v>601</v>
      </c>
      <c r="L1" s="2" t="s">
        <v>602</v>
      </c>
      <c r="S1" s="2" t="s">
        <v>603</v>
      </c>
      <c r="T1" s="2" t="s">
        <v>604</v>
      </c>
      <c r="U1" s="2" t="s">
        <v>605</v>
      </c>
      <c r="V1" s="2" t="s">
        <v>606</v>
      </c>
      <c r="W1" s="2" t="s">
        <v>607</v>
      </c>
      <c r="X1" s="2" t="s">
        <v>608</v>
      </c>
      <c r="Y1" s="2" t="s">
        <v>609</v>
      </c>
      <c r="Z1" s="2" t="s">
        <v>610</v>
      </c>
      <c r="AA1" s="14" t="s">
        <v>611</v>
      </c>
      <c r="AB1" s="2" t="s">
        <v>612</v>
      </c>
      <c r="AC1" s="2" t="s">
        <v>613</v>
      </c>
      <c r="AD1" s="2" t="s">
        <v>613</v>
      </c>
      <c r="AE1" s="2" t="s">
        <v>614</v>
      </c>
      <c r="AF1" s="2" t="s">
        <v>614</v>
      </c>
      <c r="AG1" s="2" t="s">
        <v>615</v>
      </c>
      <c r="AH1" s="2" t="s">
        <v>615</v>
      </c>
      <c r="AI1" s="2" t="s">
        <v>616</v>
      </c>
      <c r="AJ1" s="2" t="s">
        <v>616</v>
      </c>
    </row>
    <row r="2">
      <c r="C2" s="6" t="s">
        <v>2</v>
      </c>
      <c r="D2" s="3">
        <f t="shared" ref="D2:D595" si="1">LEN(C2)-LEN(SUBSTITUTE(C2,",",""))</f>
        <v>0</v>
      </c>
      <c r="E2" s="3" t="str">
        <f>IFERROR(__xludf.DUMMYFUNCTION("REGEXEXTRACT(C2,""[^ ]* [^ ]*"")"),"faded plum")</f>
        <v>faded plum</v>
      </c>
      <c r="F2" s="3" t="str">
        <f>IFERROR(__xludf.DUMMYFUNCTION("MID(REGEXEXTRACT(C2,""contain.*$""),9,300)"),"5 wavy cyan bags.")</f>
        <v>5 wavy cyan bags.</v>
      </c>
      <c r="G2" s="3" t="str">
        <f>IFERROR(__xludf.DUMMYFUNCTION("INDEX(SPLIT($F2,"",""),COLUMN()-6)"),"5 wavy cyan bags.")</f>
        <v>5 wavy cyan bags.</v>
      </c>
      <c r="H2" s="3" t="str">
        <f>IFERROR(__xludf.DUMMYFUNCTION("MID(INDEX(SPLIT($F2,"",""),COLUMN()-6),2,300)"),"#REF!")</f>
        <v>#REF!</v>
      </c>
      <c r="I2" s="3" t="str">
        <f>IFERROR(__xludf.DUMMYFUNCTION("MID(INDEX(SPLIT($F2,"",""),COLUMN()-6),2,300)"),"#REF!")</f>
        <v>#REF!</v>
      </c>
      <c r="J2" s="3" t="str">
        <f>IFERROR(__xludf.DUMMYFUNCTION("MID(INDEX(SPLIT($F2,"",""),COLUMN()-6),2,300)"),"#REF!")</f>
        <v>#REF!</v>
      </c>
      <c r="K2" s="3">
        <f>IFERROR(__xludf.DUMMYFUNCTION("INDEX(SPLIT(G2,"" ""),1)"),5.0)</f>
        <v>5</v>
      </c>
      <c r="L2" s="3" t="str">
        <f>IFERROR(__xludf.DUMMYFUNCTION("MID(REGEXEXTRACT(G2,"" [^ ]* [^ ]*""),2,300)"),"wavy cyan")</f>
        <v>wavy cyan</v>
      </c>
      <c r="M2" s="3" t="str">
        <f>IFERROR(__xludf.DUMMYFUNCTION("INDEX(SPLIT(H2,"" ""),1)"),"#REF!")</f>
        <v>#REF!</v>
      </c>
      <c r="N2" s="3" t="str">
        <f>IFERROR(__xludf.DUMMYFUNCTION("MID(REGEXEXTRACT(H2,"" [^ ]* [^ ]*""),2,300)"),"#REF!")</f>
        <v>#REF!</v>
      </c>
      <c r="O2" s="3" t="str">
        <f>IFERROR(__xludf.DUMMYFUNCTION("INDEX(SPLIT(I2,"" ""),1)"),"#REF!")</f>
        <v>#REF!</v>
      </c>
      <c r="P2" s="3" t="str">
        <f>IFERROR(__xludf.DUMMYFUNCTION("MID(REGEXEXTRACT(I2,"" [^ ]* [^ ]*""),2,300)"),"#REF!")</f>
        <v>#REF!</v>
      </c>
      <c r="Q2" s="3" t="str">
        <f>IFERROR(__xludf.DUMMYFUNCTION("INDEX(SPLIT(J2,"" ""),1)"),"#REF!")</f>
        <v>#REF!</v>
      </c>
      <c r="R2" s="3" t="str">
        <f>IFERROR(__xludf.DUMMYFUNCTION("MID(REGEXEXTRACT(J2,"" [^ ]* [^ ]*""),2,300)"),"#REF!")</f>
        <v>#REF!</v>
      </c>
      <c r="S2" s="3">
        <f t="shared" ref="S2:S596" si="2">IF(ISNUMBER(K2),K2,"")</f>
        <v>5</v>
      </c>
      <c r="T2" s="3" t="str">
        <f t="shared" ref="T2:T596" si="3">IF(ISERROR(L2),"",TRIM(L2))</f>
        <v>wavy cyan</v>
      </c>
      <c r="U2" s="3" t="str">
        <f t="shared" ref="U2:U596" si="4">IF(ISNUMBER(M2),M2,"")</f>
        <v/>
      </c>
      <c r="V2" s="3" t="str">
        <f t="shared" ref="V2:V596" si="5">IF(ISERROR(N2),"",TRIM(N2))</f>
        <v/>
      </c>
      <c r="W2" s="3" t="str">
        <f t="shared" ref="W2:W596" si="6">IF(ISNUMBER(O2),O2,"")</f>
        <v/>
      </c>
      <c r="X2" s="3" t="str">
        <f t="shared" ref="X2:X596" si="7">IF(ISERROR(P2),"",TRIM(P2))</f>
        <v/>
      </c>
      <c r="Y2" s="3" t="str">
        <f t="shared" ref="Y2:Y596" si="8">IF(ISNUMBER(Q2),Q2,"")</f>
        <v/>
      </c>
      <c r="Z2" s="3" t="str">
        <f t="shared" ref="Z2:Z596" si="9">IF(ISERROR(R2),"",TRIM(R2))</f>
        <v/>
      </c>
      <c r="AA2" s="13">
        <f t="shared" ref="AA2:AA595" si="10">IF(S2="",1,AB2+1)</f>
        <v>532856</v>
      </c>
      <c r="AB2" s="3">
        <f t="shared" ref="AB2:AB595" si="11">AC2*AD2+AE2*AF2+AG2*AH2+AI2*AJ2</f>
        <v>532855</v>
      </c>
      <c r="AC2" s="3">
        <f t="shared" ref="AC2:AC595" si="12">S2</f>
        <v>5</v>
      </c>
      <c r="AD2" s="3">
        <f t="shared" ref="AD2:AD595" si="13">IF(ISNUMBER(AC2),INDEX($AA$2:$AA596,MATCH(T2,$E$2:$E596,0)),0)</f>
        <v>106571</v>
      </c>
      <c r="AE2" s="3" t="str">
        <f t="shared" ref="AE2:AE595" si="14">U2</f>
        <v/>
      </c>
      <c r="AF2" s="3">
        <f t="shared" ref="AF2:AF595" si="15">IF(ISNUMBER(AE2),INDEX($AA$2:$AA596,MATCH(V2,$E$2:$E596,0)),0)</f>
        <v>0</v>
      </c>
      <c r="AG2" s="3" t="str">
        <f t="shared" ref="AG2:AG595" si="16">W2</f>
        <v/>
      </c>
      <c r="AH2" s="3">
        <f t="shared" ref="AH2:AH595" si="17">IF(ISNUMBER(AG2),INDEX($AA$2:$AA596,MATCH(X2,$E$2:$E596,0)),0)</f>
        <v>0</v>
      </c>
      <c r="AI2" s="3" t="str">
        <f t="shared" ref="AI2:AI595" si="18">Y2</f>
        <v/>
      </c>
      <c r="AJ2" s="3">
        <f t="shared" ref="AJ2:AJ595" si="19">IF(ISNUMBER(AI2),INDEX($AA$2:$AA596,MATCH(Z2,$E$2:$E596,0)),0)</f>
        <v>0</v>
      </c>
    </row>
    <row r="3">
      <c r="C3" s="6" t="s">
        <v>3</v>
      </c>
      <c r="D3" s="3">
        <f t="shared" si="1"/>
        <v>1</v>
      </c>
      <c r="E3" s="3" t="str">
        <f>IFERROR(__xludf.DUMMYFUNCTION("REGEXEXTRACT(C3,""[^ ]* [^ ]*"")"),"dull aqua")</f>
        <v>dull aqua</v>
      </c>
      <c r="F3" s="3" t="str">
        <f>IFERROR(__xludf.DUMMYFUNCTION("MID(REGEXEXTRACT(C3,""contain.*$""),9,300)"),"4 dark fuchsia bags, 1 shiny purple bag.")</f>
        <v>4 dark fuchsia bags, 1 shiny purple bag.</v>
      </c>
      <c r="G3" s="3" t="str">
        <f>IFERROR(__xludf.DUMMYFUNCTION("INDEX(SPLIT($F3,"",""),COLUMN()-6)"),"4 dark fuchsia bags")</f>
        <v>4 dark fuchsia bags</v>
      </c>
      <c r="H3" s="3" t="str">
        <f>IFERROR(__xludf.DUMMYFUNCTION("MID(INDEX(SPLIT($F3,"",""),COLUMN()-6),2,300)"),"1 shiny purple bag.")</f>
        <v>1 shiny purple bag.</v>
      </c>
      <c r="I3" s="3" t="str">
        <f>IFERROR(__xludf.DUMMYFUNCTION("MID(INDEX(SPLIT($F3,"",""),COLUMN()-6),2,300)"),"#REF!")</f>
        <v>#REF!</v>
      </c>
      <c r="J3" s="3" t="str">
        <f>IFERROR(__xludf.DUMMYFUNCTION("MID(INDEX(SPLIT($F3,"",""),COLUMN()-6),2,300)"),"#REF!")</f>
        <v>#REF!</v>
      </c>
      <c r="K3" s="3">
        <f>IFERROR(__xludf.DUMMYFUNCTION("INDEX(SPLIT(G3,"" ""),1)"),4.0)</f>
        <v>4</v>
      </c>
      <c r="L3" s="3" t="str">
        <f>IFERROR(__xludf.DUMMYFUNCTION("REGEXEXTRACT(G3,"" [^ ]* [^ ]* "")")," dark fuchsia ")</f>
        <v> dark fuchsia </v>
      </c>
      <c r="M3" s="3">
        <f>IFERROR(__xludf.DUMMYFUNCTION("INDEX(SPLIT(H3,"" ""),1)"),1.0)</f>
        <v>1</v>
      </c>
      <c r="N3" s="3" t="str">
        <f>IFERROR(__xludf.DUMMYFUNCTION("MID(REGEXEXTRACT(H3,"" [^ ]* [^ ]*""),2,300)"),"shiny purple")</f>
        <v>shiny purple</v>
      </c>
      <c r="O3" s="3" t="str">
        <f>IFERROR(__xludf.DUMMYFUNCTION("INDEX(SPLIT(I3,"" ""),1)"),"#REF!")</f>
        <v>#REF!</v>
      </c>
      <c r="P3" s="3" t="str">
        <f>IFERROR(__xludf.DUMMYFUNCTION("MID(REGEXEXTRACT(I3,"" [^ ]* [^ ]*""),2,300)"),"#REF!")</f>
        <v>#REF!</v>
      </c>
      <c r="Q3" s="3" t="str">
        <f>IFERROR(__xludf.DUMMYFUNCTION("INDEX(SPLIT(J3,"" ""),1)"),"#REF!")</f>
        <v>#REF!</v>
      </c>
      <c r="R3" s="3" t="str">
        <f>IFERROR(__xludf.DUMMYFUNCTION("MID(REGEXEXTRACT(J3,"" [^ ]* [^ ]*""),2,300)"),"#REF!")</f>
        <v>#REF!</v>
      </c>
      <c r="S3" s="3">
        <f t="shared" si="2"/>
        <v>4</v>
      </c>
      <c r="T3" s="3" t="str">
        <f t="shared" si="3"/>
        <v>dark fuchsia</v>
      </c>
      <c r="U3" s="3">
        <f t="shared" si="4"/>
        <v>1</v>
      </c>
      <c r="V3" s="3" t="str">
        <f t="shared" si="5"/>
        <v>shiny purple</v>
      </c>
      <c r="W3" s="3" t="str">
        <f t="shared" si="6"/>
        <v/>
      </c>
      <c r="X3" s="3" t="str">
        <f t="shared" si="7"/>
        <v/>
      </c>
      <c r="Y3" s="3" t="str">
        <f t="shared" si="8"/>
        <v/>
      </c>
      <c r="Z3" s="3" t="str">
        <f t="shared" si="9"/>
        <v/>
      </c>
      <c r="AA3" s="13">
        <f t="shared" si="10"/>
        <v>12033257</v>
      </c>
      <c r="AB3" s="3">
        <f t="shared" si="11"/>
        <v>12033256</v>
      </c>
      <c r="AC3" s="3">
        <f t="shared" si="12"/>
        <v>4</v>
      </c>
      <c r="AD3" s="3">
        <f t="shared" si="13"/>
        <v>941276</v>
      </c>
      <c r="AE3" s="3">
        <f t="shared" si="14"/>
        <v>1</v>
      </c>
      <c r="AF3" s="3">
        <f t="shared" si="15"/>
        <v>8268152</v>
      </c>
      <c r="AG3" s="3" t="str">
        <f t="shared" si="16"/>
        <v/>
      </c>
      <c r="AH3" s="3">
        <f t="shared" si="17"/>
        <v>0</v>
      </c>
      <c r="AI3" s="3" t="str">
        <f t="shared" si="18"/>
        <v/>
      </c>
      <c r="AJ3" s="3">
        <f t="shared" si="19"/>
        <v>0</v>
      </c>
    </row>
    <row r="4">
      <c r="C4" s="6" t="s">
        <v>4</v>
      </c>
      <c r="D4" s="3">
        <f t="shared" si="1"/>
        <v>0</v>
      </c>
      <c r="E4" s="3" t="str">
        <f>IFERROR(__xludf.DUMMYFUNCTION("REGEXEXTRACT(C4,""[^ ]* [^ ]*"")"),"dotted olive")</f>
        <v>dotted olive</v>
      </c>
      <c r="F4" s="3" t="str">
        <f>IFERROR(__xludf.DUMMYFUNCTION("MID(REGEXEXTRACT(C4,""contain.*$""),9,300)"),"1 striped gray bag.")</f>
        <v>1 striped gray bag.</v>
      </c>
      <c r="G4" s="3" t="str">
        <f>IFERROR(__xludf.DUMMYFUNCTION("INDEX(SPLIT($F4,"",""),COLUMN()-6)"),"1 striped gray bag.")</f>
        <v>1 striped gray bag.</v>
      </c>
      <c r="H4" s="3" t="str">
        <f>IFERROR(__xludf.DUMMYFUNCTION("MID(INDEX(SPLIT($F4,"",""),COLUMN()-6),2,300)"),"#REF!")</f>
        <v>#REF!</v>
      </c>
      <c r="I4" s="3" t="str">
        <f>IFERROR(__xludf.DUMMYFUNCTION("MID(INDEX(SPLIT($F4,"",""),COLUMN()-6),2,300)"),"#REF!")</f>
        <v>#REF!</v>
      </c>
      <c r="J4" s="3" t="str">
        <f>IFERROR(__xludf.DUMMYFUNCTION("MID(INDEX(SPLIT($F4,"",""),COLUMN()-6),2,300)"),"#REF!")</f>
        <v>#REF!</v>
      </c>
      <c r="K4" s="3">
        <f>IFERROR(__xludf.DUMMYFUNCTION("INDEX(SPLIT(G4,"" ""),1)"),1.0)</f>
        <v>1</v>
      </c>
      <c r="L4" s="3" t="str">
        <f>IFERROR(__xludf.DUMMYFUNCTION("REGEXEXTRACT(G4,"" [^ ]* [^ ]* "")")," striped gray ")</f>
        <v> striped gray </v>
      </c>
      <c r="M4" s="3" t="str">
        <f>IFERROR(__xludf.DUMMYFUNCTION("INDEX(SPLIT(H4,"" ""),1)"),"#REF!")</f>
        <v>#REF!</v>
      </c>
      <c r="N4" s="3" t="str">
        <f>IFERROR(__xludf.DUMMYFUNCTION("MID(REGEXEXTRACT(H4,"" [^ ]* [^ ]*""),2,300)"),"#REF!")</f>
        <v>#REF!</v>
      </c>
      <c r="O4" s="3" t="str">
        <f>IFERROR(__xludf.DUMMYFUNCTION("INDEX(SPLIT(I4,"" ""),1)"),"#REF!")</f>
        <v>#REF!</v>
      </c>
      <c r="P4" s="3" t="str">
        <f>IFERROR(__xludf.DUMMYFUNCTION("MID(REGEXEXTRACT(I4,"" [^ ]* [^ ]*""),2,300)"),"#REF!")</f>
        <v>#REF!</v>
      </c>
      <c r="Q4" s="3" t="str">
        <f>IFERROR(__xludf.DUMMYFUNCTION("INDEX(SPLIT(J4,"" ""),1)"),"#REF!")</f>
        <v>#REF!</v>
      </c>
      <c r="R4" s="3" t="str">
        <f>IFERROR(__xludf.DUMMYFUNCTION("MID(REGEXEXTRACT(J4,"" [^ ]* [^ ]*""),2,300)"),"#REF!")</f>
        <v>#REF!</v>
      </c>
      <c r="S4" s="3">
        <f t="shared" si="2"/>
        <v>1</v>
      </c>
      <c r="T4" s="3" t="str">
        <f t="shared" si="3"/>
        <v>striped gray</v>
      </c>
      <c r="U4" s="3" t="str">
        <f t="shared" si="4"/>
        <v/>
      </c>
      <c r="V4" s="3" t="str">
        <f t="shared" si="5"/>
        <v/>
      </c>
      <c r="W4" s="3" t="str">
        <f t="shared" si="6"/>
        <v/>
      </c>
      <c r="X4" s="3" t="str">
        <f t="shared" si="7"/>
        <v/>
      </c>
      <c r="Y4" s="3" t="str">
        <f t="shared" si="8"/>
        <v/>
      </c>
      <c r="Z4" s="3" t="str">
        <f t="shared" si="9"/>
        <v/>
      </c>
      <c r="AA4" s="13">
        <f t="shared" si="10"/>
        <v>203469</v>
      </c>
      <c r="AB4" s="3">
        <f t="shared" si="11"/>
        <v>203468</v>
      </c>
      <c r="AC4" s="3">
        <f t="shared" si="12"/>
        <v>1</v>
      </c>
      <c r="AD4" s="3">
        <f t="shared" si="13"/>
        <v>203468</v>
      </c>
      <c r="AE4" s="3" t="str">
        <f t="shared" si="14"/>
        <v/>
      </c>
      <c r="AF4" s="3">
        <f t="shared" si="15"/>
        <v>0</v>
      </c>
      <c r="AG4" s="3" t="str">
        <f t="shared" si="16"/>
        <v/>
      </c>
      <c r="AH4" s="3">
        <f t="shared" si="17"/>
        <v>0</v>
      </c>
      <c r="AI4" s="3" t="str">
        <f t="shared" si="18"/>
        <v/>
      </c>
      <c r="AJ4" s="3">
        <f t="shared" si="19"/>
        <v>0</v>
      </c>
    </row>
    <row r="5">
      <c r="C5" s="6" t="s">
        <v>5</v>
      </c>
      <c r="D5" s="3">
        <f t="shared" si="1"/>
        <v>1</v>
      </c>
      <c r="E5" s="3" t="str">
        <f>IFERROR(__xludf.DUMMYFUNCTION("REGEXEXTRACT(C5,""[^ ]* [^ ]*"")"),"vibrant brown")</f>
        <v>vibrant brown</v>
      </c>
      <c r="F5" s="3" t="str">
        <f>IFERROR(__xludf.DUMMYFUNCTION("MID(REGEXEXTRACT(C5,""contain.*$""),9,300)"),"4 dark tan bags, 4 mirrored gray bags.")</f>
        <v>4 dark tan bags, 4 mirrored gray bags.</v>
      </c>
      <c r="G5" s="3" t="str">
        <f>IFERROR(__xludf.DUMMYFUNCTION("INDEX(SPLIT($F5,"",""),COLUMN()-6)"),"4 dark tan bags")</f>
        <v>4 dark tan bags</v>
      </c>
      <c r="H5" s="3" t="str">
        <f>IFERROR(__xludf.DUMMYFUNCTION("MID(INDEX(SPLIT($F5,"",""),COLUMN()-6),2,300)"),"4 mirrored gray bags.")</f>
        <v>4 mirrored gray bags.</v>
      </c>
      <c r="I5" s="3" t="str">
        <f>IFERROR(__xludf.DUMMYFUNCTION("MID(INDEX(SPLIT($F5,"",""),COLUMN()-6),2,300)"),"#REF!")</f>
        <v>#REF!</v>
      </c>
      <c r="J5" s="3" t="str">
        <f>IFERROR(__xludf.DUMMYFUNCTION("MID(INDEX(SPLIT($F5,"",""),COLUMN()-6),2,300)"),"#REF!")</f>
        <v>#REF!</v>
      </c>
      <c r="K5" s="3">
        <f>IFERROR(__xludf.DUMMYFUNCTION("INDEX(SPLIT(G5,"" ""),1)"),4.0)</f>
        <v>4</v>
      </c>
      <c r="L5" s="3" t="str">
        <f>IFERROR(__xludf.DUMMYFUNCTION("REGEXEXTRACT(G5,"" [^ ]* [^ ]* "")")," dark tan ")</f>
        <v> dark tan </v>
      </c>
      <c r="M5" s="3">
        <f>IFERROR(__xludf.DUMMYFUNCTION("INDEX(SPLIT(H5,"" ""),1)"),4.0)</f>
        <v>4</v>
      </c>
      <c r="N5" s="3" t="str">
        <f>IFERROR(__xludf.DUMMYFUNCTION("MID(REGEXEXTRACT(H5,"" [^ ]* [^ ]*""),2,300)"),"mirrored gray")</f>
        <v>mirrored gray</v>
      </c>
      <c r="O5" s="3" t="str">
        <f>IFERROR(__xludf.DUMMYFUNCTION("INDEX(SPLIT(I5,"" ""),1)"),"#REF!")</f>
        <v>#REF!</v>
      </c>
      <c r="P5" s="3" t="str">
        <f>IFERROR(__xludf.DUMMYFUNCTION("MID(REGEXEXTRACT(I5,"" [^ ]* [^ ]*""),2,300)"),"#REF!")</f>
        <v>#REF!</v>
      </c>
      <c r="Q5" s="3" t="str">
        <f>IFERROR(__xludf.DUMMYFUNCTION("INDEX(SPLIT(J5,"" ""),1)"),"#REF!")</f>
        <v>#REF!</v>
      </c>
      <c r="R5" s="3" t="str">
        <f>IFERROR(__xludf.DUMMYFUNCTION("MID(REGEXEXTRACT(J5,"" [^ ]* [^ ]*""),2,300)"),"#REF!")</f>
        <v>#REF!</v>
      </c>
      <c r="S5" s="3">
        <f t="shared" si="2"/>
        <v>4</v>
      </c>
      <c r="T5" s="3" t="str">
        <f t="shared" si="3"/>
        <v>dark tan</v>
      </c>
      <c r="U5" s="3">
        <f t="shared" si="4"/>
        <v>4</v>
      </c>
      <c r="V5" s="3" t="str">
        <f t="shared" si="5"/>
        <v>mirrored gray</v>
      </c>
      <c r="W5" s="3" t="str">
        <f t="shared" si="6"/>
        <v/>
      </c>
      <c r="X5" s="3" t="str">
        <f t="shared" si="7"/>
        <v/>
      </c>
      <c r="Y5" s="3" t="str">
        <f t="shared" si="8"/>
        <v/>
      </c>
      <c r="Z5" s="3" t="str">
        <f t="shared" si="9"/>
        <v/>
      </c>
      <c r="AA5" s="13">
        <f t="shared" si="10"/>
        <v>4377</v>
      </c>
      <c r="AB5" s="3">
        <f t="shared" si="11"/>
        <v>4376</v>
      </c>
      <c r="AC5" s="3">
        <f t="shared" si="12"/>
        <v>4</v>
      </c>
      <c r="AD5" s="3">
        <f t="shared" si="13"/>
        <v>1086</v>
      </c>
      <c r="AE5" s="3">
        <f t="shared" si="14"/>
        <v>4</v>
      </c>
      <c r="AF5" s="3">
        <f t="shared" si="15"/>
        <v>8</v>
      </c>
      <c r="AG5" s="3" t="str">
        <f t="shared" si="16"/>
        <v/>
      </c>
      <c r="AH5" s="3">
        <f t="shared" si="17"/>
        <v>0</v>
      </c>
      <c r="AI5" s="3" t="str">
        <f t="shared" si="18"/>
        <v/>
      </c>
      <c r="AJ5" s="3">
        <f t="shared" si="19"/>
        <v>0</v>
      </c>
    </row>
    <row r="6">
      <c r="C6" s="6" t="s">
        <v>6</v>
      </c>
      <c r="D6" s="3">
        <f t="shared" si="1"/>
        <v>0</v>
      </c>
      <c r="E6" s="3" t="str">
        <f>IFERROR(__xludf.DUMMYFUNCTION("REGEXEXTRACT(C6,""[^ ]* [^ ]*"")"),"shiny black")</f>
        <v>shiny black</v>
      </c>
      <c r="F6" s="3" t="str">
        <f>IFERROR(__xludf.DUMMYFUNCTION("MID(REGEXEXTRACT(C6,""contain.*$""),9,300)"),"3 mirrored black bags.")</f>
        <v>3 mirrored black bags.</v>
      </c>
      <c r="G6" s="3" t="str">
        <f>IFERROR(__xludf.DUMMYFUNCTION("INDEX(SPLIT($F6,"",""),COLUMN()-6)"),"3 mirrored black bags.")</f>
        <v>3 mirrored black bags.</v>
      </c>
      <c r="H6" s="3" t="str">
        <f>IFERROR(__xludf.DUMMYFUNCTION("MID(INDEX(SPLIT($F6,"",""),COLUMN()-6),2,300)"),"#REF!")</f>
        <v>#REF!</v>
      </c>
      <c r="I6" s="3" t="str">
        <f>IFERROR(__xludf.DUMMYFUNCTION("MID(INDEX(SPLIT($F6,"",""),COLUMN()-6),2,300)"),"#REF!")</f>
        <v>#REF!</v>
      </c>
      <c r="J6" s="3" t="str">
        <f>IFERROR(__xludf.DUMMYFUNCTION("MID(INDEX(SPLIT($F6,"",""),COLUMN()-6),2,300)"),"#REF!")</f>
        <v>#REF!</v>
      </c>
      <c r="K6" s="3">
        <f>IFERROR(__xludf.DUMMYFUNCTION("INDEX(SPLIT(G6,"" ""),1)"),3.0)</f>
        <v>3</v>
      </c>
      <c r="L6" s="3" t="str">
        <f>IFERROR(__xludf.DUMMYFUNCTION("REGEXEXTRACT(G6,"" [^ ]* [^ ]* "")")," mirrored black ")</f>
        <v> mirrored black </v>
      </c>
      <c r="M6" s="3" t="str">
        <f>IFERROR(__xludf.DUMMYFUNCTION("INDEX(SPLIT(H6,"" ""),1)"),"#REF!")</f>
        <v>#REF!</v>
      </c>
      <c r="N6" s="3" t="str">
        <f>IFERROR(__xludf.DUMMYFUNCTION("MID(REGEXEXTRACT(H6,"" [^ ]* [^ ]*""),2,300)"),"#REF!")</f>
        <v>#REF!</v>
      </c>
      <c r="O6" s="3" t="str">
        <f>IFERROR(__xludf.DUMMYFUNCTION("INDEX(SPLIT(I6,"" ""),1)"),"#REF!")</f>
        <v>#REF!</v>
      </c>
      <c r="P6" s="3" t="str">
        <f>IFERROR(__xludf.DUMMYFUNCTION("MID(REGEXEXTRACT(I6,"" [^ ]* [^ ]*""),2,300)"),"#REF!")</f>
        <v>#REF!</v>
      </c>
      <c r="Q6" s="3" t="str">
        <f>IFERROR(__xludf.DUMMYFUNCTION("INDEX(SPLIT(J6,"" ""),1)"),"#REF!")</f>
        <v>#REF!</v>
      </c>
      <c r="R6" s="3" t="str">
        <f>IFERROR(__xludf.DUMMYFUNCTION("MID(REGEXEXTRACT(J6,"" [^ ]* [^ ]*""),2,300)"),"#REF!")</f>
        <v>#REF!</v>
      </c>
      <c r="S6" s="3">
        <f t="shared" si="2"/>
        <v>3</v>
      </c>
      <c r="T6" s="3" t="str">
        <f t="shared" si="3"/>
        <v>mirrored black</v>
      </c>
      <c r="U6" s="3" t="str">
        <f t="shared" si="4"/>
        <v/>
      </c>
      <c r="V6" s="3" t="str">
        <f t="shared" si="5"/>
        <v/>
      </c>
      <c r="W6" s="3" t="str">
        <f t="shared" si="6"/>
        <v/>
      </c>
      <c r="X6" s="3" t="str">
        <f t="shared" si="7"/>
        <v/>
      </c>
      <c r="Y6" s="3" t="str">
        <f t="shared" si="8"/>
        <v/>
      </c>
      <c r="Z6" s="3" t="str">
        <f t="shared" si="9"/>
        <v/>
      </c>
      <c r="AA6" s="13">
        <f t="shared" si="10"/>
        <v>27112</v>
      </c>
      <c r="AB6" s="3">
        <f t="shared" si="11"/>
        <v>27111</v>
      </c>
      <c r="AC6" s="3">
        <f t="shared" si="12"/>
        <v>3</v>
      </c>
      <c r="AD6" s="3">
        <f t="shared" si="13"/>
        <v>9037</v>
      </c>
      <c r="AE6" s="3" t="str">
        <f t="shared" si="14"/>
        <v/>
      </c>
      <c r="AF6" s="3">
        <f t="shared" si="15"/>
        <v>0</v>
      </c>
      <c r="AG6" s="3" t="str">
        <f t="shared" si="16"/>
        <v/>
      </c>
      <c r="AH6" s="3">
        <f t="shared" si="17"/>
        <v>0</v>
      </c>
      <c r="AI6" s="3" t="str">
        <f t="shared" si="18"/>
        <v/>
      </c>
      <c r="AJ6" s="3">
        <f t="shared" si="19"/>
        <v>0</v>
      </c>
    </row>
    <row r="7">
      <c r="C7" s="6" t="s">
        <v>7</v>
      </c>
      <c r="D7" s="3">
        <f t="shared" si="1"/>
        <v>3</v>
      </c>
      <c r="E7" s="3" t="str">
        <f>IFERROR(__xludf.DUMMYFUNCTION("REGEXEXTRACT(C7,""[^ ]* [^ ]*"")"),"dull bronze")</f>
        <v>dull bronze</v>
      </c>
      <c r="F7" s="3" t="str">
        <f>IFERROR(__xludf.DUMMYFUNCTION("MID(REGEXEXTRACT(C7,""contain.*$""),9,300)"),"2 plaid aqua bags, 4 shiny magenta bags, 2 faded green bags, 3 dotted gold bags.")</f>
        <v>2 plaid aqua bags, 4 shiny magenta bags, 2 faded green bags, 3 dotted gold bags.</v>
      </c>
      <c r="G7" s="3" t="str">
        <f>IFERROR(__xludf.DUMMYFUNCTION("INDEX(SPLIT($F7,"",""),COLUMN()-6)"),"2 plaid aqua bags")</f>
        <v>2 plaid aqua bags</v>
      </c>
      <c r="H7" s="3" t="str">
        <f>IFERROR(__xludf.DUMMYFUNCTION("MID(INDEX(SPLIT($F7,"",""),COLUMN()-6),2,300)"),"4 shiny magenta bags")</f>
        <v>4 shiny magenta bags</v>
      </c>
      <c r="I7" s="3" t="str">
        <f>IFERROR(__xludf.DUMMYFUNCTION("MID(INDEX(SPLIT($F7,"",""),COLUMN()-6),2,300)"),"2 faded green bags")</f>
        <v>2 faded green bags</v>
      </c>
      <c r="J7" s="3" t="str">
        <f>IFERROR(__xludf.DUMMYFUNCTION("MID(INDEX(SPLIT($F7,"",""),COLUMN()-6),2,300)"),"3 dotted gold bags.")</f>
        <v>3 dotted gold bags.</v>
      </c>
      <c r="K7" s="3">
        <f>IFERROR(__xludf.DUMMYFUNCTION("INDEX(SPLIT(G7,"" ""),1)"),2.0)</f>
        <v>2</v>
      </c>
      <c r="L7" s="3" t="str">
        <f>IFERROR(__xludf.DUMMYFUNCTION("REGEXEXTRACT(G7,"" [^ ]* [^ ]* "")")," plaid aqua ")</f>
        <v> plaid aqua </v>
      </c>
      <c r="M7" s="3">
        <f>IFERROR(__xludf.DUMMYFUNCTION("INDEX(SPLIT(H7,"" ""),1)"),4.0)</f>
        <v>4</v>
      </c>
      <c r="N7" s="3" t="str">
        <f>IFERROR(__xludf.DUMMYFUNCTION("MID(REGEXEXTRACT(H7,"" [^ ]* [^ ]*""),2,300)"),"shiny magenta")</f>
        <v>shiny magenta</v>
      </c>
      <c r="O7" s="3">
        <f>IFERROR(__xludf.DUMMYFUNCTION("INDEX(SPLIT(I7,"" ""),1)"),2.0)</f>
        <v>2</v>
      </c>
      <c r="P7" s="3" t="str">
        <f>IFERROR(__xludf.DUMMYFUNCTION("MID(REGEXEXTRACT(I7,"" [^ ]* [^ ]*""),2,300)"),"faded green")</f>
        <v>faded green</v>
      </c>
      <c r="Q7" s="3">
        <f>IFERROR(__xludf.DUMMYFUNCTION("INDEX(SPLIT(J7,"" ""),1)"),3.0)</f>
        <v>3</v>
      </c>
      <c r="R7" s="3" t="str">
        <f>IFERROR(__xludf.DUMMYFUNCTION("MID(REGEXEXTRACT(J7,"" [^ ]* [^ ]*""),2,300)"),"dotted gold")</f>
        <v>dotted gold</v>
      </c>
      <c r="S7" s="3">
        <f t="shared" si="2"/>
        <v>2</v>
      </c>
      <c r="T7" s="3" t="str">
        <f t="shared" si="3"/>
        <v>plaid aqua</v>
      </c>
      <c r="U7" s="3">
        <f t="shared" si="4"/>
        <v>4</v>
      </c>
      <c r="V7" s="3" t="str">
        <f t="shared" si="5"/>
        <v>shiny magenta</v>
      </c>
      <c r="W7" s="3">
        <f t="shared" si="6"/>
        <v>2</v>
      </c>
      <c r="X7" s="3" t="str">
        <f t="shared" si="7"/>
        <v>faded green</v>
      </c>
      <c r="Y7" s="3">
        <f t="shared" si="8"/>
        <v>3</v>
      </c>
      <c r="Z7" s="3" t="str">
        <f t="shared" si="9"/>
        <v>dotted gold</v>
      </c>
      <c r="AA7" s="13">
        <f t="shared" si="10"/>
        <v>36381</v>
      </c>
      <c r="AB7" s="3">
        <f t="shared" si="11"/>
        <v>36380</v>
      </c>
      <c r="AC7" s="3">
        <f t="shared" si="12"/>
        <v>2</v>
      </c>
      <c r="AD7" s="3">
        <f t="shared" si="13"/>
        <v>1</v>
      </c>
      <c r="AE7" s="3">
        <f t="shared" si="14"/>
        <v>4</v>
      </c>
      <c r="AF7" s="3">
        <f t="shared" si="15"/>
        <v>7288</v>
      </c>
      <c r="AG7" s="3">
        <f t="shared" si="16"/>
        <v>2</v>
      </c>
      <c r="AH7" s="3">
        <f t="shared" si="17"/>
        <v>3598</v>
      </c>
      <c r="AI7" s="3">
        <f t="shared" si="18"/>
        <v>3</v>
      </c>
      <c r="AJ7" s="3">
        <f t="shared" si="19"/>
        <v>10</v>
      </c>
    </row>
    <row r="8">
      <c r="C8" s="6" t="s">
        <v>8</v>
      </c>
      <c r="D8" s="3">
        <f t="shared" si="1"/>
        <v>0</v>
      </c>
      <c r="E8" s="3" t="str">
        <f>IFERROR(__xludf.DUMMYFUNCTION("REGEXEXTRACT(C8,""[^ ]* [^ ]*"")"),"wavy plum")</f>
        <v>wavy plum</v>
      </c>
      <c r="F8" s="3" t="str">
        <f>IFERROR(__xludf.DUMMYFUNCTION("MID(REGEXEXTRACT(C8,""contain.*$""),9,300)"),"5 dim indigo bags.")</f>
        <v>5 dim indigo bags.</v>
      </c>
      <c r="G8" s="3" t="str">
        <f>IFERROR(__xludf.DUMMYFUNCTION("INDEX(SPLIT($F8,"",""),COLUMN()-6)"),"5 dim indigo bags.")</f>
        <v>5 dim indigo bags.</v>
      </c>
      <c r="H8" s="3" t="str">
        <f>IFERROR(__xludf.DUMMYFUNCTION("MID(INDEX(SPLIT($F8,"",""),COLUMN()-6),2,300)"),"#REF!")</f>
        <v>#REF!</v>
      </c>
      <c r="I8" s="3" t="str">
        <f>IFERROR(__xludf.DUMMYFUNCTION("MID(INDEX(SPLIT($F8,"",""),COLUMN()-6),2,300)"),"#REF!")</f>
        <v>#REF!</v>
      </c>
      <c r="J8" s="3" t="str">
        <f>IFERROR(__xludf.DUMMYFUNCTION("MID(INDEX(SPLIT($F8,"",""),COLUMN()-6),2,300)"),"#REF!")</f>
        <v>#REF!</v>
      </c>
      <c r="K8" s="3">
        <f>IFERROR(__xludf.DUMMYFUNCTION("INDEX(SPLIT(G8,"" ""),1)"),5.0)</f>
        <v>5</v>
      </c>
      <c r="L8" s="3" t="str">
        <f>IFERROR(__xludf.DUMMYFUNCTION("REGEXEXTRACT(G8,"" [^ ]* [^ ]* "")")," dim indigo ")</f>
        <v> dim indigo </v>
      </c>
      <c r="M8" s="3" t="str">
        <f>IFERROR(__xludf.DUMMYFUNCTION("INDEX(SPLIT(H8,"" ""),1)"),"#REF!")</f>
        <v>#REF!</v>
      </c>
      <c r="N8" s="3" t="str">
        <f>IFERROR(__xludf.DUMMYFUNCTION("MID(REGEXEXTRACT(H8,"" [^ ]* [^ ]*""),2,300)"),"#REF!")</f>
        <v>#REF!</v>
      </c>
      <c r="O8" s="3" t="str">
        <f>IFERROR(__xludf.DUMMYFUNCTION("INDEX(SPLIT(I8,"" ""),1)"),"#REF!")</f>
        <v>#REF!</v>
      </c>
      <c r="P8" s="3" t="str">
        <f>IFERROR(__xludf.DUMMYFUNCTION("MID(REGEXEXTRACT(I8,"" [^ ]* [^ ]*""),2,300)"),"#REF!")</f>
        <v>#REF!</v>
      </c>
      <c r="Q8" s="3" t="str">
        <f>IFERROR(__xludf.DUMMYFUNCTION("INDEX(SPLIT(J8,"" ""),1)"),"#REF!")</f>
        <v>#REF!</v>
      </c>
      <c r="R8" s="3" t="str">
        <f>IFERROR(__xludf.DUMMYFUNCTION("MID(REGEXEXTRACT(J8,"" [^ ]* [^ ]*""),2,300)"),"#REF!")</f>
        <v>#REF!</v>
      </c>
      <c r="S8" s="3">
        <f t="shared" si="2"/>
        <v>5</v>
      </c>
      <c r="T8" s="3" t="str">
        <f t="shared" si="3"/>
        <v>dim indigo</v>
      </c>
      <c r="U8" s="3" t="str">
        <f t="shared" si="4"/>
        <v/>
      </c>
      <c r="V8" s="3" t="str">
        <f t="shared" si="5"/>
        <v/>
      </c>
      <c r="W8" s="3" t="str">
        <f t="shared" si="6"/>
        <v/>
      </c>
      <c r="X8" s="3" t="str">
        <f t="shared" si="7"/>
        <v/>
      </c>
      <c r="Y8" s="3" t="str">
        <f t="shared" si="8"/>
        <v/>
      </c>
      <c r="Z8" s="3" t="str">
        <f t="shared" si="9"/>
        <v/>
      </c>
      <c r="AA8" s="13">
        <f t="shared" si="10"/>
        <v>148186</v>
      </c>
      <c r="AB8" s="3">
        <f t="shared" si="11"/>
        <v>148185</v>
      </c>
      <c r="AC8" s="3">
        <f t="shared" si="12"/>
        <v>5</v>
      </c>
      <c r="AD8" s="3">
        <f t="shared" si="13"/>
        <v>29637</v>
      </c>
      <c r="AE8" s="3" t="str">
        <f t="shared" si="14"/>
        <v/>
      </c>
      <c r="AF8" s="3">
        <f t="shared" si="15"/>
        <v>0</v>
      </c>
      <c r="AG8" s="3" t="str">
        <f t="shared" si="16"/>
        <v/>
      </c>
      <c r="AH8" s="3">
        <f t="shared" si="17"/>
        <v>0</v>
      </c>
      <c r="AI8" s="3" t="str">
        <f t="shared" si="18"/>
        <v/>
      </c>
      <c r="AJ8" s="3">
        <f t="shared" si="19"/>
        <v>0</v>
      </c>
    </row>
    <row r="9">
      <c r="C9" s="6" t="s">
        <v>9</v>
      </c>
      <c r="D9" s="3">
        <f t="shared" si="1"/>
        <v>0</v>
      </c>
      <c r="E9" s="3" t="str">
        <f>IFERROR(__xludf.DUMMYFUNCTION("REGEXEXTRACT(C9,""[^ ]* [^ ]*"")"),"drab brown")</f>
        <v>drab brown</v>
      </c>
      <c r="F9" s="3" t="str">
        <f>IFERROR(__xludf.DUMMYFUNCTION("MID(REGEXEXTRACT(C9,""contain.*$""),9,300)"),"5 clear fuchsia bags.")</f>
        <v>5 clear fuchsia bags.</v>
      </c>
      <c r="G9" s="3" t="str">
        <f>IFERROR(__xludf.DUMMYFUNCTION("INDEX(SPLIT($F9,"",""),COLUMN()-6)"),"5 clear fuchsia bags.")</f>
        <v>5 clear fuchsia bags.</v>
      </c>
      <c r="H9" s="3" t="str">
        <f>IFERROR(__xludf.DUMMYFUNCTION("MID(INDEX(SPLIT($F9,"",""),COLUMN()-6),2,300)"),"#REF!")</f>
        <v>#REF!</v>
      </c>
      <c r="I9" s="3" t="str">
        <f>IFERROR(__xludf.DUMMYFUNCTION("MID(INDEX(SPLIT($F9,"",""),COLUMN()-6),2,300)"),"#REF!")</f>
        <v>#REF!</v>
      </c>
      <c r="J9" s="3" t="str">
        <f>IFERROR(__xludf.DUMMYFUNCTION("MID(INDEX(SPLIT($F9,"",""),COLUMN()-6),2,300)"),"#REF!")</f>
        <v>#REF!</v>
      </c>
      <c r="K9" s="3">
        <f>IFERROR(__xludf.DUMMYFUNCTION("INDEX(SPLIT(G9,"" ""),1)"),5.0)</f>
        <v>5</v>
      </c>
      <c r="L9" s="3" t="str">
        <f>IFERROR(__xludf.DUMMYFUNCTION("REGEXEXTRACT(G9,"" [^ ]* [^ ]* "")")," clear fuchsia ")</f>
        <v> clear fuchsia </v>
      </c>
      <c r="M9" s="3" t="str">
        <f>IFERROR(__xludf.DUMMYFUNCTION("INDEX(SPLIT(H9,"" ""),1)"),"#REF!")</f>
        <v>#REF!</v>
      </c>
      <c r="N9" s="3" t="str">
        <f>IFERROR(__xludf.DUMMYFUNCTION("MID(REGEXEXTRACT(H9,"" [^ ]* [^ ]*""),2,300)"),"#REF!")</f>
        <v>#REF!</v>
      </c>
      <c r="O9" s="3" t="str">
        <f>IFERROR(__xludf.DUMMYFUNCTION("INDEX(SPLIT(I9,"" ""),1)"),"#REF!")</f>
        <v>#REF!</v>
      </c>
      <c r="P9" s="3" t="str">
        <f>IFERROR(__xludf.DUMMYFUNCTION("MID(REGEXEXTRACT(I9,"" [^ ]* [^ ]*""),2,300)"),"#REF!")</f>
        <v>#REF!</v>
      </c>
      <c r="Q9" s="3" t="str">
        <f>IFERROR(__xludf.DUMMYFUNCTION("INDEX(SPLIT(J9,"" ""),1)"),"#REF!")</f>
        <v>#REF!</v>
      </c>
      <c r="R9" s="3" t="str">
        <f>IFERROR(__xludf.DUMMYFUNCTION("MID(REGEXEXTRACT(J9,"" [^ ]* [^ ]*""),2,300)"),"#REF!")</f>
        <v>#REF!</v>
      </c>
      <c r="S9" s="3">
        <f t="shared" si="2"/>
        <v>5</v>
      </c>
      <c r="T9" s="3" t="str">
        <f t="shared" si="3"/>
        <v>clear fuchsia</v>
      </c>
      <c r="U9" s="3" t="str">
        <f t="shared" si="4"/>
        <v/>
      </c>
      <c r="V9" s="3" t="str">
        <f t="shared" si="5"/>
        <v/>
      </c>
      <c r="W9" s="3" t="str">
        <f t="shared" si="6"/>
        <v/>
      </c>
      <c r="X9" s="3" t="str">
        <f t="shared" si="7"/>
        <v/>
      </c>
      <c r="Y9" s="3" t="str">
        <f t="shared" si="8"/>
        <v/>
      </c>
      <c r="Z9" s="3" t="str">
        <f t="shared" si="9"/>
        <v/>
      </c>
      <c r="AA9" s="13">
        <f t="shared" si="10"/>
        <v>96841</v>
      </c>
      <c r="AB9" s="3">
        <f t="shared" si="11"/>
        <v>96840</v>
      </c>
      <c r="AC9" s="3">
        <f t="shared" si="12"/>
        <v>5</v>
      </c>
      <c r="AD9" s="3">
        <f t="shared" si="13"/>
        <v>19368</v>
      </c>
      <c r="AE9" s="3" t="str">
        <f t="shared" si="14"/>
        <v/>
      </c>
      <c r="AF9" s="3">
        <f t="shared" si="15"/>
        <v>0</v>
      </c>
      <c r="AG9" s="3" t="str">
        <f t="shared" si="16"/>
        <v/>
      </c>
      <c r="AH9" s="3">
        <f t="shared" si="17"/>
        <v>0</v>
      </c>
      <c r="AI9" s="3" t="str">
        <f t="shared" si="18"/>
        <v/>
      </c>
      <c r="AJ9" s="3">
        <f t="shared" si="19"/>
        <v>0</v>
      </c>
    </row>
    <row r="10">
      <c r="C10" s="6" t="s">
        <v>10</v>
      </c>
      <c r="D10" s="3">
        <f t="shared" si="1"/>
        <v>3</v>
      </c>
      <c r="E10" s="3" t="str">
        <f>IFERROR(__xludf.DUMMYFUNCTION("REGEXEXTRACT(C10,""[^ ]* [^ ]*"")"),"vibrant maroon")</f>
        <v>vibrant maroon</v>
      </c>
      <c r="F10" s="3" t="str">
        <f>IFERROR(__xludf.DUMMYFUNCTION("MID(REGEXEXTRACT(C10,""contain.*$""),9,300)"),"3 shiny coral bags, 1 dim indigo bag, 4 muted crimson bags, 5 clear black bags.")</f>
        <v>3 shiny coral bags, 1 dim indigo bag, 4 muted crimson bags, 5 clear black bags.</v>
      </c>
      <c r="G10" s="3" t="str">
        <f>IFERROR(__xludf.DUMMYFUNCTION("INDEX(SPLIT($F10,"",""),COLUMN()-6)"),"3 shiny coral bags")</f>
        <v>3 shiny coral bags</v>
      </c>
      <c r="H10" s="3" t="str">
        <f>IFERROR(__xludf.DUMMYFUNCTION("MID(INDEX(SPLIT($F10,"",""),COLUMN()-6),2,300)"),"1 dim indigo bag")</f>
        <v>1 dim indigo bag</v>
      </c>
      <c r="I10" s="3" t="str">
        <f>IFERROR(__xludf.DUMMYFUNCTION("MID(INDEX(SPLIT($F10,"",""),COLUMN()-6),2,300)"),"4 muted crimson bags")</f>
        <v>4 muted crimson bags</v>
      </c>
      <c r="J10" s="3" t="str">
        <f>IFERROR(__xludf.DUMMYFUNCTION("MID(INDEX(SPLIT($F10,"",""),COLUMN()-6),2,300)"),"5 clear black bags.")</f>
        <v>5 clear black bags.</v>
      </c>
      <c r="K10" s="3">
        <f>IFERROR(__xludf.DUMMYFUNCTION("INDEX(SPLIT(G10,"" ""),1)"),3.0)</f>
        <v>3</v>
      </c>
      <c r="L10" s="3" t="str">
        <f>IFERROR(__xludf.DUMMYFUNCTION("REGEXEXTRACT(G10,"" [^ ]* [^ ]* "")")," shiny coral ")</f>
        <v> shiny coral </v>
      </c>
      <c r="M10" s="3">
        <f>IFERROR(__xludf.DUMMYFUNCTION("INDEX(SPLIT(H10,"" ""),1)"),1.0)</f>
        <v>1</v>
      </c>
      <c r="N10" s="3" t="str">
        <f>IFERROR(__xludf.DUMMYFUNCTION("MID(REGEXEXTRACT(H10,"" [^ ]* [^ ]*""),2,300)"),"dim indigo")</f>
        <v>dim indigo</v>
      </c>
      <c r="O10" s="3">
        <f>IFERROR(__xludf.DUMMYFUNCTION("INDEX(SPLIT(I10,"" ""),1)"),4.0)</f>
        <v>4</v>
      </c>
      <c r="P10" s="3" t="str">
        <f>IFERROR(__xludf.DUMMYFUNCTION("MID(REGEXEXTRACT(I10,"" [^ ]* [^ ]*""),2,300)"),"muted crimson")</f>
        <v>muted crimson</v>
      </c>
      <c r="Q10" s="3">
        <f>IFERROR(__xludf.DUMMYFUNCTION("INDEX(SPLIT(J10,"" ""),1)"),5.0)</f>
        <v>5</v>
      </c>
      <c r="R10" s="3" t="str">
        <f>IFERROR(__xludf.DUMMYFUNCTION("MID(REGEXEXTRACT(J10,"" [^ ]* [^ ]*""),2,300)"),"clear black")</f>
        <v>clear black</v>
      </c>
      <c r="S10" s="3">
        <f t="shared" si="2"/>
        <v>3</v>
      </c>
      <c r="T10" s="3" t="str">
        <f t="shared" si="3"/>
        <v>shiny coral</v>
      </c>
      <c r="U10" s="3">
        <f t="shared" si="4"/>
        <v>1</v>
      </c>
      <c r="V10" s="3" t="str">
        <f t="shared" si="5"/>
        <v>dim indigo</v>
      </c>
      <c r="W10" s="3">
        <f t="shared" si="6"/>
        <v>4</v>
      </c>
      <c r="X10" s="3" t="str">
        <f t="shared" si="7"/>
        <v>muted crimson</v>
      </c>
      <c r="Y10" s="3">
        <f t="shared" si="8"/>
        <v>5</v>
      </c>
      <c r="Z10" s="3" t="str">
        <f t="shared" si="9"/>
        <v>clear black</v>
      </c>
      <c r="AA10" s="13">
        <f t="shared" si="10"/>
        <v>32185</v>
      </c>
      <c r="AB10" s="3">
        <f t="shared" si="11"/>
        <v>32184</v>
      </c>
      <c r="AC10" s="3">
        <f t="shared" si="12"/>
        <v>3</v>
      </c>
      <c r="AD10" s="3">
        <f t="shared" si="13"/>
        <v>1</v>
      </c>
      <c r="AE10" s="3">
        <f t="shared" si="14"/>
        <v>1</v>
      </c>
      <c r="AF10" s="3">
        <f t="shared" si="15"/>
        <v>29637</v>
      </c>
      <c r="AG10" s="3">
        <f t="shared" si="16"/>
        <v>4</v>
      </c>
      <c r="AH10" s="3">
        <f t="shared" si="17"/>
        <v>621</v>
      </c>
      <c r="AI10" s="3">
        <f t="shared" si="18"/>
        <v>5</v>
      </c>
      <c r="AJ10" s="3">
        <f t="shared" si="19"/>
        <v>12</v>
      </c>
    </row>
    <row r="11">
      <c r="C11" s="6" t="s">
        <v>11</v>
      </c>
      <c r="D11" s="3">
        <f t="shared" si="1"/>
        <v>0</v>
      </c>
      <c r="E11" s="3" t="str">
        <f>IFERROR(__xludf.DUMMYFUNCTION("REGEXEXTRACT(C11,""[^ ]* [^ ]*"")"),"posh magenta")</f>
        <v>posh magenta</v>
      </c>
      <c r="F11" s="3" t="str">
        <f>IFERROR(__xludf.DUMMYFUNCTION("MID(REGEXEXTRACT(C11,""contain.*$""),9,300)"),"no other bags.")</f>
        <v>no other bags.</v>
      </c>
      <c r="G11" s="3" t="str">
        <f>IFERROR(__xludf.DUMMYFUNCTION("INDEX(SPLIT($F11,"",""),COLUMN()-6)"),"no other bags.")</f>
        <v>no other bags.</v>
      </c>
      <c r="H11" s="3" t="str">
        <f>IFERROR(__xludf.DUMMYFUNCTION("MID(INDEX(SPLIT($F11,"",""),COLUMN()-6),2,300)"),"#REF!")</f>
        <v>#REF!</v>
      </c>
      <c r="I11" s="3" t="str">
        <f>IFERROR(__xludf.DUMMYFUNCTION("MID(INDEX(SPLIT($F11,"",""),COLUMN()-6),2,300)"),"#REF!")</f>
        <v>#REF!</v>
      </c>
      <c r="J11" s="3" t="str">
        <f>IFERROR(__xludf.DUMMYFUNCTION("MID(INDEX(SPLIT($F11,"",""),COLUMN()-6),2,300)"),"#REF!")</f>
        <v>#REF!</v>
      </c>
      <c r="K11" s="3" t="str">
        <f>IFERROR(__xludf.DUMMYFUNCTION("INDEX(SPLIT(G11,"" ""),1)"),"no")</f>
        <v>no</v>
      </c>
      <c r="L11" s="3" t="str">
        <f>IFERROR(__xludf.DUMMYFUNCTION("REGEXEXTRACT(G11,"" [^ ]* [^ ]* "")"),"#N/A")</f>
        <v>#N/A</v>
      </c>
      <c r="M11" s="3" t="str">
        <f>IFERROR(__xludf.DUMMYFUNCTION("INDEX(SPLIT(H11,"" ""),1)"),"#REF!")</f>
        <v>#REF!</v>
      </c>
      <c r="N11" s="3" t="str">
        <f>IFERROR(__xludf.DUMMYFUNCTION("MID(REGEXEXTRACT(H11,"" [^ ]* [^ ]*""),2,300)"),"#REF!")</f>
        <v>#REF!</v>
      </c>
      <c r="O11" s="3" t="str">
        <f>IFERROR(__xludf.DUMMYFUNCTION("INDEX(SPLIT(I11,"" ""),1)"),"#REF!")</f>
        <v>#REF!</v>
      </c>
      <c r="P11" s="3" t="str">
        <f>IFERROR(__xludf.DUMMYFUNCTION("MID(REGEXEXTRACT(I11,"" [^ ]* [^ ]*""),2,300)"),"#REF!")</f>
        <v>#REF!</v>
      </c>
      <c r="Q11" s="3" t="str">
        <f>IFERROR(__xludf.DUMMYFUNCTION("INDEX(SPLIT(J11,"" ""),1)"),"#REF!")</f>
        <v>#REF!</v>
      </c>
      <c r="R11" s="3" t="str">
        <f>IFERROR(__xludf.DUMMYFUNCTION("MID(REGEXEXTRACT(J11,"" [^ ]* [^ ]*""),2,300)"),"#REF!")</f>
        <v>#REF!</v>
      </c>
      <c r="S11" s="3" t="str">
        <f t="shared" si="2"/>
        <v/>
      </c>
      <c r="T11" s="3" t="str">
        <f t="shared" si="3"/>
        <v/>
      </c>
      <c r="U11" s="3" t="str">
        <f t="shared" si="4"/>
        <v/>
      </c>
      <c r="V11" s="3" t="str">
        <f t="shared" si="5"/>
        <v/>
      </c>
      <c r="W11" s="3" t="str">
        <f t="shared" si="6"/>
        <v/>
      </c>
      <c r="X11" s="3" t="str">
        <f t="shared" si="7"/>
        <v/>
      </c>
      <c r="Y11" s="3" t="str">
        <f t="shared" si="8"/>
        <v/>
      </c>
      <c r="Z11" s="3" t="str">
        <f t="shared" si="9"/>
        <v/>
      </c>
      <c r="AA11" s="13">
        <f t="shared" si="10"/>
        <v>1</v>
      </c>
      <c r="AB11" s="3">
        <f t="shared" si="11"/>
        <v>0</v>
      </c>
      <c r="AC11" s="3" t="str">
        <f t="shared" si="12"/>
        <v/>
      </c>
      <c r="AD11" s="3">
        <f t="shared" si="13"/>
        <v>0</v>
      </c>
      <c r="AE11" s="3" t="str">
        <f t="shared" si="14"/>
        <v/>
      </c>
      <c r="AF11" s="3">
        <f t="shared" si="15"/>
        <v>0</v>
      </c>
      <c r="AG11" s="3" t="str">
        <f t="shared" si="16"/>
        <v/>
      </c>
      <c r="AH11" s="3">
        <f t="shared" si="17"/>
        <v>0</v>
      </c>
      <c r="AI11" s="3" t="str">
        <f t="shared" si="18"/>
        <v/>
      </c>
      <c r="AJ11" s="3">
        <f t="shared" si="19"/>
        <v>0</v>
      </c>
    </row>
    <row r="12">
      <c r="C12" s="6" t="s">
        <v>12</v>
      </c>
      <c r="D12" s="3">
        <f t="shared" si="1"/>
        <v>2</v>
      </c>
      <c r="E12" s="3" t="str">
        <f>IFERROR(__xludf.DUMMYFUNCTION("REGEXEXTRACT(C12,""[^ ]* [^ ]*"")"),"dull brown")</f>
        <v>dull brown</v>
      </c>
      <c r="F12" s="3" t="str">
        <f>IFERROR(__xludf.DUMMYFUNCTION("MID(REGEXEXTRACT(C12,""contain.*$""),9,300)"),"3 dim violet bags, 3 striped silver bags, 1 shiny purple bag.")</f>
        <v>3 dim violet bags, 3 striped silver bags, 1 shiny purple bag.</v>
      </c>
      <c r="G12" s="3" t="str">
        <f>IFERROR(__xludf.DUMMYFUNCTION("INDEX(SPLIT($F12,"",""),COLUMN()-6)"),"3 dim violet bags")</f>
        <v>3 dim violet bags</v>
      </c>
      <c r="H12" s="3" t="str">
        <f>IFERROR(__xludf.DUMMYFUNCTION("MID(INDEX(SPLIT($F12,"",""),COLUMN()-6),2,300)"),"3 striped silver bags")</f>
        <v>3 striped silver bags</v>
      </c>
      <c r="I12" s="3" t="str">
        <f>IFERROR(__xludf.DUMMYFUNCTION("MID(INDEX(SPLIT($F12,"",""),COLUMN()-6),2,300)"),"1 shiny purple bag.")</f>
        <v>1 shiny purple bag.</v>
      </c>
      <c r="J12" s="3" t="str">
        <f>IFERROR(__xludf.DUMMYFUNCTION("MID(INDEX(SPLIT($F12,"",""),COLUMN()-6),2,300)"),"#REF!")</f>
        <v>#REF!</v>
      </c>
      <c r="K12" s="3">
        <f>IFERROR(__xludf.DUMMYFUNCTION("INDEX(SPLIT(G12,"" ""),1)"),3.0)</f>
        <v>3</v>
      </c>
      <c r="L12" s="3" t="str">
        <f>IFERROR(__xludf.DUMMYFUNCTION("REGEXEXTRACT(G12,"" [^ ]* [^ ]* "")")," dim violet ")</f>
        <v> dim violet </v>
      </c>
      <c r="M12" s="3">
        <f>IFERROR(__xludf.DUMMYFUNCTION("INDEX(SPLIT(H12,"" ""),1)"),3.0)</f>
        <v>3</v>
      </c>
      <c r="N12" s="3" t="str">
        <f>IFERROR(__xludf.DUMMYFUNCTION("MID(REGEXEXTRACT(H12,"" [^ ]* [^ ]*""),2,300)"),"striped silver")</f>
        <v>striped silver</v>
      </c>
      <c r="O12" s="3">
        <f>IFERROR(__xludf.DUMMYFUNCTION("INDEX(SPLIT(I12,"" ""),1)"),1.0)</f>
        <v>1</v>
      </c>
      <c r="P12" s="3" t="str">
        <f>IFERROR(__xludf.DUMMYFUNCTION("MID(REGEXEXTRACT(I12,"" [^ ]* [^ ]*""),2,300)"),"shiny purple")</f>
        <v>shiny purple</v>
      </c>
      <c r="Q12" s="3" t="str">
        <f>IFERROR(__xludf.DUMMYFUNCTION("INDEX(SPLIT(J12,"" ""),1)"),"#REF!")</f>
        <v>#REF!</v>
      </c>
      <c r="R12" s="3" t="str">
        <f>IFERROR(__xludf.DUMMYFUNCTION("MID(REGEXEXTRACT(J12,"" [^ ]* [^ ]*""),2,300)"),"#REF!")</f>
        <v>#REF!</v>
      </c>
      <c r="S12" s="3">
        <f t="shared" si="2"/>
        <v>3</v>
      </c>
      <c r="T12" s="3" t="str">
        <f t="shared" si="3"/>
        <v>dim violet</v>
      </c>
      <c r="U12" s="3">
        <f t="shared" si="4"/>
        <v>3</v>
      </c>
      <c r="V12" s="3" t="str">
        <f t="shared" si="5"/>
        <v>striped silver</v>
      </c>
      <c r="W12" s="3">
        <f t="shared" si="6"/>
        <v>1</v>
      </c>
      <c r="X12" s="3" t="str">
        <f t="shared" si="7"/>
        <v>shiny purple</v>
      </c>
      <c r="Y12" s="3" t="str">
        <f t="shared" si="8"/>
        <v/>
      </c>
      <c r="Z12" s="3" t="str">
        <f t="shared" si="9"/>
        <v/>
      </c>
      <c r="AA12" s="13">
        <f t="shared" si="10"/>
        <v>8325969</v>
      </c>
      <c r="AB12" s="3">
        <f t="shared" si="11"/>
        <v>8325968</v>
      </c>
      <c r="AC12" s="3">
        <f t="shared" si="12"/>
        <v>3</v>
      </c>
      <c r="AD12" s="3">
        <f t="shared" si="13"/>
        <v>153</v>
      </c>
      <c r="AE12" s="3">
        <f t="shared" si="14"/>
        <v>3</v>
      </c>
      <c r="AF12" s="3">
        <f t="shared" si="15"/>
        <v>19119</v>
      </c>
      <c r="AG12" s="3">
        <f t="shared" si="16"/>
        <v>1</v>
      </c>
      <c r="AH12" s="3">
        <f t="shared" si="17"/>
        <v>8268152</v>
      </c>
      <c r="AI12" s="3" t="str">
        <f t="shared" si="18"/>
        <v/>
      </c>
      <c r="AJ12" s="3">
        <f t="shared" si="19"/>
        <v>0</v>
      </c>
    </row>
    <row r="13">
      <c r="C13" s="6" t="s">
        <v>13</v>
      </c>
      <c r="D13" s="3">
        <f t="shared" si="1"/>
        <v>2</v>
      </c>
      <c r="E13" s="3" t="str">
        <f>IFERROR(__xludf.DUMMYFUNCTION("REGEXEXTRACT(C13,""[^ ]* [^ ]*"")"),"pale gray")</f>
        <v>pale gray</v>
      </c>
      <c r="F13" s="3" t="str">
        <f>IFERROR(__xludf.DUMMYFUNCTION("MID(REGEXEXTRACT(C13,""contain.*$""),9,300)"),"3 plaid magenta bags, 3 clear teal bags, 3 pale white bags.")</f>
        <v>3 plaid magenta bags, 3 clear teal bags, 3 pale white bags.</v>
      </c>
      <c r="G13" s="3" t="str">
        <f>IFERROR(__xludf.DUMMYFUNCTION("INDEX(SPLIT($F13,"",""),COLUMN()-6)"),"3 plaid magenta bags")</f>
        <v>3 plaid magenta bags</v>
      </c>
      <c r="H13" s="3" t="str">
        <f>IFERROR(__xludf.DUMMYFUNCTION("MID(INDEX(SPLIT($F13,"",""),COLUMN()-6),2,300)"),"3 clear teal bags")</f>
        <v>3 clear teal bags</v>
      </c>
      <c r="I13" s="3" t="str">
        <f>IFERROR(__xludf.DUMMYFUNCTION("MID(INDEX(SPLIT($F13,"",""),COLUMN()-6),2,300)"),"3 pale white bags.")</f>
        <v>3 pale white bags.</v>
      </c>
      <c r="J13" s="3" t="str">
        <f>IFERROR(__xludf.DUMMYFUNCTION("MID(INDEX(SPLIT($F13,"",""),COLUMN()-6),2,300)"),"#REF!")</f>
        <v>#REF!</v>
      </c>
      <c r="K13" s="3">
        <f>IFERROR(__xludf.DUMMYFUNCTION("INDEX(SPLIT(G13,"" ""),1)"),3.0)</f>
        <v>3</v>
      </c>
      <c r="L13" s="3" t="str">
        <f>IFERROR(__xludf.DUMMYFUNCTION("REGEXEXTRACT(G13,"" [^ ]* [^ ]* "")")," plaid magenta ")</f>
        <v> plaid magenta </v>
      </c>
      <c r="M13" s="3">
        <f>IFERROR(__xludf.DUMMYFUNCTION("INDEX(SPLIT(H13,"" ""),1)"),3.0)</f>
        <v>3</v>
      </c>
      <c r="N13" s="3" t="str">
        <f>IFERROR(__xludf.DUMMYFUNCTION("MID(REGEXEXTRACT(H13,"" [^ ]* [^ ]*""),2,300)"),"clear teal")</f>
        <v>clear teal</v>
      </c>
      <c r="O13" s="3">
        <f>IFERROR(__xludf.DUMMYFUNCTION("INDEX(SPLIT(I13,"" ""),1)"),3.0)</f>
        <v>3</v>
      </c>
      <c r="P13" s="3" t="str">
        <f>IFERROR(__xludf.DUMMYFUNCTION("MID(REGEXEXTRACT(I13,"" [^ ]* [^ ]*""),2,300)"),"pale white")</f>
        <v>pale white</v>
      </c>
      <c r="Q13" s="3" t="str">
        <f>IFERROR(__xludf.DUMMYFUNCTION("INDEX(SPLIT(J13,"" ""),1)"),"#REF!")</f>
        <v>#REF!</v>
      </c>
      <c r="R13" s="3" t="str">
        <f>IFERROR(__xludf.DUMMYFUNCTION("MID(REGEXEXTRACT(J13,"" [^ ]* [^ ]*""),2,300)"),"#REF!")</f>
        <v>#REF!</v>
      </c>
      <c r="S13" s="3">
        <f t="shared" si="2"/>
        <v>3</v>
      </c>
      <c r="T13" s="3" t="str">
        <f t="shared" si="3"/>
        <v>plaid magenta</v>
      </c>
      <c r="U13" s="3">
        <f t="shared" si="4"/>
        <v>3</v>
      </c>
      <c r="V13" s="3" t="str">
        <f t="shared" si="5"/>
        <v>clear teal</v>
      </c>
      <c r="W13" s="3">
        <f t="shared" si="6"/>
        <v>3</v>
      </c>
      <c r="X13" s="3" t="str">
        <f t="shared" si="7"/>
        <v>pale white</v>
      </c>
      <c r="Y13" s="3" t="str">
        <f t="shared" si="8"/>
        <v/>
      </c>
      <c r="Z13" s="3" t="str">
        <f t="shared" si="9"/>
        <v/>
      </c>
      <c r="AA13" s="13">
        <f t="shared" si="10"/>
        <v>1011777124</v>
      </c>
      <c r="AB13" s="3">
        <f t="shared" si="11"/>
        <v>1011777123</v>
      </c>
      <c r="AC13" s="3">
        <f t="shared" si="12"/>
        <v>3</v>
      </c>
      <c r="AD13" s="3">
        <f t="shared" si="13"/>
        <v>68564683</v>
      </c>
      <c r="AE13" s="3">
        <f t="shared" si="14"/>
        <v>3</v>
      </c>
      <c r="AF13" s="3">
        <f t="shared" si="15"/>
        <v>268617925</v>
      </c>
      <c r="AG13" s="3">
        <f t="shared" si="16"/>
        <v>3</v>
      </c>
      <c r="AH13" s="3">
        <f t="shared" si="17"/>
        <v>76433</v>
      </c>
      <c r="AI13" s="3" t="str">
        <f t="shared" si="18"/>
        <v/>
      </c>
      <c r="AJ13" s="3">
        <f t="shared" si="19"/>
        <v>0</v>
      </c>
    </row>
    <row r="14">
      <c r="C14" s="6" t="s">
        <v>14</v>
      </c>
      <c r="D14" s="3">
        <f t="shared" si="1"/>
        <v>2</v>
      </c>
      <c r="E14" s="3" t="str">
        <f>IFERROR(__xludf.DUMMYFUNCTION("REGEXEXTRACT(C14,""[^ ]* [^ ]*"")"),"plaid turquoise")</f>
        <v>plaid turquoise</v>
      </c>
      <c r="F14" s="3" t="str">
        <f>IFERROR(__xludf.DUMMYFUNCTION("MID(REGEXEXTRACT(C14,""contain.*$""),9,300)"),"4 bright orange bags, 5 drab white bags, 4 dotted coral bags.")</f>
        <v>4 bright orange bags, 5 drab white bags, 4 dotted coral bags.</v>
      </c>
      <c r="G14" s="3" t="str">
        <f>IFERROR(__xludf.DUMMYFUNCTION("INDEX(SPLIT($F14,"",""),COLUMN()-6)"),"4 bright orange bags")</f>
        <v>4 bright orange bags</v>
      </c>
      <c r="H14" s="3" t="str">
        <f>IFERROR(__xludf.DUMMYFUNCTION("MID(INDEX(SPLIT($F14,"",""),COLUMN()-6),2,300)"),"5 drab white bags")</f>
        <v>5 drab white bags</v>
      </c>
      <c r="I14" s="3" t="str">
        <f>IFERROR(__xludf.DUMMYFUNCTION("MID(INDEX(SPLIT($F14,"",""),COLUMN()-6),2,300)"),"4 dotted coral bags.")</f>
        <v>4 dotted coral bags.</v>
      </c>
      <c r="J14" s="3" t="str">
        <f>IFERROR(__xludf.DUMMYFUNCTION("MID(INDEX(SPLIT($F14,"",""),COLUMN()-6),2,300)"),"#REF!")</f>
        <v>#REF!</v>
      </c>
      <c r="K14" s="3">
        <f>IFERROR(__xludf.DUMMYFUNCTION("INDEX(SPLIT(G14,"" ""),1)"),4.0)</f>
        <v>4</v>
      </c>
      <c r="L14" s="3" t="str">
        <f>IFERROR(__xludf.DUMMYFUNCTION("REGEXEXTRACT(G14,"" [^ ]* [^ ]* "")")," bright orange ")</f>
        <v> bright orange </v>
      </c>
      <c r="M14" s="3">
        <f>IFERROR(__xludf.DUMMYFUNCTION("INDEX(SPLIT(H14,"" ""),1)"),5.0)</f>
        <v>5</v>
      </c>
      <c r="N14" s="3" t="str">
        <f>IFERROR(__xludf.DUMMYFUNCTION("MID(REGEXEXTRACT(H14,"" [^ ]* [^ ]*""),2,300)"),"drab white")</f>
        <v>drab white</v>
      </c>
      <c r="O14" s="3">
        <f>IFERROR(__xludf.DUMMYFUNCTION("INDEX(SPLIT(I14,"" ""),1)"),4.0)</f>
        <v>4</v>
      </c>
      <c r="P14" s="3" t="str">
        <f>IFERROR(__xludf.DUMMYFUNCTION("MID(REGEXEXTRACT(I14,"" [^ ]* [^ ]*""),2,300)"),"dotted coral")</f>
        <v>dotted coral</v>
      </c>
      <c r="Q14" s="3" t="str">
        <f>IFERROR(__xludf.DUMMYFUNCTION("INDEX(SPLIT(J14,"" ""),1)"),"#REF!")</f>
        <v>#REF!</v>
      </c>
      <c r="R14" s="3" t="str">
        <f>IFERROR(__xludf.DUMMYFUNCTION("MID(REGEXEXTRACT(J14,"" [^ ]* [^ ]*""),2,300)"),"#REF!")</f>
        <v>#REF!</v>
      </c>
      <c r="S14" s="3">
        <f t="shared" si="2"/>
        <v>4</v>
      </c>
      <c r="T14" s="3" t="str">
        <f t="shared" si="3"/>
        <v>bright orange</v>
      </c>
      <c r="U14" s="3">
        <f t="shared" si="4"/>
        <v>5</v>
      </c>
      <c r="V14" s="3" t="str">
        <f t="shared" si="5"/>
        <v>drab white</v>
      </c>
      <c r="W14" s="3">
        <f t="shared" si="6"/>
        <v>4</v>
      </c>
      <c r="X14" s="3" t="str">
        <f t="shared" si="7"/>
        <v>dotted coral</v>
      </c>
      <c r="Y14" s="3" t="str">
        <f t="shared" si="8"/>
        <v/>
      </c>
      <c r="Z14" s="3" t="str">
        <f t="shared" si="9"/>
        <v/>
      </c>
      <c r="AA14" s="13">
        <f t="shared" si="10"/>
        <v>128682</v>
      </c>
      <c r="AB14" s="3">
        <f t="shared" si="11"/>
        <v>128681</v>
      </c>
      <c r="AC14" s="3">
        <f t="shared" si="12"/>
        <v>4</v>
      </c>
      <c r="AD14" s="3">
        <f t="shared" si="13"/>
        <v>2666</v>
      </c>
      <c r="AE14" s="3">
        <f t="shared" si="14"/>
        <v>5</v>
      </c>
      <c r="AF14" s="3">
        <f t="shared" si="15"/>
        <v>14961</v>
      </c>
      <c r="AG14" s="3">
        <f t="shared" si="16"/>
        <v>4</v>
      </c>
      <c r="AH14" s="3">
        <f t="shared" si="17"/>
        <v>10803</v>
      </c>
      <c r="AI14" s="3" t="str">
        <f t="shared" si="18"/>
        <v/>
      </c>
      <c r="AJ14" s="3">
        <f t="shared" si="19"/>
        <v>0</v>
      </c>
    </row>
    <row r="15">
      <c r="C15" s="6" t="s">
        <v>15</v>
      </c>
      <c r="D15" s="3">
        <f t="shared" si="1"/>
        <v>3</v>
      </c>
      <c r="E15" s="3" t="str">
        <f>IFERROR(__xludf.DUMMYFUNCTION("REGEXEXTRACT(C15,""[^ ]* [^ ]*"")"),"dotted silver")</f>
        <v>dotted silver</v>
      </c>
      <c r="F15" s="3" t="str">
        <f>IFERROR(__xludf.DUMMYFUNCTION("MID(REGEXEXTRACT(C15,""contain.*$""),9,300)"),"2 pale silver bags, 4 dark teal bags, 5 posh gold bags, 1 bright orange bag.")</f>
        <v>2 pale silver bags, 4 dark teal bags, 5 posh gold bags, 1 bright orange bag.</v>
      </c>
      <c r="G15" s="3" t="str">
        <f>IFERROR(__xludf.DUMMYFUNCTION("INDEX(SPLIT($F15,"",""),COLUMN()-6)"),"2 pale silver bags")</f>
        <v>2 pale silver bags</v>
      </c>
      <c r="H15" s="3" t="str">
        <f>IFERROR(__xludf.DUMMYFUNCTION("MID(INDEX(SPLIT($F15,"",""),COLUMN()-6),2,300)"),"4 dark teal bags")</f>
        <v>4 dark teal bags</v>
      </c>
      <c r="I15" s="3" t="str">
        <f>IFERROR(__xludf.DUMMYFUNCTION("MID(INDEX(SPLIT($F15,"",""),COLUMN()-6),2,300)"),"5 posh gold bags")</f>
        <v>5 posh gold bags</v>
      </c>
      <c r="J15" s="3" t="str">
        <f>IFERROR(__xludf.DUMMYFUNCTION("MID(INDEX(SPLIT($F15,"",""),COLUMN()-6),2,300)"),"1 bright orange bag.")</f>
        <v>1 bright orange bag.</v>
      </c>
      <c r="K15" s="3">
        <f>IFERROR(__xludf.DUMMYFUNCTION("INDEX(SPLIT(G15,"" ""),1)"),2.0)</f>
        <v>2</v>
      </c>
      <c r="L15" s="3" t="str">
        <f>IFERROR(__xludf.DUMMYFUNCTION("REGEXEXTRACT(G15,"" [^ ]* [^ ]* "")")," pale silver ")</f>
        <v> pale silver </v>
      </c>
      <c r="M15" s="3">
        <f>IFERROR(__xludf.DUMMYFUNCTION("INDEX(SPLIT(H15,"" ""),1)"),4.0)</f>
        <v>4</v>
      </c>
      <c r="N15" s="3" t="str">
        <f>IFERROR(__xludf.DUMMYFUNCTION("MID(REGEXEXTRACT(H15,"" [^ ]* [^ ]*""),2,300)"),"dark teal")</f>
        <v>dark teal</v>
      </c>
      <c r="O15" s="3">
        <f>IFERROR(__xludf.DUMMYFUNCTION("INDEX(SPLIT(I15,"" ""),1)"),5.0)</f>
        <v>5</v>
      </c>
      <c r="P15" s="3" t="str">
        <f>IFERROR(__xludf.DUMMYFUNCTION("MID(REGEXEXTRACT(I15,"" [^ ]* [^ ]*""),2,300)"),"posh gold")</f>
        <v>posh gold</v>
      </c>
      <c r="Q15" s="3">
        <f>IFERROR(__xludf.DUMMYFUNCTION("INDEX(SPLIT(J15,"" ""),1)"),1.0)</f>
        <v>1</v>
      </c>
      <c r="R15" s="3" t="str">
        <f>IFERROR(__xludf.DUMMYFUNCTION("MID(REGEXEXTRACT(J15,"" [^ ]* [^ ]*""),2,300)"),"bright orange")</f>
        <v>bright orange</v>
      </c>
      <c r="S15" s="3">
        <f t="shared" si="2"/>
        <v>2</v>
      </c>
      <c r="T15" s="3" t="str">
        <f t="shared" si="3"/>
        <v>pale silver</v>
      </c>
      <c r="U15" s="3">
        <f t="shared" si="4"/>
        <v>4</v>
      </c>
      <c r="V15" s="3" t="str">
        <f t="shared" si="5"/>
        <v>dark teal</v>
      </c>
      <c r="W15" s="3">
        <f t="shared" si="6"/>
        <v>5</v>
      </c>
      <c r="X15" s="3" t="str">
        <f t="shared" si="7"/>
        <v>posh gold</v>
      </c>
      <c r="Y15" s="3">
        <f t="shared" si="8"/>
        <v>1</v>
      </c>
      <c r="Z15" s="3" t="str">
        <f t="shared" si="9"/>
        <v>bright orange</v>
      </c>
      <c r="AA15" s="13">
        <f t="shared" si="10"/>
        <v>29587169</v>
      </c>
      <c r="AB15" s="3">
        <f t="shared" si="11"/>
        <v>29587168</v>
      </c>
      <c r="AC15" s="3">
        <f t="shared" si="12"/>
        <v>2</v>
      </c>
      <c r="AD15" s="3">
        <f t="shared" si="13"/>
        <v>14456969</v>
      </c>
      <c r="AE15" s="3">
        <f t="shared" si="14"/>
        <v>4</v>
      </c>
      <c r="AF15" s="3">
        <f t="shared" si="15"/>
        <v>15041</v>
      </c>
      <c r="AG15" s="3">
        <f t="shared" si="16"/>
        <v>5</v>
      </c>
      <c r="AH15" s="3">
        <f t="shared" si="17"/>
        <v>122080</v>
      </c>
      <c r="AI15" s="3">
        <f t="shared" si="18"/>
        <v>1</v>
      </c>
      <c r="AJ15" s="3">
        <f t="shared" si="19"/>
        <v>2666</v>
      </c>
    </row>
    <row r="16">
      <c r="C16" s="6" t="s">
        <v>16</v>
      </c>
      <c r="D16" s="3">
        <f t="shared" si="1"/>
        <v>3</v>
      </c>
      <c r="E16" s="3" t="str">
        <f>IFERROR(__xludf.DUMMYFUNCTION("REGEXEXTRACT(C16,""[^ ]* [^ ]*"")"),"light red")</f>
        <v>light red</v>
      </c>
      <c r="F16" s="3" t="str">
        <f>IFERROR(__xludf.DUMMYFUNCTION("MID(REGEXEXTRACT(C16,""contain.*$""),9,300)"),"1 dark violet bag, 1 mirrored coral bag, 3 drab tan bags, 4 muted olive bags.")</f>
        <v>1 dark violet bag, 1 mirrored coral bag, 3 drab tan bags, 4 muted olive bags.</v>
      </c>
      <c r="G16" s="3" t="str">
        <f>IFERROR(__xludf.DUMMYFUNCTION("INDEX(SPLIT($F16,"",""),COLUMN()-6)"),"1 dark violet bag")</f>
        <v>1 dark violet bag</v>
      </c>
      <c r="H16" s="3" t="str">
        <f>IFERROR(__xludf.DUMMYFUNCTION("MID(INDEX(SPLIT($F16,"",""),COLUMN()-6),2,300)"),"1 mirrored coral bag")</f>
        <v>1 mirrored coral bag</v>
      </c>
      <c r="I16" s="3" t="str">
        <f>IFERROR(__xludf.DUMMYFUNCTION("MID(INDEX(SPLIT($F16,"",""),COLUMN()-6),2,300)"),"3 drab tan bags")</f>
        <v>3 drab tan bags</v>
      </c>
      <c r="J16" s="3" t="str">
        <f>IFERROR(__xludf.DUMMYFUNCTION("MID(INDEX(SPLIT($F16,"",""),COLUMN()-6),2,300)"),"4 muted olive bags.")</f>
        <v>4 muted olive bags.</v>
      </c>
      <c r="K16" s="3">
        <f>IFERROR(__xludf.DUMMYFUNCTION("INDEX(SPLIT(G16,"" ""),1)"),1.0)</f>
        <v>1</v>
      </c>
      <c r="L16" s="3" t="str">
        <f>IFERROR(__xludf.DUMMYFUNCTION("REGEXEXTRACT(G16,"" [^ ]* [^ ]* "")")," dark violet ")</f>
        <v> dark violet </v>
      </c>
      <c r="M16" s="3">
        <f>IFERROR(__xludf.DUMMYFUNCTION("INDEX(SPLIT(H16,"" ""),1)"),1.0)</f>
        <v>1</v>
      </c>
      <c r="N16" s="3" t="str">
        <f>IFERROR(__xludf.DUMMYFUNCTION("MID(REGEXEXTRACT(H16,"" [^ ]* [^ ]*""),2,300)"),"mirrored coral")</f>
        <v>mirrored coral</v>
      </c>
      <c r="O16" s="3">
        <f>IFERROR(__xludf.DUMMYFUNCTION("INDEX(SPLIT(I16,"" ""),1)"),3.0)</f>
        <v>3</v>
      </c>
      <c r="P16" s="3" t="str">
        <f>IFERROR(__xludf.DUMMYFUNCTION("MID(REGEXEXTRACT(I16,"" [^ ]* [^ ]*""),2,300)"),"drab tan")</f>
        <v>drab tan</v>
      </c>
      <c r="Q16" s="3">
        <f>IFERROR(__xludf.DUMMYFUNCTION("INDEX(SPLIT(J16,"" ""),1)"),4.0)</f>
        <v>4</v>
      </c>
      <c r="R16" s="3" t="str">
        <f>IFERROR(__xludf.DUMMYFUNCTION("MID(REGEXEXTRACT(J16,"" [^ ]* [^ ]*""),2,300)"),"muted olive")</f>
        <v>muted olive</v>
      </c>
      <c r="S16" s="3">
        <f t="shared" si="2"/>
        <v>1</v>
      </c>
      <c r="T16" s="3" t="str">
        <f t="shared" si="3"/>
        <v>dark violet</v>
      </c>
      <c r="U16" s="3">
        <f t="shared" si="4"/>
        <v>1</v>
      </c>
      <c r="V16" s="3" t="str">
        <f t="shared" si="5"/>
        <v>mirrored coral</v>
      </c>
      <c r="W16" s="3">
        <f t="shared" si="6"/>
        <v>3</v>
      </c>
      <c r="X16" s="3" t="str">
        <f t="shared" si="7"/>
        <v>drab tan</v>
      </c>
      <c r="Y16" s="3">
        <f t="shared" si="8"/>
        <v>4</v>
      </c>
      <c r="Z16" s="3" t="str">
        <f t="shared" si="9"/>
        <v>muted olive</v>
      </c>
      <c r="AA16" s="13">
        <f t="shared" si="10"/>
        <v>11336370</v>
      </c>
      <c r="AB16" s="3">
        <f t="shared" si="11"/>
        <v>11336369</v>
      </c>
      <c r="AC16" s="3">
        <f t="shared" si="12"/>
        <v>1</v>
      </c>
      <c r="AD16" s="3">
        <f t="shared" si="13"/>
        <v>508749</v>
      </c>
      <c r="AE16" s="3">
        <f t="shared" si="14"/>
        <v>1</v>
      </c>
      <c r="AF16" s="3">
        <f t="shared" si="15"/>
        <v>53285</v>
      </c>
      <c r="AG16" s="3">
        <f t="shared" si="16"/>
        <v>3</v>
      </c>
      <c r="AH16" s="3">
        <f t="shared" si="17"/>
        <v>3591437</v>
      </c>
      <c r="AI16" s="3">
        <f t="shared" si="18"/>
        <v>4</v>
      </c>
      <c r="AJ16" s="3">
        <f t="shared" si="19"/>
        <v>6</v>
      </c>
    </row>
    <row r="17">
      <c r="C17" s="6" t="s">
        <v>17</v>
      </c>
      <c r="D17" s="3">
        <f t="shared" si="1"/>
        <v>1</v>
      </c>
      <c r="E17" s="3" t="str">
        <f>IFERROR(__xludf.DUMMYFUNCTION("REGEXEXTRACT(C17,""[^ ]* [^ ]*"")"),"shiny brown")</f>
        <v>shiny brown</v>
      </c>
      <c r="F17" s="3" t="str">
        <f>IFERROR(__xludf.DUMMYFUNCTION("MID(REGEXEXTRACT(C17,""contain.*$""),9,300)"),"5 vibrant lavender bags, 4 dark lavender bags.")</f>
        <v>5 vibrant lavender bags, 4 dark lavender bags.</v>
      </c>
      <c r="G17" s="3" t="str">
        <f>IFERROR(__xludf.DUMMYFUNCTION("INDEX(SPLIT($F17,"",""),COLUMN()-6)"),"5 vibrant lavender bags")</f>
        <v>5 vibrant lavender bags</v>
      </c>
      <c r="H17" s="3" t="str">
        <f>IFERROR(__xludf.DUMMYFUNCTION("MID(INDEX(SPLIT($F17,"",""),COLUMN()-6),2,300)"),"4 dark lavender bags.")</f>
        <v>4 dark lavender bags.</v>
      </c>
      <c r="I17" s="3" t="str">
        <f>IFERROR(__xludf.DUMMYFUNCTION("MID(INDEX(SPLIT($F17,"",""),COLUMN()-6),2,300)"),"#REF!")</f>
        <v>#REF!</v>
      </c>
      <c r="J17" s="3" t="str">
        <f>IFERROR(__xludf.DUMMYFUNCTION("MID(INDEX(SPLIT($F17,"",""),COLUMN()-6),2,300)"),"#REF!")</f>
        <v>#REF!</v>
      </c>
      <c r="K17" s="3">
        <f>IFERROR(__xludf.DUMMYFUNCTION("INDEX(SPLIT(G17,"" ""),1)"),5.0)</f>
        <v>5</v>
      </c>
      <c r="L17" s="3" t="str">
        <f>IFERROR(__xludf.DUMMYFUNCTION("REGEXEXTRACT(G17,"" [^ ]* [^ ]* "")")," vibrant lavender ")</f>
        <v> vibrant lavender </v>
      </c>
      <c r="M17" s="3">
        <f>IFERROR(__xludf.DUMMYFUNCTION("INDEX(SPLIT(H17,"" ""),1)"),4.0)</f>
        <v>4</v>
      </c>
      <c r="N17" s="3" t="str">
        <f>IFERROR(__xludf.DUMMYFUNCTION("MID(REGEXEXTRACT(H17,"" [^ ]* [^ ]*""),2,300)"),"dark lavender")</f>
        <v>dark lavender</v>
      </c>
      <c r="O17" s="3" t="str">
        <f>IFERROR(__xludf.DUMMYFUNCTION("INDEX(SPLIT(I17,"" ""),1)"),"#REF!")</f>
        <v>#REF!</v>
      </c>
      <c r="P17" s="3" t="str">
        <f>IFERROR(__xludf.DUMMYFUNCTION("MID(REGEXEXTRACT(I17,"" [^ ]* [^ ]*""),2,300)"),"#REF!")</f>
        <v>#REF!</v>
      </c>
      <c r="Q17" s="3" t="str">
        <f>IFERROR(__xludf.DUMMYFUNCTION("INDEX(SPLIT(J17,"" ""),1)"),"#REF!")</f>
        <v>#REF!</v>
      </c>
      <c r="R17" s="3" t="str">
        <f>IFERROR(__xludf.DUMMYFUNCTION("MID(REGEXEXTRACT(J17,"" [^ ]* [^ ]*""),2,300)"),"#REF!")</f>
        <v>#REF!</v>
      </c>
      <c r="S17" s="3">
        <f t="shared" si="2"/>
        <v>5</v>
      </c>
      <c r="T17" s="3" t="str">
        <f t="shared" si="3"/>
        <v>vibrant lavender</v>
      </c>
      <c r="U17" s="3">
        <f t="shared" si="4"/>
        <v>4</v>
      </c>
      <c r="V17" s="3" t="str">
        <f t="shared" si="5"/>
        <v>dark lavender</v>
      </c>
      <c r="W17" s="3" t="str">
        <f t="shared" si="6"/>
        <v/>
      </c>
      <c r="X17" s="3" t="str">
        <f t="shared" si="7"/>
        <v/>
      </c>
      <c r="Y17" s="3" t="str">
        <f t="shared" si="8"/>
        <v/>
      </c>
      <c r="Z17" s="3" t="str">
        <f t="shared" si="9"/>
        <v/>
      </c>
      <c r="AA17" s="13">
        <f t="shared" si="10"/>
        <v>3479893</v>
      </c>
      <c r="AB17" s="3">
        <f t="shared" si="11"/>
        <v>3479892</v>
      </c>
      <c r="AC17" s="3">
        <f t="shared" si="12"/>
        <v>5</v>
      </c>
      <c r="AD17" s="3">
        <f t="shared" si="13"/>
        <v>695872</v>
      </c>
      <c r="AE17" s="3">
        <f t="shared" si="14"/>
        <v>4</v>
      </c>
      <c r="AF17" s="3">
        <f t="shared" si="15"/>
        <v>133</v>
      </c>
      <c r="AG17" s="3" t="str">
        <f t="shared" si="16"/>
        <v/>
      </c>
      <c r="AH17" s="3">
        <f t="shared" si="17"/>
        <v>0</v>
      </c>
      <c r="AI17" s="3" t="str">
        <f t="shared" si="18"/>
        <v/>
      </c>
      <c r="AJ17" s="3">
        <f t="shared" si="19"/>
        <v>0</v>
      </c>
    </row>
    <row r="18">
      <c r="C18" s="6" t="s">
        <v>18</v>
      </c>
      <c r="D18" s="3">
        <f t="shared" si="1"/>
        <v>0</v>
      </c>
      <c r="E18" s="3" t="str">
        <f>IFERROR(__xludf.DUMMYFUNCTION("REGEXEXTRACT(C18,""[^ ]* [^ ]*"")"),"plaid plum")</f>
        <v>plaid plum</v>
      </c>
      <c r="F18" s="3" t="str">
        <f>IFERROR(__xludf.DUMMYFUNCTION("MID(REGEXEXTRACT(C18,""contain.*$""),9,300)"),"1 faded green bag.")</f>
        <v>1 faded green bag.</v>
      </c>
      <c r="G18" s="3" t="str">
        <f>IFERROR(__xludf.DUMMYFUNCTION("INDEX(SPLIT($F18,"",""),COLUMN()-6)"),"1 faded green bag.")</f>
        <v>1 faded green bag.</v>
      </c>
      <c r="H18" s="3" t="str">
        <f>IFERROR(__xludf.DUMMYFUNCTION("MID(INDEX(SPLIT($F18,"",""),COLUMN()-6),2,300)"),"#REF!")</f>
        <v>#REF!</v>
      </c>
      <c r="I18" s="3" t="str">
        <f>IFERROR(__xludf.DUMMYFUNCTION("MID(INDEX(SPLIT($F18,"",""),COLUMN()-6),2,300)"),"#REF!")</f>
        <v>#REF!</v>
      </c>
      <c r="J18" s="3" t="str">
        <f>IFERROR(__xludf.DUMMYFUNCTION("MID(INDEX(SPLIT($F18,"",""),COLUMN()-6),2,300)"),"#REF!")</f>
        <v>#REF!</v>
      </c>
      <c r="K18" s="3">
        <f>IFERROR(__xludf.DUMMYFUNCTION("INDEX(SPLIT(G18,"" ""),1)"),1.0)</f>
        <v>1</v>
      </c>
      <c r="L18" s="3" t="str">
        <f>IFERROR(__xludf.DUMMYFUNCTION("REGEXEXTRACT(G18,"" [^ ]* [^ ]* "")")," faded green ")</f>
        <v> faded green </v>
      </c>
      <c r="M18" s="3" t="str">
        <f>IFERROR(__xludf.DUMMYFUNCTION("INDEX(SPLIT(H18,"" ""),1)"),"#REF!")</f>
        <v>#REF!</v>
      </c>
      <c r="N18" s="3" t="str">
        <f>IFERROR(__xludf.DUMMYFUNCTION("MID(REGEXEXTRACT(H18,"" [^ ]* [^ ]*""),2,300)"),"#REF!")</f>
        <v>#REF!</v>
      </c>
      <c r="O18" s="3" t="str">
        <f>IFERROR(__xludf.DUMMYFUNCTION("INDEX(SPLIT(I18,"" ""),1)"),"#REF!")</f>
        <v>#REF!</v>
      </c>
      <c r="P18" s="3" t="str">
        <f>IFERROR(__xludf.DUMMYFUNCTION("MID(REGEXEXTRACT(I18,"" [^ ]* [^ ]*""),2,300)"),"#REF!")</f>
        <v>#REF!</v>
      </c>
      <c r="Q18" s="3" t="str">
        <f>IFERROR(__xludf.DUMMYFUNCTION("INDEX(SPLIT(J18,"" ""),1)"),"#REF!")</f>
        <v>#REF!</v>
      </c>
      <c r="R18" s="3" t="str">
        <f>IFERROR(__xludf.DUMMYFUNCTION("MID(REGEXEXTRACT(J18,"" [^ ]* [^ ]*""),2,300)"),"#REF!")</f>
        <v>#REF!</v>
      </c>
      <c r="S18" s="3">
        <f t="shared" si="2"/>
        <v>1</v>
      </c>
      <c r="T18" s="3" t="str">
        <f t="shared" si="3"/>
        <v>faded green</v>
      </c>
      <c r="U18" s="3" t="str">
        <f t="shared" si="4"/>
        <v/>
      </c>
      <c r="V18" s="3" t="str">
        <f t="shared" si="5"/>
        <v/>
      </c>
      <c r="W18" s="3" t="str">
        <f t="shared" si="6"/>
        <v/>
      </c>
      <c r="X18" s="3" t="str">
        <f t="shared" si="7"/>
        <v/>
      </c>
      <c r="Y18" s="3" t="str">
        <f t="shared" si="8"/>
        <v/>
      </c>
      <c r="Z18" s="3" t="str">
        <f t="shared" si="9"/>
        <v/>
      </c>
      <c r="AA18" s="13">
        <f t="shared" si="10"/>
        <v>3599</v>
      </c>
      <c r="AB18" s="3">
        <f t="shared" si="11"/>
        <v>3598</v>
      </c>
      <c r="AC18" s="3">
        <f t="shared" si="12"/>
        <v>1</v>
      </c>
      <c r="AD18" s="3">
        <f t="shared" si="13"/>
        <v>3598</v>
      </c>
      <c r="AE18" s="3" t="str">
        <f t="shared" si="14"/>
        <v/>
      </c>
      <c r="AF18" s="3">
        <f t="shared" si="15"/>
        <v>0</v>
      </c>
      <c r="AG18" s="3" t="str">
        <f t="shared" si="16"/>
        <v/>
      </c>
      <c r="AH18" s="3">
        <f t="shared" si="17"/>
        <v>0</v>
      </c>
      <c r="AI18" s="3" t="str">
        <f t="shared" si="18"/>
        <v/>
      </c>
      <c r="AJ18" s="3">
        <f t="shared" si="19"/>
        <v>0</v>
      </c>
    </row>
    <row r="19">
      <c r="C19" s="6" t="s">
        <v>19</v>
      </c>
      <c r="D19" s="3">
        <f t="shared" si="1"/>
        <v>2</v>
      </c>
      <c r="E19" s="3" t="str">
        <f>IFERROR(__xludf.DUMMYFUNCTION("REGEXEXTRACT(C19,""[^ ]* [^ ]*"")"),"vibrant lavender")</f>
        <v>vibrant lavender</v>
      </c>
      <c r="F19" s="3" t="str">
        <f>IFERROR(__xludf.DUMMYFUNCTION("MID(REGEXEXTRACT(C19,""contain.*$""),9,300)"),"4 bright chartreuse bags, 3 dark teal bags, 4 muted aqua bags.")</f>
        <v>4 bright chartreuse bags, 3 dark teal bags, 4 muted aqua bags.</v>
      </c>
      <c r="G19" s="3" t="str">
        <f>IFERROR(__xludf.DUMMYFUNCTION("INDEX(SPLIT($F19,"",""),COLUMN()-6)"),"4 bright chartreuse bags")</f>
        <v>4 bright chartreuse bags</v>
      </c>
      <c r="H19" s="3" t="str">
        <f>IFERROR(__xludf.DUMMYFUNCTION("MID(INDEX(SPLIT($F19,"",""),COLUMN()-6),2,300)"),"3 dark teal bags")</f>
        <v>3 dark teal bags</v>
      </c>
      <c r="I19" s="3" t="str">
        <f>IFERROR(__xludf.DUMMYFUNCTION("MID(INDEX(SPLIT($F19,"",""),COLUMN()-6),2,300)"),"4 muted aqua bags.")</f>
        <v>4 muted aqua bags.</v>
      </c>
      <c r="J19" s="3" t="str">
        <f>IFERROR(__xludf.DUMMYFUNCTION("MID(INDEX(SPLIT($F19,"",""),COLUMN()-6),2,300)"),"#REF!")</f>
        <v>#REF!</v>
      </c>
      <c r="K19" s="3">
        <f>IFERROR(__xludf.DUMMYFUNCTION("INDEX(SPLIT(G19,"" ""),1)"),4.0)</f>
        <v>4</v>
      </c>
      <c r="L19" s="3" t="str">
        <f>IFERROR(__xludf.DUMMYFUNCTION("REGEXEXTRACT(G19,"" [^ ]* [^ ]* "")")," bright chartreuse ")</f>
        <v> bright chartreuse </v>
      </c>
      <c r="M19" s="3">
        <f>IFERROR(__xludf.DUMMYFUNCTION("INDEX(SPLIT(H19,"" ""),1)"),3.0)</f>
        <v>3</v>
      </c>
      <c r="N19" s="3" t="str">
        <f>IFERROR(__xludf.DUMMYFUNCTION("MID(REGEXEXTRACT(H19,"" [^ ]* [^ ]*""),2,300)"),"dark teal")</f>
        <v>dark teal</v>
      </c>
      <c r="O19" s="3">
        <f>IFERROR(__xludf.DUMMYFUNCTION("INDEX(SPLIT(I19,"" ""),1)"),4.0)</f>
        <v>4</v>
      </c>
      <c r="P19" s="3" t="str">
        <f>IFERROR(__xludf.DUMMYFUNCTION("MID(REGEXEXTRACT(I19,"" [^ ]* [^ ]*""),2,300)"),"muted aqua")</f>
        <v>muted aqua</v>
      </c>
      <c r="Q19" s="3" t="str">
        <f>IFERROR(__xludf.DUMMYFUNCTION("INDEX(SPLIT(J19,"" ""),1)"),"#REF!")</f>
        <v>#REF!</v>
      </c>
      <c r="R19" s="3" t="str">
        <f>IFERROR(__xludf.DUMMYFUNCTION("MID(REGEXEXTRACT(J19,"" [^ ]* [^ ]*""),2,300)"),"#REF!")</f>
        <v>#REF!</v>
      </c>
      <c r="S19" s="3">
        <f t="shared" si="2"/>
        <v>4</v>
      </c>
      <c r="T19" s="3" t="str">
        <f t="shared" si="3"/>
        <v>bright chartreuse</v>
      </c>
      <c r="U19" s="3">
        <f t="shared" si="4"/>
        <v>3</v>
      </c>
      <c r="V19" s="3" t="str">
        <f t="shared" si="5"/>
        <v>dark teal</v>
      </c>
      <c r="W19" s="3">
        <f t="shared" si="6"/>
        <v>4</v>
      </c>
      <c r="X19" s="3" t="str">
        <f t="shared" si="7"/>
        <v>muted aqua</v>
      </c>
      <c r="Y19" s="3" t="str">
        <f t="shared" si="8"/>
        <v/>
      </c>
      <c r="Z19" s="3" t="str">
        <f t="shared" si="9"/>
        <v/>
      </c>
      <c r="AA19" s="13">
        <f t="shared" si="10"/>
        <v>695872</v>
      </c>
      <c r="AB19" s="3">
        <f t="shared" si="11"/>
        <v>695871</v>
      </c>
      <c r="AC19" s="3">
        <f t="shared" si="12"/>
        <v>4</v>
      </c>
      <c r="AD19" s="3">
        <f t="shared" si="13"/>
        <v>132604</v>
      </c>
      <c r="AE19" s="3">
        <f t="shared" si="14"/>
        <v>3</v>
      </c>
      <c r="AF19" s="3">
        <f t="shared" si="15"/>
        <v>15041</v>
      </c>
      <c r="AG19" s="3">
        <f t="shared" si="16"/>
        <v>4</v>
      </c>
      <c r="AH19" s="3">
        <f t="shared" si="17"/>
        <v>30083</v>
      </c>
      <c r="AI19" s="3" t="str">
        <f t="shared" si="18"/>
        <v/>
      </c>
      <c r="AJ19" s="3">
        <f t="shared" si="19"/>
        <v>0</v>
      </c>
    </row>
    <row r="20">
      <c r="C20" s="6" t="s">
        <v>20</v>
      </c>
      <c r="D20" s="3">
        <f t="shared" si="1"/>
        <v>3</v>
      </c>
      <c r="E20" s="3" t="str">
        <f>IFERROR(__xludf.DUMMYFUNCTION("REGEXEXTRACT(C20,""[^ ]* [^ ]*"")"),"muted yellow")</f>
        <v>muted yellow</v>
      </c>
      <c r="F20" s="3" t="str">
        <f>IFERROR(__xludf.DUMMYFUNCTION("MID(REGEXEXTRACT(C20,""contain.*$""),9,300)"),"5 posh yellow bags, 3 dim olive bags, 1 light cyan bag, 1 plaid gray bag.")</f>
        <v>5 posh yellow bags, 3 dim olive bags, 1 light cyan bag, 1 plaid gray bag.</v>
      </c>
      <c r="G20" s="3" t="str">
        <f>IFERROR(__xludf.DUMMYFUNCTION("INDEX(SPLIT($F20,"",""),COLUMN()-6)"),"5 posh yellow bags")</f>
        <v>5 posh yellow bags</v>
      </c>
      <c r="H20" s="3" t="str">
        <f>IFERROR(__xludf.DUMMYFUNCTION("MID(INDEX(SPLIT($F20,"",""),COLUMN()-6),2,300)"),"3 dim olive bags")</f>
        <v>3 dim olive bags</v>
      </c>
      <c r="I20" s="3" t="str">
        <f>IFERROR(__xludf.DUMMYFUNCTION("MID(INDEX(SPLIT($F20,"",""),COLUMN()-6),2,300)"),"1 light cyan bag")</f>
        <v>1 light cyan bag</v>
      </c>
      <c r="J20" s="3" t="str">
        <f>IFERROR(__xludf.DUMMYFUNCTION("MID(INDEX(SPLIT($F20,"",""),COLUMN()-6),2,300)"),"1 plaid gray bag.")</f>
        <v>1 plaid gray bag.</v>
      </c>
      <c r="K20" s="3">
        <f>IFERROR(__xludf.DUMMYFUNCTION("INDEX(SPLIT(G20,"" ""),1)"),5.0)</f>
        <v>5</v>
      </c>
      <c r="L20" s="3" t="str">
        <f>IFERROR(__xludf.DUMMYFUNCTION("REGEXEXTRACT(G20,"" [^ ]* [^ ]* "")")," posh yellow ")</f>
        <v> posh yellow </v>
      </c>
      <c r="M20" s="3">
        <f>IFERROR(__xludf.DUMMYFUNCTION("INDEX(SPLIT(H20,"" ""),1)"),3.0)</f>
        <v>3</v>
      </c>
      <c r="N20" s="3" t="str">
        <f>IFERROR(__xludf.DUMMYFUNCTION("MID(REGEXEXTRACT(H20,"" [^ ]* [^ ]*""),2,300)"),"dim olive")</f>
        <v>dim olive</v>
      </c>
      <c r="O20" s="3">
        <f>IFERROR(__xludf.DUMMYFUNCTION("INDEX(SPLIT(I20,"" ""),1)"),1.0)</f>
        <v>1</v>
      </c>
      <c r="P20" s="3" t="str">
        <f>IFERROR(__xludf.DUMMYFUNCTION("MID(REGEXEXTRACT(I20,"" [^ ]* [^ ]*""),2,300)"),"light cyan")</f>
        <v>light cyan</v>
      </c>
      <c r="Q20" s="3">
        <f>IFERROR(__xludf.DUMMYFUNCTION("INDEX(SPLIT(J20,"" ""),1)"),1.0)</f>
        <v>1</v>
      </c>
      <c r="R20" s="3" t="str">
        <f>IFERROR(__xludf.DUMMYFUNCTION("MID(REGEXEXTRACT(J20,"" [^ ]* [^ ]*""),2,300)"),"plaid gray")</f>
        <v>plaid gray</v>
      </c>
      <c r="S20" s="3">
        <f t="shared" si="2"/>
        <v>5</v>
      </c>
      <c r="T20" s="3" t="str">
        <f t="shared" si="3"/>
        <v>posh yellow</v>
      </c>
      <c r="U20" s="3">
        <f t="shared" si="4"/>
        <v>3</v>
      </c>
      <c r="V20" s="3" t="str">
        <f t="shared" si="5"/>
        <v>dim olive</v>
      </c>
      <c r="W20" s="3">
        <f t="shared" si="6"/>
        <v>1</v>
      </c>
      <c r="X20" s="3" t="str">
        <f t="shared" si="7"/>
        <v>light cyan</v>
      </c>
      <c r="Y20" s="3">
        <f t="shared" si="8"/>
        <v>1</v>
      </c>
      <c r="Z20" s="3" t="str">
        <f t="shared" si="9"/>
        <v>plaid gray</v>
      </c>
      <c r="AA20" s="13">
        <f t="shared" si="10"/>
        <v>3828</v>
      </c>
      <c r="AB20" s="3">
        <f t="shared" si="11"/>
        <v>3827</v>
      </c>
      <c r="AC20" s="3">
        <f t="shared" si="12"/>
        <v>5</v>
      </c>
      <c r="AD20" s="3">
        <f t="shared" si="13"/>
        <v>4</v>
      </c>
      <c r="AE20" s="3">
        <f t="shared" si="14"/>
        <v>3</v>
      </c>
      <c r="AF20" s="3">
        <f t="shared" si="15"/>
        <v>1</v>
      </c>
      <c r="AG20" s="3">
        <f t="shared" si="16"/>
        <v>1</v>
      </c>
      <c r="AH20" s="3">
        <f t="shared" si="17"/>
        <v>3750</v>
      </c>
      <c r="AI20" s="3">
        <f t="shared" si="18"/>
        <v>1</v>
      </c>
      <c r="AJ20" s="3">
        <f t="shared" si="19"/>
        <v>54</v>
      </c>
    </row>
    <row r="21">
      <c r="C21" s="6" t="s">
        <v>21</v>
      </c>
      <c r="D21" s="3">
        <f t="shared" si="1"/>
        <v>2</v>
      </c>
      <c r="E21" s="3" t="str">
        <f>IFERROR(__xludf.DUMMYFUNCTION("REGEXEXTRACT(C21,""[^ ]* [^ ]*"")"),"light beige")</f>
        <v>light beige</v>
      </c>
      <c r="F21" s="3" t="str">
        <f>IFERROR(__xludf.DUMMYFUNCTION("MID(REGEXEXTRACT(C21,""contain.*$""),9,300)"),"2 wavy orange bags, 5 vibrant salmon bags, 2 dim brown bags.")</f>
        <v>2 wavy orange bags, 5 vibrant salmon bags, 2 dim brown bags.</v>
      </c>
      <c r="G21" s="3" t="str">
        <f>IFERROR(__xludf.DUMMYFUNCTION("INDEX(SPLIT($F21,"",""),COLUMN()-6)"),"2 wavy orange bags")</f>
        <v>2 wavy orange bags</v>
      </c>
      <c r="H21" s="3" t="str">
        <f>IFERROR(__xludf.DUMMYFUNCTION("MID(INDEX(SPLIT($F21,"",""),COLUMN()-6),2,300)"),"5 vibrant salmon bags")</f>
        <v>5 vibrant salmon bags</v>
      </c>
      <c r="I21" s="3" t="str">
        <f>IFERROR(__xludf.DUMMYFUNCTION("MID(INDEX(SPLIT($F21,"",""),COLUMN()-6),2,300)"),"2 dim brown bags.")</f>
        <v>2 dim brown bags.</v>
      </c>
      <c r="J21" s="3" t="str">
        <f>IFERROR(__xludf.DUMMYFUNCTION("MID(INDEX(SPLIT($F21,"",""),COLUMN()-6),2,300)"),"#REF!")</f>
        <v>#REF!</v>
      </c>
      <c r="K21" s="3">
        <f>IFERROR(__xludf.DUMMYFUNCTION("INDEX(SPLIT(G21,"" ""),1)"),2.0)</f>
        <v>2</v>
      </c>
      <c r="L21" s="3" t="str">
        <f>IFERROR(__xludf.DUMMYFUNCTION("REGEXEXTRACT(G21,"" [^ ]* [^ ]* "")")," wavy orange ")</f>
        <v> wavy orange </v>
      </c>
      <c r="M21" s="3">
        <f>IFERROR(__xludf.DUMMYFUNCTION("INDEX(SPLIT(H21,"" ""),1)"),5.0)</f>
        <v>5</v>
      </c>
      <c r="N21" s="3" t="str">
        <f>IFERROR(__xludf.DUMMYFUNCTION("MID(REGEXEXTRACT(H21,"" [^ ]* [^ ]*""),2,300)"),"vibrant salmon")</f>
        <v>vibrant salmon</v>
      </c>
      <c r="O21" s="3">
        <f>IFERROR(__xludf.DUMMYFUNCTION("INDEX(SPLIT(I21,"" ""),1)"),2.0)</f>
        <v>2</v>
      </c>
      <c r="P21" s="3" t="str">
        <f>IFERROR(__xludf.DUMMYFUNCTION("MID(REGEXEXTRACT(I21,"" [^ ]* [^ ]*""),2,300)"),"dim brown")</f>
        <v>dim brown</v>
      </c>
      <c r="Q21" s="3" t="str">
        <f>IFERROR(__xludf.DUMMYFUNCTION("INDEX(SPLIT(J21,"" ""),1)"),"#REF!")</f>
        <v>#REF!</v>
      </c>
      <c r="R21" s="3" t="str">
        <f>IFERROR(__xludf.DUMMYFUNCTION("MID(REGEXEXTRACT(J21,"" [^ ]* [^ ]*""),2,300)"),"#REF!")</f>
        <v>#REF!</v>
      </c>
      <c r="S21" s="3">
        <f t="shared" si="2"/>
        <v>2</v>
      </c>
      <c r="T21" s="3" t="str">
        <f t="shared" si="3"/>
        <v>wavy orange</v>
      </c>
      <c r="U21" s="3">
        <f t="shared" si="4"/>
        <v>5</v>
      </c>
      <c r="V21" s="3" t="str">
        <f t="shared" si="5"/>
        <v>vibrant salmon</v>
      </c>
      <c r="W21" s="3">
        <f t="shared" si="6"/>
        <v>2</v>
      </c>
      <c r="X21" s="3" t="str">
        <f t="shared" si="7"/>
        <v>dim brown</v>
      </c>
      <c r="Y21" s="3" t="str">
        <f t="shared" si="8"/>
        <v/>
      </c>
      <c r="Z21" s="3" t="str">
        <f t="shared" si="9"/>
        <v/>
      </c>
      <c r="AA21" s="13">
        <f t="shared" si="10"/>
        <v>30775348</v>
      </c>
      <c r="AB21" s="3">
        <f t="shared" si="11"/>
        <v>30775347</v>
      </c>
      <c r="AC21" s="3">
        <f t="shared" si="12"/>
        <v>2</v>
      </c>
      <c r="AD21" s="3">
        <f t="shared" si="13"/>
        <v>7433534</v>
      </c>
      <c r="AE21" s="3">
        <f t="shared" si="14"/>
        <v>5</v>
      </c>
      <c r="AF21" s="3">
        <f t="shared" si="15"/>
        <v>3172113</v>
      </c>
      <c r="AG21" s="3">
        <f t="shared" si="16"/>
        <v>2</v>
      </c>
      <c r="AH21" s="3">
        <f t="shared" si="17"/>
        <v>23857</v>
      </c>
      <c r="AI21" s="3" t="str">
        <f t="shared" si="18"/>
        <v/>
      </c>
      <c r="AJ21" s="3">
        <f t="shared" si="19"/>
        <v>0</v>
      </c>
    </row>
    <row r="22">
      <c r="C22" s="6" t="s">
        <v>22</v>
      </c>
      <c r="D22" s="3">
        <f t="shared" si="1"/>
        <v>1</v>
      </c>
      <c r="E22" s="3" t="str">
        <f>IFERROR(__xludf.DUMMYFUNCTION("REGEXEXTRACT(C22,""[^ ]* [^ ]*"")"),"muted indigo")</f>
        <v>muted indigo</v>
      </c>
      <c r="F22" s="3" t="str">
        <f>IFERROR(__xludf.DUMMYFUNCTION("MID(REGEXEXTRACT(C22,""contain.*$""),9,300)"),"3 dim brown bags, 3 drab brown bags.")</f>
        <v>3 dim brown bags, 3 drab brown bags.</v>
      </c>
      <c r="G22" s="3" t="str">
        <f>IFERROR(__xludf.DUMMYFUNCTION("INDEX(SPLIT($F22,"",""),COLUMN()-6)"),"3 dim brown bags")</f>
        <v>3 dim brown bags</v>
      </c>
      <c r="H22" s="3" t="str">
        <f>IFERROR(__xludf.DUMMYFUNCTION("MID(INDEX(SPLIT($F22,"",""),COLUMN()-6),2,300)"),"3 drab brown bags.")</f>
        <v>3 drab brown bags.</v>
      </c>
      <c r="I22" s="3" t="str">
        <f>IFERROR(__xludf.DUMMYFUNCTION("MID(INDEX(SPLIT($F22,"",""),COLUMN()-6),2,300)"),"#REF!")</f>
        <v>#REF!</v>
      </c>
      <c r="J22" s="3" t="str">
        <f>IFERROR(__xludf.DUMMYFUNCTION("MID(INDEX(SPLIT($F22,"",""),COLUMN()-6),2,300)"),"#REF!")</f>
        <v>#REF!</v>
      </c>
      <c r="K22" s="3">
        <f>IFERROR(__xludf.DUMMYFUNCTION("INDEX(SPLIT(G22,"" ""),1)"),3.0)</f>
        <v>3</v>
      </c>
      <c r="L22" s="3" t="str">
        <f>IFERROR(__xludf.DUMMYFUNCTION("REGEXEXTRACT(G22,"" [^ ]* [^ ]* "")")," dim brown ")</f>
        <v> dim brown </v>
      </c>
      <c r="M22" s="3">
        <f>IFERROR(__xludf.DUMMYFUNCTION("INDEX(SPLIT(H22,"" ""),1)"),3.0)</f>
        <v>3</v>
      </c>
      <c r="N22" s="3" t="str">
        <f>IFERROR(__xludf.DUMMYFUNCTION("MID(REGEXEXTRACT(H22,"" [^ ]* [^ ]*""),2,300)"),"drab brown")</f>
        <v>drab brown</v>
      </c>
      <c r="O22" s="3" t="str">
        <f>IFERROR(__xludf.DUMMYFUNCTION("INDEX(SPLIT(I22,"" ""),1)"),"#REF!")</f>
        <v>#REF!</v>
      </c>
      <c r="P22" s="3" t="str">
        <f>IFERROR(__xludf.DUMMYFUNCTION("MID(REGEXEXTRACT(I22,"" [^ ]* [^ ]*""),2,300)"),"#REF!")</f>
        <v>#REF!</v>
      </c>
      <c r="Q22" s="3" t="str">
        <f>IFERROR(__xludf.DUMMYFUNCTION("INDEX(SPLIT(J22,"" ""),1)"),"#REF!")</f>
        <v>#REF!</v>
      </c>
      <c r="R22" s="3" t="str">
        <f>IFERROR(__xludf.DUMMYFUNCTION("MID(REGEXEXTRACT(J22,"" [^ ]* [^ ]*""),2,300)"),"#REF!")</f>
        <v>#REF!</v>
      </c>
      <c r="S22" s="3">
        <f t="shared" si="2"/>
        <v>3</v>
      </c>
      <c r="T22" s="3" t="str">
        <f t="shared" si="3"/>
        <v>dim brown</v>
      </c>
      <c r="U22" s="3">
        <f t="shared" si="4"/>
        <v>3</v>
      </c>
      <c r="V22" s="3" t="str">
        <f t="shared" si="5"/>
        <v>drab brown</v>
      </c>
      <c r="W22" s="3" t="str">
        <f t="shared" si="6"/>
        <v/>
      </c>
      <c r="X22" s="3" t="str">
        <f t="shared" si="7"/>
        <v/>
      </c>
      <c r="Y22" s="3" t="str">
        <f t="shared" si="8"/>
        <v/>
      </c>
      <c r="Z22" s="3" t="str">
        <f t="shared" si="9"/>
        <v/>
      </c>
      <c r="AA22" s="13">
        <f t="shared" si="10"/>
        <v>362095</v>
      </c>
      <c r="AB22" s="3">
        <f t="shared" si="11"/>
        <v>362094</v>
      </c>
      <c r="AC22" s="3">
        <f t="shared" si="12"/>
        <v>3</v>
      </c>
      <c r="AD22" s="3">
        <f t="shared" si="13"/>
        <v>23857</v>
      </c>
      <c r="AE22" s="3">
        <f t="shared" si="14"/>
        <v>3</v>
      </c>
      <c r="AF22" s="3">
        <f t="shared" si="15"/>
        <v>96841</v>
      </c>
      <c r="AG22" s="3" t="str">
        <f t="shared" si="16"/>
        <v/>
      </c>
      <c r="AH22" s="3">
        <f t="shared" si="17"/>
        <v>0</v>
      </c>
      <c r="AI22" s="3" t="str">
        <f t="shared" si="18"/>
        <v/>
      </c>
      <c r="AJ22" s="3">
        <f t="shared" si="19"/>
        <v>0</v>
      </c>
    </row>
    <row r="23">
      <c r="C23" s="6" t="s">
        <v>23</v>
      </c>
      <c r="D23" s="3">
        <f t="shared" si="1"/>
        <v>3</v>
      </c>
      <c r="E23" s="3" t="str">
        <f>IFERROR(__xludf.DUMMYFUNCTION("REGEXEXTRACT(C23,""[^ ]* [^ ]*"")"),"dim bronze")</f>
        <v>dim bronze</v>
      </c>
      <c r="F23" s="3" t="str">
        <f>IFERROR(__xludf.DUMMYFUNCTION("MID(REGEXEXTRACT(C23,""contain.*$""),9,300)"),"4 dim black bags, 5 wavy turquoise bags, 5 bright violet bags, 2 dark bronze bags.")</f>
        <v>4 dim black bags, 5 wavy turquoise bags, 5 bright violet bags, 2 dark bronze bags.</v>
      </c>
      <c r="G23" s="3" t="str">
        <f>IFERROR(__xludf.DUMMYFUNCTION("INDEX(SPLIT($F23,"",""),COLUMN()-6)"),"4 dim black bags")</f>
        <v>4 dim black bags</v>
      </c>
      <c r="H23" s="3" t="str">
        <f>IFERROR(__xludf.DUMMYFUNCTION("MID(INDEX(SPLIT($F23,"",""),COLUMN()-6),2,300)"),"5 wavy turquoise bags")</f>
        <v>5 wavy turquoise bags</v>
      </c>
      <c r="I23" s="3" t="str">
        <f>IFERROR(__xludf.DUMMYFUNCTION("MID(INDEX(SPLIT($F23,"",""),COLUMN()-6),2,300)"),"5 bright violet bags")</f>
        <v>5 bright violet bags</v>
      </c>
      <c r="J23" s="3" t="str">
        <f>IFERROR(__xludf.DUMMYFUNCTION("MID(INDEX(SPLIT($F23,"",""),COLUMN()-6),2,300)"),"2 dark bronze bags.")</f>
        <v>2 dark bronze bags.</v>
      </c>
      <c r="K23" s="3">
        <f>IFERROR(__xludf.DUMMYFUNCTION("INDEX(SPLIT(G23,"" ""),1)"),4.0)</f>
        <v>4</v>
      </c>
      <c r="L23" s="3" t="str">
        <f>IFERROR(__xludf.DUMMYFUNCTION("REGEXEXTRACT(G23,"" [^ ]* [^ ]* "")")," dim black ")</f>
        <v> dim black </v>
      </c>
      <c r="M23" s="3">
        <f>IFERROR(__xludf.DUMMYFUNCTION("INDEX(SPLIT(H23,"" ""),1)"),5.0)</f>
        <v>5</v>
      </c>
      <c r="N23" s="3" t="str">
        <f>IFERROR(__xludf.DUMMYFUNCTION("MID(REGEXEXTRACT(H23,"" [^ ]* [^ ]*""),2,300)"),"wavy turquoise")</f>
        <v>wavy turquoise</v>
      </c>
      <c r="O23" s="3">
        <f>IFERROR(__xludf.DUMMYFUNCTION("INDEX(SPLIT(I23,"" ""),1)"),5.0)</f>
        <v>5</v>
      </c>
      <c r="P23" s="3" t="str">
        <f>IFERROR(__xludf.DUMMYFUNCTION("MID(REGEXEXTRACT(I23,"" [^ ]* [^ ]*""),2,300)"),"bright violet")</f>
        <v>bright violet</v>
      </c>
      <c r="Q23" s="3">
        <f>IFERROR(__xludf.DUMMYFUNCTION("INDEX(SPLIT(J23,"" ""),1)"),2.0)</f>
        <v>2</v>
      </c>
      <c r="R23" s="3" t="str">
        <f>IFERROR(__xludf.DUMMYFUNCTION("MID(REGEXEXTRACT(J23,"" [^ ]* [^ ]*""),2,300)"),"dark bronze")</f>
        <v>dark bronze</v>
      </c>
      <c r="S23" s="3">
        <f t="shared" si="2"/>
        <v>4</v>
      </c>
      <c r="T23" s="3" t="str">
        <f t="shared" si="3"/>
        <v>dim black</v>
      </c>
      <c r="U23" s="3">
        <f t="shared" si="4"/>
        <v>5</v>
      </c>
      <c r="V23" s="3" t="str">
        <f t="shared" si="5"/>
        <v>wavy turquoise</v>
      </c>
      <c r="W23" s="3">
        <f t="shared" si="6"/>
        <v>5</v>
      </c>
      <c r="X23" s="3" t="str">
        <f t="shared" si="7"/>
        <v>bright violet</v>
      </c>
      <c r="Y23" s="3">
        <f t="shared" si="8"/>
        <v>2</v>
      </c>
      <c r="Z23" s="3" t="str">
        <f t="shared" si="9"/>
        <v>dark bronze</v>
      </c>
      <c r="AA23" s="13">
        <f t="shared" si="10"/>
        <v>557021</v>
      </c>
      <c r="AB23" s="3">
        <f t="shared" si="11"/>
        <v>557020</v>
      </c>
      <c r="AC23" s="3">
        <f t="shared" si="12"/>
        <v>4</v>
      </c>
      <c r="AD23" s="3">
        <f t="shared" si="13"/>
        <v>117480</v>
      </c>
      <c r="AE23" s="3">
        <f t="shared" si="14"/>
        <v>5</v>
      </c>
      <c r="AF23" s="3">
        <f t="shared" si="15"/>
        <v>11485</v>
      </c>
      <c r="AG23" s="3">
        <f t="shared" si="16"/>
        <v>5</v>
      </c>
      <c r="AH23" s="3">
        <f t="shared" si="17"/>
        <v>1</v>
      </c>
      <c r="AI23" s="3">
        <f t="shared" si="18"/>
        <v>2</v>
      </c>
      <c r="AJ23" s="3">
        <f t="shared" si="19"/>
        <v>14835</v>
      </c>
    </row>
    <row r="24">
      <c r="C24" s="6" t="s">
        <v>24</v>
      </c>
      <c r="D24" s="3">
        <f t="shared" si="1"/>
        <v>0</v>
      </c>
      <c r="E24" s="3" t="str">
        <f>IFERROR(__xludf.DUMMYFUNCTION("REGEXEXTRACT(C24,""[^ ]* [^ ]*"")"),"shiny teal")</f>
        <v>shiny teal</v>
      </c>
      <c r="F24" s="3" t="str">
        <f>IFERROR(__xludf.DUMMYFUNCTION("MID(REGEXEXTRACT(C24,""contain.*$""),9,300)"),"5 plaid chartreuse bags.")</f>
        <v>5 plaid chartreuse bags.</v>
      </c>
      <c r="G24" s="3" t="str">
        <f>IFERROR(__xludf.DUMMYFUNCTION("INDEX(SPLIT($F24,"",""),COLUMN()-6)"),"5 plaid chartreuse bags.")</f>
        <v>5 plaid chartreuse bags.</v>
      </c>
      <c r="H24" s="3" t="str">
        <f>IFERROR(__xludf.DUMMYFUNCTION("MID(INDEX(SPLIT($F24,"",""),COLUMN()-6),2,300)"),"#REF!")</f>
        <v>#REF!</v>
      </c>
      <c r="I24" s="3" t="str">
        <f>IFERROR(__xludf.DUMMYFUNCTION("MID(INDEX(SPLIT($F24,"",""),COLUMN()-6),2,300)"),"#REF!")</f>
        <v>#REF!</v>
      </c>
      <c r="J24" s="3" t="str">
        <f>IFERROR(__xludf.DUMMYFUNCTION("MID(INDEX(SPLIT($F24,"",""),COLUMN()-6),2,300)"),"#REF!")</f>
        <v>#REF!</v>
      </c>
      <c r="K24" s="3">
        <f>IFERROR(__xludf.DUMMYFUNCTION("INDEX(SPLIT(G24,"" ""),1)"),5.0)</f>
        <v>5</v>
      </c>
      <c r="L24" s="3" t="str">
        <f>IFERROR(__xludf.DUMMYFUNCTION("REGEXEXTRACT(G24,"" [^ ]* [^ ]* "")")," plaid chartreuse ")</f>
        <v> plaid chartreuse </v>
      </c>
      <c r="M24" s="3" t="str">
        <f>IFERROR(__xludf.DUMMYFUNCTION("INDEX(SPLIT(H24,"" ""),1)"),"#REF!")</f>
        <v>#REF!</v>
      </c>
      <c r="N24" s="3" t="str">
        <f>IFERROR(__xludf.DUMMYFUNCTION("MID(REGEXEXTRACT(H24,"" [^ ]* [^ ]*""),2,300)"),"#REF!")</f>
        <v>#REF!</v>
      </c>
      <c r="O24" s="3" t="str">
        <f>IFERROR(__xludf.DUMMYFUNCTION("INDEX(SPLIT(I24,"" ""),1)"),"#REF!")</f>
        <v>#REF!</v>
      </c>
      <c r="P24" s="3" t="str">
        <f>IFERROR(__xludf.DUMMYFUNCTION("MID(REGEXEXTRACT(I24,"" [^ ]* [^ ]*""),2,300)"),"#REF!")</f>
        <v>#REF!</v>
      </c>
      <c r="Q24" s="3" t="str">
        <f>IFERROR(__xludf.DUMMYFUNCTION("INDEX(SPLIT(J24,"" ""),1)"),"#REF!")</f>
        <v>#REF!</v>
      </c>
      <c r="R24" s="3" t="str">
        <f>IFERROR(__xludf.DUMMYFUNCTION("MID(REGEXEXTRACT(J24,"" [^ ]* [^ ]*""),2,300)"),"#REF!")</f>
        <v>#REF!</v>
      </c>
      <c r="S24" s="3">
        <f t="shared" si="2"/>
        <v>5</v>
      </c>
      <c r="T24" s="3" t="str">
        <f t="shared" si="3"/>
        <v>plaid chartreuse</v>
      </c>
      <c r="U24" s="3" t="str">
        <f t="shared" si="4"/>
        <v/>
      </c>
      <c r="V24" s="3" t="str">
        <f t="shared" si="5"/>
        <v/>
      </c>
      <c r="W24" s="3" t="str">
        <f t="shared" si="6"/>
        <v/>
      </c>
      <c r="X24" s="3" t="str">
        <f t="shared" si="7"/>
        <v/>
      </c>
      <c r="Y24" s="3" t="str">
        <f t="shared" si="8"/>
        <v/>
      </c>
      <c r="Z24" s="3" t="str">
        <f t="shared" si="9"/>
        <v/>
      </c>
      <c r="AA24" s="13">
        <f t="shared" si="10"/>
        <v>998496761</v>
      </c>
      <c r="AB24" s="3">
        <f t="shared" si="11"/>
        <v>998496760</v>
      </c>
      <c r="AC24" s="3">
        <f t="shared" si="12"/>
        <v>5</v>
      </c>
      <c r="AD24" s="3">
        <f t="shared" si="13"/>
        <v>199699352</v>
      </c>
      <c r="AE24" s="3" t="str">
        <f t="shared" si="14"/>
        <v/>
      </c>
      <c r="AF24" s="3">
        <f t="shared" si="15"/>
        <v>0</v>
      </c>
      <c r="AG24" s="3" t="str">
        <f t="shared" si="16"/>
        <v/>
      </c>
      <c r="AH24" s="3">
        <f t="shared" si="17"/>
        <v>0</v>
      </c>
      <c r="AI24" s="3" t="str">
        <f t="shared" si="18"/>
        <v/>
      </c>
      <c r="AJ24" s="3">
        <f t="shared" si="19"/>
        <v>0</v>
      </c>
    </row>
    <row r="25">
      <c r="C25" s="6" t="s">
        <v>25</v>
      </c>
      <c r="D25" s="3">
        <f t="shared" si="1"/>
        <v>3</v>
      </c>
      <c r="E25" s="3" t="str">
        <f>IFERROR(__xludf.DUMMYFUNCTION("REGEXEXTRACT(C25,""[^ ]* [^ ]*"")"),"pale aqua")</f>
        <v>pale aqua</v>
      </c>
      <c r="F25" s="3" t="str">
        <f>IFERROR(__xludf.DUMMYFUNCTION("MID(REGEXEXTRACT(C25,""contain.*$""),9,300)"),"2 striped lime bags, 4 dark turquoise bags, 3 dull tomato bags, 2 mirrored lavender bags.")</f>
        <v>2 striped lime bags, 4 dark turquoise bags, 3 dull tomato bags, 2 mirrored lavender bags.</v>
      </c>
      <c r="G25" s="3" t="str">
        <f>IFERROR(__xludf.DUMMYFUNCTION("INDEX(SPLIT($F25,"",""),COLUMN()-6)"),"2 striped lime bags")</f>
        <v>2 striped lime bags</v>
      </c>
      <c r="H25" s="3" t="str">
        <f>IFERROR(__xludf.DUMMYFUNCTION("MID(INDEX(SPLIT($F25,"",""),COLUMN()-6),2,300)"),"4 dark turquoise bags")</f>
        <v>4 dark turquoise bags</v>
      </c>
      <c r="I25" s="3" t="str">
        <f>IFERROR(__xludf.DUMMYFUNCTION("MID(INDEX(SPLIT($F25,"",""),COLUMN()-6),2,300)"),"3 dull tomato bags")</f>
        <v>3 dull tomato bags</v>
      </c>
      <c r="J25" s="3" t="str">
        <f>IFERROR(__xludf.DUMMYFUNCTION("MID(INDEX(SPLIT($F25,"",""),COLUMN()-6),2,300)"),"2 mirrored lavender bags.")</f>
        <v>2 mirrored lavender bags.</v>
      </c>
      <c r="K25" s="3">
        <f>IFERROR(__xludf.DUMMYFUNCTION("INDEX(SPLIT(G25,"" ""),1)"),2.0)</f>
        <v>2</v>
      </c>
      <c r="L25" s="3" t="str">
        <f>IFERROR(__xludf.DUMMYFUNCTION("REGEXEXTRACT(G25,"" [^ ]* [^ ]* "")")," striped lime ")</f>
        <v> striped lime </v>
      </c>
      <c r="M25" s="3">
        <f>IFERROR(__xludf.DUMMYFUNCTION("INDEX(SPLIT(H25,"" ""),1)"),4.0)</f>
        <v>4</v>
      </c>
      <c r="N25" s="3" t="str">
        <f>IFERROR(__xludf.DUMMYFUNCTION("MID(REGEXEXTRACT(H25,"" [^ ]* [^ ]*""),2,300)"),"dark turquoise")</f>
        <v>dark turquoise</v>
      </c>
      <c r="O25" s="3">
        <f>IFERROR(__xludf.DUMMYFUNCTION("INDEX(SPLIT(I25,"" ""),1)"),3.0)</f>
        <v>3</v>
      </c>
      <c r="P25" s="3" t="str">
        <f>IFERROR(__xludf.DUMMYFUNCTION("MID(REGEXEXTRACT(I25,"" [^ ]* [^ ]*""),2,300)"),"dull tomato")</f>
        <v>dull tomato</v>
      </c>
      <c r="Q25" s="3">
        <f>IFERROR(__xludf.DUMMYFUNCTION("INDEX(SPLIT(J25,"" ""),1)"),2.0)</f>
        <v>2</v>
      </c>
      <c r="R25" s="3" t="str">
        <f>IFERROR(__xludf.DUMMYFUNCTION("MID(REGEXEXTRACT(J25,"" [^ ]* [^ ]*""),2,300)"),"mirrored lavender")</f>
        <v>mirrored lavender</v>
      </c>
      <c r="S25" s="3">
        <f t="shared" si="2"/>
        <v>2</v>
      </c>
      <c r="T25" s="3" t="str">
        <f t="shared" si="3"/>
        <v>striped lime</v>
      </c>
      <c r="U25" s="3">
        <f t="shared" si="4"/>
        <v>4</v>
      </c>
      <c r="V25" s="3" t="str">
        <f t="shared" si="5"/>
        <v>dark turquoise</v>
      </c>
      <c r="W25" s="3">
        <f t="shared" si="6"/>
        <v>3</v>
      </c>
      <c r="X25" s="3" t="str">
        <f t="shared" si="7"/>
        <v>dull tomato</v>
      </c>
      <c r="Y25" s="3">
        <f t="shared" si="8"/>
        <v>2</v>
      </c>
      <c r="Z25" s="3" t="str">
        <f t="shared" si="9"/>
        <v>mirrored lavender</v>
      </c>
      <c r="AA25" s="13">
        <f t="shared" si="10"/>
        <v>1578216</v>
      </c>
      <c r="AB25" s="3">
        <f t="shared" si="11"/>
        <v>1578215</v>
      </c>
      <c r="AC25" s="3">
        <f t="shared" si="12"/>
        <v>2</v>
      </c>
      <c r="AD25" s="3">
        <f t="shared" si="13"/>
        <v>12130</v>
      </c>
      <c r="AE25" s="3">
        <f t="shared" si="14"/>
        <v>4</v>
      </c>
      <c r="AF25" s="3">
        <f t="shared" si="15"/>
        <v>385699</v>
      </c>
      <c r="AG25" s="3">
        <f t="shared" si="16"/>
        <v>3</v>
      </c>
      <c r="AH25" s="3">
        <f t="shared" si="17"/>
        <v>11</v>
      </c>
      <c r="AI25" s="3">
        <f t="shared" si="18"/>
        <v>2</v>
      </c>
      <c r="AJ25" s="3">
        <f t="shared" si="19"/>
        <v>5563</v>
      </c>
    </row>
    <row r="26">
      <c r="C26" s="6" t="s">
        <v>26</v>
      </c>
      <c r="D26" s="3">
        <f t="shared" si="1"/>
        <v>0</v>
      </c>
      <c r="E26" s="3" t="str">
        <f>IFERROR(__xludf.DUMMYFUNCTION("REGEXEXTRACT(C26,""[^ ]* [^ ]*"")"),"plaid violet")</f>
        <v>plaid violet</v>
      </c>
      <c r="F26" s="3" t="str">
        <f>IFERROR(__xludf.DUMMYFUNCTION("MID(REGEXEXTRACT(C26,""contain.*$""),9,300)"),"2 light olive bags.")</f>
        <v>2 light olive bags.</v>
      </c>
      <c r="G26" s="3" t="str">
        <f>IFERROR(__xludf.DUMMYFUNCTION("INDEX(SPLIT($F26,"",""),COLUMN()-6)"),"2 light olive bags.")</f>
        <v>2 light olive bags.</v>
      </c>
      <c r="H26" s="3" t="str">
        <f>IFERROR(__xludf.DUMMYFUNCTION("MID(INDEX(SPLIT($F26,"",""),COLUMN()-6),2,300)"),"#REF!")</f>
        <v>#REF!</v>
      </c>
      <c r="I26" s="3" t="str">
        <f>IFERROR(__xludf.DUMMYFUNCTION("MID(INDEX(SPLIT($F26,"",""),COLUMN()-6),2,300)"),"#REF!")</f>
        <v>#REF!</v>
      </c>
      <c r="J26" s="3" t="str">
        <f>IFERROR(__xludf.DUMMYFUNCTION("MID(INDEX(SPLIT($F26,"",""),COLUMN()-6),2,300)"),"#REF!")</f>
        <v>#REF!</v>
      </c>
      <c r="K26" s="3">
        <f>IFERROR(__xludf.DUMMYFUNCTION("INDEX(SPLIT(G26,"" ""),1)"),2.0)</f>
        <v>2</v>
      </c>
      <c r="L26" s="3" t="str">
        <f>IFERROR(__xludf.DUMMYFUNCTION("REGEXEXTRACT(G26,"" [^ ]* [^ ]* "")")," light olive ")</f>
        <v> light olive </v>
      </c>
      <c r="M26" s="3" t="str">
        <f>IFERROR(__xludf.DUMMYFUNCTION("INDEX(SPLIT(H26,"" ""),1)"),"#REF!")</f>
        <v>#REF!</v>
      </c>
      <c r="N26" s="3" t="str">
        <f>IFERROR(__xludf.DUMMYFUNCTION("MID(REGEXEXTRACT(H26,"" [^ ]* [^ ]*""),2,300)"),"#REF!")</f>
        <v>#REF!</v>
      </c>
      <c r="O26" s="3" t="str">
        <f>IFERROR(__xludf.DUMMYFUNCTION("INDEX(SPLIT(I26,"" ""),1)"),"#REF!")</f>
        <v>#REF!</v>
      </c>
      <c r="P26" s="3" t="str">
        <f>IFERROR(__xludf.DUMMYFUNCTION("MID(REGEXEXTRACT(I26,"" [^ ]* [^ ]*""),2,300)"),"#REF!")</f>
        <v>#REF!</v>
      </c>
      <c r="Q26" s="3" t="str">
        <f>IFERROR(__xludf.DUMMYFUNCTION("INDEX(SPLIT(J26,"" ""),1)"),"#REF!")</f>
        <v>#REF!</v>
      </c>
      <c r="R26" s="3" t="str">
        <f>IFERROR(__xludf.DUMMYFUNCTION("MID(REGEXEXTRACT(J26,"" [^ ]* [^ ]*""),2,300)"),"#REF!")</f>
        <v>#REF!</v>
      </c>
      <c r="S26" s="3">
        <f t="shared" si="2"/>
        <v>2</v>
      </c>
      <c r="T26" s="3" t="str">
        <f t="shared" si="3"/>
        <v>light olive</v>
      </c>
      <c r="U26" s="3" t="str">
        <f t="shared" si="4"/>
        <v/>
      </c>
      <c r="V26" s="3" t="str">
        <f t="shared" si="5"/>
        <v/>
      </c>
      <c r="W26" s="3" t="str">
        <f t="shared" si="6"/>
        <v/>
      </c>
      <c r="X26" s="3" t="str">
        <f t="shared" si="7"/>
        <v/>
      </c>
      <c r="Y26" s="3" t="str">
        <f t="shared" si="8"/>
        <v/>
      </c>
      <c r="Z26" s="3" t="str">
        <f t="shared" si="9"/>
        <v/>
      </c>
      <c r="AA26" s="13">
        <f t="shared" si="10"/>
        <v>25311181</v>
      </c>
      <c r="AB26" s="3">
        <f t="shared" si="11"/>
        <v>25311180</v>
      </c>
      <c r="AC26" s="3">
        <f t="shared" si="12"/>
        <v>2</v>
      </c>
      <c r="AD26" s="3">
        <f t="shared" si="13"/>
        <v>12655590</v>
      </c>
      <c r="AE26" s="3" t="str">
        <f t="shared" si="14"/>
        <v/>
      </c>
      <c r="AF26" s="3">
        <f t="shared" si="15"/>
        <v>0</v>
      </c>
      <c r="AG26" s="3" t="str">
        <f t="shared" si="16"/>
        <v/>
      </c>
      <c r="AH26" s="3">
        <f t="shared" si="17"/>
        <v>0</v>
      </c>
      <c r="AI26" s="3" t="str">
        <f t="shared" si="18"/>
        <v/>
      </c>
      <c r="AJ26" s="3">
        <f t="shared" si="19"/>
        <v>0</v>
      </c>
    </row>
    <row r="27">
      <c r="C27" s="6" t="s">
        <v>27</v>
      </c>
      <c r="D27" s="3">
        <f t="shared" si="1"/>
        <v>3</v>
      </c>
      <c r="E27" s="3" t="str">
        <f>IFERROR(__xludf.DUMMYFUNCTION("REGEXEXTRACT(C27,""[^ ]* [^ ]*"")"),"dotted maroon")</f>
        <v>dotted maroon</v>
      </c>
      <c r="F27" s="3" t="str">
        <f>IFERROR(__xludf.DUMMYFUNCTION("MID(REGEXEXTRACT(C27,""contain.*$""),9,300)"),"5 striped maroon bags, 2 shiny turquoise bags, 2 dull gold bags, 4 pale olive bags.")</f>
        <v>5 striped maroon bags, 2 shiny turquoise bags, 2 dull gold bags, 4 pale olive bags.</v>
      </c>
      <c r="G27" s="3" t="str">
        <f>IFERROR(__xludf.DUMMYFUNCTION("INDEX(SPLIT($F27,"",""),COLUMN()-6)"),"5 striped maroon bags")</f>
        <v>5 striped maroon bags</v>
      </c>
      <c r="H27" s="3" t="str">
        <f>IFERROR(__xludf.DUMMYFUNCTION("MID(INDEX(SPLIT($F27,"",""),COLUMN()-6),2,300)"),"2 shiny turquoise bags")</f>
        <v>2 shiny turquoise bags</v>
      </c>
      <c r="I27" s="3" t="str">
        <f>IFERROR(__xludf.DUMMYFUNCTION("MID(INDEX(SPLIT($F27,"",""),COLUMN()-6),2,300)"),"2 dull gold bags")</f>
        <v>2 dull gold bags</v>
      </c>
      <c r="J27" s="3" t="str">
        <f>IFERROR(__xludf.DUMMYFUNCTION("MID(INDEX(SPLIT($F27,"",""),COLUMN()-6),2,300)"),"4 pale olive bags.")</f>
        <v>4 pale olive bags.</v>
      </c>
      <c r="K27" s="3">
        <f>IFERROR(__xludf.DUMMYFUNCTION("INDEX(SPLIT(G27,"" ""),1)"),5.0)</f>
        <v>5</v>
      </c>
      <c r="L27" s="3" t="str">
        <f>IFERROR(__xludf.DUMMYFUNCTION("REGEXEXTRACT(G27,"" [^ ]* [^ ]* "")")," striped maroon ")</f>
        <v> striped maroon </v>
      </c>
      <c r="M27" s="3">
        <f>IFERROR(__xludf.DUMMYFUNCTION("INDEX(SPLIT(H27,"" ""),1)"),2.0)</f>
        <v>2</v>
      </c>
      <c r="N27" s="3" t="str">
        <f>IFERROR(__xludf.DUMMYFUNCTION("MID(REGEXEXTRACT(H27,"" [^ ]* [^ ]*""),2,300)"),"shiny turquoise")</f>
        <v>shiny turquoise</v>
      </c>
      <c r="O27" s="3">
        <f>IFERROR(__xludf.DUMMYFUNCTION("INDEX(SPLIT(I27,"" ""),1)"),2.0)</f>
        <v>2</v>
      </c>
      <c r="P27" s="3" t="str">
        <f>IFERROR(__xludf.DUMMYFUNCTION("MID(REGEXEXTRACT(I27,"" [^ ]* [^ ]*""),2,300)"),"dull gold")</f>
        <v>dull gold</v>
      </c>
      <c r="Q27" s="3">
        <f>IFERROR(__xludf.DUMMYFUNCTION("INDEX(SPLIT(J27,"" ""),1)"),4.0)</f>
        <v>4</v>
      </c>
      <c r="R27" s="3" t="str">
        <f>IFERROR(__xludf.DUMMYFUNCTION("MID(REGEXEXTRACT(J27,"" [^ ]* [^ ]*""),2,300)"),"pale olive")</f>
        <v>pale olive</v>
      </c>
      <c r="S27" s="3">
        <f t="shared" si="2"/>
        <v>5</v>
      </c>
      <c r="T27" s="3" t="str">
        <f t="shared" si="3"/>
        <v>striped maroon</v>
      </c>
      <c r="U27" s="3">
        <f t="shared" si="4"/>
        <v>2</v>
      </c>
      <c r="V27" s="3" t="str">
        <f t="shared" si="5"/>
        <v>shiny turquoise</v>
      </c>
      <c r="W27" s="3">
        <f t="shared" si="6"/>
        <v>2</v>
      </c>
      <c r="X27" s="3" t="str">
        <f t="shared" si="7"/>
        <v>dull gold</v>
      </c>
      <c r="Y27" s="3">
        <f t="shared" si="8"/>
        <v>4</v>
      </c>
      <c r="Z27" s="3" t="str">
        <f t="shared" si="9"/>
        <v>pale olive</v>
      </c>
      <c r="AA27" s="13">
        <f t="shared" si="10"/>
        <v>1062601</v>
      </c>
      <c r="AB27" s="3">
        <f t="shared" si="11"/>
        <v>1062600</v>
      </c>
      <c r="AC27" s="3">
        <f t="shared" si="12"/>
        <v>5</v>
      </c>
      <c r="AD27" s="3">
        <f t="shared" si="13"/>
        <v>124</v>
      </c>
      <c r="AE27" s="3">
        <f t="shared" si="14"/>
        <v>2</v>
      </c>
      <c r="AF27" s="3">
        <f t="shared" si="15"/>
        <v>528597</v>
      </c>
      <c r="AG27" s="3">
        <f t="shared" si="16"/>
        <v>2</v>
      </c>
      <c r="AH27" s="3">
        <f t="shared" si="17"/>
        <v>1781</v>
      </c>
      <c r="AI27" s="3">
        <f t="shared" si="18"/>
        <v>4</v>
      </c>
      <c r="AJ27" s="3">
        <f t="shared" si="19"/>
        <v>306</v>
      </c>
    </row>
    <row r="28">
      <c r="C28" s="6" t="s">
        <v>28</v>
      </c>
      <c r="D28" s="3">
        <f t="shared" si="1"/>
        <v>0</v>
      </c>
      <c r="E28" s="3" t="str">
        <f>IFERROR(__xludf.DUMMYFUNCTION("REGEXEXTRACT(C28,""[^ ]* [^ ]*"")"),"dim chartreuse")</f>
        <v>dim chartreuse</v>
      </c>
      <c r="F28" s="3" t="str">
        <f>IFERROR(__xludf.DUMMYFUNCTION("MID(REGEXEXTRACT(C28,""contain.*$""),9,300)"),"5 striped plum bags.")</f>
        <v>5 striped plum bags.</v>
      </c>
      <c r="G28" s="3" t="str">
        <f>IFERROR(__xludf.DUMMYFUNCTION("INDEX(SPLIT($F28,"",""),COLUMN()-6)"),"5 striped plum bags.")</f>
        <v>5 striped plum bags.</v>
      </c>
      <c r="H28" s="3" t="str">
        <f>IFERROR(__xludf.DUMMYFUNCTION("MID(INDEX(SPLIT($F28,"",""),COLUMN()-6),2,300)"),"#REF!")</f>
        <v>#REF!</v>
      </c>
      <c r="I28" s="3" t="str">
        <f>IFERROR(__xludf.DUMMYFUNCTION("MID(INDEX(SPLIT($F28,"",""),COLUMN()-6),2,300)"),"#REF!")</f>
        <v>#REF!</v>
      </c>
      <c r="J28" s="3" t="str">
        <f>IFERROR(__xludf.DUMMYFUNCTION("MID(INDEX(SPLIT($F28,"",""),COLUMN()-6),2,300)"),"#REF!")</f>
        <v>#REF!</v>
      </c>
      <c r="K28" s="3">
        <f>IFERROR(__xludf.DUMMYFUNCTION("INDEX(SPLIT(G28,"" ""),1)"),5.0)</f>
        <v>5</v>
      </c>
      <c r="L28" s="3" t="str">
        <f>IFERROR(__xludf.DUMMYFUNCTION("REGEXEXTRACT(G28,"" [^ ]* [^ ]* "")")," striped plum ")</f>
        <v> striped plum </v>
      </c>
      <c r="M28" s="3" t="str">
        <f>IFERROR(__xludf.DUMMYFUNCTION("INDEX(SPLIT(H28,"" ""),1)"),"#REF!")</f>
        <v>#REF!</v>
      </c>
      <c r="N28" s="3" t="str">
        <f>IFERROR(__xludf.DUMMYFUNCTION("MID(REGEXEXTRACT(H28,"" [^ ]* [^ ]*""),2,300)"),"#REF!")</f>
        <v>#REF!</v>
      </c>
      <c r="O28" s="3" t="str">
        <f>IFERROR(__xludf.DUMMYFUNCTION("INDEX(SPLIT(I28,"" ""),1)"),"#REF!")</f>
        <v>#REF!</v>
      </c>
      <c r="P28" s="3" t="str">
        <f>IFERROR(__xludf.DUMMYFUNCTION("MID(REGEXEXTRACT(I28,"" [^ ]* [^ ]*""),2,300)"),"#REF!")</f>
        <v>#REF!</v>
      </c>
      <c r="Q28" s="3" t="str">
        <f>IFERROR(__xludf.DUMMYFUNCTION("INDEX(SPLIT(J28,"" ""),1)"),"#REF!")</f>
        <v>#REF!</v>
      </c>
      <c r="R28" s="3" t="str">
        <f>IFERROR(__xludf.DUMMYFUNCTION("MID(REGEXEXTRACT(J28,"" [^ ]* [^ ]*""),2,300)"),"#REF!")</f>
        <v>#REF!</v>
      </c>
      <c r="S28" s="3">
        <f t="shared" si="2"/>
        <v>5</v>
      </c>
      <c r="T28" s="3" t="str">
        <f t="shared" si="3"/>
        <v>striped plum</v>
      </c>
      <c r="U28" s="3" t="str">
        <f t="shared" si="4"/>
        <v/>
      </c>
      <c r="V28" s="3" t="str">
        <f t="shared" si="5"/>
        <v/>
      </c>
      <c r="W28" s="3" t="str">
        <f t="shared" si="6"/>
        <v/>
      </c>
      <c r="X28" s="3" t="str">
        <f t="shared" si="7"/>
        <v/>
      </c>
      <c r="Y28" s="3" t="str">
        <f t="shared" si="8"/>
        <v/>
      </c>
      <c r="Z28" s="3" t="str">
        <f t="shared" si="9"/>
        <v/>
      </c>
      <c r="AA28" s="13">
        <f t="shared" si="10"/>
        <v>1142793311</v>
      </c>
      <c r="AB28" s="3">
        <f t="shared" si="11"/>
        <v>1142793310</v>
      </c>
      <c r="AC28" s="3">
        <f t="shared" si="12"/>
        <v>5</v>
      </c>
      <c r="AD28" s="3">
        <f t="shared" si="13"/>
        <v>228558662</v>
      </c>
      <c r="AE28" s="3" t="str">
        <f t="shared" si="14"/>
        <v/>
      </c>
      <c r="AF28" s="3">
        <f t="shared" si="15"/>
        <v>0</v>
      </c>
      <c r="AG28" s="3" t="str">
        <f t="shared" si="16"/>
        <v/>
      </c>
      <c r="AH28" s="3">
        <f t="shared" si="17"/>
        <v>0</v>
      </c>
      <c r="AI28" s="3" t="str">
        <f t="shared" si="18"/>
        <v/>
      </c>
      <c r="AJ28" s="3">
        <f t="shared" si="19"/>
        <v>0</v>
      </c>
    </row>
    <row r="29">
      <c r="C29" s="6" t="s">
        <v>29</v>
      </c>
      <c r="D29" s="3">
        <f t="shared" si="1"/>
        <v>2</v>
      </c>
      <c r="E29" s="3" t="str">
        <f>IFERROR(__xludf.DUMMYFUNCTION("REGEXEXTRACT(C29,""[^ ]* [^ ]*"")"),"plaid gold")</f>
        <v>plaid gold</v>
      </c>
      <c r="F29" s="3" t="str">
        <f>IFERROR(__xludf.DUMMYFUNCTION("MID(REGEXEXTRACT(C29,""contain.*$""),9,300)"),"1 striped green bag, 3 plaid coral bags, 4 dotted violet bags.")</f>
        <v>1 striped green bag, 3 plaid coral bags, 4 dotted violet bags.</v>
      </c>
      <c r="G29" s="3" t="str">
        <f>IFERROR(__xludf.DUMMYFUNCTION("INDEX(SPLIT($F29,"",""),COLUMN()-6)"),"1 striped green bag")</f>
        <v>1 striped green bag</v>
      </c>
      <c r="H29" s="3" t="str">
        <f>IFERROR(__xludf.DUMMYFUNCTION("MID(INDEX(SPLIT($F29,"",""),COLUMN()-6),2,300)"),"3 plaid coral bags")</f>
        <v>3 plaid coral bags</v>
      </c>
      <c r="I29" s="3" t="str">
        <f>IFERROR(__xludf.DUMMYFUNCTION("MID(INDEX(SPLIT($F29,"",""),COLUMN()-6),2,300)"),"4 dotted violet bags.")</f>
        <v>4 dotted violet bags.</v>
      </c>
      <c r="J29" s="3" t="str">
        <f>IFERROR(__xludf.DUMMYFUNCTION("MID(INDEX(SPLIT($F29,"",""),COLUMN()-6),2,300)"),"#REF!")</f>
        <v>#REF!</v>
      </c>
      <c r="K29" s="3">
        <f>IFERROR(__xludf.DUMMYFUNCTION("INDEX(SPLIT(G29,"" ""),1)"),1.0)</f>
        <v>1</v>
      </c>
      <c r="L29" s="3" t="str">
        <f>IFERROR(__xludf.DUMMYFUNCTION("REGEXEXTRACT(G29,"" [^ ]* [^ ]* "")")," striped green ")</f>
        <v> striped green </v>
      </c>
      <c r="M29" s="3">
        <f>IFERROR(__xludf.DUMMYFUNCTION("INDEX(SPLIT(H29,"" ""),1)"),3.0)</f>
        <v>3</v>
      </c>
      <c r="N29" s="3" t="str">
        <f>IFERROR(__xludf.DUMMYFUNCTION("MID(REGEXEXTRACT(H29,"" [^ ]* [^ ]*""),2,300)"),"plaid coral")</f>
        <v>plaid coral</v>
      </c>
      <c r="O29" s="3">
        <f>IFERROR(__xludf.DUMMYFUNCTION("INDEX(SPLIT(I29,"" ""),1)"),4.0)</f>
        <v>4</v>
      </c>
      <c r="P29" s="3" t="str">
        <f>IFERROR(__xludf.DUMMYFUNCTION("MID(REGEXEXTRACT(I29,"" [^ ]* [^ ]*""),2,300)"),"dotted violet")</f>
        <v>dotted violet</v>
      </c>
      <c r="Q29" s="3" t="str">
        <f>IFERROR(__xludf.DUMMYFUNCTION("INDEX(SPLIT(J29,"" ""),1)"),"#REF!")</f>
        <v>#REF!</v>
      </c>
      <c r="R29" s="3" t="str">
        <f>IFERROR(__xludf.DUMMYFUNCTION("MID(REGEXEXTRACT(J29,"" [^ ]* [^ ]*""),2,300)"),"#REF!")</f>
        <v>#REF!</v>
      </c>
      <c r="S29" s="3">
        <f t="shared" si="2"/>
        <v>1</v>
      </c>
      <c r="T29" s="3" t="str">
        <f t="shared" si="3"/>
        <v>striped green</v>
      </c>
      <c r="U29" s="3">
        <f t="shared" si="4"/>
        <v>3</v>
      </c>
      <c r="V29" s="3" t="str">
        <f t="shared" si="5"/>
        <v>plaid coral</v>
      </c>
      <c r="W29" s="3">
        <f t="shared" si="6"/>
        <v>4</v>
      </c>
      <c r="X29" s="3" t="str">
        <f t="shared" si="7"/>
        <v>dotted violet</v>
      </c>
      <c r="Y29" s="3" t="str">
        <f t="shared" si="8"/>
        <v/>
      </c>
      <c r="Z29" s="3" t="str">
        <f t="shared" si="9"/>
        <v/>
      </c>
      <c r="AA29" s="13">
        <f t="shared" si="10"/>
        <v>99079499</v>
      </c>
      <c r="AB29" s="3">
        <f t="shared" si="11"/>
        <v>99079498</v>
      </c>
      <c r="AC29" s="3">
        <f t="shared" si="12"/>
        <v>1</v>
      </c>
      <c r="AD29" s="3">
        <f t="shared" si="13"/>
        <v>11964728</v>
      </c>
      <c r="AE29" s="3">
        <f t="shared" si="14"/>
        <v>3</v>
      </c>
      <c r="AF29" s="3">
        <f t="shared" si="15"/>
        <v>28817922</v>
      </c>
      <c r="AG29" s="3">
        <f t="shared" si="16"/>
        <v>4</v>
      </c>
      <c r="AH29" s="3">
        <f t="shared" si="17"/>
        <v>165251</v>
      </c>
      <c r="AI29" s="3" t="str">
        <f t="shared" si="18"/>
        <v/>
      </c>
      <c r="AJ29" s="3">
        <f t="shared" si="19"/>
        <v>0</v>
      </c>
    </row>
    <row r="30">
      <c r="C30" s="6" t="s">
        <v>30</v>
      </c>
      <c r="D30" s="3">
        <f t="shared" si="1"/>
        <v>0</v>
      </c>
      <c r="E30" s="3" t="str">
        <f>IFERROR(__xludf.DUMMYFUNCTION("REGEXEXTRACT(C30,""[^ ]* [^ ]*"")"),"faded tomato")</f>
        <v>faded tomato</v>
      </c>
      <c r="F30" s="3" t="str">
        <f>IFERROR(__xludf.DUMMYFUNCTION("MID(REGEXEXTRACT(C30,""contain.*$""),9,300)"),"2 dark indigo bags.")</f>
        <v>2 dark indigo bags.</v>
      </c>
      <c r="G30" s="3" t="str">
        <f>IFERROR(__xludf.DUMMYFUNCTION("INDEX(SPLIT($F30,"",""),COLUMN()-6)"),"2 dark indigo bags.")</f>
        <v>2 dark indigo bags.</v>
      </c>
      <c r="H30" s="3" t="str">
        <f>IFERROR(__xludf.DUMMYFUNCTION("MID(INDEX(SPLIT($F30,"",""),COLUMN()-6),2,300)"),"#REF!")</f>
        <v>#REF!</v>
      </c>
      <c r="I30" s="3" t="str">
        <f>IFERROR(__xludf.DUMMYFUNCTION("MID(INDEX(SPLIT($F30,"",""),COLUMN()-6),2,300)"),"#REF!")</f>
        <v>#REF!</v>
      </c>
      <c r="J30" s="3" t="str">
        <f>IFERROR(__xludf.DUMMYFUNCTION("MID(INDEX(SPLIT($F30,"",""),COLUMN()-6),2,300)"),"#REF!")</f>
        <v>#REF!</v>
      </c>
      <c r="K30" s="3">
        <f>IFERROR(__xludf.DUMMYFUNCTION("INDEX(SPLIT(G30,"" ""),1)"),2.0)</f>
        <v>2</v>
      </c>
      <c r="L30" s="3" t="str">
        <f>IFERROR(__xludf.DUMMYFUNCTION("REGEXEXTRACT(G30,"" [^ ]* [^ ]* "")")," dark indigo ")</f>
        <v> dark indigo </v>
      </c>
      <c r="M30" s="3" t="str">
        <f>IFERROR(__xludf.DUMMYFUNCTION("INDEX(SPLIT(H30,"" ""),1)"),"#REF!")</f>
        <v>#REF!</v>
      </c>
      <c r="N30" s="3" t="str">
        <f>IFERROR(__xludf.DUMMYFUNCTION("MID(REGEXEXTRACT(H30,"" [^ ]* [^ ]*""),2,300)"),"#REF!")</f>
        <v>#REF!</v>
      </c>
      <c r="O30" s="3" t="str">
        <f>IFERROR(__xludf.DUMMYFUNCTION("INDEX(SPLIT(I30,"" ""),1)"),"#REF!")</f>
        <v>#REF!</v>
      </c>
      <c r="P30" s="3" t="str">
        <f>IFERROR(__xludf.DUMMYFUNCTION("MID(REGEXEXTRACT(I30,"" [^ ]* [^ ]*""),2,300)"),"#REF!")</f>
        <v>#REF!</v>
      </c>
      <c r="Q30" s="3" t="str">
        <f>IFERROR(__xludf.DUMMYFUNCTION("INDEX(SPLIT(J30,"" ""),1)"),"#REF!")</f>
        <v>#REF!</v>
      </c>
      <c r="R30" s="3" t="str">
        <f>IFERROR(__xludf.DUMMYFUNCTION("MID(REGEXEXTRACT(J30,"" [^ ]* [^ ]*""),2,300)"),"#REF!")</f>
        <v>#REF!</v>
      </c>
      <c r="S30" s="3">
        <f t="shared" si="2"/>
        <v>2</v>
      </c>
      <c r="T30" s="3" t="str">
        <f t="shared" si="3"/>
        <v>dark indigo</v>
      </c>
      <c r="U30" s="3" t="str">
        <f t="shared" si="4"/>
        <v/>
      </c>
      <c r="V30" s="3" t="str">
        <f t="shared" si="5"/>
        <v/>
      </c>
      <c r="W30" s="3" t="str">
        <f t="shared" si="6"/>
        <v/>
      </c>
      <c r="X30" s="3" t="str">
        <f t="shared" si="7"/>
        <v/>
      </c>
      <c r="Y30" s="3" t="str">
        <f t="shared" si="8"/>
        <v/>
      </c>
      <c r="Z30" s="3" t="str">
        <f t="shared" si="9"/>
        <v/>
      </c>
      <c r="AA30" s="13">
        <f t="shared" si="10"/>
        <v>1513927203</v>
      </c>
      <c r="AB30" s="3">
        <f t="shared" si="11"/>
        <v>1513927202</v>
      </c>
      <c r="AC30" s="3">
        <f t="shared" si="12"/>
        <v>2</v>
      </c>
      <c r="AD30" s="3">
        <f t="shared" si="13"/>
        <v>756963601</v>
      </c>
      <c r="AE30" s="3" t="str">
        <f t="shared" si="14"/>
        <v/>
      </c>
      <c r="AF30" s="3">
        <f t="shared" si="15"/>
        <v>0</v>
      </c>
      <c r="AG30" s="3" t="str">
        <f t="shared" si="16"/>
        <v/>
      </c>
      <c r="AH30" s="3">
        <f t="shared" si="17"/>
        <v>0</v>
      </c>
      <c r="AI30" s="3" t="str">
        <f t="shared" si="18"/>
        <v/>
      </c>
      <c r="AJ30" s="3">
        <f t="shared" si="19"/>
        <v>0</v>
      </c>
    </row>
    <row r="31">
      <c r="C31" s="6" t="s">
        <v>31</v>
      </c>
      <c r="D31" s="3">
        <f t="shared" si="1"/>
        <v>1</v>
      </c>
      <c r="E31" s="3" t="str">
        <f>IFERROR(__xludf.DUMMYFUNCTION("REGEXEXTRACT(C31,""[^ ]* [^ ]*"")"),"posh plum")</f>
        <v>posh plum</v>
      </c>
      <c r="F31" s="3" t="str">
        <f>IFERROR(__xludf.DUMMYFUNCTION("MID(REGEXEXTRACT(C31,""contain.*$""),9,300)"),"1 wavy chartreuse bag, 4 vibrant blue bags.")</f>
        <v>1 wavy chartreuse bag, 4 vibrant blue bags.</v>
      </c>
      <c r="G31" s="3" t="str">
        <f>IFERROR(__xludf.DUMMYFUNCTION("INDEX(SPLIT($F31,"",""),COLUMN()-6)"),"1 wavy chartreuse bag")</f>
        <v>1 wavy chartreuse bag</v>
      </c>
      <c r="H31" s="3" t="str">
        <f>IFERROR(__xludf.DUMMYFUNCTION("MID(INDEX(SPLIT($F31,"",""),COLUMN()-6),2,300)"),"4 vibrant blue bags.")</f>
        <v>4 vibrant blue bags.</v>
      </c>
      <c r="I31" s="3" t="str">
        <f>IFERROR(__xludf.DUMMYFUNCTION("MID(INDEX(SPLIT($F31,"",""),COLUMN()-6),2,300)"),"#REF!")</f>
        <v>#REF!</v>
      </c>
      <c r="J31" s="3" t="str">
        <f>IFERROR(__xludf.DUMMYFUNCTION("MID(INDEX(SPLIT($F31,"",""),COLUMN()-6),2,300)"),"#REF!")</f>
        <v>#REF!</v>
      </c>
      <c r="K31" s="3">
        <f>IFERROR(__xludf.DUMMYFUNCTION("INDEX(SPLIT(G31,"" ""),1)"),1.0)</f>
        <v>1</v>
      </c>
      <c r="L31" s="3" t="str">
        <f>IFERROR(__xludf.DUMMYFUNCTION("REGEXEXTRACT(G31,"" [^ ]* [^ ]* "")")," wavy chartreuse ")</f>
        <v> wavy chartreuse </v>
      </c>
      <c r="M31" s="3">
        <f>IFERROR(__xludf.DUMMYFUNCTION("INDEX(SPLIT(H31,"" ""),1)"),4.0)</f>
        <v>4</v>
      </c>
      <c r="N31" s="3" t="str">
        <f>IFERROR(__xludf.DUMMYFUNCTION("MID(REGEXEXTRACT(H31,"" [^ ]* [^ ]*""),2,300)"),"vibrant blue")</f>
        <v>vibrant blue</v>
      </c>
      <c r="O31" s="3" t="str">
        <f>IFERROR(__xludf.DUMMYFUNCTION("INDEX(SPLIT(I31,"" ""),1)"),"#REF!")</f>
        <v>#REF!</v>
      </c>
      <c r="P31" s="3" t="str">
        <f>IFERROR(__xludf.DUMMYFUNCTION("MID(REGEXEXTRACT(I31,"" [^ ]* [^ ]*""),2,300)"),"#REF!")</f>
        <v>#REF!</v>
      </c>
      <c r="Q31" s="3" t="str">
        <f>IFERROR(__xludf.DUMMYFUNCTION("INDEX(SPLIT(J31,"" ""),1)"),"#REF!")</f>
        <v>#REF!</v>
      </c>
      <c r="R31" s="3" t="str">
        <f>IFERROR(__xludf.DUMMYFUNCTION("MID(REGEXEXTRACT(J31,"" [^ ]* [^ ]*""),2,300)"),"#REF!")</f>
        <v>#REF!</v>
      </c>
      <c r="S31" s="3">
        <f t="shared" si="2"/>
        <v>1</v>
      </c>
      <c r="T31" s="3" t="str">
        <f t="shared" si="3"/>
        <v>wavy chartreuse</v>
      </c>
      <c r="U31" s="3">
        <f t="shared" si="4"/>
        <v>4</v>
      </c>
      <c r="V31" s="3" t="str">
        <f t="shared" si="5"/>
        <v>vibrant blue</v>
      </c>
      <c r="W31" s="3" t="str">
        <f t="shared" si="6"/>
        <v/>
      </c>
      <c r="X31" s="3" t="str">
        <f t="shared" si="7"/>
        <v/>
      </c>
      <c r="Y31" s="3" t="str">
        <f t="shared" si="8"/>
        <v/>
      </c>
      <c r="Z31" s="3" t="str">
        <f t="shared" si="9"/>
        <v/>
      </c>
      <c r="AA31" s="13">
        <f t="shared" si="10"/>
        <v>6182</v>
      </c>
      <c r="AB31" s="3">
        <f t="shared" si="11"/>
        <v>6181</v>
      </c>
      <c r="AC31" s="3">
        <f t="shared" si="12"/>
        <v>1</v>
      </c>
      <c r="AD31" s="3">
        <f t="shared" si="13"/>
        <v>1</v>
      </c>
      <c r="AE31" s="3">
        <f t="shared" si="14"/>
        <v>4</v>
      </c>
      <c r="AF31" s="3">
        <f t="shared" si="15"/>
        <v>1545</v>
      </c>
      <c r="AG31" s="3" t="str">
        <f t="shared" si="16"/>
        <v/>
      </c>
      <c r="AH31" s="3">
        <f t="shared" si="17"/>
        <v>0</v>
      </c>
      <c r="AI31" s="3" t="str">
        <f t="shared" si="18"/>
        <v/>
      </c>
      <c r="AJ31" s="3">
        <f t="shared" si="19"/>
        <v>0</v>
      </c>
    </row>
    <row r="32">
      <c r="C32" s="6" t="s">
        <v>32</v>
      </c>
      <c r="D32" s="3">
        <f t="shared" si="1"/>
        <v>1</v>
      </c>
      <c r="E32" s="3" t="str">
        <f>IFERROR(__xludf.DUMMYFUNCTION("REGEXEXTRACT(C32,""[^ ]* [^ ]*"")"),"drab bronze")</f>
        <v>drab bronze</v>
      </c>
      <c r="F32" s="3" t="str">
        <f>IFERROR(__xludf.DUMMYFUNCTION("MID(REGEXEXTRACT(C32,""contain.*$""),9,300)"),"2 mirrored gray bags, 3 vibrant plum bags.")</f>
        <v>2 mirrored gray bags, 3 vibrant plum bags.</v>
      </c>
      <c r="G32" s="3" t="str">
        <f>IFERROR(__xludf.DUMMYFUNCTION("INDEX(SPLIT($F32,"",""),COLUMN()-6)"),"2 mirrored gray bags")</f>
        <v>2 mirrored gray bags</v>
      </c>
      <c r="H32" s="3" t="str">
        <f>IFERROR(__xludf.DUMMYFUNCTION("MID(INDEX(SPLIT($F32,"",""),COLUMN()-6),2,300)"),"3 vibrant plum bags.")</f>
        <v>3 vibrant plum bags.</v>
      </c>
      <c r="I32" s="3" t="str">
        <f>IFERROR(__xludf.DUMMYFUNCTION("MID(INDEX(SPLIT($F32,"",""),COLUMN()-6),2,300)"),"#REF!")</f>
        <v>#REF!</v>
      </c>
      <c r="J32" s="3" t="str">
        <f>IFERROR(__xludf.DUMMYFUNCTION("MID(INDEX(SPLIT($F32,"",""),COLUMN()-6),2,300)"),"#REF!")</f>
        <v>#REF!</v>
      </c>
      <c r="K32" s="3">
        <f>IFERROR(__xludf.DUMMYFUNCTION("INDEX(SPLIT(G32,"" ""),1)"),2.0)</f>
        <v>2</v>
      </c>
      <c r="L32" s="3" t="str">
        <f>IFERROR(__xludf.DUMMYFUNCTION("REGEXEXTRACT(G32,"" [^ ]* [^ ]* "")")," mirrored gray ")</f>
        <v> mirrored gray </v>
      </c>
      <c r="M32" s="3">
        <f>IFERROR(__xludf.DUMMYFUNCTION("INDEX(SPLIT(H32,"" ""),1)"),3.0)</f>
        <v>3</v>
      </c>
      <c r="N32" s="3" t="str">
        <f>IFERROR(__xludf.DUMMYFUNCTION("MID(REGEXEXTRACT(H32,"" [^ ]* [^ ]*""),2,300)"),"vibrant plum")</f>
        <v>vibrant plum</v>
      </c>
      <c r="O32" s="3" t="str">
        <f>IFERROR(__xludf.DUMMYFUNCTION("INDEX(SPLIT(I32,"" ""),1)"),"#REF!")</f>
        <v>#REF!</v>
      </c>
      <c r="P32" s="3" t="str">
        <f>IFERROR(__xludf.DUMMYFUNCTION("MID(REGEXEXTRACT(I32,"" [^ ]* [^ ]*""),2,300)"),"#REF!")</f>
        <v>#REF!</v>
      </c>
      <c r="Q32" s="3" t="str">
        <f>IFERROR(__xludf.DUMMYFUNCTION("INDEX(SPLIT(J32,"" ""),1)"),"#REF!")</f>
        <v>#REF!</v>
      </c>
      <c r="R32" s="3" t="str">
        <f>IFERROR(__xludf.DUMMYFUNCTION("MID(REGEXEXTRACT(J32,"" [^ ]* [^ ]*""),2,300)"),"#REF!")</f>
        <v>#REF!</v>
      </c>
      <c r="S32" s="3">
        <f t="shared" si="2"/>
        <v>2</v>
      </c>
      <c r="T32" s="3" t="str">
        <f t="shared" si="3"/>
        <v>mirrored gray</v>
      </c>
      <c r="U32" s="3">
        <f t="shared" si="4"/>
        <v>3</v>
      </c>
      <c r="V32" s="3" t="str">
        <f t="shared" si="5"/>
        <v>vibrant plum</v>
      </c>
      <c r="W32" s="3" t="str">
        <f t="shared" si="6"/>
        <v/>
      </c>
      <c r="X32" s="3" t="str">
        <f t="shared" si="7"/>
        <v/>
      </c>
      <c r="Y32" s="3" t="str">
        <f t="shared" si="8"/>
        <v/>
      </c>
      <c r="Z32" s="3" t="str">
        <f t="shared" si="9"/>
        <v/>
      </c>
      <c r="AA32" s="13">
        <f t="shared" si="10"/>
        <v>79943</v>
      </c>
      <c r="AB32" s="3">
        <f t="shared" si="11"/>
        <v>79942</v>
      </c>
      <c r="AC32" s="3">
        <f t="shared" si="12"/>
        <v>2</v>
      </c>
      <c r="AD32" s="3">
        <f t="shared" si="13"/>
        <v>8</v>
      </c>
      <c r="AE32" s="3">
        <f t="shared" si="14"/>
        <v>3</v>
      </c>
      <c r="AF32" s="3">
        <f t="shared" si="15"/>
        <v>26642</v>
      </c>
      <c r="AG32" s="3" t="str">
        <f t="shared" si="16"/>
        <v/>
      </c>
      <c r="AH32" s="3">
        <f t="shared" si="17"/>
        <v>0</v>
      </c>
      <c r="AI32" s="3" t="str">
        <f t="shared" si="18"/>
        <v/>
      </c>
      <c r="AJ32" s="3">
        <f t="shared" si="19"/>
        <v>0</v>
      </c>
    </row>
    <row r="33">
      <c r="C33" s="6" t="s">
        <v>33</v>
      </c>
      <c r="D33" s="3">
        <f t="shared" si="1"/>
        <v>3</v>
      </c>
      <c r="E33" s="3" t="str">
        <f>IFERROR(__xludf.DUMMYFUNCTION("REGEXEXTRACT(C33,""[^ ]* [^ ]*"")"),"muted blue")</f>
        <v>muted blue</v>
      </c>
      <c r="F33" s="3" t="str">
        <f>IFERROR(__xludf.DUMMYFUNCTION("MID(REGEXEXTRACT(C33,""contain.*$""),9,300)"),"1 bright brown bag, 2 pale coral bags, 5 plaid purple bags, 4 dim lavender bags.")</f>
        <v>1 bright brown bag, 2 pale coral bags, 5 plaid purple bags, 4 dim lavender bags.</v>
      </c>
      <c r="G33" s="3" t="str">
        <f>IFERROR(__xludf.DUMMYFUNCTION("INDEX(SPLIT($F33,"",""),COLUMN()-6)"),"1 bright brown bag")</f>
        <v>1 bright brown bag</v>
      </c>
      <c r="H33" s="3" t="str">
        <f>IFERROR(__xludf.DUMMYFUNCTION("MID(INDEX(SPLIT($F33,"",""),COLUMN()-6),2,300)"),"2 pale coral bags")</f>
        <v>2 pale coral bags</v>
      </c>
      <c r="I33" s="3" t="str">
        <f>IFERROR(__xludf.DUMMYFUNCTION("MID(INDEX(SPLIT($F33,"",""),COLUMN()-6),2,300)"),"5 plaid purple bags")</f>
        <v>5 plaid purple bags</v>
      </c>
      <c r="J33" s="3" t="str">
        <f>IFERROR(__xludf.DUMMYFUNCTION("MID(INDEX(SPLIT($F33,"",""),COLUMN()-6),2,300)"),"4 dim lavender bags.")</f>
        <v>4 dim lavender bags.</v>
      </c>
      <c r="K33" s="3">
        <f>IFERROR(__xludf.DUMMYFUNCTION("INDEX(SPLIT(G33,"" ""),1)"),1.0)</f>
        <v>1</v>
      </c>
      <c r="L33" s="3" t="str">
        <f>IFERROR(__xludf.DUMMYFUNCTION("REGEXEXTRACT(G33,"" [^ ]* [^ ]* "")")," bright brown ")</f>
        <v> bright brown </v>
      </c>
      <c r="M33" s="3">
        <f>IFERROR(__xludf.DUMMYFUNCTION("INDEX(SPLIT(H33,"" ""),1)"),2.0)</f>
        <v>2</v>
      </c>
      <c r="N33" s="3" t="str">
        <f>IFERROR(__xludf.DUMMYFUNCTION("MID(REGEXEXTRACT(H33,"" [^ ]* [^ ]*""),2,300)"),"pale coral")</f>
        <v>pale coral</v>
      </c>
      <c r="O33" s="3">
        <f>IFERROR(__xludf.DUMMYFUNCTION("INDEX(SPLIT(I33,"" ""),1)"),5.0)</f>
        <v>5</v>
      </c>
      <c r="P33" s="3" t="str">
        <f>IFERROR(__xludf.DUMMYFUNCTION("MID(REGEXEXTRACT(I33,"" [^ ]* [^ ]*""),2,300)"),"plaid purple")</f>
        <v>plaid purple</v>
      </c>
      <c r="Q33" s="3">
        <f>IFERROR(__xludf.DUMMYFUNCTION("INDEX(SPLIT(J33,"" ""),1)"),4.0)</f>
        <v>4</v>
      </c>
      <c r="R33" s="3" t="str">
        <f>IFERROR(__xludf.DUMMYFUNCTION("MID(REGEXEXTRACT(J33,"" [^ ]* [^ ]*""),2,300)"),"dim lavender")</f>
        <v>dim lavender</v>
      </c>
      <c r="S33" s="3">
        <f t="shared" si="2"/>
        <v>1</v>
      </c>
      <c r="T33" s="3" t="str">
        <f t="shared" si="3"/>
        <v>bright brown</v>
      </c>
      <c r="U33" s="3">
        <f t="shared" si="4"/>
        <v>2</v>
      </c>
      <c r="V33" s="3" t="str">
        <f t="shared" si="5"/>
        <v>pale coral</v>
      </c>
      <c r="W33" s="3">
        <f t="shared" si="6"/>
        <v>5</v>
      </c>
      <c r="X33" s="3" t="str">
        <f t="shared" si="7"/>
        <v>plaid purple</v>
      </c>
      <c r="Y33" s="3">
        <f t="shared" si="8"/>
        <v>4</v>
      </c>
      <c r="Z33" s="3" t="str">
        <f t="shared" si="9"/>
        <v>dim lavender</v>
      </c>
      <c r="AA33" s="13">
        <f t="shared" si="10"/>
        <v>3381607</v>
      </c>
      <c r="AB33" s="3">
        <f t="shared" si="11"/>
        <v>3381606</v>
      </c>
      <c r="AC33" s="3">
        <f t="shared" si="12"/>
        <v>1</v>
      </c>
      <c r="AD33" s="3">
        <f t="shared" si="13"/>
        <v>1</v>
      </c>
      <c r="AE33" s="3">
        <f t="shared" si="14"/>
        <v>2</v>
      </c>
      <c r="AF33" s="3">
        <f t="shared" si="15"/>
        <v>79927</v>
      </c>
      <c r="AG33" s="3">
        <f t="shared" si="16"/>
        <v>5</v>
      </c>
      <c r="AH33" s="3">
        <f t="shared" si="17"/>
        <v>27231</v>
      </c>
      <c r="AI33" s="3">
        <f t="shared" si="18"/>
        <v>4</v>
      </c>
      <c r="AJ33" s="3">
        <f t="shared" si="19"/>
        <v>771399</v>
      </c>
    </row>
    <row r="34">
      <c r="C34" s="6" t="s">
        <v>34</v>
      </c>
      <c r="D34" s="3">
        <f t="shared" si="1"/>
        <v>0</v>
      </c>
      <c r="E34" s="3" t="str">
        <f>IFERROR(__xludf.DUMMYFUNCTION("REGEXEXTRACT(C34,""[^ ]* [^ ]*"")"),"striped indigo")</f>
        <v>striped indigo</v>
      </c>
      <c r="F34" s="3" t="str">
        <f>IFERROR(__xludf.DUMMYFUNCTION("MID(REGEXEXTRACT(C34,""contain.*$""),9,300)"),"5 dark salmon bags.")</f>
        <v>5 dark salmon bags.</v>
      </c>
      <c r="G34" s="3" t="str">
        <f>IFERROR(__xludf.DUMMYFUNCTION("INDEX(SPLIT($F34,"",""),COLUMN()-6)"),"5 dark salmon bags.")</f>
        <v>5 dark salmon bags.</v>
      </c>
      <c r="H34" s="3" t="str">
        <f>IFERROR(__xludf.DUMMYFUNCTION("MID(INDEX(SPLIT($F34,"",""),COLUMN()-6),2,300)"),"#REF!")</f>
        <v>#REF!</v>
      </c>
      <c r="I34" s="3" t="str">
        <f>IFERROR(__xludf.DUMMYFUNCTION("MID(INDEX(SPLIT($F34,"",""),COLUMN()-6),2,300)"),"#REF!")</f>
        <v>#REF!</v>
      </c>
      <c r="J34" s="3" t="str">
        <f>IFERROR(__xludf.DUMMYFUNCTION("MID(INDEX(SPLIT($F34,"",""),COLUMN()-6),2,300)"),"#REF!")</f>
        <v>#REF!</v>
      </c>
      <c r="K34" s="3">
        <f>IFERROR(__xludf.DUMMYFUNCTION("INDEX(SPLIT(G34,"" ""),1)"),5.0)</f>
        <v>5</v>
      </c>
      <c r="L34" s="3" t="str">
        <f>IFERROR(__xludf.DUMMYFUNCTION("REGEXEXTRACT(G34,"" [^ ]* [^ ]* "")")," dark salmon ")</f>
        <v> dark salmon </v>
      </c>
      <c r="M34" s="3" t="str">
        <f>IFERROR(__xludf.DUMMYFUNCTION("INDEX(SPLIT(H34,"" ""),1)"),"#REF!")</f>
        <v>#REF!</v>
      </c>
      <c r="N34" s="3" t="str">
        <f>IFERROR(__xludf.DUMMYFUNCTION("MID(REGEXEXTRACT(H34,"" [^ ]* [^ ]*""),2,300)"),"#REF!")</f>
        <v>#REF!</v>
      </c>
      <c r="O34" s="3" t="str">
        <f>IFERROR(__xludf.DUMMYFUNCTION("INDEX(SPLIT(I34,"" ""),1)"),"#REF!")</f>
        <v>#REF!</v>
      </c>
      <c r="P34" s="3" t="str">
        <f>IFERROR(__xludf.DUMMYFUNCTION("MID(REGEXEXTRACT(I34,"" [^ ]* [^ ]*""),2,300)"),"#REF!")</f>
        <v>#REF!</v>
      </c>
      <c r="Q34" s="3" t="str">
        <f>IFERROR(__xludf.DUMMYFUNCTION("INDEX(SPLIT(J34,"" ""),1)"),"#REF!")</f>
        <v>#REF!</v>
      </c>
      <c r="R34" s="3" t="str">
        <f>IFERROR(__xludf.DUMMYFUNCTION("MID(REGEXEXTRACT(J34,"" [^ ]* [^ ]*""),2,300)"),"#REF!")</f>
        <v>#REF!</v>
      </c>
      <c r="S34" s="3">
        <f t="shared" si="2"/>
        <v>5</v>
      </c>
      <c r="T34" s="3" t="str">
        <f t="shared" si="3"/>
        <v>dark salmon</v>
      </c>
      <c r="U34" s="3" t="str">
        <f t="shared" si="4"/>
        <v/>
      </c>
      <c r="V34" s="3" t="str">
        <f t="shared" si="5"/>
        <v/>
      </c>
      <c r="W34" s="3" t="str">
        <f t="shared" si="6"/>
        <v/>
      </c>
      <c r="X34" s="3" t="str">
        <f t="shared" si="7"/>
        <v/>
      </c>
      <c r="Y34" s="3" t="str">
        <f t="shared" si="8"/>
        <v/>
      </c>
      <c r="Z34" s="3" t="str">
        <f t="shared" si="9"/>
        <v/>
      </c>
      <c r="AA34" s="13">
        <f t="shared" si="10"/>
        <v>1881044201</v>
      </c>
      <c r="AB34" s="3">
        <f t="shared" si="11"/>
        <v>1881044200</v>
      </c>
      <c r="AC34" s="3">
        <f t="shared" si="12"/>
        <v>5</v>
      </c>
      <c r="AD34" s="3">
        <f t="shared" si="13"/>
        <v>376208840</v>
      </c>
      <c r="AE34" s="3" t="str">
        <f t="shared" si="14"/>
        <v/>
      </c>
      <c r="AF34" s="3">
        <f t="shared" si="15"/>
        <v>0</v>
      </c>
      <c r="AG34" s="3" t="str">
        <f t="shared" si="16"/>
        <v/>
      </c>
      <c r="AH34" s="3">
        <f t="shared" si="17"/>
        <v>0</v>
      </c>
      <c r="AI34" s="3" t="str">
        <f t="shared" si="18"/>
        <v/>
      </c>
      <c r="AJ34" s="3">
        <f t="shared" si="19"/>
        <v>0</v>
      </c>
    </row>
    <row r="35">
      <c r="C35" s="6" t="s">
        <v>35</v>
      </c>
      <c r="D35" s="3">
        <f t="shared" si="1"/>
        <v>2</v>
      </c>
      <c r="E35" s="3" t="str">
        <f>IFERROR(__xludf.DUMMYFUNCTION("REGEXEXTRACT(C35,""[^ ]* [^ ]*"")"),"shiny tan")</f>
        <v>shiny tan</v>
      </c>
      <c r="F35" s="3" t="str">
        <f>IFERROR(__xludf.DUMMYFUNCTION("MID(REGEXEXTRACT(C35,""contain.*$""),9,300)"),"2 faded bronze bags, 3 mirrored lavender bags, 2 mirrored cyan bags.")</f>
        <v>2 faded bronze bags, 3 mirrored lavender bags, 2 mirrored cyan bags.</v>
      </c>
      <c r="G35" s="3" t="str">
        <f>IFERROR(__xludf.DUMMYFUNCTION("INDEX(SPLIT($F35,"",""),COLUMN()-6)"),"2 faded bronze bags")</f>
        <v>2 faded bronze bags</v>
      </c>
      <c r="H35" s="3" t="str">
        <f>IFERROR(__xludf.DUMMYFUNCTION("MID(INDEX(SPLIT($F35,"",""),COLUMN()-6),2,300)"),"3 mirrored lavender bags")</f>
        <v>3 mirrored lavender bags</v>
      </c>
      <c r="I35" s="3" t="str">
        <f>IFERROR(__xludf.DUMMYFUNCTION("MID(INDEX(SPLIT($F35,"",""),COLUMN()-6),2,300)"),"2 mirrored cyan bags.")</f>
        <v>2 mirrored cyan bags.</v>
      </c>
      <c r="J35" s="3" t="str">
        <f>IFERROR(__xludf.DUMMYFUNCTION("MID(INDEX(SPLIT($F35,"",""),COLUMN()-6),2,300)"),"#REF!")</f>
        <v>#REF!</v>
      </c>
      <c r="K35" s="3">
        <f>IFERROR(__xludf.DUMMYFUNCTION("INDEX(SPLIT(G35,"" ""),1)"),2.0)</f>
        <v>2</v>
      </c>
      <c r="L35" s="3" t="str">
        <f>IFERROR(__xludf.DUMMYFUNCTION("REGEXEXTRACT(G35,"" [^ ]* [^ ]* "")")," faded bronze ")</f>
        <v> faded bronze </v>
      </c>
      <c r="M35" s="3">
        <f>IFERROR(__xludf.DUMMYFUNCTION("INDEX(SPLIT(H35,"" ""),1)"),3.0)</f>
        <v>3</v>
      </c>
      <c r="N35" s="3" t="str">
        <f>IFERROR(__xludf.DUMMYFUNCTION("MID(REGEXEXTRACT(H35,"" [^ ]* [^ ]*""),2,300)"),"mirrored lavender")</f>
        <v>mirrored lavender</v>
      </c>
      <c r="O35" s="3">
        <f>IFERROR(__xludf.DUMMYFUNCTION("INDEX(SPLIT(I35,"" ""),1)"),2.0)</f>
        <v>2</v>
      </c>
      <c r="P35" s="3" t="str">
        <f>IFERROR(__xludf.DUMMYFUNCTION("MID(REGEXEXTRACT(I35,"" [^ ]* [^ ]*""),2,300)"),"mirrored cyan")</f>
        <v>mirrored cyan</v>
      </c>
      <c r="Q35" s="3" t="str">
        <f>IFERROR(__xludf.DUMMYFUNCTION("INDEX(SPLIT(J35,"" ""),1)"),"#REF!")</f>
        <v>#REF!</v>
      </c>
      <c r="R35" s="3" t="str">
        <f>IFERROR(__xludf.DUMMYFUNCTION("MID(REGEXEXTRACT(J35,"" [^ ]* [^ ]*""),2,300)"),"#REF!")</f>
        <v>#REF!</v>
      </c>
      <c r="S35" s="3">
        <f t="shared" si="2"/>
        <v>2</v>
      </c>
      <c r="T35" s="3" t="str">
        <f t="shared" si="3"/>
        <v>faded bronze</v>
      </c>
      <c r="U35" s="3">
        <f t="shared" si="4"/>
        <v>3</v>
      </c>
      <c r="V35" s="3" t="str">
        <f t="shared" si="5"/>
        <v>mirrored lavender</v>
      </c>
      <c r="W35" s="3">
        <f t="shared" si="6"/>
        <v>2</v>
      </c>
      <c r="X35" s="3" t="str">
        <f t="shared" si="7"/>
        <v>mirrored cyan</v>
      </c>
      <c r="Y35" s="3" t="str">
        <f t="shared" si="8"/>
        <v/>
      </c>
      <c r="Z35" s="3" t="str">
        <f t="shared" si="9"/>
        <v/>
      </c>
      <c r="AA35" s="13">
        <f t="shared" si="10"/>
        <v>69856</v>
      </c>
      <c r="AB35" s="3">
        <f t="shared" si="11"/>
        <v>69855</v>
      </c>
      <c r="AC35" s="3">
        <f t="shared" si="12"/>
        <v>2</v>
      </c>
      <c r="AD35" s="3">
        <f t="shared" si="13"/>
        <v>24729</v>
      </c>
      <c r="AE35" s="3">
        <f t="shared" si="14"/>
        <v>3</v>
      </c>
      <c r="AF35" s="3">
        <f t="shared" si="15"/>
        <v>5563</v>
      </c>
      <c r="AG35" s="3">
        <f t="shared" si="16"/>
        <v>2</v>
      </c>
      <c r="AH35" s="3">
        <f t="shared" si="17"/>
        <v>1854</v>
      </c>
      <c r="AI35" s="3" t="str">
        <f t="shared" si="18"/>
        <v/>
      </c>
      <c r="AJ35" s="3">
        <f t="shared" si="19"/>
        <v>0</v>
      </c>
    </row>
    <row r="36">
      <c r="C36" s="6" t="s">
        <v>36</v>
      </c>
      <c r="D36" s="3">
        <f t="shared" si="1"/>
        <v>2</v>
      </c>
      <c r="E36" s="3" t="str">
        <f>IFERROR(__xludf.DUMMYFUNCTION("REGEXEXTRACT(C36,""[^ ]* [^ ]*"")"),"dim red")</f>
        <v>dim red</v>
      </c>
      <c r="F36" s="3" t="str">
        <f>IFERROR(__xludf.DUMMYFUNCTION("MID(REGEXEXTRACT(C36,""contain.*$""),9,300)"),"5 dull salmon bags, 3 dim purple bags, 2 striped crimson bags.")</f>
        <v>5 dull salmon bags, 3 dim purple bags, 2 striped crimson bags.</v>
      </c>
      <c r="G36" s="3" t="str">
        <f>IFERROR(__xludf.DUMMYFUNCTION("INDEX(SPLIT($F36,"",""),COLUMN()-6)"),"5 dull salmon bags")</f>
        <v>5 dull salmon bags</v>
      </c>
      <c r="H36" s="3" t="str">
        <f>IFERROR(__xludf.DUMMYFUNCTION("MID(INDEX(SPLIT($F36,"",""),COLUMN()-6),2,300)"),"3 dim purple bags")</f>
        <v>3 dim purple bags</v>
      </c>
      <c r="I36" s="3" t="str">
        <f>IFERROR(__xludf.DUMMYFUNCTION("MID(INDEX(SPLIT($F36,"",""),COLUMN()-6),2,300)"),"2 striped crimson bags.")</f>
        <v>2 striped crimson bags.</v>
      </c>
      <c r="J36" s="3" t="str">
        <f>IFERROR(__xludf.DUMMYFUNCTION("MID(INDEX(SPLIT($F36,"",""),COLUMN()-6),2,300)"),"#REF!")</f>
        <v>#REF!</v>
      </c>
      <c r="K36" s="3">
        <f>IFERROR(__xludf.DUMMYFUNCTION("INDEX(SPLIT(G36,"" ""),1)"),5.0)</f>
        <v>5</v>
      </c>
      <c r="L36" s="3" t="str">
        <f>IFERROR(__xludf.DUMMYFUNCTION("REGEXEXTRACT(G36,"" [^ ]* [^ ]* "")")," dull salmon ")</f>
        <v> dull salmon </v>
      </c>
      <c r="M36" s="3">
        <f>IFERROR(__xludf.DUMMYFUNCTION("INDEX(SPLIT(H36,"" ""),1)"),3.0)</f>
        <v>3</v>
      </c>
      <c r="N36" s="3" t="str">
        <f>IFERROR(__xludf.DUMMYFUNCTION("MID(REGEXEXTRACT(H36,"" [^ ]* [^ ]*""),2,300)"),"dim purple")</f>
        <v>dim purple</v>
      </c>
      <c r="O36" s="3">
        <f>IFERROR(__xludf.DUMMYFUNCTION("INDEX(SPLIT(I36,"" ""),1)"),2.0)</f>
        <v>2</v>
      </c>
      <c r="P36" s="3" t="str">
        <f>IFERROR(__xludf.DUMMYFUNCTION("MID(REGEXEXTRACT(I36,"" [^ ]* [^ ]*""),2,300)"),"striped crimson")</f>
        <v>striped crimson</v>
      </c>
      <c r="Q36" s="3" t="str">
        <f>IFERROR(__xludf.DUMMYFUNCTION("INDEX(SPLIT(J36,"" ""),1)"),"#REF!")</f>
        <v>#REF!</v>
      </c>
      <c r="R36" s="3" t="str">
        <f>IFERROR(__xludf.DUMMYFUNCTION("MID(REGEXEXTRACT(J36,"" [^ ]* [^ ]*""),2,300)"),"#REF!")</f>
        <v>#REF!</v>
      </c>
      <c r="S36" s="3">
        <f t="shared" si="2"/>
        <v>5</v>
      </c>
      <c r="T36" s="3" t="str">
        <f t="shared" si="3"/>
        <v>dull salmon</v>
      </c>
      <c r="U36" s="3">
        <f t="shared" si="4"/>
        <v>3</v>
      </c>
      <c r="V36" s="3" t="str">
        <f t="shared" si="5"/>
        <v>dim purple</v>
      </c>
      <c r="W36" s="3">
        <f t="shared" si="6"/>
        <v>2</v>
      </c>
      <c r="X36" s="3" t="str">
        <f t="shared" si="7"/>
        <v>striped crimson</v>
      </c>
      <c r="Y36" s="3" t="str">
        <f t="shared" si="8"/>
        <v/>
      </c>
      <c r="Z36" s="3" t="str">
        <f t="shared" si="9"/>
        <v/>
      </c>
      <c r="AA36" s="13">
        <f t="shared" si="10"/>
        <v>18012427</v>
      </c>
      <c r="AB36" s="3">
        <f t="shared" si="11"/>
        <v>18012426</v>
      </c>
      <c r="AC36" s="3">
        <f t="shared" si="12"/>
        <v>5</v>
      </c>
      <c r="AD36" s="3">
        <f t="shared" si="13"/>
        <v>2893451</v>
      </c>
      <c r="AE36" s="3">
        <f t="shared" si="14"/>
        <v>3</v>
      </c>
      <c r="AF36" s="3">
        <f t="shared" si="15"/>
        <v>1160117</v>
      </c>
      <c r="AG36" s="3">
        <f t="shared" si="16"/>
        <v>2</v>
      </c>
      <c r="AH36" s="3">
        <f t="shared" si="17"/>
        <v>32410</v>
      </c>
      <c r="AI36" s="3" t="str">
        <f t="shared" si="18"/>
        <v/>
      </c>
      <c r="AJ36" s="3">
        <f t="shared" si="19"/>
        <v>0</v>
      </c>
    </row>
    <row r="37">
      <c r="C37" s="6" t="s">
        <v>37</v>
      </c>
      <c r="D37" s="3">
        <f t="shared" si="1"/>
        <v>2</v>
      </c>
      <c r="E37" s="3" t="str">
        <f>IFERROR(__xludf.DUMMYFUNCTION("REGEXEXTRACT(C37,""[^ ]* [^ ]*"")"),"plaid gray")</f>
        <v>plaid gray</v>
      </c>
      <c r="F37" s="3" t="str">
        <f>IFERROR(__xludf.DUMMYFUNCTION("MID(REGEXEXTRACT(C37,""contain.*$""),9,300)"),"5 bright violet bags, 4 vibrant aqua bags, 4 dull tomato bags.")</f>
        <v>5 bright violet bags, 4 vibrant aqua bags, 4 dull tomato bags.</v>
      </c>
      <c r="G37" s="3" t="str">
        <f>IFERROR(__xludf.DUMMYFUNCTION("INDEX(SPLIT($F37,"",""),COLUMN()-6)"),"5 bright violet bags")</f>
        <v>5 bright violet bags</v>
      </c>
      <c r="H37" s="3" t="str">
        <f>IFERROR(__xludf.DUMMYFUNCTION("MID(INDEX(SPLIT($F37,"",""),COLUMN()-6),2,300)"),"4 vibrant aqua bags")</f>
        <v>4 vibrant aqua bags</v>
      </c>
      <c r="I37" s="3" t="str">
        <f>IFERROR(__xludf.DUMMYFUNCTION("MID(INDEX(SPLIT($F37,"",""),COLUMN()-6),2,300)"),"4 dull tomato bags.")</f>
        <v>4 dull tomato bags.</v>
      </c>
      <c r="J37" s="3" t="str">
        <f>IFERROR(__xludf.DUMMYFUNCTION("MID(INDEX(SPLIT($F37,"",""),COLUMN()-6),2,300)"),"#REF!")</f>
        <v>#REF!</v>
      </c>
      <c r="K37" s="3">
        <f>IFERROR(__xludf.DUMMYFUNCTION("INDEX(SPLIT(G37,"" ""),1)"),5.0)</f>
        <v>5</v>
      </c>
      <c r="L37" s="3" t="str">
        <f>IFERROR(__xludf.DUMMYFUNCTION("REGEXEXTRACT(G37,"" [^ ]* [^ ]* "")")," bright violet ")</f>
        <v> bright violet </v>
      </c>
      <c r="M37" s="3">
        <f>IFERROR(__xludf.DUMMYFUNCTION("INDEX(SPLIT(H37,"" ""),1)"),4.0)</f>
        <v>4</v>
      </c>
      <c r="N37" s="3" t="str">
        <f>IFERROR(__xludf.DUMMYFUNCTION("MID(REGEXEXTRACT(H37,"" [^ ]* [^ ]*""),2,300)"),"vibrant aqua")</f>
        <v>vibrant aqua</v>
      </c>
      <c r="O37" s="3">
        <f>IFERROR(__xludf.DUMMYFUNCTION("INDEX(SPLIT(I37,"" ""),1)"),4.0)</f>
        <v>4</v>
      </c>
      <c r="P37" s="3" t="str">
        <f>IFERROR(__xludf.DUMMYFUNCTION("MID(REGEXEXTRACT(I37,"" [^ ]* [^ ]*""),2,300)"),"dull tomato")</f>
        <v>dull tomato</v>
      </c>
      <c r="Q37" s="3" t="str">
        <f>IFERROR(__xludf.DUMMYFUNCTION("INDEX(SPLIT(J37,"" ""),1)"),"#REF!")</f>
        <v>#REF!</v>
      </c>
      <c r="R37" s="3" t="str">
        <f>IFERROR(__xludf.DUMMYFUNCTION("MID(REGEXEXTRACT(J37,"" [^ ]* [^ ]*""),2,300)"),"#REF!")</f>
        <v>#REF!</v>
      </c>
      <c r="S37" s="3">
        <f t="shared" si="2"/>
        <v>5</v>
      </c>
      <c r="T37" s="3" t="str">
        <f t="shared" si="3"/>
        <v>bright violet</v>
      </c>
      <c r="U37" s="3">
        <f t="shared" si="4"/>
        <v>4</v>
      </c>
      <c r="V37" s="3" t="str">
        <f t="shared" si="5"/>
        <v>vibrant aqua</v>
      </c>
      <c r="W37" s="3">
        <f t="shared" si="6"/>
        <v>4</v>
      </c>
      <c r="X37" s="3" t="str">
        <f t="shared" si="7"/>
        <v>dull tomato</v>
      </c>
      <c r="Y37" s="3" t="str">
        <f t="shared" si="8"/>
        <v/>
      </c>
      <c r="Z37" s="3" t="str">
        <f t="shared" si="9"/>
        <v/>
      </c>
      <c r="AA37" s="13">
        <f t="shared" si="10"/>
        <v>54</v>
      </c>
      <c r="AB37" s="3">
        <f t="shared" si="11"/>
        <v>53</v>
      </c>
      <c r="AC37" s="3">
        <f t="shared" si="12"/>
        <v>5</v>
      </c>
      <c r="AD37" s="3">
        <f t="shared" si="13"/>
        <v>1</v>
      </c>
      <c r="AE37" s="3">
        <f t="shared" si="14"/>
        <v>4</v>
      </c>
      <c r="AF37" s="3">
        <f t="shared" si="15"/>
        <v>1</v>
      </c>
      <c r="AG37" s="3">
        <f t="shared" si="16"/>
        <v>4</v>
      </c>
      <c r="AH37" s="3">
        <f t="shared" si="17"/>
        <v>11</v>
      </c>
      <c r="AI37" s="3" t="str">
        <f t="shared" si="18"/>
        <v/>
      </c>
      <c r="AJ37" s="3">
        <f t="shared" si="19"/>
        <v>0</v>
      </c>
    </row>
    <row r="38">
      <c r="C38" s="6" t="s">
        <v>38</v>
      </c>
      <c r="D38" s="3">
        <f t="shared" si="1"/>
        <v>1</v>
      </c>
      <c r="E38" s="3" t="str">
        <f>IFERROR(__xludf.DUMMYFUNCTION("REGEXEXTRACT(C38,""[^ ]* [^ ]*"")"),"dotted white")</f>
        <v>dotted white</v>
      </c>
      <c r="F38" s="3" t="str">
        <f>IFERROR(__xludf.DUMMYFUNCTION("MID(REGEXEXTRACT(C38,""contain.*$""),9,300)"),"1 drab brown bag, 5 light brown bags.")</f>
        <v>1 drab brown bag, 5 light brown bags.</v>
      </c>
      <c r="G38" s="3" t="str">
        <f>IFERROR(__xludf.DUMMYFUNCTION("INDEX(SPLIT($F38,"",""),COLUMN()-6)"),"1 drab brown bag")</f>
        <v>1 drab brown bag</v>
      </c>
      <c r="H38" s="3" t="str">
        <f>IFERROR(__xludf.DUMMYFUNCTION("MID(INDEX(SPLIT($F38,"",""),COLUMN()-6),2,300)"),"5 light brown bags.")</f>
        <v>5 light brown bags.</v>
      </c>
      <c r="I38" s="3" t="str">
        <f>IFERROR(__xludf.DUMMYFUNCTION("MID(INDEX(SPLIT($F38,"",""),COLUMN()-6),2,300)"),"#REF!")</f>
        <v>#REF!</v>
      </c>
      <c r="J38" s="3" t="str">
        <f>IFERROR(__xludf.DUMMYFUNCTION("MID(INDEX(SPLIT($F38,"",""),COLUMN()-6),2,300)"),"#REF!")</f>
        <v>#REF!</v>
      </c>
      <c r="K38" s="3">
        <f>IFERROR(__xludf.DUMMYFUNCTION("INDEX(SPLIT(G38,"" ""),1)"),1.0)</f>
        <v>1</v>
      </c>
      <c r="L38" s="3" t="str">
        <f>IFERROR(__xludf.DUMMYFUNCTION("REGEXEXTRACT(G38,"" [^ ]* [^ ]* "")")," drab brown ")</f>
        <v> drab brown </v>
      </c>
      <c r="M38" s="3">
        <f>IFERROR(__xludf.DUMMYFUNCTION("INDEX(SPLIT(H38,"" ""),1)"),5.0)</f>
        <v>5</v>
      </c>
      <c r="N38" s="3" t="str">
        <f>IFERROR(__xludf.DUMMYFUNCTION("MID(REGEXEXTRACT(H38,"" [^ ]* [^ ]*""),2,300)"),"light brown")</f>
        <v>light brown</v>
      </c>
      <c r="O38" s="3" t="str">
        <f>IFERROR(__xludf.DUMMYFUNCTION("INDEX(SPLIT(I38,"" ""),1)"),"#REF!")</f>
        <v>#REF!</v>
      </c>
      <c r="P38" s="3" t="str">
        <f>IFERROR(__xludf.DUMMYFUNCTION("MID(REGEXEXTRACT(I38,"" [^ ]* [^ ]*""),2,300)"),"#REF!")</f>
        <v>#REF!</v>
      </c>
      <c r="Q38" s="3" t="str">
        <f>IFERROR(__xludf.DUMMYFUNCTION("INDEX(SPLIT(J38,"" ""),1)"),"#REF!")</f>
        <v>#REF!</v>
      </c>
      <c r="R38" s="3" t="str">
        <f>IFERROR(__xludf.DUMMYFUNCTION("MID(REGEXEXTRACT(J38,"" [^ ]* [^ ]*""),2,300)"),"#REF!")</f>
        <v>#REF!</v>
      </c>
      <c r="S38" s="3">
        <f t="shared" si="2"/>
        <v>1</v>
      </c>
      <c r="T38" s="3" t="str">
        <f t="shared" si="3"/>
        <v>drab brown</v>
      </c>
      <c r="U38" s="3">
        <f t="shared" si="4"/>
        <v>5</v>
      </c>
      <c r="V38" s="3" t="str">
        <f t="shared" si="5"/>
        <v>light brown</v>
      </c>
      <c r="W38" s="3" t="str">
        <f t="shared" si="6"/>
        <v/>
      </c>
      <c r="X38" s="3" t="str">
        <f t="shared" si="7"/>
        <v/>
      </c>
      <c r="Y38" s="3" t="str">
        <f t="shared" si="8"/>
        <v/>
      </c>
      <c r="Z38" s="3" t="str">
        <f t="shared" si="9"/>
        <v/>
      </c>
      <c r="AA38" s="13">
        <f t="shared" si="10"/>
        <v>3801522</v>
      </c>
      <c r="AB38" s="3">
        <f t="shared" si="11"/>
        <v>3801521</v>
      </c>
      <c r="AC38" s="3">
        <f t="shared" si="12"/>
        <v>1</v>
      </c>
      <c r="AD38" s="3">
        <f t="shared" si="13"/>
        <v>96841</v>
      </c>
      <c r="AE38" s="3">
        <f t="shared" si="14"/>
        <v>5</v>
      </c>
      <c r="AF38" s="3">
        <f t="shared" si="15"/>
        <v>740936</v>
      </c>
      <c r="AG38" s="3" t="str">
        <f t="shared" si="16"/>
        <v/>
      </c>
      <c r="AH38" s="3">
        <f t="shared" si="17"/>
        <v>0</v>
      </c>
      <c r="AI38" s="3" t="str">
        <f t="shared" si="18"/>
        <v/>
      </c>
      <c r="AJ38" s="3">
        <f t="shared" si="19"/>
        <v>0</v>
      </c>
    </row>
    <row r="39">
      <c r="C39" s="6" t="s">
        <v>39</v>
      </c>
      <c r="D39" s="3">
        <f t="shared" si="1"/>
        <v>1</v>
      </c>
      <c r="E39" s="3" t="str">
        <f>IFERROR(__xludf.DUMMYFUNCTION("REGEXEXTRACT(C39,""[^ ]* [^ ]*"")"),"plaid tan")</f>
        <v>plaid tan</v>
      </c>
      <c r="F39" s="3" t="str">
        <f>IFERROR(__xludf.DUMMYFUNCTION("MID(REGEXEXTRACT(C39,""contain.*$""),9,300)"),"3 striped teal bags, 2 dotted brown bags.")</f>
        <v>3 striped teal bags, 2 dotted brown bags.</v>
      </c>
      <c r="G39" s="3" t="str">
        <f>IFERROR(__xludf.DUMMYFUNCTION("INDEX(SPLIT($F39,"",""),COLUMN()-6)"),"3 striped teal bags")</f>
        <v>3 striped teal bags</v>
      </c>
      <c r="H39" s="3" t="str">
        <f>IFERROR(__xludf.DUMMYFUNCTION("MID(INDEX(SPLIT($F39,"",""),COLUMN()-6),2,300)"),"2 dotted brown bags.")</f>
        <v>2 dotted brown bags.</v>
      </c>
      <c r="I39" s="3" t="str">
        <f>IFERROR(__xludf.DUMMYFUNCTION("MID(INDEX(SPLIT($F39,"",""),COLUMN()-6),2,300)"),"#REF!")</f>
        <v>#REF!</v>
      </c>
      <c r="J39" s="3" t="str">
        <f>IFERROR(__xludf.DUMMYFUNCTION("MID(INDEX(SPLIT($F39,"",""),COLUMN()-6),2,300)"),"#REF!")</f>
        <v>#REF!</v>
      </c>
      <c r="K39" s="3">
        <f>IFERROR(__xludf.DUMMYFUNCTION("INDEX(SPLIT(G39,"" ""),1)"),3.0)</f>
        <v>3</v>
      </c>
      <c r="L39" s="3" t="str">
        <f>IFERROR(__xludf.DUMMYFUNCTION("REGEXEXTRACT(G39,"" [^ ]* [^ ]* "")")," striped teal ")</f>
        <v> striped teal </v>
      </c>
      <c r="M39" s="3">
        <f>IFERROR(__xludf.DUMMYFUNCTION("INDEX(SPLIT(H39,"" ""),1)"),2.0)</f>
        <v>2</v>
      </c>
      <c r="N39" s="3" t="str">
        <f>IFERROR(__xludf.DUMMYFUNCTION("MID(REGEXEXTRACT(H39,"" [^ ]* [^ ]*""),2,300)"),"dotted brown")</f>
        <v>dotted brown</v>
      </c>
      <c r="O39" s="3" t="str">
        <f>IFERROR(__xludf.DUMMYFUNCTION("INDEX(SPLIT(I39,"" ""),1)"),"#REF!")</f>
        <v>#REF!</v>
      </c>
      <c r="P39" s="3" t="str">
        <f>IFERROR(__xludf.DUMMYFUNCTION("MID(REGEXEXTRACT(I39,"" [^ ]* [^ ]*""),2,300)"),"#REF!")</f>
        <v>#REF!</v>
      </c>
      <c r="Q39" s="3" t="str">
        <f>IFERROR(__xludf.DUMMYFUNCTION("INDEX(SPLIT(J39,"" ""),1)"),"#REF!")</f>
        <v>#REF!</v>
      </c>
      <c r="R39" s="3" t="str">
        <f>IFERROR(__xludf.DUMMYFUNCTION("MID(REGEXEXTRACT(J39,"" [^ ]* [^ ]*""),2,300)"),"#REF!")</f>
        <v>#REF!</v>
      </c>
      <c r="S39" s="3">
        <f t="shared" si="2"/>
        <v>3</v>
      </c>
      <c r="T39" s="3" t="str">
        <f t="shared" si="3"/>
        <v>striped teal</v>
      </c>
      <c r="U39" s="3">
        <f t="shared" si="4"/>
        <v>2</v>
      </c>
      <c r="V39" s="3" t="str">
        <f t="shared" si="5"/>
        <v>dotted brown</v>
      </c>
      <c r="W39" s="3" t="str">
        <f t="shared" si="6"/>
        <v/>
      </c>
      <c r="X39" s="3" t="str">
        <f t="shared" si="7"/>
        <v/>
      </c>
      <c r="Y39" s="3" t="str">
        <f t="shared" si="8"/>
        <v/>
      </c>
      <c r="Z39" s="3" t="str">
        <f t="shared" si="9"/>
        <v/>
      </c>
      <c r="AA39" s="13">
        <f t="shared" si="10"/>
        <v>43778</v>
      </c>
      <c r="AB39" s="3">
        <f t="shared" si="11"/>
        <v>43777</v>
      </c>
      <c r="AC39" s="3">
        <f t="shared" si="12"/>
        <v>3</v>
      </c>
      <c r="AD39" s="3">
        <f t="shared" si="13"/>
        <v>14389</v>
      </c>
      <c r="AE39" s="3">
        <f t="shared" si="14"/>
        <v>2</v>
      </c>
      <c r="AF39" s="3">
        <f t="shared" si="15"/>
        <v>305</v>
      </c>
      <c r="AG39" s="3" t="str">
        <f t="shared" si="16"/>
        <v/>
      </c>
      <c r="AH39" s="3">
        <f t="shared" si="17"/>
        <v>0</v>
      </c>
      <c r="AI39" s="3" t="str">
        <f t="shared" si="18"/>
        <v/>
      </c>
      <c r="AJ39" s="3">
        <f t="shared" si="19"/>
        <v>0</v>
      </c>
    </row>
    <row r="40">
      <c r="C40" s="6" t="s">
        <v>40</v>
      </c>
      <c r="D40" s="3">
        <f t="shared" si="1"/>
        <v>3</v>
      </c>
      <c r="E40" s="3" t="str">
        <f>IFERROR(__xludf.DUMMYFUNCTION("REGEXEXTRACT(C40,""[^ ]* [^ ]*"")"),"vibrant black")</f>
        <v>vibrant black</v>
      </c>
      <c r="F40" s="3" t="str">
        <f>IFERROR(__xludf.DUMMYFUNCTION("MID(REGEXEXTRACT(C40,""contain.*$""),9,300)"),"3 plaid tan bags, 4 muted white bags, 4 drab orange bags, 5 muted aqua bags.")</f>
        <v>3 plaid tan bags, 4 muted white bags, 4 drab orange bags, 5 muted aqua bags.</v>
      </c>
      <c r="G40" s="3" t="str">
        <f>IFERROR(__xludf.DUMMYFUNCTION("INDEX(SPLIT($F40,"",""),COLUMN()-6)"),"3 plaid tan bags")</f>
        <v>3 plaid tan bags</v>
      </c>
      <c r="H40" s="3" t="str">
        <f>IFERROR(__xludf.DUMMYFUNCTION("MID(INDEX(SPLIT($F40,"",""),COLUMN()-6),2,300)"),"4 muted white bags")</f>
        <v>4 muted white bags</v>
      </c>
      <c r="I40" s="3" t="str">
        <f>IFERROR(__xludf.DUMMYFUNCTION("MID(INDEX(SPLIT($F40,"",""),COLUMN()-6),2,300)"),"4 drab orange bags")</f>
        <v>4 drab orange bags</v>
      </c>
      <c r="J40" s="3" t="str">
        <f>IFERROR(__xludf.DUMMYFUNCTION("MID(INDEX(SPLIT($F40,"",""),COLUMN()-6),2,300)"),"5 muted aqua bags.")</f>
        <v>5 muted aqua bags.</v>
      </c>
      <c r="K40" s="3">
        <f>IFERROR(__xludf.DUMMYFUNCTION("INDEX(SPLIT(G40,"" ""),1)"),3.0)</f>
        <v>3</v>
      </c>
      <c r="L40" s="3" t="str">
        <f>IFERROR(__xludf.DUMMYFUNCTION("REGEXEXTRACT(G40,"" [^ ]* [^ ]* "")")," plaid tan ")</f>
        <v> plaid tan </v>
      </c>
      <c r="M40" s="3">
        <f>IFERROR(__xludf.DUMMYFUNCTION("INDEX(SPLIT(H40,"" ""),1)"),4.0)</f>
        <v>4</v>
      </c>
      <c r="N40" s="3" t="str">
        <f>IFERROR(__xludf.DUMMYFUNCTION("MID(REGEXEXTRACT(H40,"" [^ ]* [^ ]*""),2,300)"),"muted white")</f>
        <v>muted white</v>
      </c>
      <c r="O40" s="3">
        <f>IFERROR(__xludf.DUMMYFUNCTION("INDEX(SPLIT(I40,"" ""),1)"),4.0)</f>
        <v>4</v>
      </c>
      <c r="P40" s="3" t="str">
        <f>IFERROR(__xludf.DUMMYFUNCTION("MID(REGEXEXTRACT(I40,"" [^ ]* [^ ]*""),2,300)"),"drab orange")</f>
        <v>drab orange</v>
      </c>
      <c r="Q40" s="3">
        <f>IFERROR(__xludf.DUMMYFUNCTION("INDEX(SPLIT(J40,"" ""),1)"),5.0)</f>
        <v>5</v>
      </c>
      <c r="R40" s="3" t="str">
        <f>IFERROR(__xludf.DUMMYFUNCTION("MID(REGEXEXTRACT(J40,"" [^ ]* [^ ]*""),2,300)"),"muted aqua")</f>
        <v>muted aqua</v>
      </c>
      <c r="S40" s="3">
        <f t="shared" si="2"/>
        <v>3</v>
      </c>
      <c r="T40" s="3" t="str">
        <f t="shared" si="3"/>
        <v>plaid tan</v>
      </c>
      <c r="U40" s="3">
        <f t="shared" si="4"/>
        <v>4</v>
      </c>
      <c r="V40" s="3" t="str">
        <f t="shared" si="5"/>
        <v>muted white</v>
      </c>
      <c r="W40" s="3">
        <f t="shared" si="6"/>
        <v>4</v>
      </c>
      <c r="X40" s="3" t="str">
        <f t="shared" si="7"/>
        <v>drab orange</v>
      </c>
      <c r="Y40" s="3">
        <f t="shared" si="8"/>
        <v>5</v>
      </c>
      <c r="Z40" s="3" t="str">
        <f t="shared" si="9"/>
        <v>muted aqua</v>
      </c>
      <c r="AA40" s="13">
        <f t="shared" si="10"/>
        <v>152100230</v>
      </c>
      <c r="AB40" s="3">
        <f t="shared" si="11"/>
        <v>152100229</v>
      </c>
      <c r="AC40" s="3">
        <f t="shared" si="12"/>
        <v>3</v>
      </c>
      <c r="AD40" s="3">
        <f t="shared" si="13"/>
        <v>43778</v>
      </c>
      <c r="AE40" s="3">
        <f t="shared" si="14"/>
        <v>4</v>
      </c>
      <c r="AF40" s="3">
        <f t="shared" si="15"/>
        <v>2893450</v>
      </c>
      <c r="AG40" s="3">
        <f t="shared" si="16"/>
        <v>4</v>
      </c>
      <c r="AH40" s="3">
        <f t="shared" si="17"/>
        <v>35061170</v>
      </c>
      <c r="AI40" s="3">
        <f t="shared" si="18"/>
        <v>5</v>
      </c>
      <c r="AJ40" s="3">
        <f t="shared" si="19"/>
        <v>30083</v>
      </c>
    </row>
    <row r="41">
      <c r="C41" s="6" t="s">
        <v>41</v>
      </c>
      <c r="D41" s="3">
        <f t="shared" si="1"/>
        <v>2</v>
      </c>
      <c r="E41" s="3" t="str">
        <f>IFERROR(__xludf.DUMMYFUNCTION("REGEXEXTRACT(C41,""[^ ]* [^ ]*"")"),"drab purple")</f>
        <v>drab purple</v>
      </c>
      <c r="F41" s="3" t="str">
        <f>IFERROR(__xludf.DUMMYFUNCTION("MID(REGEXEXTRACT(C41,""contain.*$""),9,300)"),"5 muted violet bags, 2 vibrant blue bags, 4 pale olive bags.")</f>
        <v>5 muted violet bags, 2 vibrant blue bags, 4 pale olive bags.</v>
      </c>
      <c r="G41" s="3" t="str">
        <f>IFERROR(__xludf.DUMMYFUNCTION("INDEX(SPLIT($F41,"",""),COLUMN()-6)"),"5 muted violet bags")</f>
        <v>5 muted violet bags</v>
      </c>
      <c r="H41" s="3" t="str">
        <f>IFERROR(__xludf.DUMMYFUNCTION("MID(INDEX(SPLIT($F41,"",""),COLUMN()-6),2,300)"),"2 vibrant blue bags")</f>
        <v>2 vibrant blue bags</v>
      </c>
      <c r="I41" s="3" t="str">
        <f>IFERROR(__xludf.DUMMYFUNCTION("MID(INDEX(SPLIT($F41,"",""),COLUMN()-6),2,300)"),"4 pale olive bags.")</f>
        <v>4 pale olive bags.</v>
      </c>
      <c r="J41" s="3" t="str">
        <f>IFERROR(__xludf.DUMMYFUNCTION("MID(INDEX(SPLIT($F41,"",""),COLUMN()-6),2,300)"),"#REF!")</f>
        <v>#REF!</v>
      </c>
      <c r="K41" s="3">
        <f>IFERROR(__xludf.DUMMYFUNCTION("INDEX(SPLIT(G41,"" ""),1)"),5.0)</f>
        <v>5</v>
      </c>
      <c r="L41" s="3" t="str">
        <f>IFERROR(__xludf.DUMMYFUNCTION("REGEXEXTRACT(G41,"" [^ ]* [^ ]* "")")," muted violet ")</f>
        <v> muted violet </v>
      </c>
      <c r="M41" s="3">
        <f>IFERROR(__xludf.DUMMYFUNCTION("INDEX(SPLIT(H41,"" ""),1)"),2.0)</f>
        <v>2</v>
      </c>
      <c r="N41" s="3" t="str">
        <f>IFERROR(__xludf.DUMMYFUNCTION("MID(REGEXEXTRACT(H41,"" [^ ]* [^ ]*""),2,300)"),"vibrant blue")</f>
        <v>vibrant blue</v>
      </c>
      <c r="O41" s="3">
        <f>IFERROR(__xludf.DUMMYFUNCTION("INDEX(SPLIT(I41,"" ""),1)"),4.0)</f>
        <v>4</v>
      </c>
      <c r="P41" s="3" t="str">
        <f>IFERROR(__xludf.DUMMYFUNCTION("MID(REGEXEXTRACT(I41,"" [^ ]* [^ ]*""),2,300)"),"pale olive")</f>
        <v>pale olive</v>
      </c>
      <c r="Q41" s="3" t="str">
        <f>IFERROR(__xludf.DUMMYFUNCTION("INDEX(SPLIT(J41,"" ""),1)"),"#REF!")</f>
        <v>#REF!</v>
      </c>
      <c r="R41" s="3" t="str">
        <f>IFERROR(__xludf.DUMMYFUNCTION("MID(REGEXEXTRACT(J41,"" [^ ]* [^ ]*""),2,300)"),"#REF!")</f>
        <v>#REF!</v>
      </c>
      <c r="S41" s="3">
        <f t="shared" si="2"/>
        <v>5</v>
      </c>
      <c r="T41" s="3" t="str">
        <f t="shared" si="3"/>
        <v>muted violet</v>
      </c>
      <c r="U41" s="3">
        <f t="shared" si="4"/>
        <v>2</v>
      </c>
      <c r="V41" s="3" t="str">
        <f t="shared" si="5"/>
        <v>vibrant blue</v>
      </c>
      <c r="W41" s="3">
        <f t="shared" si="6"/>
        <v>4</v>
      </c>
      <c r="X41" s="3" t="str">
        <f t="shared" si="7"/>
        <v>pale olive</v>
      </c>
      <c r="Y41" s="3" t="str">
        <f t="shared" si="8"/>
        <v/>
      </c>
      <c r="Z41" s="3" t="str">
        <f t="shared" si="9"/>
        <v/>
      </c>
      <c r="AA41" s="13">
        <f t="shared" si="10"/>
        <v>4335</v>
      </c>
      <c r="AB41" s="3">
        <f t="shared" si="11"/>
        <v>4334</v>
      </c>
      <c r="AC41" s="3">
        <f t="shared" si="12"/>
        <v>5</v>
      </c>
      <c r="AD41" s="3">
        <f t="shared" si="13"/>
        <v>4</v>
      </c>
      <c r="AE41" s="3">
        <f t="shared" si="14"/>
        <v>2</v>
      </c>
      <c r="AF41" s="3">
        <f t="shared" si="15"/>
        <v>1545</v>
      </c>
      <c r="AG41" s="3">
        <f t="shared" si="16"/>
        <v>4</v>
      </c>
      <c r="AH41" s="3">
        <f t="shared" si="17"/>
        <v>306</v>
      </c>
      <c r="AI41" s="3" t="str">
        <f t="shared" si="18"/>
        <v/>
      </c>
      <c r="AJ41" s="3">
        <f t="shared" si="19"/>
        <v>0</v>
      </c>
    </row>
    <row r="42">
      <c r="C42" s="6" t="s">
        <v>42</v>
      </c>
      <c r="D42" s="3">
        <f t="shared" si="1"/>
        <v>2</v>
      </c>
      <c r="E42" s="3" t="str">
        <f>IFERROR(__xludf.DUMMYFUNCTION("REGEXEXTRACT(C42,""[^ ]* [^ ]*"")"),"mirrored beige")</f>
        <v>mirrored beige</v>
      </c>
      <c r="F42" s="3" t="str">
        <f>IFERROR(__xludf.DUMMYFUNCTION("MID(REGEXEXTRACT(C42,""contain.*$""),9,300)"),"1 plaid gray bag, 2 mirrored lime bags, 3 dark brown bags.")</f>
        <v>1 plaid gray bag, 2 mirrored lime bags, 3 dark brown bags.</v>
      </c>
      <c r="G42" s="3" t="str">
        <f>IFERROR(__xludf.DUMMYFUNCTION("INDEX(SPLIT($F42,"",""),COLUMN()-6)"),"1 plaid gray bag")</f>
        <v>1 plaid gray bag</v>
      </c>
      <c r="H42" s="3" t="str">
        <f>IFERROR(__xludf.DUMMYFUNCTION("MID(INDEX(SPLIT($F42,"",""),COLUMN()-6),2,300)"),"2 mirrored lime bags")</f>
        <v>2 mirrored lime bags</v>
      </c>
      <c r="I42" s="3" t="str">
        <f>IFERROR(__xludf.DUMMYFUNCTION("MID(INDEX(SPLIT($F42,"",""),COLUMN()-6),2,300)"),"3 dark brown bags.")</f>
        <v>3 dark brown bags.</v>
      </c>
      <c r="J42" s="3" t="str">
        <f>IFERROR(__xludf.DUMMYFUNCTION("MID(INDEX(SPLIT($F42,"",""),COLUMN()-6),2,300)"),"#REF!")</f>
        <v>#REF!</v>
      </c>
      <c r="K42" s="3">
        <f>IFERROR(__xludf.DUMMYFUNCTION("INDEX(SPLIT(G42,"" ""),1)"),1.0)</f>
        <v>1</v>
      </c>
      <c r="L42" s="3" t="str">
        <f>IFERROR(__xludf.DUMMYFUNCTION("REGEXEXTRACT(G42,"" [^ ]* [^ ]* "")")," plaid gray ")</f>
        <v> plaid gray </v>
      </c>
      <c r="M42" s="3">
        <f>IFERROR(__xludf.DUMMYFUNCTION("INDEX(SPLIT(H42,"" ""),1)"),2.0)</f>
        <v>2</v>
      </c>
      <c r="N42" s="3" t="str">
        <f>IFERROR(__xludf.DUMMYFUNCTION("MID(REGEXEXTRACT(H42,"" [^ ]* [^ ]*""),2,300)"),"mirrored lime")</f>
        <v>mirrored lime</v>
      </c>
      <c r="O42" s="3">
        <f>IFERROR(__xludf.DUMMYFUNCTION("INDEX(SPLIT(I42,"" ""),1)"),3.0)</f>
        <v>3</v>
      </c>
      <c r="P42" s="3" t="str">
        <f>IFERROR(__xludf.DUMMYFUNCTION("MID(REGEXEXTRACT(I42,"" [^ ]* [^ ]*""),2,300)"),"dark brown")</f>
        <v>dark brown</v>
      </c>
      <c r="Q42" s="3" t="str">
        <f>IFERROR(__xludf.DUMMYFUNCTION("INDEX(SPLIT(J42,"" ""),1)"),"#REF!")</f>
        <v>#REF!</v>
      </c>
      <c r="R42" s="3" t="str">
        <f>IFERROR(__xludf.DUMMYFUNCTION("MID(REGEXEXTRACT(J42,"" [^ ]* [^ ]*""),2,300)"),"#REF!")</f>
        <v>#REF!</v>
      </c>
      <c r="S42" s="3">
        <f t="shared" si="2"/>
        <v>1</v>
      </c>
      <c r="T42" s="3" t="str">
        <f t="shared" si="3"/>
        <v>plaid gray</v>
      </c>
      <c r="U42" s="3">
        <f t="shared" si="4"/>
        <v>2</v>
      </c>
      <c r="V42" s="3" t="str">
        <f t="shared" si="5"/>
        <v>mirrored lime</v>
      </c>
      <c r="W42" s="3">
        <f t="shared" si="6"/>
        <v>3</v>
      </c>
      <c r="X42" s="3" t="str">
        <f t="shared" si="7"/>
        <v>dark brown</v>
      </c>
      <c r="Y42" s="3" t="str">
        <f t="shared" si="8"/>
        <v/>
      </c>
      <c r="Z42" s="3" t="str">
        <f t="shared" si="9"/>
        <v/>
      </c>
      <c r="AA42" s="13">
        <f t="shared" si="10"/>
        <v>598224</v>
      </c>
      <c r="AB42" s="3">
        <f t="shared" si="11"/>
        <v>598223</v>
      </c>
      <c r="AC42" s="3">
        <f t="shared" si="12"/>
        <v>1</v>
      </c>
      <c r="AD42" s="3">
        <f t="shared" si="13"/>
        <v>54</v>
      </c>
      <c r="AE42" s="3">
        <f t="shared" si="14"/>
        <v>2</v>
      </c>
      <c r="AF42" s="3">
        <f t="shared" si="15"/>
        <v>97231</v>
      </c>
      <c r="AG42" s="3">
        <f t="shared" si="16"/>
        <v>3</v>
      </c>
      <c r="AH42" s="3">
        <f t="shared" si="17"/>
        <v>134569</v>
      </c>
      <c r="AI42" s="3" t="str">
        <f t="shared" si="18"/>
        <v/>
      </c>
      <c r="AJ42" s="3">
        <f t="shared" si="19"/>
        <v>0</v>
      </c>
    </row>
    <row r="43">
      <c r="C43" s="6" t="s">
        <v>43</v>
      </c>
      <c r="D43" s="3">
        <f t="shared" si="1"/>
        <v>0</v>
      </c>
      <c r="E43" s="3" t="str">
        <f>IFERROR(__xludf.DUMMYFUNCTION("REGEXEXTRACT(C43,""[^ ]* [^ ]*"")"),"vibrant olive")</f>
        <v>vibrant olive</v>
      </c>
      <c r="F43" s="3" t="str">
        <f>IFERROR(__xludf.DUMMYFUNCTION("MID(REGEXEXTRACT(C43,""contain.*$""),9,300)"),"5 shiny indigo bags.")</f>
        <v>5 shiny indigo bags.</v>
      </c>
      <c r="G43" s="3" t="str">
        <f>IFERROR(__xludf.DUMMYFUNCTION("INDEX(SPLIT($F43,"",""),COLUMN()-6)"),"5 shiny indigo bags.")</f>
        <v>5 shiny indigo bags.</v>
      </c>
      <c r="H43" s="3" t="str">
        <f>IFERROR(__xludf.DUMMYFUNCTION("MID(INDEX(SPLIT($F43,"",""),COLUMN()-6),2,300)"),"#REF!")</f>
        <v>#REF!</v>
      </c>
      <c r="I43" s="3" t="str">
        <f>IFERROR(__xludf.DUMMYFUNCTION("MID(INDEX(SPLIT($F43,"",""),COLUMN()-6),2,300)"),"#REF!")</f>
        <v>#REF!</v>
      </c>
      <c r="J43" s="3" t="str">
        <f>IFERROR(__xludf.DUMMYFUNCTION("MID(INDEX(SPLIT($F43,"",""),COLUMN()-6),2,300)"),"#REF!")</f>
        <v>#REF!</v>
      </c>
      <c r="K43" s="3">
        <f>IFERROR(__xludf.DUMMYFUNCTION("INDEX(SPLIT(G43,"" ""),1)"),5.0)</f>
        <v>5</v>
      </c>
      <c r="L43" s="3" t="str">
        <f>IFERROR(__xludf.DUMMYFUNCTION("REGEXEXTRACT(G43,"" [^ ]* [^ ]* "")")," shiny indigo ")</f>
        <v> shiny indigo </v>
      </c>
      <c r="M43" s="3" t="str">
        <f>IFERROR(__xludf.DUMMYFUNCTION("INDEX(SPLIT(H43,"" ""),1)"),"#REF!")</f>
        <v>#REF!</v>
      </c>
      <c r="N43" s="3" t="str">
        <f>IFERROR(__xludf.DUMMYFUNCTION("MID(REGEXEXTRACT(H43,"" [^ ]* [^ ]*""),2,300)"),"#REF!")</f>
        <v>#REF!</v>
      </c>
      <c r="O43" s="3" t="str">
        <f>IFERROR(__xludf.DUMMYFUNCTION("INDEX(SPLIT(I43,"" ""),1)"),"#REF!")</f>
        <v>#REF!</v>
      </c>
      <c r="P43" s="3" t="str">
        <f>IFERROR(__xludf.DUMMYFUNCTION("MID(REGEXEXTRACT(I43,"" [^ ]* [^ ]*""),2,300)"),"#REF!")</f>
        <v>#REF!</v>
      </c>
      <c r="Q43" s="3" t="str">
        <f>IFERROR(__xludf.DUMMYFUNCTION("INDEX(SPLIT(J43,"" ""),1)"),"#REF!")</f>
        <v>#REF!</v>
      </c>
      <c r="R43" s="3" t="str">
        <f>IFERROR(__xludf.DUMMYFUNCTION("MID(REGEXEXTRACT(J43,"" [^ ]* [^ ]*""),2,300)"),"#REF!")</f>
        <v>#REF!</v>
      </c>
      <c r="S43" s="3">
        <f t="shared" si="2"/>
        <v>5</v>
      </c>
      <c r="T43" s="3" t="str">
        <f t="shared" si="3"/>
        <v>shiny indigo</v>
      </c>
      <c r="U43" s="3" t="str">
        <f t="shared" si="4"/>
        <v/>
      </c>
      <c r="V43" s="3" t="str">
        <f t="shared" si="5"/>
        <v/>
      </c>
      <c r="W43" s="3" t="str">
        <f t="shared" si="6"/>
        <v/>
      </c>
      <c r="X43" s="3" t="str">
        <f t="shared" si="7"/>
        <v/>
      </c>
      <c r="Y43" s="3" t="str">
        <f t="shared" si="8"/>
        <v/>
      </c>
      <c r="Z43" s="3" t="str">
        <f t="shared" si="9"/>
        <v/>
      </c>
      <c r="AA43" s="13">
        <f t="shared" si="10"/>
        <v>3772681</v>
      </c>
      <c r="AB43" s="3">
        <f t="shared" si="11"/>
        <v>3772680</v>
      </c>
      <c r="AC43" s="3">
        <f t="shared" si="12"/>
        <v>5</v>
      </c>
      <c r="AD43" s="3">
        <f t="shared" si="13"/>
        <v>754536</v>
      </c>
      <c r="AE43" s="3" t="str">
        <f t="shared" si="14"/>
        <v/>
      </c>
      <c r="AF43" s="3">
        <f t="shared" si="15"/>
        <v>0</v>
      </c>
      <c r="AG43" s="3" t="str">
        <f t="shared" si="16"/>
        <v/>
      </c>
      <c r="AH43" s="3">
        <f t="shared" si="17"/>
        <v>0</v>
      </c>
      <c r="AI43" s="3" t="str">
        <f t="shared" si="18"/>
        <v/>
      </c>
      <c r="AJ43" s="3">
        <f t="shared" si="19"/>
        <v>0</v>
      </c>
    </row>
    <row r="44">
      <c r="C44" s="6" t="s">
        <v>44</v>
      </c>
      <c r="D44" s="3">
        <f t="shared" si="1"/>
        <v>0</v>
      </c>
      <c r="E44" s="3" t="str">
        <f>IFERROR(__xludf.DUMMYFUNCTION("REGEXEXTRACT(C44,""[^ ]* [^ ]*"")"),"drab green")</f>
        <v>drab green</v>
      </c>
      <c r="F44" s="3" t="str">
        <f>IFERROR(__xludf.DUMMYFUNCTION("MID(REGEXEXTRACT(C44,""contain.*$""),9,300)"),"1 muted violet bag.")</f>
        <v>1 muted violet bag.</v>
      </c>
      <c r="G44" s="3" t="str">
        <f>IFERROR(__xludf.DUMMYFUNCTION("INDEX(SPLIT($F44,"",""),COLUMN()-6)"),"1 muted violet bag.")</f>
        <v>1 muted violet bag.</v>
      </c>
      <c r="H44" s="3" t="str">
        <f>IFERROR(__xludf.DUMMYFUNCTION("MID(INDEX(SPLIT($F44,"",""),COLUMN()-6),2,300)"),"#REF!")</f>
        <v>#REF!</v>
      </c>
      <c r="I44" s="3" t="str">
        <f>IFERROR(__xludf.DUMMYFUNCTION("MID(INDEX(SPLIT($F44,"",""),COLUMN()-6),2,300)"),"#REF!")</f>
        <v>#REF!</v>
      </c>
      <c r="J44" s="3" t="str">
        <f>IFERROR(__xludf.DUMMYFUNCTION("MID(INDEX(SPLIT($F44,"",""),COLUMN()-6),2,300)"),"#REF!")</f>
        <v>#REF!</v>
      </c>
      <c r="K44" s="3">
        <f>IFERROR(__xludf.DUMMYFUNCTION("INDEX(SPLIT(G44,"" ""),1)"),1.0)</f>
        <v>1</v>
      </c>
      <c r="L44" s="3" t="str">
        <f>IFERROR(__xludf.DUMMYFUNCTION("REGEXEXTRACT(G44,"" [^ ]* [^ ]* "")")," muted violet ")</f>
        <v> muted violet </v>
      </c>
      <c r="M44" s="3" t="str">
        <f>IFERROR(__xludf.DUMMYFUNCTION("INDEX(SPLIT(H44,"" ""),1)"),"#REF!")</f>
        <v>#REF!</v>
      </c>
      <c r="N44" s="3" t="str">
        <f>IFERROR(__xludf.DUMMYFUNCTION("MID(REGEXEXTRACT(H44,"" [^ ]* [^ ]*""),2,300)"),"#REF!")</f>
        <v>#REF!</v>
      </c>
      <c r="O44" s="3" t="str">
        <f>IFERROR(__xludf.DUMMYFUNCTION("INDEX(SPLIT(I44,"" ""),1)"),"#REF!")</f>
        <v>#REF!</v>
      </c>
      <c r="P44" s="3" t="str">
        <f>IFERROR(__xludf.DUMMYFUNCTION("MID(REGEXEXTRACT(I44,"" [^ ]* [^ ]*""),2,300)"),"#REF!")</f>
        <v>#REF!</v>
      </c>
      <c r="Q44" s="3" t="str">
        <f>IFERROR(__xludf.DUMMYFUNCTION("INDEX(SPLIT(J44,"" ""),1)"),"#REF!")</f>
        <v>#REF!</v>
      </c>
      <c r="R44" s="3" t="str">
        <f>IFERROR(__xludf.DUMMYFUNCTION("MID(REGEXEXTRACT(J44,"" [^ ]* [^ ]*""),2,300)"),"#REF!")</f>
        <v>#REF!</v>
      </c>
      <c r="S44" s="3">
        <f t="shared" si="2"/>
        <v>1</v>
      </c>
      <c r="T44" s="3" t="str">
        <f t="shared" si="3"/>
        <v>muted violet</v>
      </c>
      <c r="U44" s="3" t="str">
        <f t="shared" si="4"/>
        <v/>
      </c>
      <c r="V44" s="3" t="str">
        <f t="shared" si="5"/>
        <v/>
      </c>
      <c r="W44" s="3" t="str">
        <f t="shared" si="6"/>
        <v/>
      </c>
      <c r="X44" s="3" t="str">
        <f t="shared" si="7"/>
        <v/>
      </c>
      <c r="Y44" s="3" t="str">
        <f t="shared" si="8"/>
        <v/>
      </c>
      <c r="Z44" s="3" t="str">
        <f t="shared" si="9"/>
        <v/>
      </c>
      <c r="AA44" s="13">
        <f t="shared" si="10"/>
        <v>5</v>
      </c>
      <c r="AB44" s="3">
        <f t="shared" si="11"/>
        <v>4</v>
      </c>
      <c r="AC44" s="3">
        <f t="shared" si="12"/>
        <v>1</v>
      </c>
      <c r="AD44" s="3">
        <f t="shared" si="13"/>
        <v>4</v>
      </c>
      <c r="AE44" s="3" t="str">
        <f t="shared" si="14"/>
        <v/>
      </c>
      <c r="AF44" s="3">
        <f t="shared" si="15"/>
        <v>0</v>
      </c>
      <c r="AG44" s="3" t="str">
        <f t="shared" si="16"/>
        <v/>
      </c>
      <c r="AH44" s="3">
        <f t="shared" si="17"/>
        <v>0</v>
      </c>
      <c r="AI44" s="3" t="str">
        <f t="shared" si="18"/>
        <v/>
      </c>
      <c r="AJ44" s="3">
        <f t="shared" si="19"/>
        <v>0</v>
      </c>
    </row>
    <row r="45">
      <c r="C45" s="6" t="s">
        <v>45</v>
      </c>
      <c r="D45" s="3">
        <f t="shared" si="1"/>
        <v>3</v>
      </c>
      <c r="E45" s="3" t="str">
        <f>IFERROR(__xludf.DUMMYFUNCTION("REGEXEXTRACT(C45,""[^ ]* [^ ]*"")"),"faded turquoise")</f>
        <v>faded turquoise</v>
      </c>
      <c r="F45" s="3" t="str">
        <f>IFERROR(__xludf.DUMMYFUNCTION("MID(REGEXEXTRACT(C45,""contain.*$""),9,300)"),"2 striped brown bags, 3 vibrant white bags, 1 dull lavender bag, 5 bright olive bags.")</f>
        <v>2 striped brown bags, 3 vibrant white bags, 1 dull lavender bag, 5 bright olive bags.</v>
      </c>
      <c r="G45" s="3" t="str">
        <f>IFERROR(__xludf.DUMMYFUNCTION("INDEX(SPLIT($F45,"",""),COLUMN()-6)"),"2 striped brown bags")</f>
        <v>2 striped brown bags</v>
      </c>
      <c r="H45" s="3" t="str">
        <f>IFERROR(__xludf.DUMMYFUNCTION("MID(INDEX(SPLIT($F45,"",""),COLUMN()-6),2,300)"),"3 vibrant white bags")</f>
        <v>3 vibrant white bags</v>
      </c>
      <c r="I45" s="3" t="str">
        <f>IFERROR(__xludf.DUMMYFUNCTION("MID(INDEX(SPLIT($F45,"",""),COLUMN()-6),2,300)"),"1 dull lavender bag")</f>
        <v>1 dull lavender bag</v>
      </c>
      <c r="J45" s="3" t="str">
        <f>IFERROR(__xludf.DUMMYFUNCTION("MID(INDEX(SPLIT($F45,"",""),COLUMN()-6),2,300)"),"5 bright olive bags.")</f>
        <v>5 bright olive bags.</v>
      </c>
      <c r="K45" s="3">
        <f>IFERROR(__xludf.DUMMYFUNCTION("INDEX(SPLIT(G45,"" ""),1)"),2.0)</f>
        <v>2</v>
      </c>
      <c r="L45" s="3" t="str">
        <f>IFERROR(__xludf.DUMMYFUNCTION("REGEXEXTRACT(G45,"" [^ ]* [^ ]* "")")," striped brown ")</f>
        <v> striped brown </v>
      </c>
      <c r="M45" s="3">
        <f>IFERROR(__xludf.DUMMYFUNCTION("INDEX(SPLIT(H45,"" ""),1)"),3.0)</f>
        <v>3</v>
      </c>
      <c r="N45" s="3" t="str">
        <f>IFERROR(__xludf.DUMMYFUNCTION("MID(REGEXEXTRACT(H45,"" [^ ]* [^ ]*""),2,300)"),"vibrant white")</f>
        <v>vibrant white</v>
      </c>
      <c r="O45" s="3">
        <f>IFERROR(__xludf.DUMMYFUNCTION("INDEX(SPLIT(I45,"" ""),1)"),1.0)</f>
        <v>1</v>
      </c>
      <c r="P45" s="3" t="str">
        <f>IFERROR(__xludf.DUMMYFUNCTION("MID(REGEXEXTRACT(I45,"" [^ ]* [^ ]*""),2,300)"),"dull lavender")</f>
        <v>dull lavender</v>
      </c>
      <c r="Q45" s="3">
        <f>IFERROR(__xludf.DUMMYFUNCTION("INDEX(SPLIT(J45,"" ""),1)"),5.0)</f>
        <v>5</v>
      </c>
      <c r="R45" s="3" t="str">
        <f>IFERROR(__xludf.DUMMYFUNCTION("MID(REGEXEXTRACT(J45,"" [^ ]* [^ ]*""),2,300)"),"bright olive")</f>
        <v>bright olive</v>
      </c>
      <c r="S45" s="3">
        <f t="shared" si="2"/>
        <v>2</v>
      </c>
      <c r="T45" s="3" t="str">
        <f t="shared" si="3"/>
        <v>striped brown</v>
      </c>
      <c r="U45" s="3">
        <f t="shared" si="4"/>
        <v>3</v>
      </c>
      <c r="V45" s="3" t="str">
        <f t="shared" si="5"/>
        <v>vibrant white</v>
      </c>
      <c r="W45" s="3">
        <f t="shared" si="6"/>
        <v>1</v>
      </c>
      <c r="X45" s="3" t="str">
        <f t="shared" si="7"/>
        <v>dull lavender</v>
      </c>
      <c r="Y45" s="3">
        <f t="shared" si="8"/>
        <v>5</v>
      </c>
      <c r="Z45" s="3" t="str">
        <f t="shared" si="9"/>
        <v>bright olive</v>
      </c>
      <c r="AA45" s="13">
        <f t="shared" si="10"/>
        <v>349023494</v>
      </c>
      <c r="AB45" s="3">
        <f t="shared" si="11"/>
        <v>349023493</v>
      </c>
      <c r="AC45" s="3">
        <f t="shared" si="12"/>
        <v>2</v>
      </c>
      <c r="AD45" s="3">
        <f t="shared" si="13"/>
        <v>156980933</v>
      </c>
      <c r="AE45" s="3">
        <f t="shared" si="14"/>
        <v>3</v>
      </c>
      <c r="AF45" s="3">
        <f t="shared" si="15"/>
        <v>1249859</v>
      </c>
      <c r="AG45" s="3">
        <f t="shared" si="16"/>
        <v>1</v>
      </c>
      <c r="AH45" s="3">
        <f t="shared" si="17"/>
        <v>17050595</v>
      </c>
      <c r="AI45" s="3">
        <f t="shared" si="18"/>
        <v>5</v>
      </c>
      <c r="AJ45" s="3">
        <f t="shared" si="19"/>
        <v>2852291</v>
      </c>
    </row>
    <row r="46">
      <c r="C46" s="6" t="s">
        <v>46</v>
      </c>
      <c r="D46" s="3">
        <f t="shared" si="1"/>
        <v>0</v>
      </c>
      <c r="E46" s="3" t="str">
        <f>IFERROR(__xludf.DUMMYFUNCTION("REGEXEXTRACT(C46,""[^ ]* [^ ]*"")"),"shiny maroon")</f>
        <v>shiny maroon</v>
      </c>
      <c r="F46" s="3" t="str">
        <f>IFERROR(__xludf.DUMMYFUNCTION("MID(REGEXEXTRACT(C46,""contain.*$""),9,300)"),"1 dim bronze bag.")</f>
        <v>1 dim bronze bag.</v>
      </c>
      <c r="G46" s="3" t="str">
        <f>IFERROR(__xludf.DUMMYFUNCTION("INDEX(SPLIT($F46,"",""),COLUMN()-6)"),"1 dim bronze bag.")</f>
        <v>1 dim bronze bag.</v>
      </c>
      <c r="H46" s="3" t="str">
        <f>IFERROR(__xludf.DUMMYFUNCTION("MID(INDEX(SPLIT($F46,"",""),COLUMN()-6),2,300)"),"#REF!")</f>
        <v>#REF!</v>
      </c>
      <c r="I46" s="3" t="str">
        <f>IFERROR(__xludf.DUMMYFUNCTION("MID(INDEX(SPLIT($F46,"",""),COLUMN()-6),2,300)"),"#REF!")</f>
        <v>#REF!</v>
      </c>
      <c r="J46" s="3" t="str">
        <f>IFERROR(__xludf.DUMMYFUNCTION("MID(INDEX(SPLIT($F46,"",""),COLUMN()-6),2,300)"),"#REF!")</f>
        <v>#REF!</v>
      </c>
      <c r="K46" s="3">
        <f>IFERROR(__xludf.DUMMYFUNCTION("INDEX(SPLIT(G46,"" ""),1)"),1.0)</f>
        <v>1</v>
      </c>
      <c r="L46" s="3" t="str">
        <f>IFERROR(__xludf.DUMMYFUNCTION("REGEXEXTRACT(G46,"" [^ ]* [^ ]* "")")," dim bronze ")</f>
        <v> dim bronze </v>
      </c>
      <c r="M46" s="3" t="str">
        <f>IFERROR(__xludf.DUMMYFUNCTION("INDEX(SPLIT(H46,"" ""),1)"),"#REF!")</f>
        <v>#REF!</v>
      </c>
      <c r="N46" s="3" t="str">
        <f>IFERROR(__xludf.DUMMYFUNCTION("MID(REGEXEXTRACT(H46,"" [^ ]* [^ ]*""),2,300)"),"#REF!")</f>
        <v>#REF!</v>
      </c>
      <c r="O46" s="3" t="str">
        <f>IFERROR(__xludf.DUMMYFUNCTION("INDEX(SPLIT(I46,"" ""),1)"),"#REF!")</f>
        <v>#REF!</v>
      </c>
      <c r="P46" s="3" t="str">
        <f>IFERROR(__xludf.DUMMYFUNCTION("MID(REGEXEXTRACT(I46,"" [^ ]* [^ ]*""),2,300)"),"#REF!")</f>
        <v>#REF!</v>
      </c>
      <c r="Q46" s="3" t="str">
        <f>IFERROR(__xludf.DUMMYFUNCTION("INDEX(SPLIT(J46,"" ""),1)"),"#REF!")</f>
        <v>#REF!</v>
      </c>
      <c r="R46" s="3" t="str">
        <f>IFERROR(__xludf.DUMMYFUNCTION("MID(REGEXEXTRACT(J46,"" [^ ]* [^ ]*""),2,300)"),"#REF!")</f>
        <v>#REF!</v>
      </c>
      <c r="S46" s="3">
        <f t="shared" si="2"/>
        <v>1</v>
      </c>
      <c r="T46" s="3" t="str">
        <f t="shared" si="3"/>
        <v>dim bronze</v>
      </c>
      <c r="U46" s="3" t="str">
        <f t="shared" si="4"/>
        <v/>
      </c>
      <c r="V46" s="3" t="str">
        <f t="shared" si="5"/>
        <v/>
      </c>
      <c r="W46" s="3" t="str">
        <f t="shared" si="6"/>
        <v/>
      </c>
      <c r="X46" s="3" t="str">
        <f t="shared" si="7"/>
        <v/>
      </c>
      <c r="Y46" s="3" t="str">
        <f t="shared" si="8"/>
        <v/>
      </c>
      <c r="Z46" s="3" t="str">
        <f t="shared" si="9"/>
        <v/>
      </c>
      <c r="AA46" s="13">
        <f t="shared" si="10"/>
        <v>557022</v>
      </c>
      <c r="AB46" s="3">
        <f t="shared" si="11"/>
        <v>557021</v>
      </c>
      <c r="AC46" s="3">
        <f t="shared" si="12"/>
        <v>1</v>
      </c>
      <c r="AD46" s="3">
        <f t="shared" si="13"/>
        <v>557021</v>
      </c>
      <c r="AE46" s="3" t="str">
        <f t="shared" si="14"/>
        <v/>
      </c>
      <c r="AF46" s="3">
        <f t="shared" si="15"/>
        <v>0</v>
      </c>
      <c r="AG46" s="3" t="str">
        <f t="shared" si="16"/>
        <v/>
      </c>
      <c r="AH46" s="3">
        <f t="shared" si="17"/>
        <v>0</v>
      </c>
      <c r="AI46" s="3" t="str">
        <f t="shared" si="18"/>
        <v/>
      </c>
      <c r="AJ46" s="3">
        <f t="shared" si="19"/>
        <v>0</v>
      </c>
    </row>
    <row r="47">
      <c r="C47" s="6" t="s">
        <v>47</v>
      </c>
      <c r="D47" s="3">
        <f t="shared" si="1"/>
        <v>3</v>
      </c>
      <c r="E47" s="3" t="str">
        <f>IFERROR(__xludf.DUMMYFUNCTION("REGEXEXTRACT(C47,""[^ ]* [^ ]*"")"),"dull white")</f>
        <v>dull white</v>
      </c>
      <c r="F47" s="3" t="str">
        <f>IFERROR(__xludf.DUMMYFUNCTION("MID(REGEXEXTRACT(C47,""contain.*$""),9,300)"),"1 muted salmon bag, 4 dim olive bags, 5 drab white bags, 1 dotted teal bag.")</f>
        <v>1 muted salmon bag, 4 dim olive bags, 5 drab white bags, 1 dotted teal bag.</v>
      </c>
      <c r="G47" s="3" t="str">
        <f>IFERROR(__xludf.DUMMYFUNCTION("INDEX(SPLIT($F47,"",""),COLUMN()-6)"),"1 muted salmon bag")</f>
        <v>1 muted salmon bag</v>
      </c>
      <c r="H47" s="3" t="str">
        <f>IFERROR(__xludf.DUMMYFUNCTION("MID(INDEX(SPLIT($F47,"",""),COLUMN()-6),2,300)"),"4 dim olive bags")</f>
        <v>4 dim olive bags</v>
      </c>
      <c r="I47" s="3" t="str">
        <f>IFERROR(__xludf.DUMMYFUNCTION("MID(INDEX(SPLIT($F47,"",""),COLUMN()-6),2,300)"),"5 drab white bags")</f>
        <v>5 drab white bags</v>
      </c>
      <c r="J47" s="3" t="str">
        <f>IFERROR(__xludf.DUMMYFUNCTION("MID(INDEX(SPLIT($F47,"",""),COLUMN()-6),2,300)"),"1 dotted teal bag.")</f>
        <v>1 dotted teal bag.</v>
      </c>
      <c r="K47" s="3">
        <f>IFERROR(__xludf.DUMMYFUNCTION("INDEX(SPLIT(G47,"" ""),1)"),1.0)</f>
        <v>1</v>
      </c>
      <c r="L47" s="3" t="str">
        <f>IFERROR(__xludf.DUMMYFUNCTION("REGEXEXTRACT(G47,"" [^ ]* [^ ]* "")")," muted salmon ")</f>
        <v> muted salmon </v>
      </c>
      <c r="M47" s="3">
        <f>IFERROR(__xludf.DUMMYFUNCTION("INDEX(SPLIT(H47,"" ""),1)"),4.0)</f>
        <v>4</v>
      </c>
      <c r="N47" s="3" t="str">
        <f>IFERROR(__xludf.DUMMYFUNCTION("MID(REGEXEXTRACT(H47,"" [^ ]* [^ ]*""),2,300)"),"dim olive")</f>
        <v>dim olive</v>
      </c>
      <c r="O47" s="3">
        <f>IFERROR(__xludf.DUMMYFUNCTION("INDEX(SPLIT(I47,"" ""),1)"),5.0)</f>
        <v>5</v>
      </c>
      <c r="P47" s="3" t="str">
        <f>IFERROR(__xludf.DUMMYFUNCTION("MID(REGEXEXTRACT(I47,"" [^ ]* [^ ]*""),2,300)"),"drab white")</f>
        <v>drab white</v>
      </c>
      <c r="Q47" s="3">
        <f>IFERROR(__xludf.DUMMYFUNCTION("INDEX(SPLIT(J47,"" ""),1)"),1.0)</f>
        <v>1</v>
      </c>
      <c r="R47" s="3" t="str">
        <f>IFERROR(__xludf.DUMMYFUNCTION("MID(REGEXEXTRACT(J47,"" [^ ]* [^ ]*""),2,300)"),"dotted teal")</f>
        <v>dotted teal</v>
      </c>
      <c r="S47" s="3">
        <f t="shared" si="2"/>
        <v>1</v>
      </c>
      <c r="T47" s="3" t="str">
        <f t="shared" si="3"/>
        <v>muted salmon</v>
      </c>
      <c r="U47" s="3">
        <f t="shared" si="4"/>
        <v>4</v>
      </c>
      <c r="V47" s="3" t="str">
        <f t="shared" si="5"/>
        <v>dim olive</v>
      </c>
      <c r="W47" s="3">
        <f t="shared" si="6"/>
        <v>5</v>
      </c>
      <c r="X47" s="3" t="str">
        <f t="shared" si="7"/>
        <v>drab white</v>
      </c>
      <c r="Y47" s="3">
        <f t="shared" si="8"/>
        <v>1</v>
      </c>
      <c r="Z47" s="3" t="str">
        <f t="shared" si="9"/>
        <v>dotted teal</v>
      </c>
      <c r="AA47" s="13">
        <f t="shared" si="10"/>
        <v>797608672</v>
      </c>
      <c r="AB47" s="3">
        <f t="shared" si="11"/>
        <v>797608671</v>
      </c>
      <c r="AC47" s="3">
        <f t="shared" si="12"/>
        <v>1</v>
      </c>
      <c r="AD47" s="3">
        <f t="shared" si="13"/>
        <v>3012</v>
      </c>
      <c r="AE47" s="3">
        <f t="shared" si="14"/>
        <v>4</v>
      </c>
      <c r="AF47" s="3">
        <f t="shared" si="15"/>
        <v>1</v>
      </c>
      <c r="AG47" s="3">
        <f t="shared" si="16"/>
        <v>5</v>
      </c>
      <c r="AH47" s="3">
        <f t="shared" si="17"/>
        <v>14961</v>
      </c>
      <c r="AI47" s="3">
        <f t="shared" si="18"/>
        <v>1</v>
      </c>
      <c r="AJ47" s="3">
        <f t="shared" si="19"/>
        <v>797530850</v>
      </c>
    </row>
    <row r="48">
      <c r="C48" s="6" t="s">
        <v>48</v>
      </c>
      <c r="D48" s="3">
        <f t="shared" si="1"/>
        <v>0</v>
      </c>
      <c r="E48" s="3" t="str">
        <f>IFERROR(__xludf.DUMMYFUNCTION("REGEXEXTRACT(C48,""[^ ]* [^ ]*"")"),"dim white")</f>
        <v>dim white</v>
      </c>
      <c r="F48" s="3" t="str">
        <f>IFERROR(__xludf.DUMMYFUNCTION("MID(REGEXEXTRACT(C48,""contain.*$""),9,300)"),"3 mirrored lavender bags.")</f>
        <v>3 mirrored lavender bags.</v>
      </c>
      <c r="G48" s="3" t="str">
        <f>IFERROR(__xludf.DUMMYFUNCTION("INDEX(SPLIT($F48,"",""),COLUMN()-6)"),"3 mirrored lavender bags.")</f>
        <v>3 mirrored lavender bags.</v>
      </c>
      <c r="H48" s="3" t="str">
        <f>IFERROR(__xludf.DUMMYFUNCTION("MID(INDEX(SPLIT($F48,"",""),COLUMN()-6),2,300)"),"#REF!")</f>
        <v>#REF!</v>
      </c>
      <c r="I48" s="3" t="str">
        <f>IFERROR(__xludf.DUMMYFUNCTION("MID(INDEX(SPLIT($F48,"",""),COLUMN()-6),2,300)"),"#REF!")</f>
        <v>#REF!</v>
      </c>
      <c r="J48" s="3" t="str">
        <f>IFERROR(__xludf.DUMMYFUNCTION("MID(INDEX(SPLIT($F48,"",""),COLUMN()-6),2,300)"),"#REF!")</f>
        <v>#REF!</v>
      </c>
      <c r="K48" s="3">
        <f>IFERROR(__xludf.DUMMYFUNCTION("INDEX(SPLIT(G48,"" ""),1)"),3.0)</f>
        <v>3</v>
      </c>
      <c r="L48" s="3" t="str">
        <f>IFERROR(__xludf.DUMMYFUNCTION("REGEXEXTRACT(G48,"" [^ ]* [^ ]* "")")," mirrored lavender ")</f>
        <v> mirrored lavender </v>
      </c>
      <c r="M48" s="3" t="str">
        <f>IFERROR(__xludf.DUMMYFUNCTION("INDEX(SPLIT(H48,"" ""),1)"),"#REF!")</f>
        <v>#REF!</v>
      </c>
      <c r="N48" s="3" t="str">
        <f>IFERROR(__xludf.DUMMYFUNCTION("MID(REGEXEXTRACT(H48,"" [^ ]* [^ ]*""),2,300)"),"#REF!")</f>
        <v>#REF!</v>
      </c>
      <c r="O48" s="3" t="str">
        <f>IFERROR(__xludf.DUMMYFUNCTION("INDEX(SPLIT(I48,"" ""),1)"),"#REF!")</f>
        <v>#REF!</v>
      </c>
      <c r="P48" s="3" t="str">
        <f>IFERROR(__xludf.DUMMYFUNCTION("MID(REGEXEXTRACT(I48,"" [^ ]* [^ ]*""),2,300)"),"#REF!")</f>
        <v>#REF!</v>
      </c>
      <c r="Q48" s="3" t="str">
        <f>IFERROR(__xludf.DUMMYFUNCTION("INDEX(SPLIT(J48,"" ""),1)"),"#REF!")</f>
        <v>#REF!</v>
      </c>
      <c r="R48" s="3" t="str">
        <f>IFERROR(__xludf.DUMMYFUNCTION("MID(REGEXEXTRACT(J48,"" [^ ]* [^ ]*""),2,300)"),"#REF!")</f>
        <v>#REF!</v>
      </c>
      <c r="S48" s="3">
        <f t="shared" si="2"/>
        <v>3</v>
      </c>
      <c r="T48" s="3" t="str">
        <f t="shared" si="3"/>
        <v>mirrored lavender</v>
      </c>
      <c r="U48" s="3" t="str">
        <f t="shared" si="4"/>
        <v/>
      </c>
      <c r="V48" s="3" t="str">
        <f t="shared" si="5"/>
        <v/>
      </c>
      <c r="W48" s="3" t="str">
        <f t="shared" si="6"/>
        <v/>
      </c>
      <c r="X48" s="3" t="str">
        <f t="shared" si="7"/>
        <v/>
      </c>
      <c r="Y48" s="3" t="str">
        <f t="shared" si="8"/>
        <v/>
      </c>
      <c r="Z48" s="3" t="str">
        <f t="shared" si="9"/>
        <v/>
      </c>
      <c r="AA48" s="13">
        <f t="shared" si="10"/>
        <v>16690</v>
      </c>
      <c r="AB48" s="3">
        <f t="shared" si="11"/>
        <v>16689</v>
      </c>
      <c r="AC48" s="3">
        <f t="shared" si="12"/>
        <v>3</v>
      </c>
      <c r="AD48" s="3">
        <f t="shared" si="13"/>
        <v>5563</v>
      </c>
      <c r="AE48" s="3" t="str">
        <f t="shared" si="14"/>
        <v/>
      </c>
      <c r="AF48" s="3">
        <f t="shared" si="15"/>
        <v>0</v>
      </c>
      <c r="AG48" s="3" t="str">
        <f t="shared" si="16"/>
        <v/>
      </c>
      <c r="AH48" s="3">
        <f t="shared" si="17"/>
        <v>0</v>
      </c>
      <c r="AI48" s="3" t="str">
        <f t="shared" si="18"/>
        <v/>
      </c>
      <c r="AJ48" s="3">
        <f t="shared" si="19"/>
        <v>0</v>
      </c>
    </row>
    <row r="49">
      <c r="C49" s="6" t="s">
        <v>49</v>
      </c>
      <c r="D49" s="3">
        <f t="shared" si="1"/>
        <v>1</v>
      </c>
      <c r="E49" s="3" t="str">
        <f>IFERROR(__xludf.DUMMYFUNCTION("REGEXEXTRACT(C49,""[^ ]* [^ ]*"")"),"clear beige")</f>
        <v>clear beige</v>
      </c>
      <c r="F49" s="3" t="str">
        <f>IFERROR(__xludf.DUMMYFUNCTION("MID(REGEXEXTRACT(C49,""contain.*$""),9,300)"),"5 shiny cyan bags, 3 clear chartreuse bags.")</f>
        <v>5 shiny cyan bags, 3 clear chartreuse bags.</v>
      </c>
      <c r="G49" s="3" t="str">
        <f>IFERROR(__xludf.DUMMYFUNCTION("INDEX(SPLIT($F49,"",""),COLUMN()-6)"),"5 shiny cyan bags")</f>
        <v>5 shiny cyan bags</v>
      </c>
      <c r="H49" s="3" t="str">
        <f>IFERROR(__xludf.DUMMYFUNCTION("MID(INDEX(SPLIT($F49,"",""),COLUMN()-6),2,300)"),"3 clear chartreuse bags.")</f>
        <v>3 clear chartreuse bags.</v>
      </c>
      <c r="I49" s="3" t="str">
        <f>IFERROR(__xludf.DUMMYFUNCTION("MID(INDEX(SPLIT($F49,"",""),COLUMN()-6),2,300)"),"#REF!")</f>
        <v>#REF!</v>
      </c>
      <c r="J49" s="3" t="str">
        <f>IFERROR(__xludf.DUMMYFUNCTION("MID(INDEX(SPLIT($F49,"",""),COLUMN()-6),2,300)"),"#REF!")</f>
        <v>#REF!</v>
      </c>
      <c r="K49" s="3">
        <f>IFERROR(__xludf.DUMMYFUNCTION("INDEX(SPLIT(G49,"" ""),1)"),5.0)</f>
        <v>5</v>
      </c>
      <c r="L49" s="3" t="str">
        <f>IFERROR(__xludf.DUMMYFUNCTION("REGEXEXTRACT(G49,"" [^ ]* [^ ]* "")")," shiny cyan ")</f>
        <v> shiny cyan </v>
      </c>
      <c r="M49" s="3">
        <f>IFERROR(__xludf.DUMMYFUNCTION("INDEX(SPLIT(H49,"" ""),1)"),3.0)</f>
        <v>3</v>
      </c>
      <c r="N49" s="3" t="str">
        <f>IFERROR(__xludf.DUMMYFUNCTION("MID(REGEXEXTRACT(H49,"" [^ ]* [^ ]*""),2,300)"),"clear chartreuse")</f>
        <v>clear chartreuse</v>
      </c>
      <c r="O49" s="3" t="str">
        <f>IFERROR(__xludf.DUMMYFUNCTION("INDEX(SPLIT(I49,"" ""),1)"),"#REF!")</f>
        <v>#REF!</v>
      </c>
      <c r="P49" s="3" t="str">
        <f>IFERROR(__xludf.DUMMYFUNCTION("MID(REGEXEXTRACT(I49,"" [^ ]* [^ ]*""),2,300)"),"#REF!")</f>
        <v>#REF!</v>
      </c>
      <c r="Q49" s="3" t="str">
        <f>IFERROR(__xludf.DUMMYFUNCTION("INDEX(SPLIT(J49,"" ""),1)"),"#REF!")</f>
        <v>#REF!</v>
      </c>
      <c r="R49" s="3" t="str">
        <f>IFERROR(__xludf.DUMMYFUNCTION("MID(REGEXEXTRACT(J49,"" [^ ]* [^ ]*""),2,300)"),"#REF!")</f>
        <v>#REF!</v>
      </c>
      <c r="S49" s="3">
        <f t="shared" si="2"/>
        <v>5</v>
      </c>
      <c r="T49" s="3" t="str">
        <f t="shared" si="3"/>
        <v>shiny cyan</v>
      </c>
      <c r="U49" s="3">
        <f t="shared" si="4"/>
        <v>3</v>
      </c>
      <c r="V49" s="3" t="str">
        <f t="shared" si="5"/>
        <v>clear chartreuse</v>
      </c>
      <c r="W49" s="3" t="str">
        <f t="shared" si="6"/>
        <v/>
      </c>
      <c r="X49" s="3" t="str">
        <f t="shared" si="7"/>
        <v/>
      </c>
      <c r="Y49" s="3" t="str">
        <f t="shared" si="8"/>
        <v/>
      </c>
      <c r="Z49" s="3" t="str">
        <f t="shared" si="9"/>
        <v/>
      </c>
      <c r="AA49" s="13">
        <f t="shared" si="10"/>
        <v>156976053</v>
      </c>
      <c r="AB49" s="3">
        <f t="shared" si="11"/>
        <v>156976052</v>
      </c>
      <c r="AC49" s="3">
        <f t="shared" si="12"/>
        <v>5</v>
      </c>
      <c r="AD49" s="3">
        <f t="shared" si="13"/>
        <v>4</v>
      </c>
      <c r="AE49" s="3">
        <f t="shared" si="14"/>
        <v>3</v>
      </c>
      <c r="AF49" s="3">
        <f t="shared" si="15"/>
        <v>52325344</v>
      </c>
      <c r="AG49" s="3" t="str">
        <f t="shared" si="16"/>
        <v/>
      </c>
      <c r="AH49" s="3">
        <f t="shared" si="17"/>
        <v>0</v>
      </c>
      <c r="AI49" s="3" t="str">
        <f t="shared" si="18"/>
        <v/>
      </c>
      <c r="AJ49" s="3">
        <f t="shared" si="19"/>
        <v>0</v>
      </c>
    </row>
    <row r="50">
      <c r="C50" s="6" t="s">
        <v>50</v>
      </c>
      <c r="D50" s="3">
        <f t="shared" si="1"/>
        <v>0</v>
      </c>
      <c r="E50" s="3" t="str">
        <f>IFERROR(__xludf.DUMMYFUNCTION("REGEXEXTRACT(C50,""[^ ]* [^ ]*"")"),"plaid tomato")</f>
        <v>plaid tomato</v>
      </c>
      <c r="F50" s="3" t="str">
        <f>IFERROR(__xludf.DUMMYFUNCTION("MID(REGEXEXTRACT(C50,""contain.*$""),9,300)"),"5 muted beige bags.")</f>
        <v>5 muted beige bags.</v>
      </c>
      <c r="G50" s="3" t="str">
        <f>IFERROR(__xludf.DUMMYFUNCTION("INDEX(SPLIT($F50,"",""),COLUMN()-6)"),"5 muted beige bags.")</f>
        <v>5 muted beige bags.</v>
      </c>
      <c r="H50" s="3" t="str">
        <f>IFERROR(__xludf.DUMMYFUNCTION("MID(INDEX(SPLIT($F50,"",""),COLUMN()-6),2,300)"),"#REF!")</f>
        <v>#REF!</v>
      </c>
      <c r="I50" s="3" t="str">
        <f>IFERROR(__xludf.DUMMYFUNCTION("MID(INDEX(SPLIT($F50,"",""),COLUMN()-6),2,300)"),"#REF!")</f>
        <v>#REF!</v>
      </c>
      <c r="J50" s="3" t="str">
        <f>IFERROR(__xludf.DUMMYFUNCTION("MID(INDEX(SPLIT($F50,"",""),COLUMN()-6),2,300)"),"#REF!")</f>
        <v>#REF!</v>
      </c>
      <c r="K50" s="3">
        <f>IFERROR(__xludf.DUMMYFUNCTION("INDEX(SPLIT(G50,"" ""),1)"),5.0)</f>
        <v>5</v>
      </c>
      <c r="L50" s="3" t="str">
        <f>IFERROR(__xludf.DUMMYFUNCTION("REGEXEXTRACT(G50,"" [^ ]* [^ ]* "")")," muted beige ")</f>
        <v> muted beige </v>
      </c>
      <c r="M50" s="3" t="str">
        <f>IFERROR(__xludf.DUMMYFUNCTION("INDEX(SPLIT(H50,"" ""),1)"),"#REF!")</f>
        <v>#REF!</v>
      </c>
      <c r="N50" s="3" t="str">
        <f>IFERROR(__xludf.DUMMYFUNCTION("MID(REGEXEXTRACT(H50,"" [^ ]* [^ ]*""),2,300)"),"#REF!")</f>
        <v>#REF!</v>
      </c>
      <c r="O50" s="3" t="str">
        <f>IFERROR(__xludf.DUMMYFUNCTION("INDEX(SPLIT(I50,"" ""),1)"),"#REF!")</f>
        <v>#REF!</v>
      </c>
      <c r="P50" s="3" t="str">
        <f>IFERROR(__xludf.DUMMYFUNCTION("MID(REGEXEXTRACT(I50,"" [^ ]* [^ ]*""),2,300)"),"#REF!")</f>
        <v>#REF!</v>
      </c>
      <c r="Q50" s="3" t="str">
        <f>IFERROR(__xludf.DUMMYFUNCTION("INDEX(SPLIT(J50,"" ""),1)"),"#REF!")</f>
        <v>#REF!</v>
      </c>
      <c r="R50" s="3" t="str">
        <f>IFERROR(__xludf.DUMMYFUNCTION("MID(REGEXEXTRACT(J50,"" [^ ]* [^ ]*""),2,300)"),"#REF!")</f>
        <v>#REF!</v>
      </c>
      <c r="S50" s="3">
        <f t="shared" si="2"/>
        <v>5</v>
      </c>
      <c r="T50" s="3" t="str">
        <f t="shared" si="3"/>
        <v>muted beige</v>
      </c>
      <c r="U50" s="3" t="str">
        <f t="shared" si="4"/>
        <v/>
      </c>
      <c r="V50" s="3" t="str">
        <f t="shared" si="5"/>
        <v/>
      </c>
      <c r="W50" s="3" t="str">
        <f t="shared" si="6"/>
        <v/>
      </c>
      <c r="X50" s="3" t="str">
        <f t="shared" si="7"/>
        <v/>
      </c>
      <c r="Y50" s="3" t="str">
        <f t="shared" si="8"/>
        <v/>
      </c>
      <c r="Z50" s="3" t="str">
        <f t="shared" si="9"/>
        <v/>
      </c>
      <c r="AA50" s="13">
        <f t="shared" si="10"/>
        <v>94877726</v>
      </c>
      <c r="AB50" s="3">
        <f t="shared" si="11"/>
        <v>94877725</v>
      </c>
      <c r="AC50" s="3">
        <f t="shared" si="12"/>
        <v>5</v>
      </c>
      <c r="AD50" s="3">
        <f t="shared" si="13"/>
        <v>18975545</v>
      </c>
      <c r="AE50" s="3" t="str">
        <f t="shared" si="14"/>
        <v/>
      </c>
      <c r="AF50" s="3">
        <f t="shared" si="15"/>
        <v>0</v>
      </c>
      <c r="AG50" s="3" t="str">
        <f t="shared" si="16"/>
        <v/>
      </c>
      <c r="AH50" s="3">
        <f t="shared" si="17"/>
        <v>0</v>
      </c>
      <c r="AI50" s="3" t="str">
        <f t="shared" si="18"/>
        <v/>
      </c>
      <c r="AJ50" s="3">
        <f t="shared" si="19"/>
        <v>0</v>
      </c>
    </row>
    <row r="51">
      <c r="C51" s="6" t="s">
        <v>51</v>
      </c>
      <c r="D51" s="3">
        <f t="shared" si="1"/>
        <v>2</v>
      </c>
      <c r="E51" s="3" t="str">
        <f>IFERROR(__xludf.DUMMYFUNCTION("REGEXEXTRACT(C51,""[^ ]* [^ ]*"")"),"bright teal")</f>
        <v>bright teal</v>
      </c>
      <c r="F51" s="3" t="str">
        <f>IFERROR(__xludf.DUMMYFUNCTION("MID(REGEXEXTRACT(C51,""contain.*$""),9,300)"),"5 shiny gold bags, 4 clear beige bags, 5 vibrant chartreuse bags.")</f>
        <v>5 shiny gold bags, 4 clear beige bags, 5 vibrant chartreuse bags.</v>
      </c>
      <c r="G51" s="3" t="str">
        <f>IFERROR(__xludf.DUMMYFUNCTION("INDEX(SPLIT($F51,"",""),COLUMN()-6)"),"5 shiny gold bags")</f>
        <v>5 shiny gold bags</v>
      </c>
      <c r="H51" s="3" t="str">
        <f>IFERROR(__xludf.DUMMYFUNCTION("MID(INDEX(SPLIT($F51,"",""),COLUMN()-6),2,300)"),"4 clear beige bags")</f>
        <v>4 clear beige bags</v>
      </c>
      <c r="I51" s="3" t="str">
        <f>IFERROR(__xludf.DUMMYFUNCTION("MID(INDEX(SPLIT($F51,"",""),COLUMN()-6),2,300)"),"5 vibrant chartreuse bags.")</f>
        <v>5 vibrant chartreuse bags.</v>
      </c>
      <c r="J51" s="3" t="str">
        <f>IFERROR(__xludf.DUMMYFUNCTION("MID(INDEX(SPLIT($F51,"",""),COLUMN()-6),2,300)"),"#REF!")</f>
        <v>#REF!</v>
      </c>
      <c r="K51" s="3">
        <f>IFERROR(__xludf.DUMMYFUNCTION("INDEX(SPLIT(G51,"" ""),1)"),5.0)</f>
        <v>5</v>
      </c>
      <c r="L51" s="3" t="str">
        <f>IFERROR(__xludf.DUMMYFUNCTION("REGEXEXTRACT(G51,"" [^ ]* [^ ]* "")")," shiny gold ")</f>
        <v> shiny gold </v>
      </c>
      <c r="M51" s="3">
        <f>IFERROR(__xludf.DUMMYFUNCTION("INDEX(SPLIT(H51,"" ""),1)"),4.0)</f>
        <v>4</v>
      </c>
      <c r="N51" s="3" t="str">
        <f>IFERROR(__xludf.DUMMYFUNCTION("MID(REGEXEXTRACT(H51,"" [^ ]* [^ ]*""),2,300)"),"clear beige")</f>
        <v>clear beige</v>
      </c>
      <c r="O51" s="3">
        <f>IFERROR(__xludf.DUMMYFUNCTION("INDEX(SPLIT(I51,"" ""),1)"),5.0)</f>
        <v>5</v>
      </c>
      <c r="P51" s="3" t="str">
        <f>IFERROR(__xludf.DUMMYFUNCTION("MID(REGEXEXTRACT(I51,"" [^ ]* [^ ]*""),2,300)"),"vibrant chartreuse")</f>
        <v>vibrant chartreuse</v>
      </c>
      <c r="Q51" s="3" t="str">
        <f>IFERROR(__xludf.DUMMYFUNCTION("INDEX(SPLIT(J51,"" ""),1)"),"#REF!")</f>
        <v>#REF!</v>
      </c>
      <c r="R51" s="3" t="str">
        <f>IFERROR(__xludf.DUMMYFUNCTION("MID(REGEXEXTRACT(J51,"" [^ ]* [^ ]*""),2,300)"),"#REF!")</f>
        <v>#REF!</v>
      </c>
      <c r="S51" s="3">
        <f t="shared" si="2"/>
        <v>5</v>
      </c>
      <c r="T51" s="3" t="str">
        <f t="shared" si="3"/>
        <v>shiny gold</v>
      </c>
      <c r="U51" s="3">
        <f t="shared" si="4"/>
        <v>4</v>
      </c>
      <c r="V51" s="3" t="str">
        <f t="shared" si="5"/>
        <v>clear beige</v>
      </c>
      <c r="W51" s="3">
        <f t="shared" si="6"/>
        <v>5</v>
      </c>
      <c r="X51" s="3" t="str">
        <f t="shared" si="7"/>
        <v>vibrant chartreuse</v>
      </c>
      <c r="Y51" s="3" t="str">
        <f t="shared" si="8"/>
        <v/>
      </c>
      <c r="Z51" s="3" t="str">
        <f t="shared" si="9"/>
        <v/>
      </c>
      <c r="AA51" s="13">
        <f t="shared" si="10"/>
        <v>627964923</v>
      </c>
      <c r="AB51" s="3">
        <f t="shared" si="11"/>
        <v>627964922</v>
      </c>
      <c r="AC51" s="3">
        <f t="shared" si="12"/>
        <v>5</v>
      </c>
      <c r="AD51" s="3">
        <f t="shared" si="13"/>
        <v>12129</v>
      </c>
      <c r="AE51" s="3">
        <f t="shared" si="14"/>
        <v>4</v>
      </c>
      <c r="AF51" s="3">
        <f t="shared" si="15"/>
        <v>156976053</v>
      </c>
      <c r="AG51" s="3">
        <f t="shared" si="16"/>
        <v>5</v>
      </c>
      <c r="AH51" s="3">
        <f t="shared" si="17"/>
        <v>13</v>
      </c>
      <c r="AI51" s="3" t="str">
        <f t="shared" si="18"/>
        <v/>
      </c>
      <c r="AJ51" s="3">
        <f t="shared" si="19"/>
        <v>0</v>
      </c>
    </row>
    <row r="52">
      <c r="C52" s="6" t="s">
        <v>52</v>
      </c>
      <c r="D52" s="3">
        <f t="shared" si="1"/>
        <v>3</v>
      </c>
      <c r="E52" s="3" t="str">
        <f>IFERROR(__xludf.DUMMYFUNCTION("REGEXEXTRACT(C52,""[^ ]* [^ ]*"")"),"dotted salmon")</f>
        <v>dotted salmon</v>
      </c>
      <c r="F52" s="3" t="str">
        <f>IFERROR(__xludf.DUMMYFUNCTION("MID(REGEXEXTRACT(C52,""contain.*$""),9,300)"),"1 clear fuchsia bag, 2 muted maroon bags, 4 posh yellow bags, 1 drab chartreuse bag.")</f>
        <v>1 clear fuchsia bag, 2 muted maroon bags, 4 posh yellow bags, 1 drab chartreuse bag.</v>
      </c>
      <c r="G52" s="3" t="str">
        <f>IFERROR(__xludf.DUMMYFUNCTION("INDEX(SPLIT($F52,"",""),COLUMN()-6)"),"1 clear fuchsia bag")</f>
        <v>1 clear fuchsia bag</v>
      </c>
      <c r="H52" s="3" t="str">
        <f>IFERROR(__xludf.DUMMYFUNCTION("MID(INDEX(SPLIT($F52,"",""),COLUMN()-6),2,300)"),"2 muted maroon bags")</f>
        <v>2 muted maroon bags</v>
      </c>
      <c r="I52" s="3" t="str">
        <f>IFERROR(__xludf.DUMMYFUNCTION("MID(INDEX(SPLIT($F52,"",""),COLUMN()-6),2,300)"),"4 posh yellow bags")</f>
        <v>4 posh yellow bags</v>
      </c>
      <c r="J52" s="3" t="str">
        <f>IFERROR(__xludf.DUMMYFUNCTION("MID(INDEX(SPLIT($F52,"",""),COLUMN()-6),2,300)"),"1 drab chartreuse bag.")</f>
        <v>1 drab chartreuse bag.</v>
      </c>
      <c r="K52" s="3">
        <f>IFERROR(__xludf.DUMMYFUNCTION("INDEX(SPLIT(G52,"" ""),1)"),1.0)</f>
        <v>1</v>
      </c>
      <c r="L52" s="3" t="str">
        <f>IFERROR(__xludf.DUMMYFUNCTION("REGEXEXTRACT(G52,"" [^ ]* [^ ]* "")")," clear fuchsia ")</f>
        <v> clear fuchsia </v>
      </c>
      <c r="M52" s="3">
        <f>IFERROR(__xludf.DUMMYFUNCTION("INDEX(SPLIT(H52,"" ""),1)"),2.0)</f>
        <v>2</v>
      </c>
      <c r="N52" s="3" t="str">
        <f>IFERROR(__xludf.DUMMYFUNCTION("MID(REGEXEXTRACT(H52,"" [^ ]* [^ ]*""),2,300)"),"muted maroon")</f>
        <v>muted maroon</v>
      </c>
      <c r="O52" s="3">
        <f>IFERROR(__xludf.DUMMYFUNCTION("INDEX(SPLIT(I52,"" ""),1)"),4.0)</f>
        <v>4</v>
      </c>
      <c r="P52" s="3" t="str">
        <f>IFERROR(__xludf.DUMMYFUNCTION("MID(REGEXEXTRACT(I52,"" [^ ]* [^ ]*""),2,300)"),"posh yellow")</f>
        <v>posh yellow</v>
      </c>
      <c r="Q52" s="3">
        <f>IFERROR(__xludf.DUMMYFUNCTION("INDEX(SPLIT(J52,"" ""),1)"),1.0)</f>
        <v>1</v>
      </c>
      <c r="R52" s="3" t="str">
        <f>IFERROR(__xludf.DUMMYFUNCTION("MID(REGEXEXTRACT(J52,"" [^ ]* [^ ]*""),2,300)"),"drab chartreuse")</f>
        <v>drab chartreuse</v>
      </c>
      <c r="S52" s="3">
        <f t="shared" si="2"/>
        <v>1</v>
      </c>
      <c r="T52" s="3" t="str">
        <f t="shared" si="3"/>
        <v>clear fuchsia</v>
      </c>
      <c r="U52" s="3">
        <f t="shared" si="4"/>
        <v>2</v>
      </c>
      <c r="V52" s="3" t="str">
        <f t="shared" si="5"/>
        <v>muted maroon</v>
      </c>
      <c r="W52" s="3">
        <f t="shared" si="6"/>
        <v>4</v>
      </c>
      <c r="X52" s="3" t="str">
        <f t="shared" si="7"/>
        <v>posh yellow</v>
      </c>
      <c r="Y52" s="3">
        <f t="shared" si="8"/>
        <v>1</v>
      </c>
      <c r="Z52" s="3" t="str">
        <f t="shared" si="9"/>
        <v>drab chartreuse</v>
      </c>
      <c r="AA52" s="13">
        <f t="shared" si="10"/>
        <v>97296</v>
      </c>
      <c r="AB52" s="3">
        <f t="shared" si="11"/>
        <v>97295</v>
      </c>
      <c r="AC52" s="3">
        <f t="shared" si="12"/>
        <v>1</v>
      </c>
      <c r="AD52" s="3">
        <f t="shared" si="13"/>
        <v>19368</v>
      </c>
      <c r="AE52" s="3">
        <f t="shared" si="14"/>
        <v>2</v>
      </c>
      <c r="AF52" s="3">
        <f t="shared" si="15"/>
        <v>25481</v>
      </c>
      <c r="AG52" s="3">
        <f t="shared" si="16"/>
        <v>4</v>
      </c>
      <c r="AH52" s="3">
        <f t="shared" si="17"/>
        <v>4</v>
      </c>
      <c r="AI52" s="3">
        <f t="shared" si="18"/>
        <v>1</v>
      </c>
      <c r="AJ52" s="3">
        <f t="shared" si="19"/>
        <v>26949</v>
      </c>
    </row>
    <row r="53">
      <c r="C53" s="6" t="s">
        <v>53</v>
      </c>
      <c r="D53" s="3">
        <f t="shared" si="1"/>
        <v>0</v>
      </c>
      <c r="E53" s="3" t="str">
        <f>IFERROR(__xludf.DUMMYFUNCTION("REGEXEXTRACT(C53,""[^ ]* [^ ]*"")"),"light gold")</f>
        <v>light gold</v>
      </c>
      <c r="F53" s="3" t="str">
        <f>IFERROR(__xludf.DUMMYFUNCTION("MID(REGEXEXTRACT(C53,""contain.*$""),9,300)"),"4 light maroon bags.")</f>
        <v>4 light maroon bags.</v>
      </c>
      <c r="G53" s="3" t="str">
        <f>IFERROR(__xludf.DUMMYFUNCTION("INDEX(SPLIT($F53,"",""),COLUMN()-6)"),"4 light maroon bags.")</f>
        <v>4 light maroon bags.</v>
      </c>
      <c r="H53" s="3" t="str">
        <f>IFERROR(__xludf.DUMMYFUNCTION("MID(INDEX(SPLIT($F53,"",""),COLUMN()-6),2,300)"),"#REF!")</f>
        <v>#REF!</v>
      </c>
      <c r="I53" s="3" t="str">
        <f>IFERROR(__xludf.DUMMYFUNCTION("MID(INDEX(SPLIT($F53,"",""),COLUMN()-6),2,300)"),"#REF!")</f>
        <v>#REF!</v>
      </c>
      <c r="J53" s="3" t="str">
        <f>IFERROR(__xludf.DUMMYFUNCTION("MID(INDEX(SPLIT($F53,"",""),COLUMN()-6),2,300)"),"#REF!")</f>
        <v>#REF!</v>
      </c>
      <c r="K53" s="3">
        <f>IFERROR(__xludf.DUMMYFUNCTION("INDEX(SPLIT(G53,"" ""),1)"),4.0)</f>
        <v>4</v>
      </c>
      <c r="L53" s="3" t="str">
        <f>IFERROR(__xludf.DUMMYFUNCTION("REGEXEXTRACT(G53,"" [^ ]* [^ ]* "")")," light maroon ")</f>
        <v> light maroon </v>
      </c>
      <c r="M53" s="3" t="str">
        <f>IFERROR(__xludf.DUMMYFUNCTION("INDEX(SPLIT(H53,"" ""),1)"),"#REF!")</f>
        <v>#REF!</v>
      </c>
      <c r="N53" s="3" t="str">
        <f>IFERROR(__xludf.DUMMYFUNCTION("MID(REGEXEXTRACT(H53,"" [^ ]* [^ ]*""),2,300)"),"#REF!")</f>
        <v>#REF!</v>
      </c>
      <c r="O53" s="3" t="str">
        <f>IFERROR(__xludf.DUMMYFUNCTION("INDEX(SPLIT(I53,"" ""),1)"),"#REF!")</f>
        <v>#REF!</v>
      </c>
      <c r="P53" s="3" t="str">
        <f>IFERROR(__xludf.DUMMYFUNCTION("MID(REGEXEXTRACT(I53,"" [^ ]* [^ ]*""),2,300)"),"#REF!")</f>
        <v>#REF!</v>
      </c>
      <c r="Q53" s="3" t="str">
        <f>IFERROR(__xludf.DUMMYFUNCTION("INDEX(SPLIT(J53,"" ""),1)"),"#REF!")</f>
        <v>#REF!</v>
      </c>
      <c r="R53" s="3" t="str">
        <f>IFERROR(__xludf.DUMMYFUNCTION("MID(REGEXEXTRACT(J53,"" [^ ]* [^ ]*""),2,300)"),"#REF!")</f>
        <v>#REF!</v>
      </c>
      <c r="S53" s="3">
        <f t="shared" si="2"/>
        <v>4</v>
      </c>
      <c r="T53" s="3" t="str">
        <f t="shared" si="3"/>
        <v>light maroon</v>
      </c>
      <c r="U53" s="3" t="str">
        <f t="shared" si="4"/>
        <v/>
      </c>
      <c r="V53" s="3" t="str">
        <f t="shared" si="5"/>
        <v/>
      </c>
      <c r="W53" s="3" t="str">
        <f t="shared" si="6"/>
        <v/>
      </c>
      <c r="X53" s="3" t="str">
        <f t="shared" si="7"/>
        <v/>
      </c>
      <c r="Y53" s="3" t="str">
        <f t="shared" si="8"/>
        <v/>
      </c>
      <c r="Z53" s="3" t="str">
        <f t="shared" si="9"/>
        <v/>
      </c>
      <c r="AA53" s="13">
        <f t="shared" si="10"/>
        <v>112904201</v>
      </c>
      <c r="AB53" s="3">
        <f t="shared" si="11"/>
        <v>112904200</v>
      </c>
      <c r="AC53" s="3">
        <f t="shared" si="12"/>
        <v>4</v>
      </c>
      <c r="AD53" s="3">
        <f t="shared" si="13"/>
        <v>28226050</v>
      </c>
      <c r="AE53" s="3" t="str">
        <f t="shared" si="14"/>
        <v/>
      </c>
      <c r="AF53" s="3">
        <f t="shared" si="15"/>
        <v>0</v>
      </c>
      <c r="AG53" s="3" t="str">
        <f t="shared" si="16"/>
        <v/>
      </c>
      <c r="AH53" s="3">
        <f t="shared" si="17"/>
        <v>0</v>
      </c>
      <c r="AI53" s="3" t="str">
        <f t="shared" si="18"/>
        <v/>
      </c>
      <c r="AJ53" s="3">
        <f t="shared" si="19"/>
        <v>0</v>
      </c>
    </row>
    <row r="54">
      <c r="C54" s="6" t="s">
        <v>54</v>
      </c>
      <c r="D54" s="3">
        <f t="shared" si="1"/>
        <v>1</v>
      </c>
      <c r="E54" s="3" t="str">
        <f>IFERROR(__xludf.DUMMYFUNCTION("REGEXEXTRACT(C54,""[^ ]* [^ ]*"")"),"faded cyan")</f>
        <v>faded cyan</v>
      </c>
      <c r="F54" s="3" t="str">
        <f>IFERROR(__xludf.DUMMYFUNCTION("MID(REGEXEXTRACT(C54,""contain.*$""),9,300)"),"2 posh magenta bags, 2 dark violet bags.")</f>
        <v>2 posh magenta bags, 2 dark violet bags.</v>
      </c>
      <c r="G54" s="3" t="str">
        <f>IFERROR(__xludf.DUMMYFUNCTION("INDEX(SPLIT($F54,"",""),COLUMN()-6)"),"2 posh magenta bags")</f>
        <v>2 posh magenta bags</v>
      </c>
      <c r="H54" s="3" t="str">
        <f>IFERROR(__xludf.DUMMYFUNCTION("MID(INDEX(SPLIT($F54,"",""),COLUMN()-6),2,300)"),"2 dark violet bags.")</f>
        <v>2 dark violet bags.</v>
      </c>
      <c r="I54" s="3" t="str">
        <f>IFERROR(__xludf.DUMMYFUNCTION("MID(INDEX(SPLIT($F54,"",""),COLUMN()-6),2,300)"),"#REF!")</f>
        <v>#REF!</v>
      </c>
      <c r="J54" s="3" t="str">
        <f>IFERROR(__xludf.DUMMYFUNCTION("MID(INDEX(SPLIT($F54,"",""),COLUMN()-6),2,300)"),"#REF!")</f>
        <v>#REF!</v>
      </c>
      <c r="K54" s="3">
        <f>IFERROR(__xludf.DUMMYFUNCTION("INDEX(SPLIT(G54,"" ""),1)"),2.0)</f>
        <v>2</v>
      </c>
      <c r="L54" s="3" t="str">
        <f>IFERROR(__xludf.DUMMYFUNCTION("REGEXEXTRACT(G54,"" [^ ]* [^ ]* "")")," posh magenta ")</f>
        <v> posh magenta </v>
      </c>
      <c r="M54" s="3">
        <f>IFERROR(__xludf.DUMMYFUNCTION("INDEX(SPLIT(H54,"" ""),1)"),2.0)</f>
        <v>2</v>
      </c>
      <c r="N54" s="3" t="str">
        <f>IFERROR(__xludf.DUMMYFUNCTION("MID(REGEXEXTRACT(H54,"" [^ ]* [^ ]*""),2,300)"),"dark violet")</f>
        <v>dark violet</v>
      </c>
      <c r="O54" s="3" t="str">
        <f>IFERROR(__xludf.DUMMYFUNCTION("INDEX(SPLIT(I54,"" ""),1)"),"#REF!")</f>
        <v>#REF!</v>
      </c>
      <c r="P54" s="3" t="str">
        <f>IFERROR(__xludf.DUMMYFUNCTION("MID(REGEXEXTRACT(I54,"" [^ ]* [^ ]*""),2,300)"),"#REF!")</f>
        <v>#REF!</v>
      </c>
      <c r="Q54" s="3" t="str">
        <f>IFERROR(__xludf.DUMMYFUNCTION("INDEX(SPLIT(J54,"" ""),1)"),"#REF!")</f>
        <v>#REF!</v>
      </c>
      <c r="R54" s="3" t="str">
        <f>IFERROR(__xludf.DUMMYFUNCTION("MID(REGEXEXTRACT(J54,"" [^ ]* [^ ]*""),2,300)"),"#REF!")</f>
        <v>#REF!</v>
      </c>
      <c r="S54" s="3">
        <f t="shared" si="2"/>
        <v>2</v>
      </c>
      <c r="T54" s="3" t="str">
        <f t="shared" si="3"/>
        <v>posh magenta</v>
      </c>
      <c r="U54" s="3">
        <f t="shared" si="4"/>
        <v>2</v>
      </c>
      <c r="V54" s="3" t="str">
        <f t="shared" si="5"/>
        <v>dark violet</v>
      </c>
      <c r="W54" s="3" t="str">
        <f t="shared" si="6"/>
        <v/>
      </c>
      <c r="X54" s="3" t="str">
        <f t="shared" si="7"/>
        <v/>
      </c>
      <c r="Y54" s="3" t="str">
        <f t="shared" si="8"/>
        <v/>
      </c>
      <c r="Z54" s="3" t="str">
        <f t="shared" si="9"/>
        <v/>
      </c>
      <c r="AA54" s="13">
        <f t="shared" si="10"/>
        <v>1017501</v>
      </c>
      <c r="AB54" s="3">
        <f t="shared" si="11"/>
        <v>1017500</v>
      </c>
      <c r="AC54" s="3">
        <f t="shared" si="12"/>
        <v>2</v>
      </c>
      <c r="AD54" s="3">
        <f t="shared" si="13"/>
        <v>1</v>
      </c>
      <c r="AE54" s="3">
        <f t="shared" si="14"/>
        <v>2</v>
      </c>
      <c r="AF54" s="3">
        <f t="shared" si="15"/>
        <v>508749</v>
      </c>
      <c r="AG54" s="3" t="str">
        <f t="shared" si="16"/>
        <v/>
      </c>
      <c r="AH54" s="3">
        <f t="shared" si="17"/>
        <v>0</v>
      </c>
      <c r="AI54" s="3" t="str">
        <f t="shared" si="18"/>
        <v/>
      </c>
      <c r="AJ54" s="3">
        <f t="shared" si="19"/>
        <v>0</v>
      </c>
    </row>
    <row r="55">
      <c r="C55" s="6" t="s">
        <v>55</v>
      </c>
      <c r="D55" s="3">
        <f t="shared" si="1"/>
        <v>3</v>
      </c>
      <c r="E55" s="3" t="str">
        <f>IFERROR(__xludf.DUMMYFUNCTION("REGEXEXTRACT(C55,""[^ ]* [^ ]*"")"),"drab cyan")</f>
        <v>drab cyan</v>
      </c>
      <c r="F55" s="3" t="str">
        <f>IFERROR(__xludf.DUMMYFUNCTION("MID(REGEXEXTRACT(C55,""contain.*$""),9,300)"),"5 faded purple bags, 4 striped crimson bags, 1 shiny maroon bag, 4 drab tomato bags.")</f>
        <v>5 faded purple bags, 4 striped crimson bags, 1 shiny maroon bag, 4 drab tomato bags.</v>
      </c>
      <c r="G55" s="3" t="str">
        <f>IFERROR(__xludf.DUMMYFUNCTION("INDEX(SPLIT($F55,"",""),COLUMN()-6)"),"5 faded purple bags")</f>
        <v>5 faded purple bags</v>
      </c>
      <c r="H55" s="3" t="str">
        <f>IFERROR(__xludf.DUMMYFUNCTION("MID(INDEX(SPLIT($F55,"",""),COLUMN()-6),2,300)"),"4 striped crimson bags")</f>
        <v>4 striped crimson bags</v>
      </c>
      <c r="I55" s="3" t="str">
        <f>IFERROR(__xludf.DUMMYFUNCTION("MID(INDEX(SPLIT($F55,"",""),COLUMN()-6),2,300)"),"1 shiny maroon bag")</f>
        <v>1 shiny maroon bag</v>
      </c>
      <c r="J55" s="3" t="str">
        <f>IFERROR(__xludf.DUMMYFUNCTION("MID(INDEX(SPLIT($F55,"",""),COLUMN()-6),2,300)"),"4 drab tomato bags.")</f>
        <v>4 drab tomato bags.</v>
      </c>
      <c r="K55" s="3">
        <f>IFERROR(__xludf.DUMMYFUNCTION("INDEX(SPLIT(G55,"" ""),1)"),5.0)</f>
        <v>5</v>
      </c>
      <c r="L55" s="3" t="str">
        <f>IFERROR(__xludf.DUMMYFUNCTION("REGEXEXTRACT(G55,"" [^ ]* [^ ]* "")")," faded purple ")</f>
        <v> faded purple </v>
      </c>
      <c r="M55" s="3">
        <f>IFERROR(__xludf.DUMMYFUNCTION("INDEX(SPLIT(H55,"" ""),1)"),4.0)</f>
        <v>4</v>
      </c>
      <c r="N55" s="3" t="str">
        <f>IFERROR(__xludf.DUMMYFUNCTION("MID(REGEXEXTRACT(H55,"" [^ ]* [^ ]*""),2,300)"),"striped crimson")</f>
        <v>striped crimson</v>
      </c>
      <c r="O55" s="3">
        <f>IFERROR(__xludf.DUMMYFUNCTION("INDEX(SPLIT(I55,"" ""),1)"),1.0)</f>
        <v>1</v>
      </c>
      <c r="P55" s="3" t="str">
        <f>IFERROR(__xludf.DUMMYFUNCTION("MID(REGEXEXTRACT(I55,"" [^ ]* [^ ]*""),2,300)"),"shiny maroon")</f>
        <v>shiny maroon</v>
      </c>
      <c r="Q55" s="3">
        <f>IFERROR(__xludf.DUMMYFUNCTION("INDEX(SPLIT(J55,"" ""),1)"),4.0)</f>
        <v>4</v>
      </c>
      <c r="R55" s="3" t="str">
        <f>IFERROR(__xludf.DUMMYFUNCTION("MID(REGEXEXTRACT(J55,"" [^ ]* [^ ]*""),2,300)"),"drab tomato")</f>
        <v>drab tomato</v>
      </c>
      <c r="S55" s="3">
        <f t="shared" si="2"/>
        <v>5</v>
      </c>
      <c r="T55" s="3" t="str">
        <f t="shared" si="3"/>
        <v>faded purple</v>
      </c>
      <c r="U55" s="3">
        <f t="shared" si="4"/>
        <v>4</v>
      </c>
      <c r="V55" s="3" t="str">
        <f t="shared" si="5"/>
        <v>striped crimson</v>
      </c>
      <c r="W55" s="3">
        <f t="shared" si="6"/>
        <v>1</v>
      </c>
      <c r="X55" s="3" t="str">
        <f t="shared" si="7"/>
        <v>shiny maroon</v>
      </c>
      <c r="Y55" s="3">
        <f t="shared" si="8"/>
        <v>4</v>
      </c>
      <c r="Z55" s="3" t="str">
        <f t="shared" si="9"/>
        <v>drab tomato</v>
      </c>
      <c r="AA55" s="13">
        <f t="shared" si="10"/>
        <v>873196</v>
      </c>
      <c r="AB55" s="3">
        <f t="shared" si="11"/>
        <v>873195</v>
      </c>
      <c r="AC55" s="3">
        <f t="shared" si="12"/>
        <v>5</v>
      </c>
      <c r="AD55" s="3">
        <f t="shared" si="13"/>
        <v>6357</v>
      </c>
      <c r="AE55" s="3">
        <f t="shared" si="14"/>
        <v>4</v>
      </c>
      <c r="AF55" s="3">
        <f t="shared" si="15"/>
        <v>32410</v>
      </c>
      <c r="AG55" s="3">
        <f t="shared" si="16"/>
        <v>1</v>
      </c>
      <c r="AH55" s="3">
        <f t="shared" si="17"/>
        <v>557022</v>
      </c>
      <c r="AI55" s="3">
        <f t="shared" si="18"/>
        <v>4</v>
      </c>
      <c r="AJ55" s="3">
        <f t="shared" si="19"/>
        <v>38687</v>
      </c>
    </row>
    <row r="56">
      <c r="C56" s="6" t="s">
        <v>56</v>
      </c>
      <c r="D56" s="3">
        <f t="shared" si="1"/>
        <v>2</v>
      </c>
      <c r="E56" s="3" t="str">
        <f>IFERROR(__xludf.DUMMYFUNCTION("REGEXEXTRACT(C56,""[^ ]* [^ ]*"")"),"dotted black")</f>
        <v>dotted black</v>
      </c>
      <c r="F56" s="3" t="str">
        <f>IFERROR(__xludf.DUMMYFUNCTION("MID(REGEXEXTRACT(C56,""contain.*$""),9,300)"),"3 striped turquoise bags, 4 dark tan bags, 4 vibrant lavender bags.")</f>
        <v>3 striped turquoise bags, 4 dark tan bags, 4 vibrant lavender bags.</v>
      </c>
      <c r="G56" s="3" t="str">
        <f>IFERROR(__xludf.DUMMYFUNCTION("INDEX(SPLIT($F56,"",""),COLUMN()-6)"),"3 striped turquoise bags")</f>
        <v>3 striped turquoise bags</v>
      </c>
      <c r="H56" s="3" t="str">
        <f>IFERROR(__xludf.DUMMYFUNCTION("MID(INDEX(SPLIT($F56,"",""),COLUMN()-6),2,300)"),"4 dark tan bags")</f>
        <v>4 dark tan bags</v>
      </c>
      <c r="I56" s="3" t="str">
        <f>IFERROR(__xludf.DUMMYFUNCTION("MID(INDEX(SPLIT($F56,"",""),COLUMN()-6),2,300)"),"4 vibrant lavender bags.")</f>
        <v>4 vibrant lavender bags.</v>
      </c>
      <c r="J56" s="3" t="str">
        <f>IFERROR(__xludf.DUMMYFUNCTION("MID(INDEX(SPLIT($F56,"",""),COLUMN()-6),2,300)"),"#REF!")</f>
        <v>#REF!</v>
      </c>
      <c r="K56" s="3">
        <f>IFERROR(__xludf.DUMMYFUNCTION("INDEX(SPLIT(G56,"" ""),1)"),3.0)</f>
        <v>3</v>
      </c>
      <c r="L56" s="3" t="str">
        <f>IFERROR(__xludf.DUMMYFUNCTION("REGEXEXTRACT(G56,"" [^ ]* [^ ]* "")")," striped turquoise ")</f>
        <v> striped turquoise </v>
      </c>
      <c r="M56" s="3">
        <f>IFERROR(__xludf.DUMMYFUNCTION("INDEX(SPLIT(H56,"" ""),1)"),4.0)</f>
        <v>4</v>
      </c>
      <c r="N56" s="3" t="str">
        <f>IFERROR(__xludf.DUMMYFUNCTION("MID(REGEXEXTRACT(H56,"" [^ ]* [^ ]*""),2,300)"),"dark tan")</f>
        <v>dark tan</v>
      </c>
      <c r="O56" s="3">
        <f>IFERROR(__xludf.DUMMYFUNCTION("INDEX(SPLIT(I56,"" ""),1)"),4.0)</f>
        <v>4</v>
      </c>
      <c r="P56" s="3" t="str">
        <f>IFERROR(__xludf.DUMMYFUNCTION("MID(REGEXEXTRACT(I56,"" [^ ]* [^ ]*""),2,300)"),"vibrant lavender")</f>
        <v>vibrant lavender</v>
      </c>
      <c r="Q56" s="3" t="str">
        <f>IFERROR(__xludf.DUMMYFUNCTION("INDEX(SPLIT(J56,"" ""),1)"),"#REF!")</f>
        <v>#REF!</v>
      </c>
      <c r="R56" s="3" t="str">
        <f>IFERROR(__xludf.DUMMYFUNCTION("MID(REGEXEXTRACT(J56,"" [^ ]* [^ ]*""),2,300)"),"#REF!")</f>
        <v>#REF!</v>
      </c>
      <c r="S56" s="3">
        <f t="shared" si="2"/>
        <v>3</v>
      </c>
      <c r="T56" s="3" t="str">
        <f t="shared" si="3"/>
        <v>striped turquoise</v>
      </c>
      <c r="U56" s="3">
        <f t="shared" si="4"/>
        <v>4</v>
      </c>
      <c r="V56" s="3" t="str">
        <f t="shared" si="5"/>
        <v>dark tan</v>
      </c>
      <c r="W56" s="3">
        <f t="shared" si="6"/>
        <v>4</v>
      </c>
      <c r="X56" s="3" t="str">
        <f t="shared" si="7"/>
        <v>vibrant lavender</v>
      </c>
      <c r="Y56" s="3" t="str">
        <f t="shared" si="8"/>
        <v/>
      </c>
      <c r="Z56" s="3" t="str">
        <f t="shared" si="9"/>
        <v/>
      </c>
      <c r="AA56" s="13">
        <f t="shared" si="10"/>
        <v>13561077401</v>
      </c>
      <c r="AB56" s="3">
        <f t="shared" si="11"/>
        <v>13561077400</v>
      </c>
      <c r="AC56" s="3">
        <f t="shared" si="12"/>
        <v>3</v>
      </c>
      <c r="AD56" s="3">
        <f t="shared" si="13"/>
        <v>4519429856</v>
      </c>
      <c r="AE56" s="3">
        <f t="shared" si="14"/>
        <v>4</v>
      </c>
      <c r="AF56" s="3">
        <f t="shared" si="15"/>
        <v>1086</v>
      </c>
      <c r="AG56" s="3">
        <f t="shared" si="16"/>
        <v>4</v>
      </c>
      <c r="AH56" s="3">
        <f t="shared" si="17"/>
        <v>695872</v>
      </c>
      <c r="AI56" s="3" t="str">
        <f t="shared" si="18"/>
        <v/>
      </c>
      <c r="AJ56" s="3">
        <f t="shared" si="19"/>
        <v>0</v>
      </c>
    </row>
    <row r="57">
      <c r="C57" s="6" t="s">
        <v>57</v>
      </c>
      <c r="D57" s="3">
        <f t="shared" si="1"/>
        <v>0</v>
      </c>
      <c r="E57" s="3" t="str">
        <f>IFERROR(__xludf.DUMMYFUNCTION("REGEXEXTRACT(C57,""[^ ]* [^ ]*"")"),"faded purple")</f>
        <v>faded purple</v>
      </c>
      <c r="F57" s="3" t="str">
        <f>IFERROR(__xludf.DUMMYFUNCTION("MID(REGEXEXTRACT(C57,""contain.*$""),9,300)"),"4 dull purple bags.")</f>
        <v>4 dull purple bags.</v>
      </c>
      <c r="G57" s="3" t="str">
        <f>IFERROR(__xludf.DUMMYFUNCTION("INDEX(SPLIT($F57,"",""),COLUMN()-6)"),"4 dull purple bags.")</f>
        <v>4 dull purple bags.</v>
      </c>
      <c r="H57" s="3" t="str">
        <f>IFERROR(__xludf.DUMMYFUNCTION("MID(INDEX(SPLIT($F57,"",""),COLUMN()-6),2,300)"),"#REF!")</f>
        <v>#REF!</v>
      </c>
      <c r="I57" s="3" t="str">
        <f>IFERROR(__xludf.DUMMYFUNCTION("MID(INDEX(SPLIT($F57,"",""),COLUMN()-6),2,300)"),"#REF!")</f>
        <v>#REF!</v>
      </c>
      <c r="J57" s="3" t="str">
        <f>IFERROR(__xludf.DUMMYFUNCTION("MID(INDEX(SPLIT($F57,"",""),COLUMN()-6),2,300)"),"#REF!")</f>
        <v>#REF!</v>
      </c>
      <c r="K57" s="3">
        <f>IFERROR(__xludf.DUMMYFUNCTION("INDEX(SPLIT(G57,"" ""),1)"),4.0)</f>
        <v>4</v>
      </c>
      <c r="L57" s="3" t="str">
        <f>IFERROR(__xludf.DUMMYFUNCTION("REGEXEXTRACT(G57,"" [^ ]* [^ ]* "")")," dull purple ")</f>
        <v> dull purple </v>
      </c>
      <c r="M57" s="3" t="str">
        <f>IFERROR(__xludf.DUMMYFUNCTION("INDEX(SPLIT(H57,"" ""),1)"),"#REF!")</f>
        <v>#REF!</v>
      </c>
      <c r="N57" s="3" t="str">
        <f>IFERROR(__xludf.DUMMYFUNCTION("MID(REGEXEXTRACT(H57,"" [^ ]* [^ ]*""),2,300)"),"#REF!")</f>
        <v>#REF!</v>
      </c>
      <c r="O57" s="3" t="str">
        <f>IFERROR(__xludf.DUMMYFUNCTION("INDEX(SPLIT(I57,"" ""),1)"),"#REF!")</f>
        <v>#REF!</v>
      </c>
      <c r="P57" s="3" t="str">
        <f>IFERROR(__xludf.DUMMYFUNCTION("MID(REGEXEXTRACT(I57,"" [^ ]* [^ ]*""),2,300)"),"#REF!")</f>
        <v>#REF!</v>
      </c>
      <c r="Q57" s="3" t="str">
        <f>IFERROR(__xludf.DUMMYFUNCTION("INDEX(SPLIT(J57,"" ""),1)"),"#REF!")</f>
        <v>#REF!</v>
      </c>
      <c r="R57" s="3" t="str">
        <f>IFERROR(__xludf.DUMMYFUNCTION("MID(REGEXEXTRACT(J57,"" [^ ]* [^ ]*""),2,300)"),"#REF!")</f>
        <v>#REF!</v>
      </c>
      <c r="S57" s="3">
        <f t="shared" si="2"/>
        <v>4</v>
      </c>
      <c r="T57" s="3" t="str">
        <f t="shared" si="3"/>
        <v>dull purple</v>
      </c>
      <c r="U57" s="3" t="str">
        <f t="shared" si="4"/>
        <v/>
      </c>
      <c r="V57" s="3" t="str">
        <f t="shared" si="5"/>
        <v/>
      </c>
      <c r="W57" s="3" t="str">
        <f t="shared" si="6"/>
        <v/>
      </c>
      <c r="X57" s="3" t="str">
        <f t="shared" si="7"/>
        <v/>
      </c>
      <c r="Y57" s="3" t="str">
        <f t="shared" si="8"/>
        <v/>
      </c>
      <c r="Z57" s="3" t="str">
        <f t="shared" si="9"/>
        <v/>
      </c>
      <c r="AA57" s="13">
        <f t="shared" si="10"/>
        <v>6357</v>
      </c>
      <c r="AB57" s="3">
        <f t="shared" si="11"/>
        <v>6356</v>
      </c>
      <c r="AC57" s="3">
        <f t="shared" si="12"/>
        <v>4</v>
      </c>
      <c r="AD57" s="3">
        <f t="shared" si="13"/>
        <v>1589</v>
      </c>
      <c r="AE57" s="3" t="str">
        <f t="shared" si="14"/>
        <v/>
      </c>
      <c r="AF57" s="3">
        <f t="shared" si="15"/>
        <v>0</v>
      </c>
      <c r="AG57" s="3" t="str">
        <f t="shared" si="16"/>
        <v/>
      </c>
      <c r="AH57" s="3">
        <f t="shared" si="17"/>
        <v>0</v>
      </c>
      <c r="AI57" s="3" t="str">
        <f t="shared" si="18"/>
        <v/>
      </c>
      <c r="AJ57" s="3">
        <f t="shared" si="19"/>
        <v>0</v>
      </c>
    </row>
    <row r="58">
      <c r="C58" s="6" t="s">
        <v>58</v>
      </c>
      <c r="D58" s="3">
        <f t="shared" si="1"/>
        <v>0</v>
      </c>
      <c r="E58" s="3" t="str">
        <f>IFERROR(__xludf.DUMMYFUNCTION("REGEXEXTRACT(C58,""[^ ]* [^ ]*"")"),"dim violet")</f>
        <v>dim violet</v>
      </c>
      <c r="F58" s="3" t="str">
        <f>IFERROR(__xludf.DUMMYFUNCTION("MID(REGEXEXTRACT(C58,""contain.*$""),9,300)"),"2 clear blue bags.")</f>
        <v>2 clear blue bags.</v>
      </c>
      <c r="G58" s="3" t="str">
        <f>IFERROR(__xludf.DUMMYFUNCTION("INDEX(SPLIT($F58,"",""),COLUMN()-6)"),"2 clear blue bags.")</f>
        <v>2 clear blue bags.</v>
      </c>
      <c r="H58" s="3" t="str">
        <f>IFERROR(__xludf.DUMMYFUNCTION("MID(INDEX(SPLIT($F58,"",""),COLUMN()-6),2,300)"),"#REF!")</f>
        <v>#REF!</v>
      </c>
      <c r="I58" s="3" t="str">
        <f>IFERROR(__xludf.DUMMYFUNCTION("MID(INDEX(SPLIT($F58,"",""),COLUMN()-6),2,300)"),"#REF!")</f>
        <v>#REF!</v>
      </c>
      <c r="J58" s="3" t="str">
        <f>IFERROR(__xludf.DUMMYFUNCTION("MID(INDEX(SPLIT($F58,"",""),COLUMN()-6),2,300)"),"#REF!")</f>
        <v>#REF!</v>
      </c>
      <c r="K58" s="3">
        <f>IFERROR(__xludf.DUMMYFUNCTION("INDEX(SPLIT(G58,"" ""),1)"),2.0)</f>
        <v>2</v>
      </c>
      <c r="L58" s="3" t="str">
        <f>IFERROR(__xludf.DUMMYFUNCTION("REGEXEXTRACT(G58,"" [^ ]* [^ ]* "")")," clear blue ")</f>
        <v> clear blue </v>
      </c>
      <c r="M58" s="3" t="str">
        <f>IFERROR(__xludf.DUMMYFUNCTION("INDEX(SPLIT(H58,"" ""),1)"),"#REF!")</f>
        <v>#REF!</v>
      </c>
      <c r="N58" s="3" t="str">
        <f>IFERROR(__xludf.DUMMYFUNCTION("MID(REGEXEXTRACT(H58,"" [^ ]* [^ ]*""),2,300)"),"#REF!")</f>
        <v>#REF!</v>
      </c>
      <c r="O58" s="3" t="str">
        <f>IFERROR(__xludf.DUMMYFUNCTION("INDEX(SPLIT(I58,"" ""),1)"),"#REF!")</f>
        <v>#REF!</v>
      </c>
      <c r="P58" s="3" t="str">
        <f>IFERROR(__xludf.DUMMYFUNCTION("MID(REGEXEXTRACT(I58,"" [^ ]* [^ ]*""),2,300)"),"#REF!")</f>
        <v>#REF!</v>
      </c>
      <c r="Q58" s="3" t="str">
        <f>IFERROR(__xludf.DUMMYFUNCTION("INDEX(SPLIT(J58,"" ""),1)"),"#REF!")</f>
        <v>#REF!</v>
      </c>
      <c r="R58" s="3" t="str">
        <f>IFERROR(__xludf.DUMMYFUNCTION("MID(REGEXEXTRACT(J58,"" [^ ]* [^ ]*""),2,300)"),"#REF!")</f>
        <v>#REF!</v>
      </c>
      <c r="S58" s="3">
        <f t="shared" si="2"/>
        <v>2</v>
      </c>
      <c r="T58" s="3" t="str">
        <f t="shared" si="3"/>
        <v>clear blue</v>
      </c>
      <c r="U58" s="3" t="str">
        <f t="shared" si="4"/>
        <v/>
      </c>
      <c r="V58" s="3" t="str">
        <f t="shared" si="5"/>
        <v/>
      </c>
      <c r="W58" s="3" t="str">
        <f t="shared" si="6"/>
        <v/>
      </c>
      <c r="X58" s="3" t="str">
        <f t="shared" si="7"/>
        <v/>
      </c>
      <c r="Y58" s="3" t="str">
        <f t="shared" si="8"/>
        <v/>
      </c>
      <c r="Z58" s="3" t="str">
        <f t="shared" si="9"/>
        <v/>
      </c>
      <c r="AA58" s="13">
        <f t="shared" si="10"/>
        <v>153</v>
      </c>
      <c r="AB58" s="3">
        <f t="shared" si="11"/>
        <v>152</v>
      </c>
      <c r="AC58" s="3">
        <f t="shared" si="12"/>
        <v>2</v>
      </c>
      <c r="AD58" s="3">
        <f t="shared" si="13"/>
        <v>76</v>
      </c>
      <c r="AE58" s="3" t="str">
        <f t="shared" si="14"/>
        <v/>
      </c>
      <c r="AF58" s="3">
        <f t="shared" si="15"/>
        <v>0</v>
      </c>
      <c r="AG58" s="3" t="str">
        <f t="shared" si="16"/>
        <v/>
      </c>
      <c r="AH58" s="3">
        <f t="shared" si="17"/>
        <v>0</v>
      </c>
      <c r="AI58" s="3" t="str">
        <f t="shared" si="18"/>
        <v/>
      </c>
      <c r="AJ58" s="3">
        <f t="shared" si="19"/>
        <v>0</v>
      </c>
    </row>
    <row r="59">
      <c r="C59" s="6" t="s">
        <v>59</v>
      </c>
      <c r="D59" s="3">
        <f t="shared" si="1"/>
        <v>2</v>
      </c>
      <c r="E59" s="3" t="str">
        <f>IFERROR(__xludf.DUMMYFUNCTION("REGEXEXTRACT(C59,""[^ ]* [^ ]*"")"),"wavy gray")</f>
        <v>wavy gray</v>
      </c>
      <c r="F59" s="3" t="str">
        <f>IFERROR(__xludf.DUMMYFUNCTION("MID(REGEXEXTRACT(C59,""contain.*$""),9,300)"),"4 muted crimson bags, 2 mirrored silver bags, 5 vibrant chartreuse bags.")</f>
        <v>4 muted crimson bags, 2 mirrored silver bags, 5 vibrant chartreuse bags.</v>
      </c>
      <c r="G59" s="3" t="str">
        <f>IFERROR(__xludf.DUMMYFUNCTION("INDEX(SPLIT($F59,"",""),COLUMN()-6)"),"4 muted crimson bags")</f>
        <v>4 muted crimson bags</v>
      </c>
      <c r="H59" s="3" t="str">
        <f>IFERROR(__xludf.DUMMYFUNCTION("MID(INDEX(SPLIT($F59,"",""),COLUMN()-6),2,300)"),"2 mirrored silver bags")</f>
        <v>2 mirrored silver bags</v>
      </c>
      <c r="I59" s="3" t="str">
        <f>IFERROR(__xludf.DUMMYFUNCTION("MID(INDEX(SPLIT($F59,"",""),COLUMN()-6),2,300)"),"5 vibrant chartreuse bags.")</f>
        <v>5 vibrant chartreuse bags.</v>
      </c>
      <c r="J59" s="3" t="str">
        <f>IFERROR(__xludf.DUMMYFUNCTION("MID(INDEX(SPLIT($F59,"",""),COLUMN()-6),2,300)"),"#REF!")</f>
        <v>#REF!</v>
      </c>
      <c r="K59" s="3">
        <f>IFERROR(__xludf.DUMMYFUNCTION("INDEX(SPLIT(G59,"" ""),1)"),4.0)</f>
        <v>4</v>
      </c>
      <c r="L59" s="3" t="str">
        <f>IFERROR(__xludf.DUMMYFUNCTION("REGEXEXTRACT(G59,"" [^ ]* [^ ]* "")")," muted crimson ")</f>
        <v> muted crimson </v>
      </c>
      <c r="M59" s="3">
        <f>IFERROR(__xludf.DUMMYFUNCTION("INDEX(SPLIT(H59,"" ""),1)"),2.0)</f>
        <v>2</v>
      </c>
      <c r="N59" s="3" t="str">
        <f>IFERROR(__xludf.DUMMYFUNCTION("MID(REGEXEXTRACT(H59,"" [^ ]* [^ ]*""),2,300)"),"mirrored silver")</f>
        <v>mirrored silver</v>
      </c>
      <c r="O59" s="3">
        <f>IFERROR(__xludf.DUMMYFUNCTION("INDEX(SPLIT(I59,"" ""),1)"),5.0)</f>
        <v>5</v>
      </c>
      <c r="P59" s="3" t="str">
        <f>IFERROR(__xludf.DUMMYFUNCTION("MID(REGEXEXTRACT(I59,"" [^ ]* [^ ]*""),2,300)"),"vibrant chartreuse")</f>
        <v>vibrant chartreuse</v>
      </c>
      <c r="Q59" s="3" t="str">
        <f>IFERROR(__xludf.DUMMYFUNCTION("INDEX(SPLIT(J59,"" ""),1)"),"#REF!")</f>
        <v>#REF!</v>
      </c>
      <c r="R59" s="3" t="str">
        <f>IFERROR(__xludf.DUMMYFUNCTION("MID(REGEXEXTRACT(J59,"" [^ ]* [^ ]*""),2,300)"),"#REF!")</f>
        <v>#REF!</v>
      </c>
      <c r="S59" s="3">
        <f t="shared" si="2"/>
        <v>4</v>
      </c>
      <c r="T59" s="3" t="str">
        <f t="shared" si="3"/>
        <v>muted crimson</v>
      </c>
      <c r="U59" s="3">
        <f t="shared" si="4"/>
        <v>2</v>
      </c>
      <c r="V59" s="3" t="str">
        <f t="shared" si="5"/>
        <v>mirrored silver</v>
      </c>
      <c r="W59" s="3">
        <f t="shared" si="6"/>
        <v>5</v>
      </c>
      <c r="X59" s="3" t="str">
        <f t="shared" si="7"/>
        <v>vibrant chartreuse</v>
      </c>
      <c r="Y59" s="3" t="str">
        <f t="shared" si="8"/>
        <v/>
      </c>
      <c r="Z59" s="3" t="str">
        <f t="shared" si="9"/>
        <v/>
      </c>
      <c r="AA59" s="13">
        <f t="shared" si="10"/>
        <v>3322</v>
      </c>
      <c r="AB59" s="3">
        <f t="shared" si="11"/>
        <v>3321</v>
      </c>
      <c r="AC59" s="3">
        <f t="shared" si="12"/>
        <v>4</v>
      </c>
      <c r="AD59" s="3">
        <f t="shared" si="13"/>
        <v>621</v>
      </c>
      <c r="AE59" s="3">
        <f t="shared" si="14"/>
        <v>2</v>
      </c>
      <c r="AF59" s="3">
        <f t="shared" si="15"/>
        <v>386</v>
      </c>
      <c r="AG59" s="3">
        <f t="shared" si="16"/>
        <v>5</v>
      </c>
      <c r="AH59" s="3">
        <f t="shared" si="17"/>
        <v>13</v>
      </c>
      <c r="AI59" s="3" t="str">
        <f t="shared" si="18"/>
        <v/>
      </c>
      <c r="AJ59" s="3">
        <f t="shared" si="19"/>
        <v>0</v>
      </c>
    </row>
    <row r="60">
      <c r="C60" s="6" t="s">
        <v>60</v>
      </c>
      <c r="D60" s="3">
        <f t="shared" si="1"/>
        <v>3</v>
      </c>
      <c r="E60" s="3" t="str">
        <f>IFERROR(__xludf.DUMMYFUNCTION("REGEXEXTRACT(C60,""[^ ]* [^ ]*"")"),"posh tan")</f>
        <v>posh tan</v>
      </c>
      <c r="F60" s="3" t="str">
        <f>IFERROR(__xludf.DUMMYFUNCTION("MID(REGEXEXTRACT(C60,""contain.*$""),9,300)"),"4 drab tan bags, 3 muted crimson bags, 2 striped crimson bags, 2 plaid fuchsia bags.")</f>
        <v>4 drab tan bags, 3 muted crimson bags, 2 striped crimson bags, 2 plaid fuchsia bags.</v>
      </c>
      <c r="G60" s="3" t="str">
        <f>IFERROR(__xludf.DUMMYFUNCTION("INDEX(SPLIT($F60,"",""),COLUMN()-6)"),"4 drab tan bags")</f>
        <v>4 drab tan bags</v>
      </c>
      <c r="H60" s="3" t="str">
        <f>IFERROR(__xludf.DUMMYFUNCTION("MID(INDEX(SPLIT($F60,"",""),COLUMN()-6),2,300)"),"3 muted crimson bags")</f>
        <v>3 muted crimson bags</v>
      </c>
      <c r="I60" s="3" t="str">
        <f>IFERROR(__xludf.DUMMYFUNCTION("MID(INDEX(SPLIT($F60,"",""),COLUMN()-6),2,300)"),"2 striped crimson bags")</f>
        <v>2 striped crimson bags</v>
      </c>
      <c r="J60" s="3" t="str">
        <f>IFERROR(__xludf.DUMMYFUNCTION("MID(INDEX(SPLIT($F60,"",""),COLUMN()-6),2,300)"),"2 plaid fuchsia bags.")</f>
        <v>2 plaid fuchsia bags.</v>
      </c>
      <c r="K60" s="3">
        <f>IFERROR(__xludf.DUMMYFUNCTION("INDEX(SPLIT(G60,"" ""),1)"),4.0)</f>
        <v>4</v>
      </c>
      <c r="L60" s="3" t="str">
        <f>IFERROR(__xludf.DUMMYFUNCTION("REGEXEXTRACT(G60,"" [^ ]* [^ ]* "")")," drab tan ")</f>
        <v> drab tan </v>
      </c>
      <c r="M60" s="3">
        <f>IFERROR(__xludf.DUMMYFUNCTION("INDEX(SPLIT(H60,"" ""),1)"),3.0)</f>
        <v>3</v>
      </c>
      <c r="N60" s="3" t="str">
        <f>IFERROR(__xludf.DUMMYFUNCTION("MID(REGEXEXTRACT(H60,"" [^ ]* [^ ]*""),2,300)"),"muted crimson")</f>
        <v>muted crimson</v>
      </c>
      <c r="O60" s="3">
        <f>IFERROR(__xludf.DUMMYFUNCTION("INDEX(SPLIT(I60,"" ""),1)"),2.0)</f>
        <v>2</v>
      </c>
      <c r="P60" s="3" t="str">
        <f>IFERROR(__xludf.DUMMYFUNCTION("MID(REGEXEXTRACT(I60,"" [^ ]* [^ ]*""),2,300)"),"striped crimson")</f>
        <v>striped crimson</v>
      </c>
      <c r="Q60" s="3">
        <f>IFERROR(__xludf.DUMMYFUNCTION("INDEX(SPLIT(J60,"" ""),1)"),2.0)</f>
        <v>2</v>
      </c>
      <c r="R60" s="3" t="str">
        <f>IFERROR(__xludf.DUMMYFUNCTION("MID(REGEXEXTRACT(J60,"" [^ ]* [^ ]*""),2,300)"),"plaid fuchsia")</f>
        <v>plaid fuchsia</v>
      </c>
      <c r="S60" s="3">
        <f t="shared" si="2"/>
        <v>4</v>
      </c>
      <c r="T60" s="3" t="str">
        <f t="shared" si="3"/>
        <v>drab tan</v>
      </c>
      <c r="U60" s="3">
        <f t="shared" si="4"/>
        <v>3</v>
      </c>
      <c r="V60" s="3" t="str">
        <f t="shared" si="5"/>
        <v>muted crimson</v>
      </c>
      <c r="W60" s="3">
        <f t="shared" si="6"/>
        <v>2</v>
      </c>
      <c r="X60" s="3" t="str">
        <f t="shared" si="7"/>
        <v>striped crimson</v>
      </c>
      <c r="Y60" s="3">
        <f t="shared" si="8"/>
        <v>2</v>
      </c>
      <c r="Z60" s="3" t="str">
        <f t="shared" si="9"/>
        <v>plaid fuchsia</v>
      </c>
      <c r="AA60" s="13">
        <f t="shared" si="10"/>
        <v>14432438</v>
      </c>
      <c r="AB60" s="3">
        <f t="shared" si="11"/>
        <v>14432437</v>
      </c>
      <c r="AC60" s="3">
        <f t="shared" si="12"/>
        <v>4</v>
      </c>
      <c r="AD60" s="3">
        <f t="shared" si="13"/>
        <v>3591437</v>
      </c>
      <c r="AE60" s="3">
        <f t="shared" si="14"/>
        <v>3</v>
      </c>
      <c r="AF60" s="3">
        <f t="shared" si="15"/>
        <v>621</v>
      </c>
      <c r="AG60" s="3">
        <f t="shared" si="16"/>
        <v>2</v>
      </c>
      <c r="AH60" s="3">
        <f t="shared" si="17"/>
        <v>32410</v>
      </c>
      <c r="AI60" s="3">
        <f t="shared" si="18"/>
        <v>2</v>
      </c>
      <c r="AJ60" s="3">
        <f t="shared" si="19"/>
        <v>3</v>
      </c>
    </row>
    <row r="61">
      <c r="C61" s="6" t="s">
        <v>61</v>
      </c>
      <c r="D61" s="3">
        <f t="shared" si="1"/>
        <v>0</v>
      </c>
      <c r="E61" s="3" t="str">
        <f>IFERROR(__xludf.DUMMYFUNCTION("REGEXEXTRACT(C61,""[^ ]* [^ ]*"")"),"mirrored magenta")</f>
        <v>mirrored magenta</v>
      </c>
      <c r="F61" s="3" t="str">
        <f>IFERROR(__xludf.DUMMYFUNCTION("MID(REGEXEXTRACT(C61,""contain.*$""),9,300)"),"5 pale bronze bags.")</f>
        <v>5 pale bronze bags.</v>
      </c>
      <c r="G61" s="3" t="str">
        <f>IFERROR(__xludf.DUMMYFUNCTION("INDEX(SPLIT($F61,"",""),COLUMN()-6)"),"5 pale bronze bags.")</f>
        <v>5 pale bronze bags.</v>
      </c>
      <c r="H61" s="3" t="str">
        <f>IFERROR(__xludf.DUMMYFUNCTION("MID(INDEX(SPLIT($F61,"",""),COLUMN()-6),2,300)"),"#REF!")</f>
        <v>#REF!</v>
      </c>
      <c r="I61" s="3" t="str">
        <f>IFERROR(__xludf.DUMMYFUNCTION("MID(INDEX(SPLIT($F61,"",""),COLUMN()-6),2,300)"),"#REF!")</f>
        <v>#REF!</v>
      </c>
      <c r="J61" s="3" t="str">
        <f>IFERROR(__xludf.DUMMYFUNCTION("MID(INDEX(SPLIT($F61,"",""),COLUMN()-6),2,300)"),"#REF!")</f>
        <v>#REF!</v>
      </c>
      <c r="K61" s="3">
        <f>IFERROR(__xludf.DUMMYFUNCTION("INDEX(SPLIT(G61,"" ""),1)"),5.0)</f>
        <v>5</v>
      </c>
      <c r="L61" s="3" t="str">
        <f>IFERROR(__xludf.DUMMYFUNCTION("REGEXEXTRACT(G61,"" [^ ]* [^ ]* "")")," pale bronze ")</f>
        <v> pale bronze </v>
      </c>
      <c r="M61" s="3" t="str">
        <f>IFERROR(__xludf.DUMMYFUNCTION("INDEX(SPLIT(H61,"" ""),1)"),"#REF!")</f>
        <v>#REF!</v>
      </c>
      <c r="N61" s="3" t="str">
        <f>IFERROR(__xludf.DUMMYFUNCTION("MID(REGEXEXTRACT(H61,"" [^ ]* [^ ]*""),2,300)"),"#REF!")</f>
        <v>#REF!</v>
      </c>
      <c r="O61" s="3" t="str">
        <f>IFERROR(__xludf.DUMMYFUNCTION("INDEX(SPLIT(I61,"" ""),1)"),"#REF!")</f>
        <v>#REF!</v>
      </c>
      <c r="P61" s="3" t="str">
        <f>IFERROR(__xludf.DUMMYFUNCTION("MID(REGEXEXTRACT(I61,"" [^ ]* [^ ]*""),2,300)"),"#REF!")</f>
        <v>#REF!</v>
      </c>
      <c r="Q61" s="3" t="str">
        <f>IFERROR(__xludf.DUMMYFUNCTION("INDEX(SPLIT(J61,"" ""),1)"),"#REF!")</f>
        <v>#REF!</v>
      </c>
      <c r="R61" s="3" t="str">
        <f>IFERROR(__xludf.DUMMYFUNCTION("MID(REGEXEXTRACT(J61,"" [^ ]* [^ ]*""),2,300)"),"#REF!")</f>
        <v>#REF!</v>
      </c>
      <c r="S61" s="3">
        <f t="shared" si="2"/>
        <v>5</v>
      </c>
      <c r="T61" s="3" t="str">
        <f t="shared" si="3"/>
        <v>pale bronze</v>
      </c>
      <c r="U61" s="3" t="str">
        <f t="shared" si="4"/>
        <v/>
      </c>
      <c r="V61" s="3" t="str">
        <f t="shared" si="5"/>
        <v/>
      </c>
      <c r="W61" s="3" t="str">
        <f t="shared" si="6"/>
        <v/>
      </c>
      <c r="X61" s="3" t="str">
        <f t="shared" si="7"/>
        <v/>
      </c>
      <c r="Y61" s="3" t="str">
        <f t="shared" si="8"/>
        <v/>
      </c>
      <c r="Z61" s="3" t="str">
        <f t="shared" si="9"/>
        <v/>
      </c>
      <c r="AA61" s="13">
        <f t="shared" si="10"/>
        <v>8971</v>
      </c>
      <c r="AB61" s="3">
        <f t="shared" si="11"/>
        <v>8970</v>
      </c>
      <c r="AC61" s="3">
        <f t="shared" si="12"/>
        <v>5</v>
      </c>
      <c r="AD61" s="3">
        <f t="shared" si="13"/>
        <v>1794</v>
      </c>
      <c r="AE61" s="3" t="str">
        <f t="shared" si="14"/>
        <v/>
      </c>
      <c r="AF61" s="3">
        <f t="shared" si="15"/>
        <v>0</v>
      </c>
      <c r="AG61" s="3" t="str">
        <f t="shared" si="16"/>
        <v/>
      </c>
      <c r="AH61" s="3">
        <f t="shared" si="17"/>
        <v>0</v>
      </c>
      <c r="AI61" s="3" t="str">
        <f t="shared" si="18"/>
        <v/>
      </c>
      <c r="AJ61" s="3">
        <f t="shared" si="19"/>
        <v>0</v>
      </c>
    </row>
    <row r="62">
      <c r="C62" s="6" t="s">
        <v>62</v>
      </c>
      <c r="D62" s="3">
        <f t="shared" si="1"/>
        <v>0</v>
      </c>
      <c r="E62" s="3" t="str">
        <f>IFERROR(__xludf.DUMMYFUNCTION("REGEXEXTRACT(C62,""[^ ]* [^ ]*"")"),"plaid brown")</f>
        <v>plaid brown</v>
      </c>
      <c r="F62" s="3" t="str">
        <f>IFERROR(__xludf.DUMMYFUNCTION("MID(REGEXEXTRACT(C62,""contain.*$""),9,300)"),"1 bright chartreuse bag.")</f>
        <v>1 bright chartreuse bag.</v>
      </c>
      <c r="G62" s="3" t="str">
        <f>IFERROR(__xludf.DUMMYFUNCTION("INDEX(SPLIT($F62,"",""),COLUMN()-6)"),"1 bright chartreuse bag.")</f>
        <v>1 bright chartreuse bag.</v>
      </c>
      <c r="H62" s="3" t="str">
        <f>IFERROR(__xludf.DUMMYFUNCTION("MID(INDEX(SPLIT($F62,"",""),COLUMN()-6),2,300)"),"#REF!")</f>
        <v>#REF!</v>
      </c>
      <c r="I62" s="3" t="str">
        <f>IFERROR(__xludf.DUMMYFUNCTION("MID(INDEX(SPLIT($F62,"",""),COLUMN()-6),2,300)"),"#REF!")</f>
        <v>#REF!</v>
      </c>
      <c r="J62" s="3" t="str">
        <f>IFERROR(__xludf.DUMMYFUNCTION("MID(INDEX(SPLIT($F62,"",""),COLUMN()-6),2,300)"),"#REF!")</f>
        <v>#REF!</v>
      </c>
      <c r="K62" s="3">
        <f>IFERROR(__xludf.DUMMYFUNCTION("INDEX(SPLIT(G62,"" ""),1)"),1.0)</f>
        <v>1</v>
      </c>
      <c r="L62" s="3" t="str">
        <f>IFERROR(__xludf.DUMMYFUNCTION("REGEXEXTRACT(G62,"" [^ ]* [^ ]* "")")," bright chartreuse ")</f>
        <v> bright chartreuse </v>
      </c>
      <c r="M62" s="3" t="str">
        <f>IFERROR(__xludf.DUMMYFUNCTION("INDEX(SPLIT(H62,"" ""),1)"),"#REF!")</f>
        <v>#REF!</v>
      </c>
      <c r="N62" s="3" t="str">
        <f>IFERROR(__xludf.DUMMYFUNCTION("MID(REGEXEXTRACT(H62,"" [^ ]* [^ ]*""),2,300)"),"#REF!")</f>
        <v>#REF!</v>
      </c>
      <c r="O62" s="3" t="str">
        <f>IFERROR(__xludf.DUMMYFUNCTION("INDEX(SPLIT(I62,"" ""),1)"),"#REF!")</f>
        <v>#REF!</v>
      </c>
      <c r="P62" s="3" t="str">
        <f>IFERROR(__xludf.DUMMYFUNCTION("MID(REGEXEXTRACT(I62,"" [^ ]* [^ ]*""),2,300)"),"#REF!")</f>
        <v>#REF!</v>
      </c>
      <c r="Q62" s="3" t="str">
        <f>IFERROR(__xludf.DUMMYFUNCTION("INDEX(SPLIT(J62,"" ""),1)"),"#REF!")</f>
        <v>#REF!</v>
      </c>
      <c r="R62" s="3" t="str">
        <f>IFERROR(__xludf.DUMMYFUNCTION("MID(REGEXEXTRACT(J62,"" [^ ]* [^ ]*""),2,300)"),"#REF!")</f>
        <v>#REF!</v>
      </c>
      <c r="S62" s="3">
        <f t="shared" si="2"/>
        <v>1</v>
      </c>
      <c r="T62" s="3" t="str">
        <f t="shared" si="3"/>
        <v>bright chartreuse</v>
      </c>
      <c r="U62" s="3" t="str">
        <f t="shared" si="4"/>
        <v/>
      </c>
      <c r="V62" s="3" t="str">
        <f t="shared" si="5"/>
        <v/>
      </c>
      <c r="W62" s="3" t="str">
        <f t="shared" si="6"/>
        <v/>
      </c>
      <c r="X62" s="3" t="str">
        <f t="shared" si="7"/>
        <v/>
      </c>
      <c r="Y62" s="3" t="str">
        <f t="shared" si="8"/>
        <v/>
      </c>
      <c r="Z62" s="3" t="str">
        <f t="shared" si="9"/>
        <v/>
      </c>
      <c r="AA62" s="13">
        <f t="shared" si="10"/>
        <v>132605</v>
      </c>
      <c r="AB62" s="3">
        <f t="shared" si="11"/>
        <v>132604</v>
      </c>
      <c r="AC62" s="3">
        <f t="shared" si="12"/>
        <v>1</v>
      </c>
      <c r="AD62" s="3">
        <f t="shared" si="13"/>
        <v>132604</v>
      </c>
      <c r="AE62" s="3" t="str">
        <f t="shared" si="14"/>
        <v/>
      </c>
      <c r="AF62" s="3">
        <f t="shared" si="15"/>
        <v>0</v>
      </c>
      <c r="AG62" s="3" t="str">
        <f t="shared" si="16"/>
        <v/>
      </c>
      <c r="AH62" s="3">
        <f t="shared" si="17"/>
        <v>0</v>
      </c>
      <c r="AI62" s="3" t="str">
        <f t="shared" si="18"/>
        <v/>
      </c>
      <c r="AJ62" s="3">
        <f t="shared" si="19"/>
        <v>0</v>
      </c>
    </row>
    <row r="63">
      <c r="C63" s="6" t="s">
        <v>63</v>
      </c>
      <c r="D63" s="3">
        <f t="shared" si="1"/>
        <v>2</v>
      </c>
      <c r="E63" s="3" t="str">
        <f>IFERROR(__xludf.DUMMYFUNCTION("REGEXEXTRACT(C63,""[^ ]* [^ ]*"")"),"drab orange")</f>
        <v>drab orange</v>
      </c>
      <c r="F63" s="3" t="str">
        <f>IFERROR(__xludf.DUMMYFUNCTION("MID(REGEXEXTRACT(C63,""contain.*$""),9,300)"),"4 drab teal bags, 1 dark bronze bag, 2 clear purple bags.")</f>
        <v>4 drab teal bags, 1 dark bronze bag, 2 clear purple bags.</v>
      </c>
      <c r="G63" s="3" t="str">
        <f>IFERROR(__xludf.DUMMYFUNCTION("INDEX(SPLIT($F63,"",""),COLUMN()-6)"),"4 drab teal bags")</f>
        <v>4 drab teal bags</v>
      </c>
      <c r="H63" s="3" t="str">
        <f>IFERROR(__xludf.DUMMYFUNCTION("MID(INDEX(SPLIT($F63,"",""),COLUMN()-6),2,300)"),"1 dark bronze bag")</f>
        <v>1 dark bronze bag</v>
      </c>
      <c r="I63" s="3" t="str">
        <f>IFERROR(__xludf.DUMMYFUNCTION("MID(INDEX(SPLIT($F63,"",""),COLUMN()-6),2,300)"),"2 clear purple bags.")</f>
        <v>2 clear purple bags.</v>
      </c>
      <c r="J63" s="3" t="str">
        <f>IFERROR(__xludf.DUMMYFUNCTION("MID(INDEX(SPLIT($F63,"",""),COLUMN()-6),2,300)"),"#REF!")</f>
        <v>#REF!</v>
      </c>
      <c r="K63" s="3">
        <f>IFERROR(__xludf.DUMMYFUNCTION("INDEX(SPLIT(G63,"" ""),1)"),4.0)</f>
        <v>4</v>
      </c>
      <c r="L63" s="3" t="str">
        <f>IFERROR(__xludf.DUMMYFUNCTION("REGEXEXTRACT(G63,"" [^ ]* [^ ]* "")")," drab teal ")</f>
        <v> drab teal </v>
      </c>
      <c r="M63" s="3">
        <f>IFERROR(__xludf.DUMMYFUNCTION("INDEX(SPLIT(H63,"" ""),1)"),1.0)</f>
        <v>1</v>
      </c>
      <c r="N63" s="3" t="str">
        <f>IFERROR(__xludf.DUMMYFUNCTION("MID(REGEXEXTRACT(H63,"" [^ ]* [^ ]*""),2,300)"),"dark bronze")</f>
        <v>dark bronze</v>
      </c>
      <c r="O63" s="3">
        <f>IFERROR(__xludf.DUMMYFUNCTION("INDEX(SPLIT(I63,"" ""),1)"),2.0)</f>
        <v>2</v>
      </c>
      <c r="P63" s="3" t="str">
        <f>IFERROR(__xludf.DUMMYFUNCTION("MID(REGEXEXTRACT(I63,"" [^ ]* [^ ]*""),2,300)"),"clear purple")</f>
        <v>clear purple</v>
      </c>
      <c r="Q63" s="3" t="str">
        <f>IFERROR(__xludf.DUMMYFUNCTION("INDEX(SPLIT(J63,"" ""),1)"),"#REF!")</f>
        <v>#REF!</v>
      </c>
      <c r="R63" s="3" t="str">
        <f>IFERROR(__xludf.DUMMYFUNCTION("MID(REGEXEXTRACT(J63,"" [^ ]* [^ ]*""),2,300)"),"#REF!")</f>
        <v>#REF!</v>
      </c>
      <c r="S63" s="3">
        <f t="shared" si="2"/>
        <v>4</v>
      </c>
      <c r="T63" s="3" t="str">
        <f t="shared" si="3"/>
        <v>drab teal</v>
      </c>
      <c r="U63" s="3">
        <f t="shared" si="4"/>
        <v>1</v>
      </c>
      <c r="V63" s="3" t="str">
        <f t="shared" si="5"/>
        <v>dark bronze</v>
      </c>
      <c r="W63" s="3">
        <f t="shared" si="6"/>
        <v>2</v>
      </c>
      <c r="X63" s="3" t="str">
        <f t="shared" si="7"/>
        <v>clear purple</v>
      </c>
      <c r="Y63" s="3" t="str">
        <f t="shared" si="8"/>
        <v/>
      </c>
      <c r="Z63" s="3" t="str">
        <f t="shared" si="9"/>
        <v/>
      </c>
      <c r="AA63" s="13">
        <f t="shared" si="10"/>
        <v>35061170</v>
      </c>
      <c r="AB63" s="3">
        <f t="shared" si="11"/>
        <v>35061169</v>
      </c>
      <c r="AC63" s="3">
        <f t="shared" si="12"/>
        <v>4</v>
      </c>
      <c r="AD63" s="3">
        <f t="shared" si="13"/>
        <v>40693</v>
      </c>
      <c r="AE63" s="3">
        <f t="shared" si="14"/>
        <v>1</v>
      </c>
      <c r="AF63" s="3">
        <f t="shared" si="15"/>
        <v>14835</v>
      </c>
      <c r="AG63" s="3">
        <f t="shared" si="16"/>
        <v>2</v>
      </c>
      <c r="AH63" s="3">
        <f t="shared" si="17"/>
        <v>17441781</v>
      </c>
      <c r="AI63" s="3" t="str">
        <f t="shared" si="18"/>
        <v/>
      </c>
      <c r="AJ63" s="3">
        <f t="shared" si="19"/>
        <v>0</v>
      </c>
    </row>
    <row r="64">
      <c r="C64" s="6" t="s">
        <v>64</v>
      </c>
      <c r="D64" s="3">
        <f t="shared" si="1"/>
        <v>1</v>
      </c>
      <c r="E64" s="3" t="str">
        <f>IFERROR(__xludf.DUMMYFUNCTION("REGEXEXTRACT(C64,""[^ ]* [^ ]*"")"),"dim green")</f>
        <v>dim green</v>
      </c>
      <c r="F64" s="3" t="str">
        <f>IFERROR(__xludf.DUMMYFUNCTION("MID(REGEXEXTRACT(C64,""contain.*$""),9,300)"),"5 dull maroon bags, 1 dull green bag.")</f>
        <v>5 dull maroon bags, 1 dull green bag.</v>
      </c>
      <c r="G64" s="3" t="str">
        <f>IFERROR(__xludf.DUMMYFUNCTION("INDEX(SPLIT($F64,"",""),COLUMN()-6)"),"5 dull maroon bags")</f>
        <v>5 dull maroon bags</v>
      </c>
      <c r="H64" s="3" t="str">
        <f>IFERROR(__xludf.DUMMYFUNCTION("MID(INDEX(SPLIT($F64,"",""),COLUMN()-6),2,300)"),"1 dull green bag.")</f>
        <v>1 dull green bag.</v>
      </c>
      <c r="I64" s="3" t="str">
        <f>IFERROR(__xludf.DUMMYFUNCTION("MID(INDEX(SPLIT($F64,"",""),COLUMN()-6),2,300)"),"#REF!")</f>
        <v>#REF!</v>
      </c>
      <c r="J64" s="3" t="str">
        <f>IFERROR(__xludf.DUMMYFUNCTION("MID(INDEX(SPLIT($F64,"",""),COLUMN()-6),2,300)"),"#REF!")</f>
        <v>#REF!</v>
      </c>
      <c r="K64" s="3">
        <f>IFERROR(__xludf.DUMMYFUNCTION("INDEX(SPLIT(G64,"" ""),1)"),5.0)</f>
        <v>5</v>
      </c>
      <c r="L64" s="3" t="str">
        <f>IFERROR(__xludf.DUMMYFUNCTION("REGEXEXTRACT(G64,"" [^ ]* [^ ]* "")")," dull maroon ")</f>
        <v> dull maroon </v>
      </c>
      <c r="M64" s="3">
        <f>IFERROR(__xludf.DUMMYFUNCTION("INDEX(SPLIT(H64,"" ""),1)"),1.0)</f>
        <v>1</v>
      </c>
      <c r="N64" s="3" t="str">
        <f>IFERROR(__xludf.DUMMYFUNCTION("MID(REGEXEXTRACT(H64,"" [^ ]* [^ ]*""),2,300)"),"dull green")</f>
        <v>dull green</v>
      </c>
      <c r="O64" s="3" t="str">
        <f>IFERROR(__xludf.DUMMYFUNCTION("INDEX(SPLIT(I64,"" ""),1)"),"#REF!")</f>
        <v>#REF!</v>
      </c>
      <c r="P64" s="3" t="str">
        <f>IFERROR(__xludf.DUMMYFUNCTION("MID(REGEXEXTRACT(I64,"" [^ ]* [^ ]*""),2,300)"),"#REF!")</f>
        <v>#REF!</v>
      </c>
      <c r="Q64" s="3" t="str">
        <f>IFERROR(__xludf.DUMMYFUNCTION("INDEX(SPLIT(J64,"" ""),1)"),"#REF!")</f>
        <v>#REF!</v>
      </c>
      <c r="R64" s="3" t="str">
        <f>IFERROR(__xludf.DUMMYFUNCTION("MID(REGEXEXTRACT(J64,"" [^ ]* [^ ]*""),2,300)"),"#REF!")</f>
        <v>#REF!</v>
      </c>
      <c r="S64" s="3">
        <f t="shared" si="2"/>
        <v>5</v>
      </c>
      <c r="T64" s="3" t="str">
        <f t="shared" si="3"/>
        <v>dull maroon</v>
      </c>
      <c r="U64" s="3">
        <f t="shared" si="4"/>
        <v>1</v>
      </c>
      <c r="V64" s="3" t="str">
        <f t="shared" si="5"/>
        <v>dull green</v>
      </c>
      <c r="W64" s="3" t="str">
        <f t="shared" si="6"/>
        <v/>
      </c>
      <c r="X64" s="3" t="str">
        <f t="shared" si="7"/>
        <v/>
      </c>
      <c r="Y64" s="3" t="str">
        <f t="shared" si="8"/>
        <v/>
      </c>
      <c r="Z64" s="3" t="str">
        <f t="shared" si="9"/>
        <v/>
      </c>
      <c r="AA64" s="13">
        <f t="shared" si="10"/>
        <v>1129802</v>
      </c>
      <c r="AB64" s="3">
        <f t="shared" si="11"/>
        <v>1129801</v>
      </c>
      <c r="AC64" s="3">
        <f t="shared" si="12"/>
        <v>5</v>
      </c>
      <c r="AD64" s="3">
        <f t="shared" si="13"/>
        <v>11485</v>
      </c>
      <c r="AE64" s="3">
        <f t="shared" si="14"/>
        <v>1</v>
      </c>
      <c r="AF64" s="3">
        <f t="shared" si="15"/>
        <v>1072376</v>
      </c>
      <c r="AG64" s="3" t="str">
        <f t="shared" si="16"/>
        <v/>
      </c>
      <c r="AH64" s="3">
        <f t="shared" si="17"/>
        <v>0</v>
      </c>
      <c r="AI64" s="3" t="str">
        <f t="shared" si="18"/>
        <v/>
      </c>
      <c r="AJ64" s="3">
        <f t="shared" si="19"/>
        <v>0</v>
      </c>
    </row>
    <row r="65">
      <c r="C65" s="6" t="s">
        <v>65</v>
      </c>
      <c r="D65" s="3">
        <f t="shared" si="1"/>
        <v>2</v>
      </c>
      <c r="E65" s="3" t="str">
        <f>IFERROR(__xludf.DUMMYFUNCTION("REGEXEXTRACT(C65,""[^ ]* [^ ]*"")"),"faded teal")</f>
        <v>faded teal</v>
      </c>
      <c r="F65" s="3" t="str">
        <f>IFERROR(__xludf.DUMMYFUNCTION("MID(REGEXEXTRACT(C65,""contain.*$""),9,300)"),"2 bright yellow bags, 2 posh red bags, 2 posh indigo bags.")</f>
        <v>2 bright yellow bags, 2 posh red bags, 2 posh indigo bags.</v>
      </c>
      <c r="G65" s="3" t="str">
        <f>IFERROR(__xludf.DUMMYFUNCTION("INDEX(SPLIT($F65,"",""),COLUMN()-6)"),"2 bright yellow bags")</f>
        <v>2 bright yellow bags</v>
      </c>
      <c r="H65" s="3" t="str">
        <f>IFERROR(__xludf.DUMMYFUNCTION("MID(INDEX(SPLIT($F65,"",""),COLUMN()-6),2,300)"),"2 posh red bags")</f>
        <v>2 posh red bags</v>
      </c>
      <c r="I65" s="3" t="str">
        <f>IFERROR(__xludf.DUMMYFUNCTION("MID(INDEX(SPLIT($F65,"",""),COLUMN()-6),2,300)"),"2 posh indigo bags.")</f>
        <v>2 posh indigo bags.</v>
      </c>
      <c r="J65" s="3" t="str">
        <f>IFERROR(__xludf.DUMMYFUNCTION("MID(INDEX(SPLIT($F65,"",""),COLUMN()-6),2,300)"),"#REF!")</f>
        <v>#REF!</v>
      </c>
      <c r="K65" s="3">
        <f>IFERROR(__xludf.DUMMYFUNCTION("INDEX(SPLIT(G65,"" ""),1)"),2.0)</f>
        <v>2</v>
      </c>
      <c r="L65" s="3" t="str">
        <f>IFERROR(__xludf.DUMMYFUNCTION("REGEXEXTRACT(G65,"" [^ ]* [^ ]* "")")," bright yellow ")</f>
        <v> bright yellow </v>
      </c>
      <c r="M65" s="3">
        <f>IFERROR(__xludf.DUMMYFUNCTION("INDEX(SPLIT(H65,"" ""),1)"),2.0)</f>
        <v>2</v>
      </c>
      <c r="N65" s="3" t="str">
        <f>IFERROR(__xludf.DUMMYFUNCTION("MID(REGEXEXTRACT(H65,"" [^ ]* [^ ]*""),2,300)"),"posh red")</f>
        <v>posh red</v>
      </c>
      <c r="O65" s="3">
        <f>IFERROR(__xludf.DUMMYFUNCTION("INDEX(SPLIT(I65,"" ""),1)"),2.0)</f>
        <v>2</v>
      </c>
      <c r="P65" s="3" t="str">
        <f>IFERROR(__xludf.DUMMYFUNCTION("MID(REGEXEXTRACT(I65,"" [^ ]* [^ ]*""),2,300)"),"posh indigo")</f>
        <v>posh indigo</v>
      </c>
      <c r="Q65" s="3" t="str">
        <f>IFERROR(__xludf.DUMMYFUNCTION("INDEX(SPLIT(J65,"" ""),1)"),"#REF!")</f>
        <v>#REF!</v>
      </c>
      <c r="R65" s="3" t="str">
        <f>IFERROR(__xludf.DUMMYFUNCTION("MID(REGEXEXTRACT(J65,"" [^ ]* [^ ]*""),2,300)"),"#REF!")</f>
        <v>#REF!</v>
      </c>
      <c r="S65" s="3">
        <f t="shared" si="2"/>
        <v>2</v>
      </c>
      <c r="T65" s="3" t="str">
        <f t="shared" si="3"/>
        <v>bright yellow</v>
      </c>
      <c r="U65" s="3">
        <f t="shared" si="4"/>
        <v>2</v>
      </c>
      <c r="V65" s="3" t="str">
        <f t="shared" si="5"/>
        <v>posh red</v>
      </c>
      <c r="W65" s="3">
        <f t="shared" si="6"/>
        <v>2</v>
      </c>
      <c r="X65" s="3" t="str">
        <f t="shared" si="7"/>
        <v>posh indigo</v>
      </c>
      <c r="Y65" s="3" t="str">
        <f t="shared" si="8"/>
        <v/>
      </c>
      <c r="Z65" s="3" t="str">
        <f t="shared" si="9"/>
        <v/>
      </c>
      <c r="AA65" s="13">
        <f t="shared" si="10"/>
        <v>14000733</v>
      </c>
      <c r="AB65" s="3">
        <f t="shared" si="11"/>
        <v>14000732</v>
      </c>
      <c r="AC65" s="3">
        <f t="shared" si="12"/>
        <v>2</v>
      </c>
      <c r="AD65" s="3">
        <f t="shared" si="13"/>
        <v>6312865</v>
      </c>
      <c r="AE65" s="3">
        <f t="shared" si="14"/>
        <v>2</v>
      </c>
      <c r="AF65" s="3">
        <f t="shared" si="15"/>
        <v>367934</v>
      </c>
      <c r="AG65" s="3">
        <f t="shared" si="16"/>
        <v>2</v>
      </c>
      <c r="AH65" s="3">
        <f t="shared" si="17"/>
        <v>319567</v>
      </c>
      <c r="AI65" s="3" t="str">
        <f t="shared" si="18"/>
        <v/>
      </c>
      <c r="AJ65" s="3">
        <f t="shared" si="19"/>
        <v>0</v>
      </c>
    </row>
    <row r="66">
      <c r="C66" s="6" t="s">
        <v>66</v>
      </c>
      <c r="D66" s="3">
        <f t="shared" si="1"/>
        <v>2</v>
      </c>
      <c r="E66" s="3" t="str">
        <f>IFERROR(__xludf.DUMMYFUNCTION("REGEXEXTRACT(C66,""[^ ]* [^ ]*"")"),"dim gray")</f>
        <v>dim gray</v>
      </c>
      <c r="F66" s="3" t="str">
        <f>IFERROR(__xludf.DUMMYFUNCTION("MID(REGEXEXTRACT(C66,""contain.*$""),9,300)"),"4 wavy blue bags, 2 shiny maroon bags, 1 pale cyan bag.")</f>
        <v>4 wavy blue bags, 2 shiny maroon bags, 1 pale cyan bag.</v>
      </c>
      <c r="G66" s="3" t="str">
        <f>IFERROR(__xludf.DUMMYFUNCTION("INDEX(SPLIT($F66,"",""),COLUMN()-6)"),"4 wavy blue bags")</f>
        <v>4 wavy blue bags</v>
      </c>
      <c r="H66" s="3" t="str">
        <f>IFERROR(__xludf.DUMMYFUNCTION("MID(INDEX(SPLIT($F66,"",""),COLUMN()-6),2,300)"),"2 shiny maroon bags")</f>
        <v>2 shiny maroon bags</v>
      </c>
      <c r="I66" s="3" t="str">
        <f>IFERROR(__xludf.DUMMYFUNCTION("MID(INDEX(SPLIT($F66,"",""),COLUMN()-6),2,300)"),"1 pale cyan bag.")</f>
        <v>1 pale cyan bag.</v>
      </c>
      <c r="J66" s="3" t="str">
        <f>IFERROR(__xludf.DUMMYFUNCTION("MID(INDEX(SPLIT($F66,"",""),COLUMN()-6),2,300)"),"#REF!")</f>
        <v>#REF!</v>
      </c>
      <c r="K66" s="3">
        <f>IFERROR(__xludf.DUMMYFUNCTION("INDEX(SPLIT(G66,"" ""),1)"),4.0)</f>
        <v>4</v>
      </c>
      <c r="L66" s="3" t="str">
        <f>IFERROR(__xludf.DUMMYFUNCTION("REGEXEXTRACT(G66,"" [^ ]* [^ ]* "")")," wavy blue ")</f>
        <v> wavy blue </v>
      </c>
      <c r="M66" s="3">
        <f>IFERROR(__xludf.DUMMYFUNCTION("INDEX(SPLIT(H66,"" ""),1)"),2.0)</f>
        <v>2</v>
      </c>
      <c r="N66" s="3" t="str">
        <f>IFERROR(__xludf.DUMMYFUNCTION("MID(REGEXEXTRACT(H66,"" [^ ]* [^ ]*""),2,300)"),"shiny maroon")</f>
        <v>shiny maroon</v>
      </c>
      <c r="O66" s="3">
        <f>IFERROR(__xludf.DUMMYFUNCTION("INDEX(SPLIT(I66,"" ""),1)"),1.0)</f>
        <v>1</v>
      </c>
      <c r="P66" s="3" t="str">
        <f>IFERROR(__xludf.DUMMYFUNCTION("MID(REGEXEXTRACT(I66,"" [^ ]* [^ ]*""),2,300)"),"pale cyan")</f>
        <v>pale cyan</v>
      </c>
      <c r="Q66" s="3" t="str">
        <f>IFERROR(__xludf.DUMMYFUNCTION("INDEX(SPLIT(J66,"" ""),1)"),"#REF!")</f>
        <v>#REF!</v>
      </c>
      <c r="R66" s="3" t="str">
        <f>IFERROR(__xludf.DUMMYFUNCTION("MID(REGEXEXTRACT(J66,"" [^ ]* [^ ]*""),2,300)"),"#REF!")</f>
        <v>#REF!</v>
      </c>
      <c r="S66" s="3">
        <f t="shared" si="2"/>
        <v>4</v>
      </c>
      <c r="T66" s="3" t="str">
        <f t="shared" si="3"/>
        <v>wavy blue</v>
      </c>
      <c r="U66" s="3">
        <f t="shared" si="4"/>
        <v>2</v>
      </c>
      <c r="V66" s="3" t="str">
        <f t="shared" si="5"/>
        <v>shiny maroon</v>
      </c>
      <c r="W66" s="3">
        <f t="shared" si="6"/>
        <v>1</v>
      </c>
      <c r="X66" s="3" t="str">
        <f t="shared" si="7"/>
        <v>pale cyan</v>
      </c>
      <c r="Y66" s="3" t="str">
        <f t="shared" si="8"/>
        <v/>
      </c>
      <c r="Z66" s="3" t="str">
        <f t="shared" si="9"/>
        <v/>
      </c>
      <c r="AA66" s="13">
        <f t="shared" si="10"/>
        <v>227276525</v>
      </c>
      <c r="AB66" s="3">
        <f t="shared" si="11"/>
        <v>227276524</v>
      </c>
      <c r="AC66" s="3">
        <f t="shared" si="12"/>
        <v>4</v>
      </c>
      <c r="AD66" s="3">
        <f t="shared" si="13"/>
        <v>42954399</v>
      </c>
      <c r="AE66" s="3">
        <f t="shared" si="14"/>
        <v>2</v>
      </c>
      <c r="AF66" s="3">
        <f t="shared" si="15"/>
        <v>557022</v>
      </c>
      <c r="AG66" s="3">
        <f t="shared" si="16"/>
        <v>1</v>
      </c>
      <c r="AH66" s="3">
        <f t="shared" si="17"/>
        <v>54344884</v>
      </c>
      <c r="AI66" s="3" t="str">
        <f t="shared" si="18"/>
        <v/>
      </c>
      <c r="AJ66" s="3">
        <f t="shared" si="19"/>
        <v>0</v>
      </c>
    </row>
    <row r="67">
      <c r="C67" s="6" t="s">
        <v>67</v>
      </c>
      <c r="D67" s="3">
        <f t="shared" si="1"/>
        <v>3</v>
      </c>
      <c r="E67" s="3" t="str">
        <f>IFERROR(__xludf.DUMMYFUNCTION("REGEXEXTRACT(C67,""[^ ]* [^ ]*"")"),"light crimson")</f>
        <v>light crimson</v>
      </c>
      <c r="F67" s="3" t="str">
        <f>IFERROR(__xludf.DUMMYFUNCTION("MID(REGEXEXTRACT(C67,""contain.*$""),9,300)"),"1 wavy plum bag, 3 muted magenta bags, 3 plaid aqua bags, 2 striped chartreuse bags.")</f>
        <v>1 wavy plum bag, 3 muted magenta bags, 3 plaid aqua bags, 2 striped chartreuse bags.</v>
      </c>
      <c r="G67" s="3" t="str">
        <f>IFERROR(__xludf.DUMMYFUNCTION("INDEX(SPLIT($F67,"",""),COLUMN()-6)"),"1 wavy plum bag")</f>
        <v>1 wavy plum bag</v>
      </c>
      <c r="H67" s="3" t="str">
        <f>IFERROR(__xludf.DUMMYFUNCTION("MID(INDEX(SPLIT($F67,"",""),COLUMN()-6),2,300)"),"3 muted magenta bags")</f>
        <v>3 muted magenta bags</v>
      </c>
      <c r="I67" s="3" t="str">
        <f>IFERROR(__xludf.DUMMYFUNCTION("MID(INDEX(SPLIT($F67,"",""),COLUMN()-6),2,300)"),"3 plaid aqua bags")</f>
        <v>3 plaid aqua bags</v>
      </c>
      <c r="J67" s="3" t="str">
        <f>IFERROR(__xludf.DUMMYFUNCTION("MID(INDEX(SPLIT($F67,"",""),COLUMN()-6),2,300)"),"2 striped chartreuse bags.")</f>
        <v>2 striped chartreuse bags.</v>
      </c>
      <c r="K67" s="3">
        <f>IFERROR(__xludf.DUMMYFUNCTION("INDEX(SPLIT(G67,"" ""),1)"),1.0)</f>
        <v>1</v>
      </c>
      <c r="L67" s="3" t="str">
        <f>IFERROR(__xludf.DUMMYFUNCTION("REGEXEXTRACT(G67,"" [^ ]* [^ ]* "")")," wavy plum ")</f>
        <v> wavy plum </v>
      </c>
      <c r="M67" s="3">
        <f>IFERROR(__xludf.DUMMYFUNCTION("INDEX(SPLIT(H67,"" ""),1)"),3.0)</f>
        <v>3</v>
      </c>
      <c r="N67" s="3" t="str">
        <f>IFERROR(__xludf.DUMMYFUNCTION("MID(REGEXEXTRACT(H67,"" [^ ]* [^ ]*""),2,300)"),"muted magenta")</f>
        <v>muted magenta</v>
      </c>
      <c r="O67" s="3">
        <f>IFERROR(__xludf.DUMMYFUNCTION("INDEX(SPLIT(I67,"" ""),1)"),3.0)</f>
        <v>3</v>
      </c>
      <c r="P67" s="3" t="str">
        <f>IFERROR(__xludf.DUMMYFUNCTION("MID(REGEXEXTRACT(I67,"" [^ ]* [^ ]*""),2,300)"),"plaid aqua")</f>
        <v>plaid aqua</v>
      </c>
      <c r="Q67" s="3">
        <f>IFERROR(__xludf.DUMMYFUNCTION("INDEX(SPLIT(J67,"" ""),1)"),2.0)</f>
        <v>2</v>
      </c>
      <c r="R67" s="3" t="str">
        <f>IFERROR(__xludf.DUMMYFUNCTION("MID(REGEXEXTRACT(J67,"" [^ ]* [^ ]*""),2,300)"),"striped chartreuse")</f>
        <v>striped chartreuse</v>
      </c>
      <c r="S67" s="3">
        <f t="shared" si="2"/>
        <v>1</v>
      </c>
      <c r="T67" s="3" t="str">
        <f t="shared" si="3"/>
        <v>wavy plum</v>
      </c>
      <c r="U67" s="3">
        <f t="shared" si="4"/>
        <v>3</v>
      </c>
      <c r="V67" s="3" t="str">
        <f t="shared" si="5"/>
        <v>muted magenta</v>
      </c>
      <c r="W67" s="3">
        <f t="shared" si="6"/>
        <v>3</v>
      </c>
      <c r="X67" s="3" t="str">
        <f t="shared" si="7"/>
        <v>plaid aqua</v>
      </c>
      <c r="Y67" s="3">
        <f t="shared" si="8"/>
        <v>2</v>
      </c>
      <c r="Z67" s="3" t="str">
        <f t="shared" si="9"/>
        <v>striped chartreuse</v>
      </c>
      <c r="AA67" s="13">
        <f t="shared" si="10"/>
        <v>2442329</v>
      </c>
      <c r="AB67" s="3">
        <f t="shared" si="11"/>
        <v>2442328</v>
      </c>
      <c r="AC67" s="3">
        <f t="shared" si="12"/>
        <v>1</v>
      </c>
      <c r="AD67" s="3">
        <f t="shared" si="13"/>
        <v>148186</v>
      </c>
      <c r="AE67" s="3">
        <f t="shared" si="14"/>
        <v>3</v>
      </c>
      <c r="AF67" s="3">
        <f t="shared" si="15"/>
        <v>762011</v>
      </c>
      <c r="AG67" s="3">
        <f t="shared" si="16"/>
        <v>3</v>
      </c>
      <c r="AH67" s="3">
        <f t="shared" si="17"/>
        <v>1</v>
      </c>
      <c r="AI67" s="3">
        <f t="shared" si="18"/>
        <v>2</v>
      </c>
      <c r="AJ67" s="3">
        <f t="shared" si="19"/>
        <v>4053</v>
      </c>
    </row>
    <row r="68">
      <c r="C68" s="6" t="s">
        <v>68</v>
      </c>
      <c r="D68" s="3">
        <f t="shared" si="1"/>
        <v>3</v>
      </c>
      <c r="E68" s="3" t="str">
        <f>IFERROR(__xludf.DUMMYFUNCTION("REGEXEXTRACT(C68,""[^ ]* [^ ]*"")"),"clear white")</f>
        <v>clear white</v>
      </c>
      <c r="F68" s="3" t="str">
        <f>IFERROR(__xludf.DUMMYFUNCTION("MID(REGEXEXTRACT(C68,""contain.*$""),9,300)"),"2 posh magenta bags, 5 bright white bags, 5 drab bronze bags, 3 vibrant beige bags.")</f>
        <v>2 posh magenta bags, 5 bright white bags, 5 drab bronze bags, 3 vibrant beige bags.</v>
      </c>
      <c r="G68" s="3" t="str">
        <f>IFERROR(__xludf.DUMMYFUNCTION("INDEX(SPLIT($F68,"",""),COLUMN()-6)"),"2 posh magenta bags")</f>
        <v>2 posh magenta bags</v>
      </c>
      <c r="H68" s="3" t="str">
        <f>IFERROR(__xludf.DUMMYFUNCTION("MID(INDEX(SPLIT($F68,"",""),COLUMN()-6),2,300)"),"5 bright white bags")</f>
        <v>5 bright white bags</v>
      </c>
      <c r="I68" s="3" t="str">
        <f>IFERROR(__xludf.DUMMYFUNCTION("MID(INDEX(SPLIT($F68,"",""),COLUMN()-6),2,300)"),"5 drab bronze bags")</f>
        <v>5 drab bronze bags</v>
      </c>
      <c r="J68" s="3" t="str">
        <f>IFERROR(__xludf.DUMMYFUNCTION("MID(INDEX(SPLIT($F68,"",""),COLUMN()-6),2,300)"),"3 vibrant beige bags.")</f>
        <v>3 vibrant beige bags.</v>
      </c>
      <c r="K68" s="3">
        <f>IFERROR(__xludf.DUMMYFUNCTION("INDEX(SPLIT(G68,"" ""),1)"),2.0)</f>
        <v>2</v>
      </c>
      <c r="L68" s="3" t="str">
        <f>IFERROR(__xludf.DUMMYFUNCTION("REGEXEXTRACT(G68,"" [^ ]* [^ ]* "")")," posh magenta ")</f>
        <v> posh magenta </v>
      </c>
      <c r="M68" s="3">
        <f>IFERROR(__xludf.DUMMYFUNCTION("INDEX(SPLIT(H68,"" ""),1)"),5.0)</f>
        <v>5</v>
      </c>
      <c r="N68" s="3" t="str">
        <f>IFERROR(__xludf.DUMMYFUNCTION("MID(REGEXEXTRACT(H68,"" [^ ]* [^ ]*""),2,300)"),"bright white")</f>
        <v>bright white</v>
      </c>
      <c r="O68" s="3">
        <f>IFERROR(__xludf.DUMMYFUNCTION("INDEX(SPLIT(I68,"" ""),1)"),5.0)</f>
        <v>5</v>
      </c>
      <c r="P68" s="3" t="str">
        <f>IFERROR(__xludf.DUMMYFUNCTION("MID(REGEXEXTRACT(I68,"" [^ ]* [^ ]*""),2,300)"),"drab bronze")</f>
        <v>drab bronze</v>
      </c>
      <c r="Q68" s="3">
        <f>IFERROR(__xludf.DUMMYFUNCTION("INDEX(SPLIT(J68,"" ""),1)"),3.0)</f>
        <v>3</v>
      </c>
      <c r="R68" s="3" t="str">
        <f>IFERROR(__xludf.DUMMYFUNCTION("MID(REGEXEXTRACT(J68,"" [^ ]* [^ ]*""),2,300)"),"vibrant beige")</f>
        <v>vibrant beige</v>
      </c>
      <c r="S68" s="3">
        <f t="shared" si="2"/>
        <v>2</v>
      </c>
      <c r="T68" s="3" t="str">
        <f t="shared" si="3"/>
        <v>posh magenta</v>
      </c>
      <c r="U68" s="3">
        <f t="shared" si="4"/>
        <v>5</v>
      </c>
      <c r="V68" s="3" t="str">
        <f t="shared" si="5"/>
        <v>bright white</v>
      </c>
      <c r="W68" s="3">
        <f t="shared" si="6"/>
        <v>5</v>
      </c>
      <c r="X68" s="3" t="str">
        <f t="shared" si="7"/>
        <v>drab bronze</v>
      </c>
      <c r="Y68" s="3">
        <f t="shared" si="8"/>
        <v>3</v>
      </c>
      <c r="Z68" s="3" t="str">
        <f t="shared" si="9"/>
        <v>vibrant beige</v>
      </c>
      <c r="AA68" s="13">
        <f t="shared" si="10"/>
        <v>125334121</v>
      </c>
      <c r="AB68" s="3">
        <f t="shared" si="11"/>
        <v>125334120</v>
      </c>
      <c r="AC68" s="3">
        <f t="shared" si="12"/>
        <v>2</v>
      </c>
      <c r="AD68" s="3">
        <f t="shared" si="13"/>
        <v>1</v>
      </c>
      <c r="AE68" s="3">
        <f t="shared" si="14"/>
        <v>5</v>
      </c>
      <c r="AF68" s="3">
        <f t="shared" si="15"/>
        <v>24984108</v>
      </c>
      <c r="AG68" s="3">
        <f t="shared" si="16"/>
        <v>5</v>
      </c>
      <c r="AH68" s="3">
        <f t="shared" si="17"/>
        <v>79943</v>
      </c>
      <c r="AI68" s="3">
        <f t="shared" si="18"/>
        <v>3</v>
      </c>
      <c r="AJ68" s="3">
        <f t="shared" si="19"/>
        <v>4621</v>
      </c>
    </row>
    <row r="69">
      <c r="C69" s="6" t="s">
        <v>69</v>
      </c>
      <c r="D69" s="3">
        <f t="shared" si="1"/>
        <v>0</v>
      </c>
      <c r="E69" s="3" t="str">
        <f>IFERROR(__xludf.DUMMYFUNCTION("REGEXEXTRACT(C69,""[^ ]* [^ ]*"")"),"drab magenta")</f>
        <v>drab magenta</v>
      </c>
      <c r="F69" s="3" t="str">
        <f>IFERROR(__xludf.DUMMYFUNCTION("MID(REGEXEXTRACT(C69,""contain.*$""),9,300)"),"4 pale olive bags.")</f>
        <v>4 pale olive bags.</v>
      </c>
      <c r="G69" s="3" t="str">
        <f>IFERROR(__xludf.DUMMYFUNCTION("INDEX(SPLIT($F69,"",""),COLUMN()-6)"),"4 pale olive bags.")</f>
        <v>4 pale olive bags.</v>
      </c>
      <c r="H69" s="3" t="str">
        <f>IFERROR(__xludf.DUMMYFUNCTION("MID(INDEX(SPLIT($F69,"",""),COLUMN()-6),2,300)"),"#REF!")</f>
        <v>#REF!</v>
      </c>
      <c r="I69" s="3" t="str">
        <f>IFERROR(__xludf.DUMMYFUNCTION("MID(INDEX(SPLIT($F69,"",""),COLUMN()-6),2,300)"),"#REF!")</f>
        <v>#REF!</v>
      </c>
      <c r="J69" s="3" t="str">
        <f>IFERROR(__xludf.DUMMYFUNCTION("MID(INDEX(SPLIT($F69,"",""),COLUMN()-6),2,300)"),"#REF!")</f>
        <v>#REF!</v>
      </c>
      <c r="K69" s="3">
        <f>IFERROR(__xludf.DUMMYFUNCTION("INDEX(SPLIT(G69,"" ""),1)"),4.0)</f>
        <v>4</v>
      </c>
      <c r="L69" s="3" t="str">
        <f>IFERROR(__xludf.DUMMYFUNCTION("REGEXEXTRACT(G69,"" [^ ]* [^ ]* "")")," pale olive ")</f>
        <v> pale olive </v>
      </c>
      <c r="M69" s="3" t="str">
        <f>IFERROR(__xludf.DUMMYFUNCTION("INDEX(SPLIT(H69,"" ""),1)"),"#REF!")</f>
        <v>#REF!</v>
      </c>
      <c r="N69" s="3" t="str">
        <f>IFERROR(__xludf.DUMMYFUNCTION("MID(REGEXEXTRACT(H69,"" [^ ]* [^ ]*""),2,300)"),"#REF!")</f>
        <v>#REF!</v>
      </c>
      <c r="O69" s="3" t="str">
        <f>IFERROR(__xludf.DUMMYFUNCTION("INDEX(SPLIT(I69,"" ""),1)"),"#REF!")</f>
        <v>#REF!</v>
      </c>
      <c r="P69" s="3" t="str">
        <f>IFERROR(__xludf.DUMMYFUNCTION("MID(REGEXEXTRACT(I69,"" [^ ]* [^ ]*""),2,300)"),"#REF!")</f>
        <v>#REF!</v>
      </c>
      <c r="Q69" s="3" t="str">
        <f>IFERROR(__xludf.DUMMYFUNCTION("INDEX(SPLIT(J69,"" ""),1)"),"#REF!")</f>
        <v>#REF!</v>
      </c>
      <c r="R69" s="3" t="str">
        <f>IFERROR(__xludf.DUMMYFUNCTION("MID(REGEXEXTRACT(J69,"" [^ ]* [^ ]*""),2,300)"),"#REF!")</f>
        <v>#REF!</v>
      </c>
      <c r="S69" s="3">
        <f t="shared" si="2"/>
        <v>4</v>
      </c>
      <c r="T69" s="3" t="str">
        <f t="shared" si="3"/>
        <v>pale olive</v>
      </c>
      <c r="U69" s="3" t="str">
        <f t="shared" si="4"/>
        <v/>
      </c>
      <c r="V69" s="3" t="str">
        <f t="shared" si="5"/>
        <v/>
      </c>
      <c r="W69" s="3" t="str">
        <f t="shared" si="6"/>
        <v/>
      </c>
      <c r="X69" s="3" t="str">
        <f t="shared" si="7"/>
        <v/>
      </c>
      <c r="Y69" s="3" t="str">
        <f t="shared" si="8"/>
        <v/>
      </c>
      <c r="Z69" s="3" t="str">
        <f t="shared" si="9"/>
        <v/>
      </c>
      <c r="AA69" s="13">
        <f t="shared" si="10"/>
        <v>1225</v>
      </c>
      <c r="AB69" s="3">
        <f t="shared" si="11"/>
        <v>1224</v>
      </c>
      <c r="AC69" s="3">
        <f t="shared" si="12"/>
        <v>4</v>
      </c>
      <c r="AD69" s="3">
        <f t="shared" si="13"/>
        <v>306</v>
      </c>
      <c r="AE69" s="3" t="str">
        <f t="shared" si="14"/>
        <v/>
      </c>
      <c r="AF69" s="3">
        <f t="shared" si="15"/>
        <v>0</v>
      </c>
      <c r="AG69" s="3" t="str">
        <f t="shared" si="16"/>
        <v/>
      </c>
      <c r="AH69" s="3">
        <f t="shared" si="17"/>
        <v>0</v>
      </c>
      <c r="AI69" s="3" t="str">
        <f t="shared" si="18"/>
        <v/>
      </c>
      <c r="AJ69" s="3">
        <f t="shared" si="19"/>
        <v>0</v>
      </c>
    </row>
    <row r="70">
      <c r="C70" s="6" t="s">
        <v>70</v>
      </c>
      <c r="D70" s="3">
        <f t="shared" si="1"/>
        <v>2</v>
      </c>
      <c r="E70" s="3" t="str">
        <f>IFERROR(__xludf.DUMMYFUNCTION("REGEXEXTRACT(C70,""[^ ]* [^ ]*"")"),"plaid silver")</f>
        <v>plaid silver</v>
      </c>
      <c r="F70" s="3" t="str">
        <f>IFERROR(__xludf.DUMMYFUNCTION("MID(REGEXEXTRACT(C70,""contain.*$""),9,300)"),"4 bright violet bags, 3 dim brown bags, 1 dark teal bag.")</f>
        <v>4 bright violet bags, 3 dim brown bags, 1 dark teal bag.</v>
      </c>
      <c r="G70" s="3" t="str">
        <f>IFERROR(__xludf.DUMMYFUNCTION("INDEX(SPLIT($F70,"",""),COLUMN()-6)"),"4 bright violet bags")</f>
        <v>4 bright violet bags</v>
      </c>
      <c r="H70" s="3" t="str">
        <f>IFERROR(__xludf.DUMMYFUNCTION("MID(INDEX(SPLIT($F70,"",""),COLUMN()-6),2,300)"),"3 dim brown bags")</f>
        <v>3 dim brown bags</v>
      </c>
      <c r="I70" s="3" t="str">
        <f>IFERROR(__xludf.DUMMYFUNCTION("MID(INDEX(SPLIT($F70,"",""),COLUMN()-6),2,300)"),"1 dark teal bag.")</f>
        <v>1 dark teal bag.</v>
      </c>
      <c r="J70" s="3" t="str">
        <f>IFERROR(__xludf.DUMMYFUNCTION("MID(INDEX(SPLIT($F70,"",""),COLUMN()-6),2,300)"),"#REF!")</f>
        <v>#REF!</v>
      </c>
      <c r="K70" s="3">
        <f>IFERROR(__xludf.DUMMYFUNCTION("INDEX(SPLIT(G70,"" ""),1)"),4.0)</f>
        <v>4</v>
      </c>
      <c r="L70" s="3" t="str">
        <f>IFERROR(__xludf.DUMMYFUNCTION("REGEXEXTRACT(G70,"" [^ ]* [^ ]* "")")," bright violet ")</f>
        <v> bright violet </v>
      </c>
      <c r="M70" s="3">
        <f>IFERROR(__xludf.DUMMYFUNCTION("INDEX(SPLIT(H70,"" ""),1)"),3.0)</f>
        <v>3</v>
      </c>
      <c r="N70" s="3" t="str">
        <f>IFERROR(__xludf.DUMMYFUNCTION("MID(REGEXEXTRACT(H70,"" [^ ]* [^ ]*""),2,300)"),"dim brown")</f>
        <v>dim brown</v>
      </c>
      <c r="O70" s="3">
        <f>IFERROR(__xludf.DUMMYFUNCTION("INDEX(SPLIT(I70,"" ""),1)"),1.0)</f>
        <v>1</v>
      </c>
      <c r="P70" s="3" t="str">
        <f>IFERROR(__xludf.DUMMYFUNCTION("MID(REGEXEXTRACT(I70,"" [^ ]* [^ ]*""),2,300)"),"dark teal")</f>
        <v>dark teal</v>
      </c>
      <c r="Q70" s="3" t="str">
        <f>IFERROR(__xludf.DUMMYFUNCTION("INDEX(SPLIT(J70,"" ""),1)"),"#REF!")</f>
        <v>#REF!</v>
      </c>
      <c r="R70" s="3" t="str">
        <f>IFERROR(__xludf.DUMMYFUNCTION("MID(REGEXEXTRACT(J70,"" [^ ]* [^ ]*""),2,300)"),"#REF!")</f>
        <v>#REF!</v>
      </c>
      <c r="S70" s="3">
        <f t="shared" si="2"/>
        <v>4</v>
      </c>
      <c r="T70" s="3" t="str">
        <f t="shared" si="3"/>
        <v>bright violet</v>
      </c>
      <c r="U70" s="3">
        <f t="shared" si="4"/>
        <v>3</v>
      </c>
      <c r="V70" s="3" t="str">
        <f t="shared" si="5"/>
        <v>dim brown</v>
      </c>
      <c r="W70" s="3">
        <f t="shared" si="6"/>
        <v>1</v>
      </c>
      <c r="X70" s="3" t="str">
        <f t="shared" si="7"/>
        <v>dark teal</v>
      </c>
      <c r="Y70" s="3" t="str">
        <f t="shared" si="8"/>
        <v/>
      </c>
      <c r="Z70" s="3" t="str">
        <f t="shared" si="9"/>
        <v/>
      </c>
      <c r="AA70" s="13">
        <f t="shared" si="10"/>
        <v>86617</v>
      </c>
      <c r="AB70" s="3">
        <f t="shared" si="11"/>
        <v>86616</v>
      </c>
      <c r="AC70" s="3">
        <f t="shared" si="12"/>
        <v>4</v>
      </c>
      <c r="AD70" s="3">
        <f t="shared" si="13"/>
        <v>1</v>
      </c>
      <c r="AE70" s="3">
        <f t="shared" si="14"/>
        <v>3</v>
      </c>
      <c r="AF70" s="3">
        <f t="shared" si="15"/>
        <v>23857</v>
      </c>
      <c r="AG70" s="3">
        <f t="shared" si="16"/>
        <v>1</v>
      </c>
      <c r="AH70" s="3">
        <f t="shared" si="17"/>
        <v>15041</v>
      </c>
      <c r="AI70" s="3" t="str">
        <f t="shared" si="18"/>
        <v/>
      </c>
      <c r="AJ70" s="3">
        <f t="shared" si="19"/>
        <v>0</v>
      </c>
    </row>
    <row r="71">
      <c r="C71" s="6" t="s">
        <v>71</v>
      </c>
      <c r="D71" s="3">
        <f t="shared" si="1"/>
        <v>1</v>
      </c>
      <c r="E71" s="3" t="str">
        <f>IFERROR(__xludf.DUMMYFUNCTION("REGEXEXTRACT(C71,""[^ ]* [^ ]*"")"),"bright bronze")</f>
        <v>bright bronze</v>
      </c>
      <c r="F71" s="3" t="str">
        <f>IFERROR(__xludf.DUMMYFUNCTION("MID(REGEXEXTRACT(C71,""contain.*$""),9,300)"),"4 posh white bags, 3 dull salmon bags.")</f>
        <v>4 posh white bags, 3 dull salmon bags.</v>
      </c>
      <c r="G71" s="3" t="str">
        <f>IFERROR(__xludf.DUMMYFUNCTION("INDEX(SPLIT($F71,"",""),COLUMN()-6)"),"4 posh white bags")</f>
        <v>4 posh white bags</v>
      </c>
      <c r="H71" s="3" t="str">
        <f>IFERROR(__xludf.DUMMYFUNCTION("MID(INDEX(SPLIT($F71,"",""),COLUMN()-6),2,300)"),"3 dull salmon bags.")</f>
        <v>3 dull salmon bags.</v>
      </c>
      <c r="I71" s="3" t="str">
        <f>IFERROR(__xludf.DUMMYFUNCTION("MID(INDEX(SPLIT($F71,"",""),COLUMN()-6),2,300)"),"#REF!")</f>
        <v>#REF!</v>
      </c>
      <c r="J71" s="3" t="str">
        <f>IFERROR(__xludf.DUMMYFUNCTION("MID(INDEX(SPLIT($F71,"",""),COLUMN()-6),2,300)"),"#REF!")</f>
        <v>#REF!</v>
      </c>
      <c r="K71" s="3">
        <f>IFERROR(__xludf.DUMMYFUNCTION("INDEX(SPLIT(G71,"" ""),1)"),4.0)</f>
        <v>4</v>
      </c>
      <c r="L71" s="3" t="str">
        <f>IFERROR(__xludf.DUMMYFUNCTION("REGEXEXTRACT(G71,"" [^ ]* [^ ]* "")")," posh white ")</f>
        <v> posh white </v>
      </c>
      <c r="M71" s="3">
        <f>IFERROR(__xludf.DUMMYFUNCTION("INDEX(SPLIT(H71,"" ""),1)"),3.0)</f>
        <v>3</v>
      </c>
      <c r="N71" s="3" t="str">
        <f>IFERROR(__xludf.DUMMYFUNCTION("MID(REGEXEXTRACT(H71,"" [^ ]* [^ ]*""),2,300)"),"dull salmon")</f>
        <v>dull salmon</v>
      </c>
      <c r="O71" s="3" t="str">
        <f>IFERROR(__xludf.DUMMYFUNCTION("INDEX(SPLIT(I71,"" ""),1)"),"#REF!")</f>
        <v>#REF!</v>
      </c>
      <c r="P71" s="3" t="str">
        <f>IFERROR(__xludf.DUMMYFUNCTION("MID(REGEXEXTRACT(I71,"" [^ ]* [^ ]*""),2,300)"),"#REF!")</f>
        <v>#REF!</v>
      </c>
      <c r="Q71" s="3" t="str">
        <f>IFERROR(__xludf.DUMMYFUNCTION("INDEX(SPLIT(J71,"" ""),1)"),"#REF!")</f>
        <v>#REF!</v>
      </c>
      <c r="R71" s="3" t="str">
        <f>IFERROR(__xludf.DUMMYFUNCTION("MID(REGEXEXTRACT(J71,"" [^ ]* [^ ]*""),2,300)"),"#REF!")</f>
        <v>#REF!</v>
      </c>
      <c r="S71" s="3">
        <f t="shared" si="2"/>
        <v>4</v>
      </c>
      <c r="T71" s="3" t="str">
        <f t="shared" si="3"/>
        <v>posh white</v>
      </c>
      <c r="U71" s="3">
        <f t="shared" si="4"/>
        <v>3</v>
      </c>
      <c r="V71" s="3" t="str">
        <f t="shared" si="5"/>
        <v>dull salmon</v>
      </c>
      <c r="W71" s="3" t="str">
        <f t="shared" si="6"/>
        <v/>
      </c>
      <c r="X71" s="3" t="str">
        <f t="shared" si="7"/>
        <v/>
      </c>
      <c r="Y71" s="3" t="str">
        <f t="shared" si="8"/>
        <v/>
      </c>
      <c r="Z71" s="3" t="str">
        <f t="shared" si="9"/>
        <v/>
      </c>
      <c r="AA71" s="13">
        <f t="shared" si="10"/>
        <v>9540014</v>
      </c>
      <c r="AB71" s="3">
        <f t="shared" si="11"/>
        <v>9540013</v>
      </c>
      <c r="AC71" s="3">
        <f t="shared" si="12"/>
        <v>4</v>
      </c>
      <c r="AD71" s="3">
        <f t="shared" si="13"/>
        <v>214915</v>
      </c>
      <c r="AE71" s="3">
        <f t="shared" si="14"/>
        <v>3</v>
      </c>
      <c r="AF71" s="3">
        <f t="shared" si="15"/>
        <v>2893451</v>
      </c>
      <c r="AG71" s="3" t="str">
        <f t="shared" si="16"/>
        <v/>
      </c>
      <c r="AH71" s="3">
        <f t="shared" si="17"/>
        <v>0</v>
      </c>
      <c r="AI71" s="3" t="str">
        <f t="shared" si="18"/>
        <v/>
      </c>
      <c r="AJ71" s="3">
        <f t="shared" si="19"/>
        <v>0</v>
      </c>
    </row>
    <row r="72">
      <c r="C72" s="6" t="s">
        <v>72</v>
      </c>
      <c r="D72" s="3">
        <f t="shared" si="1"/>
        <v>1</v>
      </c>
      <c r="E72" s="3" t="str">
        <f>IFERROR(__xludf.DUMMYFUNCTION("REGEXEXTRACT(C72,""[^ ]* [^ ]*"")"),"drab maroon")</f>
        <v>drab maroon</v>
      </c>
      <c r="F72" s="3" t="str">
        <f>IFERROR(__xludf.DUMMYFUNCTION("MID(REGEXEXTRACT(C72,""contain.*$""),9,300)"),"3 clear black bags, 2 dotted orange bags.")</f>
        <v>3 clear black bags, 2 dotted orange bags.</v>
      </c>
      <c r="G72" s="3" t="str">
        <f>IFERROR(__xludf.DUMMYFUNCTION("INDEX(SPLIT($F72,"",""),COLUMN()-6)"),"3 clear black bags")</f>
        <v>3 clear black bags</v>
      </c>
      <c r="H72" s="3" t="str">
        <f>IFERROR(__xludf.DUMMYFUNCTION("MID(INDEX(SPLIT($F72,"",""),COLUMN()-6),2,300)"),"2 dotted orange bags.")</f>
        <v>2 dotted orange bags.</v>
      </c>
      <c r="I72" s="3" t="str">
        <f>IFERROR(__xludf.DUMMYFUNCTION("MID(INDEX(SPLIT($F72,"",""),COLUMN()-6),2,300)"),"#REF!")</f>
        <v>#REF!</v>
      </c>
      <c r="J72" s="3" t="str">
        <f>IFERROR(__xludf.DUMMYFUNCTION("MID(INDEX(SPLIT($F72,"",""),COLUMN()-6),2,300)"),"#REF!")</f>
        <v>#REF!</v>
      </c>
      <c r="K72" s="3">
        <f>IFERROR(__xludf.DUMMYFUNCTION("INDEX(SPLIT(G72,"" ""),1)"),3.0)</f>
        <v>3</v>
      </c>
      <c r="L72" s="3" t="str">
        <f>IFERROR(__xludf.DUMMYFUNCTION("REGEXEXTRACT(G72,"" [^ ]* [^ ]* "")")," clear black ")</f>
        <v> clear black </v>
      </c>
      <c r="M72" s="3">
        <f>IFERROR(__xludf.DUMMYFUNCTION("INDEX(SPLIT(H72,"" ""),1)"),2.0)</f>
        <v>2</v>
      </c>
      <c r="N72" s="3" t="str">
        <f>IFERROR(__xludf.DUMMYFUNCTION("MID(REGEXEXTRACT(H72,"" [^ ]* [^ ]*""),2,300)"),"dotted orange")</f>
        <v>dotted orange</v>
      </c>
      <c r="O72" s="3" t="str">
        <f>IFERROR(__xludf.DUMMYFUNCTION("INDEX(SPLIT(I72,"" ""),1)"),"#REF!")</f>
        <v>#REF!</v>
      </c>
      <c r="P72" s="3" t="str">
        <f>IFERROR(__xludf.DUMMYFUNCTION("MID(REGEXEXTRACT(I72,"" [^ ]* [^ ]*""),2,300)"),"#REF!")</f>
        <v>#REF!</v>
      </c>
      <c r="Q72" s="3" t="str">
        <f>IFERROR(__xludf.DUMMYFUNCTION("INDEX(SPLIT(J72,"" ""),1)"),"#REF!")</f>
        <v>#REF!</v>
      </c>
      <c r="R72" s="3" t="str">
        <f>IFERROR(__xludf.DUMMYFUNCTION("MID(REGEXEXTRACT(J72,"" [^ ]* [^ ]*""),2,300)"),"#REF!")</f>
        <v>#REF!</v>
      </c>
      <c r="S72" s="3">
        <f t="shared" si="2"/>
        <v>3</v>
      </c>
      <c r="T72" s="3" t="str">
        <f t="shared" si="3"/>
        <v>clear black</v>
      </c>
      <c r="U72" s="3">
        <f t="shared" si="4"/>
        <v>2</v>
      </c>
      <c r="V72" s="3" t="str">
        <f t="shared" si="5"/>
        <v>dotted orange</v>
      </c>
      <c r="W72" s="3" t="str">
        <f t="shared" si="6"/>
        <v/>
      </c>
      <c r="X72" s="3" t="str">
        <f t="shared" si="7"/>
        <v/>
      </c>
      <c r="Y72" s="3" t="str">
        <f t="shared" si="8"/>
        <v/>
      </c>
      <c r="Z72" s="3" t="str">
        <f t="shared" si="9"/>
        <v/>
      </c>
      <c r="AA72" s="13">
        <f t="shared" si="10"/>
        <v>3597</v>
      </c>
      <c r="AB72" s="3">
        <f t="shared" si="11"/>
        <v>3596</v>
      </c>
      <c r="AC72" s="3">
        <f t="shared" si="12"/>
        <v>3</v>
      </c>
      <c r="AD72" s="3">
        <f t="shared" si="13"/>
        <v>12</v>
      </c>
      <c r="AE72" s="3">
        <f t="shared" si="14"/>
        <v>2</v>
      </c>
      <c r="AF72" s="3">
        <f t="shared" si="15"/>
        <v>1780</v>
      </c>
      <c r="AG72" s="3" t="str">
        <f t="shared" si="16"/>
        <v/>
      </c>
      <c r="AH72" s="3">
        <f t="shared" si="17"/>
        <v>0</v>
      </c>
      <c r="AI72" s="3" t="str">
        <f t="shared" si="18"/>
        <v/>
      </c>
      <c r="AJ72" s="3">
        <f t="shared" si="19"/>
        <v>0</v>
      </c>
    </row>
    <row r="73">
      <c r="C73" s="6" t="s">
        <v>73</v>
      </c>
      <c r="D73" s="3">
        <f t="shared" si="1"/>
        <v>2</v>
      </c>
      <c r="E73" s="3" t="str">
        <f>IFERROR(__xludf.DUMMYFUNCTION("REGEXEXTRACT(C73,""[^ ]* [^ ]*"")"),"dark fuchsia")</f>
        <v>dark fuchsia</v>
      </c>
      <c r="F73" s="3" t="str">
        <f>IFERROR(__xludf.DUMMYFUNCTION("MID(REGEXEXTRACT(C73,""contain.*$""),9,300)"),"3 faded chartreuse bags, 5 clear green bags, 4 bright brown bags.")</f>
        <v>3 faded chartreuse bags, 5 clear green bags, 4 bright brown bags.</v>
      </c>
      <c r="G73" s="3" t="str">
        <f>IFERROR(__xludf.DUMMYFUNCTION("INDEX(SPLIT($F73,"",""),COLUMN()-6)"),"3 faded chartreuse bags")</f>
        <v>3 faded chartreuse bags</v>
      </c>
      <c r="H73" s="3" t="str">
        <f>IFERROR(__xludf.DUMMYFUNCTION("MID(INDEX(SPLIT($F73,"",""),COLUMN()-6),2,300)"),"5 clear green bags")</f>
        <v>5 clear green bags</v>
      </c>
      <c r="I73" s="3" t="str">
        <f>IFERROR(__xludf.DUMMYFUNCTION("MID(INDEX(SPLIT($F73,"",""),COLUMN()-6),2,300)"),"4 bright brown bags.")</f>
        <v>4 bright brown bags.</v>
      </c>
      <c r="J73" s="3" t="str">
        <f>IFERROR(__xludf.DUMMYFUNCTION("MID(INDEX(SPLIT($F73,"",""),COLUMN()-6),2,300)"),"#REF!")</f>
        <v>#REF!</v>
      </c>
      <c r="K73" s="3">
        <f>IFERROR(__xludf.DUMMYFUNCTION("INDEX(SPLIT(G73,"" ""),1)"),3.0)</f>
        <v>3</v>
      </c>
      <c r="L73" s="3" t="str">
        <f>IFERROR(__xludf.DUMMYFUNCTION("REGEXEXTRACT(G73,"" [^ ]* [^ ]* "")")," faded chartreuse ")</f>
        <v> faded chartreuse </v>
      </c>
      <c r="M73" s="3">
        <f>IFERROR(__xludf.DUMMYFUNCTION("INDEX(SPLIT(H73,"" ""),1)"),5.0)</f>
        <v>5</v>
      </c>
      <c r="N73" s="3" t="str">
        <f>IFERROR(__xludf.DUMMYFUNCTION("MID(REGEXEXTRACT(H73,"" [^ ]* [^ ]*""),2,300)"),"clear green")</f>
        <v>clear green</v>
      </c>
      <c r="O73" s="3">
        <f>IFERROR(__xludf.DUMMYFUNCTION("INDEX(SPLIT(I73,"" ""),1)"),4.0)</f>
        <v>4</v>
      </c>
      <c r="P73" s="3" t="str">
        <f>IFERROR(__xludf.DUMMYFUNCTION("MID(REGEXEXTRACT(I73,"" [^ ]* [^ ]*""),2,300)"),"bright brown")</f>
        <v>bright brown</v>
      </c>
      <c r="Q73" s="3" t="str">
        <f>IFERROR(__xludf.DUMMYFUNCTION("INDEX(SPLIT(J73,"" ""),1)"),"#REF!")</f>
        <v>#REF!</v>
      </c>
      <c r="R73" s="3" t="str">
        <f>IFERROR(__xludf.DUMMYFUNCTION("MID(REGEXEXTRACT(J73,"" [^ ]* [^ ]*""),2,300)"),"#REF!")</f>
        <v>#REF!</v>
      </c>
      <c r="S73" s="3">
        <f t="shared" si="2"/>
        <v>3</v>
      </c>
      <c r="T73" s="3" t="str">
        <f t="shared" si="3"/>
        <v>faded chartreuse</v>
      </c>
      <c r="U73" s="3">
        <f t="shared" si="4"/>
        <v>5</v>
      </c>
      <c r="V73" s="3" t="str">
        <f t="shared" si="5"/>
        <v>clear green</v>
      </c>
      <c r="W73" s="3">
        <f t="shared" si="6"/>
        <v>4</v>
      </c>
      <c r="X73" s="3" t="str">
        <f t="shared" si="7"/>
        <v>bright brown</v>
      </c>
      <c r="Y73" s="3" t="str">
        <f t="shared" si="8"/>
        <v/>
      </c>
      <c r="Z73" s="3" t="str">
        <f t="shared" si="9"/>
        <v/>
      </c>
      <c r="AA73" s="13">
        <f t="shared" si="10"/>
        <v>941276</v>
      </c>
      <c r="AB73" s="3">
        <f t="shared" si="11"/>
        <v>941275</v>
      </c>
      <c r="AC73" s="3">
        <f t="shared" si="12"/>
        <v>3</v>
      </c>
      <c r="AD73" s="3">
        <f t="shared" si="13"/>
        <v>305892</v>
      </c>
      <c r="AE73" s="3">
        <f t="shared" si="14"/>
        <v>5</v>
      </c>
      <c r="AF73" s="3">
        <f t="shared" si="15"/>
        <v>4719</v>
      </c>
      <c r="AG73" s="3">
        <f t="shared" si="16"/>
        <v>4</v>
      </c>
      <c r="AH73" s="3">
        <f t="shared" si="17"/>
        <v>1</v>
      </c>
      <c r="AI73" s="3" t="str">
        <f t="shared" si="18"/>
        <v/>
      </c>
      <c r="AJ73" s="3">
        <f t="shared" si="19"/>
        <v>0</v>
      </c>
    </row>
    <row r="74">
      <c r="C74" s="6" t="s">
        <v>74</v>
      </c>
      <c r="D74" s="3">
        <f t="shared" si="1"/>
        <v>2</v>
      </c>
      <c r="E74" s="3" t="str">
        <f>IFERROR(__xludf.DUMMYFUNCTION("REGEXEXTRACT(C74,""[^ ]* [^ ]*"")"),"vibrant salmon")</f>
        <v>vibrant salmon</v>
      </c>
      <c r="F74" s="3" t="str">
        <f>IFERROR(__xludf.DUMMYFUNCTION("MID(REGEXEXTRACT(C74,""contain.*$""),9,300)"),"1 bright red bag, 5 clear black bags, 2 clear green bags.")</f>
        <v>1 bright red bag, 5 clear black bags, 2 clear green bags.</v>
      </c>
      <c r="G74" s="3" t="str">
        <f>IFERROR(__xludf.DUMMYFUNCTION("INDEX(SPLIT($F74,"",""),COLUMN()-6)"),"1 bright red bag")</f>
        <v>1 bright red bag</v>
      </c>
      <c r="H74" s="3" t="str">
        <f>IFERROR(__xludf.DUMMYFUNCTION("MID(INDEX(SPLIT($F74,"",""),COLUMN()-6),2,300)"),"5 clear black bags")</f>
        <v>5 clear black bags</v>
      </c>
      <c r="I74" s="3" t="str">
        <f>IFERROR(__xludf.DUMMYFUNCTION("MID(INDEX(SPLIT($F74,"",""),COLUMN()-6),2,300)"),"2 clear green bags.")</f>
        <v>2 clear green bags.</v>
      </c>
      <c r="J74" s="3" t="str">
        <f>IFERROR(__xludf.DUMMYFUNCTION("MID(INDEX(SPLIT($F74,"",""),COLUMN()-6),2,300)"),"#REF!")</f>
        <v>#REF!</v>
      </c>
      <c r="K74" s="3">
        <f>IFERROR(__xludf.DUMMYFUNCTION("INDEX(SPLIT(G74,"" ""),1)"),1.0)</f>
        <v>1</v>
      </c>
      <c r="L74" s="3" t="str">
        <f>IFERROR(__xludf.DUMMYFUNCTION("REGEXEXTRACT(G74,"" [^ ]* [^ ]* "")")," bright red ")</f>
        <v> bright red </v>
      </c>
      <c r="M74" s="3">
        <f>IFERROR(__xludf.DUMMYFUNCTION("INDEX(SPLIT(H74,"" ""),1)"),5.0)</f>
        <v>5</v>
      </c>
      <c r="N74" s="3" t="str">
        <f>IFERROR(__xludf.DUMMYFUNCTION("MID(REGEXEXTRACT(H74,"" [^ ]* [^ ]*""),2,300)"),"clear black")</f>
        <v>clear black</v>
      </c>
      <c r="O74" s="3">
        <f>IFERROR(__xludf.DUMMYFUNCTION("INDEX(SPLIT(I74,"" ""),1)"),2.0)</f>
        <v>2</v>
      </c>
      <c r="P74" s="3" t="str">
        <f>IFERROR(__xludf.DUMMYFUNCTION("MID(REGEXEXTRACT(I74,"" [^ ]* [^ ]*""),2,300)"),"clear green")</f>
        <v>clear green</v>
      </c>
      <c r="Q74" s="3" t="str">
        <f>IFERROR(__xludf.DUMMYFUNCTION("INDEX(SPLIT(J74,"" ""),1)"),"#REF!")</f>
        <v>#REF!</v>
      </c>
      <c r="R74" s="3" t="str">
        <f>IFERROR(__xludf.DUMMYFUNCTION("MID(REGEXEXTRACT(J74,"" [^ ]* [^ ]*""),2,300)"),"#REF!")</f>
        <v>#REF!</v>
      </c>
      <c r="S74" s="3">
        <f t="shared" si="2"/>
        <v>1</v>
      </c>
      <c r="T74" s="3" t="str">
        <f t="shared" si="3"/>
        <v>bright red</v>
      </c>
      <c r="U74" s="3">
        <f t="shared" si="4"/>
        <v>5</v>
      </c>
      <c r="V74" s="3" t="str">
        <f t="shared" si="5"/>
        <v>clear black</v>
      </c>
      <c r="W74" s="3">
        <f t="shared" si="6"/>
        <v>2</v>
      </c>
      <c r="X74" s="3" t="str">
        <f t="shared" si="7"/>
        <v>clear green</v>
      </c>
      <c r="Y74" s="3" t="str">
        <f t="shared" si="8"/>
        <v/>
      </c>
      <c r="Z74" s="3" t="str">
        <f t="shared" si="9"/>
        <v/>
      </c>
      <c r="AA74" s="13">
        <f t="shared" si="10"/>
        <v>3172113</v>
      </c>
      <c r="AB74" s="3">
        <f t="shared" si="11"/>
        <v>3172112</v>
      </c>
      <c r="AC74" s="3">
        <f t="shared" si="12"/>
        <v>1</v>
      </c>
      <c r="AD74" s="3">
        <f t="shared" si="13"/>
        <v>3162614</v>
      </c>
      <c r="AE74" s="3">
        <f t="shared" si="14"/>
        <v>5</v>
      </c>
      <c r="AF74" s="3">
        <f t="shared" si="15"/>
        <v>12</v>
      </c>
      <c r="AG74" s="3">
        <f t="shared" si="16"/>
        <v>2</v>
      </c>
      <c r="AH74" s="3">
        <f t="shared" si="17"/>
        <v>4719</v>
      </c>
      <c r="AI74" s="3" t="str">
        <f t="shared" si="18"/>
        <v/>
      </c>
      <c r="AJ74" s="3">
        <f t="shared" si="19"/>
        <v>0</v>
      </c>
    </row>
    <row r="75">
      <c r="C75" s="6" t="s">
        <v>75</v>
      </c>
      <c r="D75" s="3">
        <f t="shared" si="1"/>
        <v>2</v>
      </c>
      <c r="E75" s="3" t="str">
        <f>IFERROR(__xludf.DUMMYFUNCTION("REGEXEXTRACT(C75,""[^ ]* [^ ]*"")"),"shiny crimson")</f>
        <v>shiny crimson</v>
      </c>
      <c r="F75" s="3" t="str">
        <f>IFERROR(__xludf.DUMMYFUNCTION("MID(REGEXEXTRACT(C75,""contain.*$""),9,300)"),"4 muted fuchsia bags, 2 plaid red bags, 3 clear green bags.")</f>
        <v>4 muted fuchsia bags, 2 plaid red bags, 3 clear green bags.</v>
      </c>
      <c r="G75" s="3" t="str">
        <f>IFERROR(__xludf.DUMMYFUNCTION("INDEX(SPLIT($F75,"",""),COLUMN()-6)"),"4 muted fuchsia bags")</f>
        <v>4 muted fuchsia bags</v>
      </c>
      <c r="H75" s="3" t="str">
        <f>IFERROR(__xludf.DUMMYFUNCTION("MID(INDEX(SPLIT($F75,"",""),COLUMN()-6),2,300)"),"2 plaid red bags")</f>
        <v>2 plaid red bags</v>
      </c>
      <c r="I75" s="3" t="str">
        <f>IFERROR(__xludf.DUMMYFUNCTION("MID(INDEX(SPLIT($F75,"",""),COLUMN()-6),2,300)"),"3 clear green bags.")</f>
        <v>3 clear green bags.</v>
      </c>
      <c r="J75" s="3" t="str">
        <f>IFERROR(__xludf.DUMMYFUNCTION("MID(INDEX(SPLIT($F75,"",""),COLUMN()-6),2,300)"),"#REF!")</f>
        <v>#REF!</v>
      </c>
      <c r="K75" s="3">
        <f>IFERROR(__xludf.DUMMYFUNCTION("INDEX(SPLIT(G75,"" ""),1)"),4.0)</f>
        <v>4</v>
      </c>
      <c r="L75" s="3" t="str">
        <f>IFERROR(__xludf.DUMMYFUNCTION("REGEXEXTRACT(G75,"" [^ ]* [^ ]* "")")," muted fuchsia ")</f>
        <v> muted fuchsia </v>
      </c>
      <c r="M75" s="3">
        <f>IFERROR(__xludf.DUMMYFUNCTION("INDEX(SPLIT(H75,"" ""),1)"),2.0)</f>
        <v>2</v>
      </c>
      <c r="N75" s="3" t="str">
        <f>IFERROR(__xludf.DUMMYFUNCTION("MID(REGEXEXTRACT(H75,"" [^ ]* [^ ]*""),2,300)"),"plaid red")</f>
        <v>plaid red</v>
      </c>
      <c r="O75" s="3">
        <f>IFERROR(__xludf.DUMMYFUNCTION("INDEX(SPLIT(I75,"" ""),1)"),3.0)</f>
        <v>3</v>
      </c>
      <c r="P75" s="3" t="str">
        <f>IFERROR(__xludf.DUMMYFUNCTION("MID(REGEXEXTRACT(I75,"" [^ ]* [^ ]*""),2,300)"),"clear green")</f>
        <v>clear green</v>
      </c>
      <c r="Q75" s="3" t="str">
        <f>IFERROR(__xludf.DUMMYFUNCTION("INDEX(SPLIT(J75,"" ""),1)"),"#REF!")</f>
        <v>#REF!</v>
      </c>
      <c r="R75" s="3" t="str">
        <f>IFERROR(__xludf.DUMMYFUNCTION("MID(REGEXEXTRACT(J75,"" [^ ]* [^ ]*""),2,300)"),"#REF!")</f>
        <v>#REF!</v>
      </c>
      <c r="S75" s="3">
        <f t="shared" si="2"/>
        <v>4</v>
      </c>
      <c r="T75" s="3" t="str">
        <f t="shared" si="3"/>
        <v>muted fuchsia</v>
      </c>
      <c r="U75" s="3">
        <f t="shared" si="4"/>
        <v>2</v>
      </c>
      <c r="V75" s="3" t="str">
        <f t="shared" si="5"/>
        <v>plaid red</v>
      </c>
      <c r="W75" s="3">
        <f t="shared" si="6"/>
        <v>3</v>
      </c>
      <c r="X75" s="3" t="str">
        <f t="shared" si="7"/>
        <v>clear green</v>
      </c>
      <c r="Y75" s="3" t="str">
        <f t="shared" si="8"/>
        <v/>
      </c>
      <c r="Z75" s="3" t="str">
        <f t="shared" si="9"/>
        <v/>
      </c>
      <c r="AA75" s="13">
        <f t="shared" si="10"/>
        <v>300556432</v>
      </c>
      <c r="AB75" s="3">
        <f t="shared" si="11"/>
        <v>300556431</v>
      </c>
      <c r="AC75" s="3">
        <f t="shared" si="12"/>
        <v>4</v>
      </c>
      <c r="AD75" s="3">
        <f t="shared" si="13"/>
        <v>19267</v>
      </c>
      <c r="AE75" s="3">
        <f t="shared" si="14"/>
        <v>2</v>
      </c>
      <c r="AF75" s="3">
        <f t="shared" si="15"/>
        <v>150232603</v>
      </c>
      <c r="AG75" s="3">
        <f t="shared" si="16"/>
        <v>3</v>
      </c>
      <c r="AH75" s="3">
        <f t="shared" si="17"/>
        <v>4719</v>
      </c>
      <c r="AI75" s="3" t="str">
        <f t="shared" si="18"/>
        <v/>
      </c>
      <c r="AJ75" s="3">
        <f t="shared" si="19"/>
        <v>0</v>
      </c>
    </row>
    <row r="76">
      <c r="C76" s="6" t="s">
        <v>76</v>
      </c>
      <c r="D76" s="3">
        <f t="shared" si="1"/>
        <v>2</v>
      </c>
      <c r="E76" s="3" t="str">
        <f>IFERROR(__xludf.DUMMYFUNCTION("REGEXEXTRACT(C76,""[^ ]* [^ ]*"")"),"plaid crimson")</f>
        <v>plaid crimson</v>
      </c>
      <c r="F76" s="3" t="str">
        <f>IFERROR(__xludf.DUMMYFUNCTION("MID(REGEXEXTRACT(C76,""contain.*$""),9,300)"),"4 bright gold bags, 2 clear turquoise bags, 3 faded magenta bags.")</f>
        <v>4 bright gold bags, 2 clear turquoise bags, 3 faded magenta bags.</v>
      </c>
      <c r="G76" s="3" t="str">
        <f>IFERROR(__xludf.DUMMYFUNCTION("INDEX(SPLIT($F76,"",""),COLUMN()-6)"),"4 bright gold bags")</f>
        <v>4 bright gold bags</v>
      </c>
      <c r="H76" s="3" t="str">
        <f>IFERROR(__xludf.DUMMYFUNCTION("MID(INDEX(SPLIT($F76,"",""),COLUMN()-6),2,300)"),"2 clear turquoise bags")</f>
        <v>2 clear turquoise bags</v>
      </c>
      <c r="I76" s="3" t="str">
        <f>IFERROR(__xludf.DUMMYFUNCTION("MID(INDEX(SPLIT($F76,"",""),COLUMN()-6),2,300)"),"3 faded magenta bags.")</f>
        <v>3 faded magenta bags.</v>
      </c>
      <c r="J76" s="3" t="str">
        <f>IFERROR(__xludf.DUMMYFUNCTION("MID(INDEX(SPLIT($F76,"",""),COLUMN()-6),2,300)"),"#REF!")</f>
        <v>#REF!</v>
      </c>
      <c r="K76" s="3">
        <f>IFERROR(__xludf.DUMMYFUNCTION("INDEX(SPLIT(G76,"" ""),1)"),4.0)</f>
        <v>4</v>
      </c>
      <c r="L76" s="3" t="str">
        <f>IFERROR(__xludf.DUMMYFUNCTION("REGEXEXTRACT(G76,"" [^ ]* [^ ]* "")")," bright gold ")</f>
        <v> bright gold </v>
      </c>
      <c r="M76" s="3">
        <f>IFERROR(__xludf.DUMMYFUNCTION("INDEX(SPLIT(H76,"" ""),1)"),2.0)</f>
        <v>2</v>
      </c>
      <c r="N76" s="3" t="str">
        <f>IFERROR(__xludf.DUMMYFUNCTION("MID(REGEXEXTRACT(H76,"" [^ ]* [^ ]*""),2,300)"),"clear turquoise")</f>
        <v>clear turquoise</v>
      </c>
      <c r="O76" s="3">
        <f>IFERROR(__xludf.DUMMYFUNCTION("INDEX(SPLIT(I76,"" ""),1)"),3.0)</f>
        <v>3</v>
      </c>
      <c r="P76" s="3" t="str">
        <f>IFERROR(__xludf.DUMMYFUNCTION("MID(REGEXEXTRACT(I76,"" [^ ]* [^ ]*""),2,300)"),"faded magenta")</f>
        <v>faded magenta</v>
      </c>
      <c r="Q76" s="3" t="str">
        <f>IFERROR(__xludf.DUMMYFUNCTION("INDEX(SPLIT(J76,"" ""),1)"),"#REF!")</f>
        <v>#REF!</v>
      </c>
      <c r="R76" s="3" t="str">
        <f>IFERROR(__xludf.DUMMYFUNCTION("MID(REGEXEXTRACT(J76,"" [^ ]* [^ ]*""),2,300)"),"#REF!")</f>
        <v>#REF!</v>
      </c>
      <c r="S76" s="3">
        <f t="shared" si="2"/>
        <v>4</v>
      </c>
      <c r="T76" s="3" t="str">
        <f t="shared" si="3"/>
        <v>bright gold</v>
      </c>
      <c r="U76" s="3">
        <f t="shared" si="4"/>
        <v>2</v>
      </c>
      <c r="V76" s="3" t="str">
        <f t="shared" si="5"/>
        <v>clear turquoise</v>
      </c>
      <c r="W76" s="3">
        <f t="shared" si="6"/>
        <v>3</v>
      </c>
      <c r="X76" s="3" t="str">
        <f t="shared" si="7"/>
        <v>faded magenta</v>
      </c>
      <c r="Y76" s="3" t="str">
        <f t="shared" si="8"/>
        <v/>
      </c>
      <c r="Z76" s="3" t="str">
        <f t="shared" si="9"/>
        <v/>
      </c>
      <c r="AA76" s="13">
        <f t="shared" si="10"/>
        <v>2323143617</v>
      </c>
      <c r="AB76" s="3">
        <f t="shared" si="11"/>
        <v>2323143616</v>
      </c>
      <c r="AC76" s="3">
        <f t="shared" si="12"/>
        <v>4</v>
      </c>
      <c r="AD76" s="3">
        <f t="shared" si="13"/>
        <v>442840048</v>
      </c>
      <c r="AE76" s="3">
        <f t="shared" si="14"/>
        <v>2</v>
      </c>
      <c r="AF76" s="3">
        <f t="shared" si="15"/>
        <v>269888361</v>
      </c>
      <c r="AG76" s="3">
        <f t="shared" si="16"/>
        <v>3</v>
      </c>
      <c r="AH76" s="3">
        <f t="shared" si="17"/>
        <v>4002234</v>
      </c>
      <c r="AI76" s="3" t="str">
        <f t="shared" si="18"/>
        <v/>
      </c>
      <c r="AJ76" s="3">
        <f t="shared" si="19"/>
        <v>0</v>
      </c>
    </row>
    <row r="77">
      <c r="C77" s="6" t="s">
        <v>77</v>
      </c>
      <c r="D77" s="3">
        <f t="shared" si="1"/>
        <v>3</v>
      </c>
      <c r="E77" s="3" t="str">
        <f>IFERROR(__xludf.DUMMYFUNCTION("REGEXEXTRACT(C77,""[^ ]* [^ ]*"")"),"dim turquoise")</f>
        <v>dim turquoise</v>
      </c>
      <c r="F77" s="3" t="str">
        <f>IFERROR(__xludf.DUMMYFUNCTION("MID(REGEXEXTRACT(C77,""contain.*$""),9,300)"),"3 drab brown bags, 5 plaid cyan bags, 3 plaid teal bags, 5 shiny silver bags.")</f>
        <v>3 drab brown bags, 5 plaid cyan bags, 3 plaid teal bags, 5 shiny silver bags.</v>
      </c>
      <c r="G77" s="3" t="str">
        <f>IFERROR(__xludf.DUMMYFUNCTION("INDEX(SPLIT($F77,"",""),COLUMN()-6)"),"3 drab brown bags")</f>
        <v>3 drab brown bags</v>
      </c>
      <c r="H77" s="3" t="str">
        <f>IFERROR(__xludf.DUMMYFUNCTION("MID(INDEX(SPLIT($F77,"",""),COLUMN()-6),2,300)"),"5 plaid cyan bags")</f>
        <v>5 plaid cyan bags</v>
      </c>
      <c r="I77" s="3" t="str">
        <f>IFERROR(__xludf.DUMMYFUNCTION("MID(INDEX(SPLIT($F77,"",""),COLUMN()-6),2,300)"),"3 plaid teal bags")</f>
        <v>3 plaid teal bags</v>
      </c>
      <c r="J77" s="3" t="str">
        <f>IFERROR(__xludf.DUMMYFUNCTION("MID(INDEX(SPLIT($F77,"",""),COLUMN()-6),2,300)"),"5 shiny silver bags.")</f>
        <v>5 shiny silver bags.</v>
      </c>
      <c r="K77" s="3">
        <f>IFERROR(__xludf.DUMMYFUNCTION("INDEX(SPLIT(G77,"" ""),1)"),3.0)</f>
        <v>3</v>
      </c>
      <c r="L77" s="3" t="str">
        <f>IFERROR(__xludf.DUMMYFUNCTION("REGEXEXTRACT(G77,"" [^ ]* [^ ]* "")")," drab brown ")</f>
        <v> drab brown </v>
      </c>
      <c r="M77" s="3">
        <f>IFERROR(__xludf.DUMMYFUNCTION("INDEX(SPLIT(H77,"" ""),1)"),5.0)</f>
        <v>5</v>
      </c>
      <c r="N77" s="3" t="str">
        <f>IFERROR(__xludf.DUMMYFUNCTION("MID(REGEXEXTRACT(H77,"" [^ ]* [^ ]*""),2,300)"),"plaid cyan")</f>
        <v>plaid cyan</v>
      </c>
      <c r="O77" s="3">
        <f>IFERROR(__xludf.DUMMYFUNCTION("INDEX(SPLIT(I77,"" ""),1)"),3.0)</f>
        <v>3</v>
      </c>
      <c r="P77" s="3" t="str">
        <f>IFERROR(__xludf.DUMMYFUNCTION("MID(REGEXEXTRACT(I77,"" [^ ]* [^ ]*""),2,300)"),"plaid teal")</f>
        <v>plaid teal</v>
      </c>
      <c r="Q77" s="3">
        <f>IFERROR(__xludf.DUMMYFUNCTION("INDEX(SPLIT(J77,"" ""),1)"),5.0)</f>
        <v>5</v>
      </c>
      <c r="R77" s="3" t="str">
        <f>IFERROR(__xludf.DUMMYFUNCTION("MID(REGEXEXTRACT(J77,"" [^ ]* [^ ]*""),2,300)"),"shiny silver")</f>
        <v>shiny silver</v>
      </c>
      <c r="S77" s="3">
        <f t="shared" si="2"/>
        <v>3</v>
      </c>
      <c r="T77" s="3" t="str">
        <f t="shared" si="3"/>
        <v>drab brown</v>
      </c>
      <c r="U77" s="3">
        <f t="shared" si="4"/>
        <v>5</v>
      </c>
      <c r="V77" s="3" t="str">
        <f t="shared" si="5"/>
        <v>plaid cyan</v>
      </c>
      <c r="W77" s="3">
        <f t="shared" si="6"/>
        <v>3</v>
      </c>
      <c r="X77" s="3" t="str">
        <f t="shared" si="7"/>
        <v>plaid teal</v>
      </c>
      <c r="Y77" s="3">
        <f t="shared" si="8"/>
        <v>5</v>
      </c>
      <c r="Z77" s="3" t="str">
        <f t="shared" si="9"/>
        <v>shiny silver</v>
      </c>
      <c r="AA77" s="13">
        <f t="shared" si="10"/>
        <v>1194623</v>
      </c>
      <c r="AB77" s="3">
        <f t="shared" si="11"/>
        <v>1194622</v>
      </c>
      <c r="AC77" s="3">
        <f t="shared" si="12"/>
        <v>3</v>
      </c>
      <c r="AD77" s="3">
        <f t="shared" si="13"/>
        <v>96841</v>
      </c>
      <c r="AE77" s="3">
        <f t="shared" si="14"/>
        <v>5</v>
      </c>
      <c r="AF77" s="3">
        <f t="shared" si="15"/>
        <v>80294</v>
      </c>
      <c r="AG77" s="3">
        <f t="shared" si="16"/>
        <v>3</v>
      </c>
      <c r="AH77" s="3">
        <f t="shared" si="17"/>
        <v>118598</v>
      </c>
      <c r="AI77" s="3">
        <f t="shared" si="18"/>
        <v>5</v>
      </c>
      <c r="AJ77" s="3">
        <f t="shared" si="19"/>
        <v>29367</v>
      </c>
    </row>
    <row r="78">
      <c r="C78" s="6" t="s">
        <v>78</v>
      </c>
      <c r="D78" s="3">
        <f t="shared" si="1"/>
        <v>3</v>
      </c>
      <c r="E78" s="3" t="str">
        <f>IFERROR(__xludf.DUMMYFUNCTION("REGEXEXTRACT(C78,""[^ ]* [^ ]*"")"),"clear crimson")</f>
        <v>clear crimson</v>
      </c>
      <c r="F78" s="3" t="str">
        <f>IFERROR(__xludf.DUMMYFUNCTION("MID(REGEXEXTRACT(C78,""contain.*$""),9,300)"),"3 plaid blue bags, 2 drab tomato bags, 2 dull cyan bags, 3 mirrored fuchsia bags.")</f>
        <v>3 plaid blue bags, 2 drab tomato bags, 2 dull cyan bags, 3 mirrored fuchsia bags.</v>
      </c>
      <c r="G78" s="3" t="str">
        <f>IFERROR(__xludf.DUMMYFUNCTION("INDEX(SPLIT($F78,"",""),COLUMN()-6)"),"3 plaid blue bags")</f>
        <v>3 plaid blue bags</v>
      </c>
      <c r="H78" s="3" t="str">
        <f>IFERROR(__xludf.DUMMYFUNCTION("MID(INDEX(SPLIT($F78,"",""),COLUMN()-6),2,300)"),"2 drab tomato bags")</f>
        <v>2 drab tomato bags</v>
      </c>
      <c r="I78" s="3" t="str">
        <f>IFERROR(__xludf.DUMMYFUNCTION("MID(INDEX(SPLIT($F78,"",""),COLUMN()-6),2,300)"),"2 dull cyan bags")</f>
        <v>2 dull cyan bags</v>
      </c>
      <c r="J78" s="3" t="str">
        <f>IFERROR(__xludf.DUMMYFUNCTION("MID(INDEX(SPLIT($F78,"",""),COLUMN()-6),2,300)"),"3 mirrored fuchsia bags.")</f>
        <v>3 mirrored fuchsia bags.</v>
      </c>
      <c r="K78" s="3">
        <f>IFERROR(__xludf.DUMMYFUNCTION("INDEX(SPLIT(G78,"" ""),1)"),3.0)</f>
        <v>3</v>
      </c>
      <c r="L78" s="3" t="str">
        <f>IFERROR(__xludf.DUMMYFUNCTION("REGEXEXTRACT(G78,"" [^ ]* [^ ]* "")")," plaid blue ")</f>
        <v> plaid blue </v>
      </c>
      <c r="M78" s="3">
        <f>IFERROR(__xludf.DUMMYFUNCTION("INDEX(SPLIT(H78,"" ""),1)"),2.0)</f>
        <v>2</v>
      </c>
      <c r="N78" s="3" t="str">
        <f>IFERROR(__xludf.DUMMYFUNCTION("MID(REGEXEXTRACT(H78,"" [^ ]* [^ ]*""),2,300)"),"drab tomato")</f>
        <v>drab tomato</v>
      </c>
      <c r="O78" s="3">
        <f>IFERROR(__xludf.DUMMYFUNCTION("INDEX(SPLIT(I78,"" ""),1)"),2.0)</f>
        <v>2</v>
      </c>
      <c r="P78" s="3" t="str">
        <f>IFERROR(__xludf.DUMMYFUNCTION("MID(REGEXEXTRACT(I78,"" [^ ]* [^ ]*""),2,300)"),"dull cyan")</f>
        <v>dull cyan</v>
      </c>
      <c r="Q78" s="3">
        <f>IFERROR(__xludf.DUMMYFUNCTION("INDEX(SPLIT(J78,"" ""),1)"),3.0)</f>
        <v>3</v>
      </c>
      <c r="R78" s="3" t="str">
        <f>IFERROR(__xludf.DUMMYFUNCTION("MID(REGEXEXTRACT(J78,"" [^ ]* [^ ]*""),2,300)"),"mirrored fuchsia")</f>
        <v>mirrored fuchsia</v>
      </c>
      <c r="S78" s="3">
        <f t="shared" si="2"/>
        <v>3</v>
      </c>
      <c r="T78" s="3" t="str">
        <f t="shared" si="3"/>
        <v>plaid blue</v>
      </c>
      <c r="U78" s="3">
        <f t="shared" si="4"/>
        <v>2</v>
      </c>
      <c r="V78" s="3" t="str">
        <f t="shared" si="5"/>
        <v>drab tomato</v>
      </c>
      <c r="W78" s="3">
        <f t="shared" si="6"/>
        <v>2</v>
      </c>
      <c r="X78" s="3" t="str">
        <f t="shared" si="7"/>
        <v>dull cyan</v>
      </c>
      <c r="Y78" s="3">
        <f t="shared" si="8"/>
        <v>3</v>
      </c>
      <c r="Z78" s="3" t="str">
        <f t="shared" si="9"/>
        <v>mirrored fuchsia</v>
      </c>
      <c r="AA78" s="13">
        <f t="shared" si="10"/>
        <v>25340133</v>
      </c>
      <c r="AB78" s="3">
        <f t="shared" si="11"/>
        <v>25340132</v>
      </c>
      <c r="AC78" s="3">
        <f t="shared" si="12"/>
        <v>3</v>
      </c>
      <c r="AD78" s="3">
        <f t="shared" si="13"/>
        <v>81694</v>
      </c>
      <c r="AE78" s="3">
        <f t="shared" si="14"/>
        <v>2</v>
      </c>
      <c r="AF78" s="3">
        <f t="shared" si="15"/>
        <v>38687</v>
      </c>
      <c r="AG78" s="3">
        <f t="shared" si="16"/>
        <v>2</v>
      </c>
      <c r="AH78" s="3">
        <f t="shared" si="17"/>
        <v>3008</v>
      </c>
      <c r="AI78" s="3">
        <f t="shared" si="18"/>
        <v>3</v>
      </c>
      <c r="AJ78" s="3">
        <f t="shared" si="19"/>
        <v>8337220</v>
      </c>
    </row>
    <row r="79">
      <c r="C79" s="6" t="s">
        <v>79</v>
      </c>
      <c r="D79" s="3">
        <f t="shared" si="1"/>
        <v>1</v>
      </c>
      <c r="E79" s="3" t="str">
        <f>IFERROR(__xludf.DUMMYFUNCTION("REGEXEXTRACT(C79,""[^ ]* [^ ]*"")"),"pale tomato")</f>
        <v>pale tomato</v>
      </c>
      <c r="F79" s="3" t="str">
        <f>IFERROR(__xludf.DUMMYFUNCTION("MID(REGEXEXTRACT(C79,""contain.*$""),9,300)"),"1 dull yellow bag, 3 muted aqua bags.")</f>
        <v>1 dull yellow bag, 3 muted aqua bags.</v>
      </c>
      <c r="G79" s="3" t="str">
        <f>IFERROR(__xludf.DUMMYFUNCTION("INDEX(SPLIT($F79,"",""),COLUMN()-6)"),"1 dull yellow bag")</f>
        <v>1 dull yellow bag</v>
      </c>
      <c r="H79" s="3" t="str">
        <f>IFERROR(__xludf.DUMMYFUNCTION("MID(INDEX(SPLIT($F79,"",""),COLUMN()-6),2,300)"),"3 muted aqua bags.")</f>
        <v>3 muted aqua bags.</v>
      </c>
      <c r="I79" s="3" t="str">
        <f>IFERROR(__xludf.DUMMYFUNCTION("MID(INDEX(SPLIT($F79,"",""),COLUMN()-6),2,300)"),"#REF!")</f>
        <v>#REF!</v>
      </c>
      <c r="J79" s="3" t="str">
        <f>IFERROR(__xludf.DUMMYFUNCTION("MID(INDEX(SPLIT($F79,"",""),COLUMN()-6),2,300)"),"#REF!")</f>
        <v>#REF!</v>
      </c>
      <c r="K79" s="3">
        <f>IFERROR(__xludf.DUMMYFUNCTION("INDEX(SPLIT(G79,"" ""),1)"),1.0)</f>
        <v>1</v>
      </c>
      <c r="L79" s="3" t="str">
        <f>IFERROR(__xludf.DUMMYFUNCTION("REGEXEXTRACT(G79,"" [^ ]* [^ ]* "")")," dull yellow ")</f>
        <v> dull yellow </v>
      </c>
      <c r="M79" s="3">
        <f>IFERROR(__xludf.DUMMYFUNCTION("INDEX(SPLIT(H79,"" ""),1)"),3.0)</f>
        <v>3</v>
      </c>
      <c r="N79" s="3" t="str">
        <f>IFERROR(__xludf.DUMMYFUNCTION("MID(REGEXEXTRACT(H79,"" [^ ]* [^ ]*""),2,300)"),"muted aqua")</f>
        <v>muted aqua</v>
      </c>
      <c r="O79" s="3" t="str">
        <f>IFERROR(__xludf.DUMMYFUNCTION("INDEX(SPLIT(I79,"" ""),1)"),"#REF!")</f>
        <v>#REF!</v>
      </c>
      <c r="P79" s="3" t="str">
        <f>IFERROR(__xludf.DUMMYFUNCTION("MID(REGEXEXTRACT(I79,"" [^ ]* [^ ]*""),2,300)"),"#REF!")</f>
        <v>#REF!</v>
      </c>
      <c r="Q79" s="3" t="str">
        <f>IFERROR(__xludf.DUMMYFUNCTION("INDEX(SPLIT(J79,"" ""),1)"),"#REF!")</f>
        <v>#REF!</v>
      </c>
      <c r="R79" s="3" t="str">
        <f>IFERROR(__xludf.DUMMYFUNCTION("MID(REGEXEXTRACT(J79,"" [^ ]* [^ ]*""),2,300)"),"#REF!")</f>
        <v>#REF!</v>
      </c>
      <c r="S79" s="3">
        <f t="shared" si="2"/>
        <v>1</v>
      </c>
      <c r="T79" s="3" t="str">
        <f t="shared" si="3"/>
        <v>dull yellow</v>
      </c>
      <c r="U79" s="3">
        <f t="shared" si="4"/>
        <v>3</v>
      </c>
      <c r="V79" s="3" t="str">
        <f t="shared" si="5"/>
        <v>muted aqua</v>
      </c>
      <c r="W79" s="3" t="str">
        <f t="shared" si="6"/>
        <v/>
      </c>
      <c r="X79" s="3" t="str">
        <f t="shared" si="7"/>
        <v/>
      </c>
      <c r="Y79" s="3" t="str">
        <f t="shared" si="8"/>
        <v/>
      </c>
      <c r="Z79" s="3" t="str">
        <f t="shared" si="9"/>
        <v/>
      </c>
      <c r="AA79" s="13">
        <f t="shared" si="10"/>
        <v>280269</v>
      </c>
      <c r="AB79" s="3">
        <f t="shared" si="11"/>
        <v>280268</v>
      </c>
      <c r="AC79" s="3">
        <f t="shared" si="12"/>
        <v>1</v>
      </c>
      <c r="AD79" s="3">
        <f t="shared" si="13"/>
        <v>190019</v>
      </c>
      <c r="AE79" s="3">
        <f t="shared" si="14"/>
        <v>3</v>
      </c>
      <c r="AF79" s="3">
        <f t="shared" si="15"/>
        <v>30083</v>
      </c>
      <c r="AG79" s="3" t="str">
        <f t="shared" si="16"/>
        <v/>
      </c>
      <c r="AH79" s="3">
        <f t="shared" si="17"/>
        <v>0</v>
      </c>
      <c r="AI79" s="3" t="str">
        <f t="shared" si="18"/>
        <v/>
      </c>
      <c r="AJ79" s="3">
        <f t="shared" si="19"/>
        <v>0</v>
      </c>
    </row>
    <row r="80">
      <c r="C80" s="6" t="s">
        <v>80</v>
      </c>
      <c r="D80" s="3">
        <f t="shared" si="1"/>
        <v>2</v>
      </c>
      <c r="E80" s="3" t="str">
        <f>IFERROR(__xludf.DUMMYFUNCTION("REGEXEXTRACT(C80,""[^ ]* [^ ]*"")"),"dim orange")</f>
        <v>dim orange</v>
      </c>
      <c r="F80" s="3" t="str">
        <f>IFERROR(__xludf.DUMMYFUNCTION("MID(REGEXEXTRACT(C80,""contain.*$""),9,300)"),"1 posh magenta bag, 2 wavy gray bags, 5 faded indigo bags.")</f>
        <v>1 posh magenta bag, 2 wavy gray bags, 5 faded indigo bags.</v>
      </c>
      <c r="G80" s="3" t="str">
        <f>IFERROR(__xludf.DUMMYFUNCTION("INDEX(SPLIT($F80,"",""),COLUMN()-6)"),"1 posh magenta bag")</f>
        <v>1 posh magenta bag</v>
      </c>
      <c r="H80" s="3" t="str">
        <f>IFERROR(__xludf.DUMMYFUNCTION("MID(INDEX(SPLIT($F80,"",""),COLUMN()-6),2,300)"),"2 wavy gray bags")</f>
        <v>2 wavy gray bags</v>
      </c>
      <c r="I80" s="3" t="str">
        <f>IFERROR(__xludf.DUMMYFUNCTION("MID(INDEX(SPLIT($F80,"",""),COLUMN()-6),2,300)"),"5 faded indigo bags.")</f>
        <v>5 faded indigo bags.</v>
      </c>
      <c r="J80" s="3" t="str">
        <f>IFERROR(__xludf.DUMMYFUNCTION("MID(INDEX(SPLIT($F80,"",""),COLUMN()-6),2,300)"),"#REF!")</f>
        <v>#REF!</v>
      </c>
      <c r="K80" s="3">
        <f>IFERROR(__xludf.DUMMYFUNCTION("INDEX(SPLIT(G80,"" ""),1)"),1.0)</f>
        <v>1</v>
      </c>
      <c r="L80" s="3" t="str">
        <f>IFERROR(__xludf.DUMMYFUNCTION("REGEXEXTRACT(G80,"" [^ ]* [^ ]* "")")," posh magenta ")</f>
        <v> posh magenta </v>
      </c>
      <c r="M80" s="3">
        <f>IFERROR(__xludf.DUMMYFUNCTION("INDEX(SPLIT(H80,"" ""),1)"),2.0)</f>
        <v>2</v>
      </c>
      <c r="N80" s="3" t="str">
        <f>IFERROR(__xludf.DUMMYFUNCTION("MID(REGEXEXTRACT(H80,"" [^ ]* [^ ]*""),2,300)"),"wavy gray")</f>
        <v>wavy gray</v>
      </c>
      <c r="O80" s="3">
        <f>IFERROR(__xludf.DUMMYFUNCTION("INDEX(SPLIT(I80,"" ""),1)"),5.0)</f>
        <v>5</v>
      </c>
      <c r="P80" s="3" t="str">
        <f>IFERROR(__xludf.DUMMYFUNCTION("MID(REGEXEXTRACT(I80,"" [^ ]* [^ ]*""),2,300)"),"faded indigo")</f>
        <v>faded indigo</v>
      </c>
      <c r="Q80" s="3" t="str">
        <f>IFERROR(__xludf.DUMMYFUNCTION("INDEX(SPLIT(J80,"" ""),1)"),"#REF!")</f>
        <v>#REF!</v>
      </c>
      <c r="R80" s="3" t="str">
        <f>IFERROR(__xludf.DUMMYFUNCTION("MID(REGEXEXTRACT(J80,"" [^ ]* [^ ]*""),2,300)"),"#REF!")</f>
        <v>#REF!</v>
      </c>
      <c r="S80" s="3">
        <f t="shared" si="2"/>
        <v>1</v>
      </c>
      <c r="T80" s="3" t="str">
        <f t="shared" si="3"/>
        <v>posh magenta</v>
      </c>
      <c r="U80" s="3">
        <f t="shared" si="4"/>
        <v>2</v>
      </c>
      <c r="V80" s="3" t="str">
        <f t="shared" si="5"/>
        <v>wavy gray</v>
      </c>
      <c r="W80" s="3">
        <f t="shared" si="6"/>
        <v>5</v>
      </c>
      <c r="X80" s="3" t="str">
        <f t="shared" si="7"/>
        <v>faded indigo</v>
      </c>
      <c r="Y80" s="3" t="str">
        <f t="shared" si="8"/>
        <v/>
      </c>
      <c r="Z80" s="3" t="str">
        <f t="shared" si="9"/>
        <v/>
      </c>
      <c r="AA80" s="13">
        <f t="shared" si="10"/>
        <v>1699303326</v>
      </c>
      <c r="AB80" s="3">
        <f t="shared" si="11"/>
        <v>1699303325</v>
      </c>
      <c r="AC80" s="3">
        <f t="shared" si="12"/>
        <v>1</v>
      </c>
      <c r="AD80" s="3">
        <f t="shared" si="13"/>
        <v>1</v>
      </c>
      <c r="AE80" s="3">
        <f t="shared" si="14"/>
        <v>2</v>
      </c>
      <c r="AF80" s="3">
        <f t="shared" si="15"/>
        <v>3322</v>
      </c>
      <c r="AG80" s="3">
        <f t="shared" si="16"/>
        <v>5</v>
      </c>
      <c r="AH80" s="3">
        <f t="shared" si="17"/>
        <v>339859336</v>
      </c>
      <c r="AI80" s="3" t="str">
        <f t="shared" si="18"/>
        <v/>
      </c>
      <c r="AJ80" s="3">
        <f t="shared" si="19"/>
        <v>0</v>
      </c>
    </row>
    <row r="81">
      <c r="C81" s="6" t="s">
        <v>81</v>
      </c>
      <c r="D81" s="3">
        <f t="shared" si="1"/>
        <v>3</v>
      </c>
      <c r="E81" s="3" t="str">
        <f>IFERROR(__xludf.DUMMYFUNCTION("REGEXEXTRACT(C81,""[^ ]* [^ ]*"")"),"mirrored orange")</f>
        <v>mirrored orange</v>
      </c>
      <c r="F81" s="3" t="str">
        <f>IFERROR(__xludf.DUMMYFUNCTION("MID(REGEXEXTRACT(C81,""contain.*$""),9,300)"),"1 posh bronze bag, 2 faded white bags, 1 light orange bag, 2 posh red bags.")</f>
        <v>1 posh bronze bag, 2 faded white bags, 1 light orange bag, 2 posh red bags.</v>
      </c>
      <c r="G81" s="3" t="str">
        <f>IFERROR(__xludf.DUMMYFUNCTION("INDEX(SPLIT($F81,"",""),COLUMN()-6)"),"1 posh bronze bag")</f>
        <v>1 posh bronze bag</v>
      </c>
      <c r="H81" s="3" t="str">
        <f>IFERROR(__xludf.DUMMYFUNCTION("MID(INDEX(SPLIT($F81,"",""),COLUMN()-6),2,300)"),"2 faded white bags")</f>
        <v>2 faded white bags</v>
      </c>
      <c r="I81" s="3" t="str">
        <f>IFERROR(__xludf.DUMMYFUNCTION("MID(INDEX(SPLIT($F81,"",""),COLUMN()-6),2,300)"),"1 light orange bag")</f>
        <v>1 light orange bag</v>
      </c>
      <c r="J81" s="3" t="str">
        <f>IFERROR(__xludf.DUMMYFUNCTION("MID(INDEX(SPLIT($F81,"",""),COLUMN()-6),2,300)"),"2 posh red bags.")</f>
        <v>2 posh red bags.</v>
      </c>
      <c r="K81" s="3">
        <f>IFERROR(__xludf.DUMMYFUNCTION("INDEX(SPLIT(G81,"" ""),1)"),1.0)</f>
        <v>1</v>
      </c>
      <c r="L81" s="3" t="str">
        <f>IFERROR(__xludf.DUMMYFUNCTION("REGEXEXTRACT(G81,"" [^ ]* [^ ]* "")")," posh bronze ")</f>
        <v> posh bronze </v>
      </c>
      <c r="M81" s="3">
        <f>IFERROR(__xludf.DUMMYFUNCTION("INDEX(SPLIT(H81,"" ""),1)"),2.0)</f>
        <v>2</v>
      </c>
      <c r="N81" s="3" t="str">
        <f>IFERROR(__xludf.DUMMYFUNCTION("MID(REGEXEXTRACT(H81,"" [^ ]* [^ ]*""),2,300)"),"faded white")</f>
        <v>faded white</v>
      </c>
      <c r="O81" s="3">
        <f>IFERROR(__xludf.DUMMYFUNCTION("INDEX(SPLIT(I81,"" ""),1)"),1.0)</f>
        <v>1</v>
      </c>
      <c r="P81" s="3" t="str">
        <f>IFERROR(__xludf.DUMMYFUNCTION("MID(REGEXEXTRACT(I81,"" [^ ]* [^ ]*""),2,300)"),"light orange")</f>
        <v>light orange</v>
      </c>
      <c r="Q81" s="3">
        <f>IFERROR(__xludf.DUMMYFUNCTION("INDEX(SPLIT(J81,"" ""),1)"),2.0)</f>
        <v>2</v>
      </c>
      <c r="R81" s="3" t="str">
        <f>IFERROR(__xludf.DUMMYFUNCTION("MID(REGEXEXTRACT(J81,"" [^ ]* [^ ]*""),2,300)"),"posh red")</f>
        <v>posh red</v>
      </c>
      <c r="S81" s="3">
        <f t="shared" si="2"/>
        <v>1</v>
      </c>
      <c r="T81" s="3" t="str">
        <f t="shared" si="3"/>
        <v>posh bronze</v>
      </c>
      <c r="U81" s="3">
        <f t="shared" si="4"/>
        <v>2</v>
      </c>
      <c r="V81" s="3" t="str">
        <f t="shared" si="5"/>
        <v>faded white</v>
      </c>
      <c r="W81" s="3">
        <f t="shared" si="6"/>
        <v>1</v>
      </c>
      <c r="X81" s="3" t="str">
        <f t="shared" si="7"/>
        <v>light orange</v>
      </c>
      <c r="Y81" s="3">
        <f t="shared" si="8"/>
        <v>2</v>
      </c>
      <c r="Z81" s="3" t="str">
        <f t="shared" si="9"/>
        <v>posh red</v>
      </c>
      <c r="AA81" s="13">
        <f t="shared" si="10"/>
        <v>99887875</v>
      </c>
      <c r="AB81" s="3">
        <f t="shared" si="11"/>
        <v>99887874</v>
      </c>
      <c r="AC81" s="3">
        <f t="shared" si="12"/>
        <v>1</v>
      </c>
      <c r="AD81" s="3">
        <f t="shared" si="13"/>
        <v>21</v>
      </c>
      <c r="AE81" s="3">
        <f t="shared" si="14"/>
        <v>2</v>
      </c>
      <c r="AF81" s="3">
        <f t="shared" si="15"/>
        <v>47322193</v>
      </c>
      <c r="AG81" s="3">
        <f t="shared" si="16"/>
        <v>1</v>
      </c>
      <c r="AH81" s="3">
        <f t="shared" si="17"/>
        <v>4507599</v>
      </c>
      <c r="AI81" s="3">
        <f t="shared" si="18"/>
        <v>2</v>
      </c>
      <c r="AJ81" s="3">
        <f t="shared" si="19"/>
        <v>367934</v>
      </c>
    </row>
    <row r="82">
      <c r="C82" s="6" t="s">
        <v>82</v>
      </c>
      <c r="D82" s="3">
        <f t="shared" si="1"/>
        <v>3</v>
      </c>
      <c r="E82" s="3" t="str">
        <f>IFERROR(__xludf.DUMMYFUNCTION("REGEXEXTRACT(C82,""[^ ]* [^ ]*"")"),"striped turquoise")</f>
        <v>striped turquoise</v>
      </c>
      <c r="F82" s="3" t="str">
        <f>IFERROR(__xludf.DUMMYFUNCTION("MID(REGEXEXTRACT(C82,""contain.*$""),9,300)"),"5 muted salmon bags, 5 dark white bags, 1 mirrored purple bag, 3 pale chartreuse bags.")</f>
        <v>5 muted salmon bags, 5 dark white bags, 1 mirrored purple bag, 3 pale chartreuse bags.</v>
      </c>
      <c r="G82" s="3" t="str">
        <f>IFERROR(__xludf.DUMMYFUNCTION("INDEX(SPLIT($F82,"",""),COLUMN()-6)"),"5 muted salmon bags")</f>
        <v>5 muted salmon bags</v>
      </c>
      <c r="H82" s="3" t="str">
        <f>IFERROR(__xludf.DUMMYFUNCTION("MID(INDEX(SPLIT($F82,"",""),COLUMN()-6),2,300)"),"5 dark white bags")</f>
        <v>5 dark white bags</v>
      </c>
      <c r="I82" s="3" t="str">
        <f>IFERROR(__xludf.DUMMYFUNCTION("MID(INDEX(SPLIT($F82,"",""),COLUMN()-6),2,300)"),"1 mirrored purple bag")</f>
        <v>1 mirrored purple bag</v>
      </c>
      <c r="J82" s="3" t="str">
        <f>IFERROR(__xludf.DUMMYFUNCTION("MID(INDEX(SPLIT($F82,"",""),COLUMN()-6),2,300)"),"3 pale chartreuse bags.")</f>
        <v>3 pale chartreuse bags.</v>
      </c>
      <c r="K82" s="3">
        <f>IFERROR(__xludf.DUMMYFUNCTION("INDEX(SPLIT(G82,"" ""),1)"),5.0)</f>
        <v>5</v>
      </c>
      <c r="L82" s="3" t="str">
        <f>IFERROR(__xludf.DUMMYFUNCTION("REGEXEXTRACT(G82,"" [^ ]* [^ ]* "")")," muted salmon ")</f>
        <v> muted salmon </v>
      </c>
      <c r="M82" s="3">
        <f>IFERROR(__xludf.DUMMYFUNCTION("INDEX(SPLIT(H82,"" ""),1)"),5.0)</f>
        <v>5</v>
      </c>
      <c r="N82" s="3" t="str">
        <f>IFERROR(__xludf.DUMMYFUNCTION("MID(REGEXEXTRACT(H82,"" [^ ]* [^ ]*""),2,300)"),"dark white")</f>
        <v>dark white</v>
      </c>
      <c r="O82" s="3">
        <f>IFERROR(__xludf.DUMMYFUNCTION("INDEX(SPLIT(I82,"" ""),1)"),1.0)</f>
        <v>1</v>
      </c>
      <c r="P82" s="3" t="str">
        <f>IFERROR(__xludf.DUMMYFUNCTION("MID(REGEXEXTRACT(I82,"" [^ ]* [^ ]*""),2,300)"),"mirrored purple")</f>
        <v>mirrored purple</v>
      </c>
      <c r="Q82" s="3">
        <f>IFERROR(__xludf.DUMMYFUNCTION("INDEX(SPLIT(J82,"" ""),1)"),3.0)</f>
        <v>3</v>
      </c>
      <c r="R82" s="3" t="str">
        <f>IFERROR(__xludf.DUMMYFUNCTION("MID(REGEXEXTRACT(J82,"" [^ ]* [^ ]*""),2,300)"),"pale chartreuse")</f>
        <v>pale chartreuse</v>
      </c>
      <c r="S82" s="3">
        <f t="shared" si="2"/>
        <v>5</v>
      </c>
      <c r="T82" s="3" t="str">
        <f t="shared" si="3"/>
        <v>muted salmon</v>
      </c>
      <c r="U82" s="3">
        <f t="shared" si="4"/>
        <v>5</v>
      </c>
      <c r="V82" s="3" t="str">
        <f t="shared" si="5"/>
        <v>dark white</v>
      </c>
      <c r="W82" s="3">
        <f t="shared" si="6"/>
        <v>1</v>
      </c>
      <c r="X82" s="3" t="str">
        <f t="shared" si="7"/>
        <v>mirrored purple</v>
      </c>
      <c r="Y82" s="3">
        <f t="shared" si="8"/>
        <v>3</v>
      </c>
      <c r="Z82" s="3" t="str">
        <f t="shared" si="9"/>
        <v>pale chartreuse</v>
      </c>
      <c r="AA82" s="13">
        <f t="shared" si="10"/>
        <v>4519429856</v>
      </c>
      <c r="AB82" s="3">
        <f t="shared" si="11"/>
        <v>4519429855</v>
      </c>
      <c r="AC82" s="3">
        <f t="shared" si="12"/>
        <v>5</v>
      </c>
      <c r="AD82" s="3">
        <f t="shared" si="13"/>
        <v>3012</v>
      </c>
      <c r="AE82" s="3">
        <f t="shared" si="14"/>
        <v>5</v>
      </c>
      <c r="AF82" s="3">
        <f t="shared" si="15"/>
        <v>799970875</v>
      </c>
      <c r="AG82" s="3">
        <f t="shared" si="16"/>
        <v>1</v>
      </c>
      <c r="AH82" s="3">
        <f t="shared" si="17"/>
        <v>47043416</v>
      </c>
      <c r="AI82" s="3">
        <f t="shared" si="18"/>
        <v>3</v>
      </c>
      <c r="AJ82" s="3">
        <f t="shared" si="19"/>
        <v>157505668</v>
      </c>
    </row>
    <row r="83">
      <c r="C83" s="6" t="s">
        <v>83</v>
      </c>
      <c r="D83" s="3">
        <f t="shared" si="1"/>
        <v>2</v>
      </c>
      <c r="E83" s="3" t="str">
        <f>IFERROR(__xludf.DUMMYFUNCTION("REGEXEXTRACT(C83,""[^ ]* [^ ]*"")"),"dotted coral")</f>
        <v>dotted coral</v>
      </c>
      <c r="F83" s="3" t="str">
        <f>IFERROR(__xludf.DUMMYFUNCTION("MID(REGEXEXTRACT(C83,""contain.*$""),9,300)"),"3 bright brown bags, 2 posh yellow bags, 3 drab maroon bags.")</f>
        <v>3 bright brown bags, 2 posh yellow bags, 3 drab maroon bags.</v>
      </c>
      <c r="G83" s="3" t="str">
        <f>IFERROR(__xludf.DUMMYFUNCTION("INDEX(SPLIT($F83,"",""),COLUMN()-6)"),"3 bright brown bags")</f>
        <v>3 bright brown bags</v>
      </c>
      <c r="H83" s="3" t="str">
        <f>IFERROR(__xludf.DUMMYFUNCTION("MID(INDEX(SPLIT($F83,"",""),COLUMN()-6),2,300)"),"2 posh yellow bags")</f>
        <v>2 posh yellow bags</v>
      </c>
      <c r="I83" s="3" t="str">
        <f>IFERROR(__xludf.DUMMYFUNCTION("MID(INDEX(SPLIT($F83,"",""),COLUMN()-6),2,300)"),"3 drab maroon bags.")</f>
        <v>3 drab maroon bags.</v>
      </c>
      <c r="J83" s="3" t="str">
        <f>IFERROR(__xludf.DUMMYFUNCTION("MID(INDEX(SPLIT($F83,"",""),COLUMN()-6),2,300)"),"#REF!")</f>
        <v>#REF!</v>
      </c>
      <c r="K83" s="3">
        <f>IFERROR(__xludf.DUMMYFUNCTION("INDEX(SPLIT(G83,"" ""),1)"),3.0)</f>
        <v>3</v>
      </c>
      <c r="L83" s="3" t="str">
        <f>IFERROR(__xludf.DUMMYFUNCTION("REGEXEXTRACT(G83,"" [^ ]* [^ ]* "")")," bright brown ")</f>
        <v> bright brown </v>
      </c>
      <c r="M83" s="3">
        <f>IFERROR(__xludf.DUMMYFUNCTION("INDEX(SPLIT(H83,"" ""),1)"),2.0)</f>
        <v>2</v>
      </c>
      <c r="N83" s="3" t="str">
        <f>IFERROR(__xludf.DUMMYFUNCTION("MID(REGEXEXTRACT(H83,"" [^ ]* [^ ]*""),2,300)"),"posh yellow")</f>
        <v>posh yellow</v>
      </c>
      <c r="O83" s="3">
        <f>IFERROR(__xludf.DUMMYFUNCTION("INDEX(SPLIT(I83,"" ""),1)"),3.0)</f>
        <v>3</v>
      </c>
      <c r="P83" s="3" t="str">
        <f>IFERROR(__xludf.DUMMYFUNCTION("MID(REGEXEXTRACT(I83,"" [^ ]* [^ ]*""),2,300)"),"drab maroon")</f>
        <v>drab maroon</v>
      </c>
      <c r="Q83" s="3" t="str">
        <f>IFERROR(__xludf.DUMMYFUNCTION("INDEX(SPLIT(J83,"" ""),1)"),"#REF!")</f>
        <v>#REF!</v>
      </c>
      <c r="R83" s="3" t="str">
        <f>IFERROR(__xludf.DUMMYFUNCTION("MID(REGEXEXTRACT(J83,"" [^ ]* [^ ]*""),2,300)"),"#REF!")</f>
        <v>#REF!</v>
      </c>
      <c r="S83" s="3">
        <f t="shared" si="2"/>
        <v>3</v>
      </c>
      <c r="T83" s="3" t="str">
        <f t="shared" si="3"/>
        <v>bright brown</v>
      </c>
      <c r="U83" s="3">
        <f t="shared" si="4"/>
        <v>2</v>
      </c>
      <c r="V83" s="3" t="str">
        <f t="shared" si="5"/>
        <v>posh yellow</v>
      </c>
      <c r="W83" s="3">
        <f t="shared" si="6"/>
        <v>3</v>
      </c>
      <c r="X83" s="3" t="str">
        <f t="shared" si="7"/>
        <v>drab maroon</v>
      </c>
      <c r="Y83" s="3" t="str">
        <f t="shared" si="8"/>
        <v/>
      </c>
      <c r="Z83" s="3" t="str">
        <f t="shared" si="9"/>
        <v/>
      </c>
      <c r="AA83" s="13">
        <f t="shared" si="10"/>
        <v>10803</v>
      </c>
      <c r="AB83" s="3">
        <f t="shared" si="11"/>
        <v>10802</v>
      </c>
      <c r="AC83" s="3">
        <f t="shared" si="12"/>
        <v>3</v>
      </c>
      <c r="AD83" s="3">
        <f t="shared" si="13"/>
        <v>1</v>
      </c>
      <c r="AE83" s="3">
        <f t="shared" si="14"/>
        <v>2</v>
      </c>
      <c r="AF83" s="3">
        <f t="shared" si="15"/>
        <v>4</v>
      </c>
      <c r="AG83" s="3">
        <f t="shared" si="16"/>
        <v>3</v>
      </c>
      <c r="AH83" s="3">
        <f t="shared" si="17"/>
        <v>3597</v>
      </c>
      <c r="AI83" s="3" t="str">
        <f t="shared" si="18"/>
        <v/>
      </c>
      <c r="AJ83" s="3">
        <f t="shared" si="19"/>
        <v>0</v>
      </c>
    </row>
    <row r="84">
      <c r="C84" s="6" t="s">
        <v>84</v>
      </c>
      <c r="D84" s="3">
        <f t="shared" si="1"/>
        <v>0</v>
      </c>
      <c r="E84" s="3" t="str">
        <f>IFERROR(__xludf.DUMMYFUNCTION("REGEXEXTRACT(C84,""[^ ]* [^ ]*"")"),"wavy maroon")</f>
        <v>wavy maroon</v>
      </c>
      <c r="F84" s="3" t="str">
        <f>IFERROR(__xludf.DUMMYFUNCTION("MID(REGEXEXTRACT(C84,""contain.*$""),9,300)"),"2 clear lime bags.")</f>
        <v>2 clear lime bags.</v>
      </c>
      <c r="G84" s="3" t="str">
        <f>IFERROR(__xludf.DUMMYFUNCTION("INDEX(SPLIT($F84,"",""),COLUMN()-6)"),"2 clear lime bags.")</f>
        <v>2 clear lime bags.</v>
      </c>
      <c r="H84" s="3" t="str">
        <f>IFERROR(__xludf.DUMMYFUNCTION("MID(INDEX(SPLIT($F84,"",""),COLUMN()-6),2,300)"),"#REF!")</f>
        <v>#REF!</v>
      </c>
      <c r="I84" s="3" t="str">
        <f>IFERROR(__xludf.DUMMYFUNCTION("MID(INDEX(SPLIT($F84,"",""),COLUMN()-6),2,300)"),"#REF!")</f>
        <v>#REF!</v>
      </c>
      <c r="J84" s="3" t="str">
        <f>IFERROR(__xludf.DUMMYFUNCTION("MID(INDEX(SPLIT($F84,"",""),COLUMN()-6),2,300)"),"#REF!")</f>
        <v>#REF!</v>
      </c>
      <c r="K84" s="3">
        <f>IFERROR(__xludf.DUMMYFUNCTION("INDEX(SPLIT(G84,"" ""),1)"),2.0)</f>
        <v>2</v>
      </c>
      <c r="L84" s="3" t="str">
        <f>IFERROR(__xludf.DUMMYFUNCTION("REGEXEXTRACT(G84,"" [^ ]* [^ ]* "")")," clear lime ")</f>
        <v> clear lime </v>
      </c>
      <c r="M84" s="3" t="str">
        <f>IFERROR(__xludf.DUMMYFUNCTION("INDEX(SPLIT(H84,"" ""),1)"),"#REF!")</f>
        <v>#REF!</v>
      </c>
      <c r="N84" s="3" t="str">
        <f>IFERROR(__xludf.DUMMYFUNCTION("MID(REGEXEXTRACT(H84,"" [^ ]* [^ ]*""),2,300)"),"#REF!")</f>
        <v>#REF!</v>
      </c>
      <c r="O84" s="3" t="str">
        <f>IFERROR(__xludf.DUMMYFUNCTION("INDEX(SPLIT(I84,"" ""),1)"),"#REF!")</f>
        <v>#REF!</v>
      </c>
      <c r="P84" s="3" t="str">
        <f>IFERROR(__xludf.DUMMYFUNCTION("MID(REGEXEXTRACT(I84,"" [^ ]* [^ ]*""),2,300)"),"#REF!")</f>
        <v>#REF!</v>
      </c>
      <c r="Q84" s="3" t="str">
        <f>IFERROR(__xludf.DUMMYFUNCTION("INDEX(SPLIT(J84,"" ""),1)"),"#REF!")</f>
        <v>#REF!</v>
      </c>
      <c r="R84" s="3" t="str">
        <f>IFERROR(__xludf.DUMMYFUNCTION("MID(REGEXEXTRACT(J84,"" [^ ]* [^ ]*""),2,300)"),"#REF!")</f>
        <v>#REF!</v>
      </c>
      <c r="S84" s="3">
        <f t="shared" si="2"/>
        <v>2</v>
      </c>
      <c r="T84" s="3" t="str">
        <f t="shared" si="3"/>
        <v>clear lime</v>
      </c>
      <c r="U84" s="3" t="str">
        <f t="shared" si="4"/>
        <v/>
      </c>
      <c r="V84" s="3" t="str">
        <f t="shared" si="5"/>
        <v/>
      </c>
      <c r="W84" s="3" t="str">
        <f t="shared" si="6"/>
        <v/>
      </c>
      <c r="X84" s="3" t="str">
        <f t="shared" si="7"/>
        <v/>
      </c>
      <c r="Y84" s="3" t="str">
        <f t="shared" si="8"/>
        <v/>
      </c>
      <c r="Z84" s="3" t="str">
        <f t="shared" si="9"/>
        <v/>
      </c>
      <c r="AA84" s="13">
        <f t="shared" si="10"/>
        <v>1545251</v>
      </c>
      <c r="AB84" s="3">
        <f t="shared" si="11"/>
        <v>1545250</v>
      </c>
      <c r="AC84" s="3">
        <f t="shared" si="12"/>
        <v>2</v>
      </c>
      <c r="AD84" s="3">
        <f t="shared" si="13"/>
        <v>772625</v>
      </c>
      <c r="AE84" s="3" t="str">
        <f t="shared" si="14"/>
        <v/>
      </c>
      <c r="AF84" s="3">
        <f t="shared" si="15"/>
        <v>0</v>
      </c>
      <c r="AG84" s="3" t="str">
        <f t="shared" si="16"/>
        <v/>
      </c>
      <c r="AH84" s="3">
        <f t="shared" si="17"/>
        <v>0</v>
      </c>
      <c r="AI84" s="3" t="str">
        <f t="shared" si="18"/>
        <v/>
      </c>
      <c r="AJ84" s="3">
        <f t="shared" si="19"/>
        <v>0</v>
      </c>
    </row>
    <row r="85">
      <c r="C85" s="6" t="s">
        <v>85</v>
      </c>
      <c r="D85" s="3">
        <f t="shared" si="1"/>
        <v>2</v>
      </c>
      <c r="E85" s="3" t="str">
        <f>IFERROR(__xludf.DUMMYFUNCTION("REGEXEXTRACT(C85,""[^ ]* [^ ]*"")"),"mirrored indigo")</f>
        <v>mirrored indigo</v>
      </c>
      <c r="F85" s="3" t="str">
        <f>IFERROR(__xludf.DUMMYFUNCTION("MID(REGEXEXTRACT(C85,""contain.*$""),9,300)"),"1 mirrored cyan bag, 1 posh plum bag, 2 plaid silver bags.")</f>
        <v>1 mirrored cyan bag, 1 posh plum bag, 2 plaid silver bags.</v>
      </c>
      <c r="G85" s="3" t="str">
        <f>IFERROR(__xludf.DUMMYFUNCTION("INDEX(SPLIT($F85,"",""),COLUMN()-6)"),"1 mirrored cyan bag")</f>
        <v>1 mirrored cyan bag</v>
      </c>
      <c r="H85" s="3" t="str">
        <f>IFERROR(__xludf.DUMMYFUNCTION("MID(INDEX(SPLIT($F85,"",""),COLUMN()-6),2,300)"),"1 posh plum bag")</f>
        <v>1 posh plum bag</v>
      </c>
      <c r="I85" s="3" t="str">
        <f>IFERROR(__xludf.DUMMYFUNCTION("MID(INDEX(SPLIT($F85,"",""),COLUMN()-6),2,300)"),"2 plaid silver bags.")</f>
        <v>2 plaid silver bags.</v>
      </c>
      <c r="J85" s="3" t="str">
        <f>IFERROR(__xludf.DUMMYFUNCTION("MID(INDEX(SPLIT($F85,"",""),COLUMN()-6),2,300)"),"#REF!")</f>
        <v>#REF!</v>
      </c>
      <c r="K85" s="3">
        <f>IFERROR(__xludf.DUMMYFUNCTION("INDEX(SPLIT(G85,"" ""),1)"),1.0)</f>
        <v>1</v>
      </c>
      <c r="L85" s="3" t="str">
        <f>IFERROR(__xludf.DUMMYFUNCTION("REGEXEXTRACT(G85,"" [^ ]* [^ ]* "")")," mirrored cyan ")</f>
        <v> mirrored cyan </v>
      </c>
      <c r="M85" s="3">
        <f>IFERROR(__xludf.DUMMYFUNCTION("INDEX(SPLIT(H85,"" ""),1)"),1.0)</f>
        <v>1</v>
      </c>
      <c r="N85" s="3" t="str">
        <f>IFERROR(__xludf.DUMMYFUNCTION("MID(REGEXEXTRACT(H85,"" [^ ]* [^ ]*""),2,300)"),"posh plum")</f>
        <v>posh plum</v>
      </c>
      <c r="O85" s="3">
        <f>IFERROR(__xludf.DUMMYFUNCTION("INDEX(SPLIT(I85,"" ""),1)"),2.0)</f>
        <v>2</v>
      </c>
      <c r="P85" s="3" t="str">
        <f>IFERROR(__xludf.DUMMYFUNCTION("MID(REGEXEXTRACT(I85,"" [^ ]* [^ ]*""),2,300)"),"plaid silver")</f>
        <v>plaid silver</v>
      </c>
      <c r="Q85" s="3" t="str">
        <f>IFERROR(__xludf.DUMMYFUNCTION("INDEX(SPLIT(J85,"" ""),1)"),"#REF!")</f>
        <v>#REF!</v>
      </c>
      <c r="R85" s="3" t="str">
        <f>IFERROR(__xludf.DUMMYFUNCTION("MID(REGEXEXTRACT(J85,"" [^ ]* [^ ]*""),2,300)"),"#REF!")</f>
        <v>#REF!</v>
      </c>
      <c r="S85" s="3">
        <f t="shared" si="2"/>
        <v>1</v>
      </c>
      <c r="T85" s="3" t="str">
        <f t="shared" si="3"/>
        <v>mirrored cyan</v>
      </c>
      <c r="U85" s="3">
        <f t="shared" si="4"/>
        <v>1</v>
      </c>
      <c r="V85" s="3" t="str">
        <f t="shared" si="5"/>
        <v>posh plum</v>
      </c>
      <c r="W85" s="3">
        <f t="shared" si="6"/>
        <v>2</v>
      </c>
      <c r="X85" s="3" t="str">
        <f t="shared" si="7"/>
        <v>plaid silver</v>
      </c>
      <c r="Y85" s="3" t="str">
        <f t="shared" si="8"/>
        <v/>
      </c>
      <c r="Z85" s="3" t="str">
        <f t="shared" si="9"/>
        <v/>
      </c>
      <c r="AA85" s="13">
        <f t="shared" si="10"/>
        <v>181271</v>
      </c>
      <c r="AB85" s="3">
        <f t="shared" si="11"/>
        <v>181270</v>
      </c>
      <c r="AC85" s="3">
        <f t="shared" si="12"/>
        <v>1</v>
      </c>
      <c r="AD85" s="3">
        <f t="shared" si="13"/>
        <v>1854</v>
      </c>
      <c r="AE85" s="3">
        <f t="shared" si="14"/>
        <v>1</v>
      </c>
      <c r="AF85" s="3">
        <f t="shared" si="15"/>
        <v>6182</v>
      </c>
      <c r="AG85" s="3">
        <f t="shared" si="16"/>
        <v>2</v>
      </c>
      <c r="AH85" s="3">
        <f t="shared" si="17"/>
        <v>86617</v>
      </c>
      <c r="AI85" s="3" t="str">
        <f t="shared" si="18"/>
        <v/>
      </c>
      <c r="AJ85" s="3">
        <f t="shared" si="19"/>
        <v>0</v>
      </c>
    </row>
    <row r="86">
      <c r="C86" s="6" t="s">
        <v>86</v>
      </c>
      <c r="D86" s="3">
        <f t="shared" si="1"/>
        <v>3</v>
      </c>
      <c r="E86" s="3" t="str">
        <f>IFERROR(__xludf.DUMMYFUNCTION("REGEXEXTRACT(C86,""[^ ]* [^ ]*"")"),"wavy indigo")</f>
        <v>wavy indigo</v>
      </c>
      <c r="F86" s="3" t="str">
        <f>IFERROR(__xludf.DUMMYFUNCTION("MID(REGEXEXTRACT(C86,""contain.*$""),9,300)"),"5 dark violet bags, 5 drab black bags, 4 dark orange bags, 5 muted green bags.")</f>
        <v>5 dark violet bags, 5 drab black bags, 4 dark orange bags, 5 muted green bags.</v>
      </c>
      <c r="G86" s="3" t="str">
        <f>IFERROR(__xludf.DUMMYFUNCTION("INDEX(SPLIT($F86,"",""),COLUMN()-6)"),"5 dark violet bags")</f>
        <v>5 dark violet bags</v>
      </c>
      <c r="H86" s="3" t="str">
        <f>IFERROR(__xludf.DUMMYFUNCTION("MID(INDEX(SPLIT($F86,"",""),COLUMN()-6),2,300)"),"5 drab black bags")</f>
        <v>5 drab black bags</v>
      </c>
      <c r="I86" s="3" t="str">
        <f>IFERROR(__xludf.DUMMYFUNCTION("MID(INDEX(SPLIT($F86,"",""),COLUMN()-6),2,300)"),"4 dark orange bags")</f>
        <v>4 dark orange bags</v>
      </c>
      <c r="J86" s="3" t="str">
        <f>IFERROR(__xludf.DUMMYFUNCTION("MID(INDEX(SPLIT($F86,"",""),COLUMN()-6),2,300)"),"5 muted green bags.")</f>
        <v>5 muted green bags.</v>
      </c>
      <c r="K86" s="3">
        <f>IFERROR(__xludf.DUMMYFUNCTION("INDEX(SPLIT(G86,"" ""),1)"),5.0)</f>
        <v>5</v>
      </c>
      <c r="L86" s="3" t="str">
        <f>IFERROR(__xludf.DUMMYFUNCTION("REGEXEXTRACT(G86,"" [^ ]* [^ ]* "")")," dark violet ")</f>
        <v> dark violet </v>
      </c>
      <c r="M86" s="3">
        <f>IFERROR(__xludf.DUMMYFUNCTION("INDEX(SPLIT(H86,"" ""),1)"),5.0)</f>
        <v>5</v>
      </c>
      <c r="N86" s="3" t="str">
        <f>IFERROR(__xludf.DUMMYFUNCTION("MID(REGEXEXTRACT(H86,"" [^ ]* [^ ]*""),2,300)"),"drab black")</f>
        <v>drab black</v>
      </c>
      <c r="O86" s="3">
        <f>IFERROR(__xludf.DUMMYFUNCTION("INDEX(SPLIT(I86,"" ""),1)"),4.0)</f>
        <v>4</v>
      </c>
      <c r="P86" s="3" t="str">
        <f>IFERROR(__xludf.DUMMYFUNCTION("MID(REGEXEXTRACT(I86,"" [^ ]* [^ ]*""),2,300)"),"dark orange")</f>
        <v>dark orange</v>
      </c>
      <c r="Q86" s="3">
        <f>IFERROR(__xludf.DUMMYFUNCTION("INDEX(SPLIT(J86,"" ""),1)"),5.0)</f>
        <v>5</v>
      </c>
      <c r="R86" s="3" t="str">
        <f>IFERROR(__xludf.DUMMYFUNCTION("MID(REGEXEXTRACT(J86,"" [^ ]* [^ ]*""),2,300)"),"muted green")</f>
        <v>muted green</v>
      </c>
      <c r="S86" s="3">
        <f t="shared" si="2"/>
        <v>5</v>
      </c>
      <c r="T86" s="3" t="str">
        <f t="shared" si="3"/>
        <v>dark violet</v>
      </c>
      <c r="U86" s="3">
        <f t="shared" si="4"/>
        <v>5</v>
      </c>
      <c r="V86" s="3" t="str">
        <f t="shared" si="5"/>
        <v>drab black</v>
      </c>
      <c r="W86" s="3">
        <f t="shared" si="6"/>
        <v>4</v>
      </c>
      <c r="X86" s="3" t="str">
        <f t="shared" si="7"/>
        <v>dark orange</v>
      </c>
      <c r="Y86" s="3">
        <f t="shared" si="8"/>
        <v>5</v>
      </c>
      <c r="Z86" s="3" t="str">
        <f t="shared" si="9"/>
        <v>muted green</v>
      </c>
      <c r="AA86" s="13">
        <f t="shared" si="10"/>
        <v>1650305497</v>
      </c>
      <c r="AB86" s="3">
        <f t="shared" si="11"/>
        <v>1650305496</v>
      </c>
      <c r="AC86" s="3">
        <f t="shared" si="12"/>
        <v>5</v>
      </c>
      <c r="AD86" s="3">
        <f t="shared" si="13"/>
        <v>508749</v>
      </c>
      <c r="AE86" s="3">
        <f t="shared" si="14"/>
        <v>5</v>
      </c>
      <c r="AF86" s="3">
        <f t="shared" si="15"/>
        <v>314592018</v>
      </c>
      <c r="AG86" s="3">
        <f t="shared" si="16"/>
        <v>4</v>
      </c>
      <c r="AH86" s="3">
        <f t="shared" si="17"/>
        <v>18683429</v>
      </c>
      <c r="AI86" s="3">
        <f t="shared" si="18"/>
        <v>5</v>
      </c>
      <c r="AJ86" s="3">
        <f t="shared" si="19"/>
        <v>13589</v>
      </c>
    </row>
    <row r="87">
      <c r="C87" s="6" t="s">
        <v>87</v>
      </c>
      <c r="D87" s="3">
        <f t="shared" si="1"/>
        <v>1</v>
      </c>
      <c r="E87" s="3" t="str">
        <f>IFERROR(__xludf.DUMMYFUNCTION("REGEXEXTRACT(C87,""[^ ]* [^ ]*"")"),"striped tomato")</f>
        <v>striped tomato</v>
      </c>
      <c r="F87" s="3" t="str">
        <f>IFERROR(__xludf.DUMMYFUNCTION("MID(REGEXEXTRACT(C87,""contain.*$""),9,300)"),"4 dark indigo bags, 5 light lavender bags.")</f>
        <v>4 dark indigo bags, 5 light lavender bags.</v>
      </c>
      <c r="G87" s="3" t="str">
        <f>IFERROR(__xludf.DUMMYFUNCTION("INDEX(SPLIT($F87,"",""),COLUMN()-6)"),"4 dark indigo bags")</f>
        <v>4 dark indigo bags</v>
      </c>
      <c r="H87" s="3" t="str">
        <f>IFERROR(__xludf.DUMMYFUNCTION("MID(INDEX(SPLIT($F87,"",""),COLUMN()-6),2,300)"),"5 light lavender bags.")</f>
        <v>5 light lavender bags.</v>
      </c>
      <c r="I87" s="3" t="str">
        <f>IFERROR(__xludf.DUMMYFUNCTION("MID(INDEX(SPLIT($F87,"",""),COLUMN()-6),2,300)"),"#REF!")</f>
        <v>#REF!</v>
      </c>
      <c r="J87" s="3" t="str">
        <f>IFERROR(__xludf.DUMMYFUNCTION("MID(INDEX(SPLIT($F87,"",""),COLUMN()-6),2,300)"),"#REF!")</f>
        <v>#REF!</v>
      </c>
      <c r="K87" s="3">
        <f>IFERROR(__xludf.DUMMYFUNCTION("INDEX(SPLIT(G87,"" ""),1)"),4.0)</f>
        <v>4</v>
      </c>
      <c r="L87" s="3" t="str">
        <f>IFERROR(__xludf.DUMMYFUNCTION("REGEXEXTRACT(G87,"" [^ ]* [^ ]* "")")," dark indigo ")</f>
        <v> dark indigo </v>
      </c>
      <c r="M87" s="3">
        <f>IFERROR(__xludf.DUMMYFUNCTION("INDEX(SPLIT(H87,"" ""),1)"),5.0)</f>
        <v>5</v>
      </c>
      <c r="N87" s="3" t="str">
        <f>IFERROR(__xludf.DUMMYFUNCTION("MID(REGEXEXTRACT(H87,"" [^ ]* [^ ]*""),2,300)"),"light lavender")</f>
        <v>light lavender</v>
      </c>
      <c r="O87" s="3" t="str">
        <f>IFERROR(__xludf.DUMMYFUNCTION("INDEX(SPLIT(I87,"" ""),1)"),"#REF!")</f>
        <v>#REF!</v>
      </c>
      <c r="P87" s="3" t="str">
        <f>IFERROR(__xludf.DUMMYFUNCTION("MID(REGEXEXTRACT(I87,"" [^ ]* [^ ]*""),2,300)"),"#REF!")</f>
        <v>#REF!</v>
      </c>
      <c r="Q87" s="3" t="str">
        <f>IFERROR(__xludf.DUMMYFUNCTION("INDEX(SPLIT(J87,"" ""),1)"),"#REF!")</f>
        <v>#REF!</v>
      </c>
      <c r="R87" s="3" t="str">
        <f>IFERROR(__xludf.DUMMYFUNCTION("MID(REGEXEXTRACT(J87,"" [^ ]* [^ ]*""),2,300)"),"#REF!")</f>
        <v>#REF!</v>
      </c>
      <c r="S87" s="3">
        <f t="shared" si="2"/>
        <v>4</v>
      </c>
      <c r="T87" s="3" t="str">
        <f t="shared" si="3"/>
        <v>dark indigo</v>
      </c>
      <c r="U87" s="3">
        <f t="shared" si="4"/>
        <v>5</v>
      </c>
      <c r="V87" s="3" t="str">
        <f t="shared" si="5"/>
        <v>light lavender</v>
      </c>
      <c r="W87" s="3" t="str">
        <f t="shared" si="6"/>
        <v/>
      </c>
      <c r="X87" s="3" t="str">
        <f t="shared" si="7"/>
        <v/>
      </c>
      <c r="Y87" s="3" t="str">
        <f t="shared" si="8"/>
        <v/>
      </c>
      <c r="Z87" s="3" t="str">
        <f t="shared" si="9"/>
        <v/>
      </c>
      <c r="AA87" s="13">
        <f t="shared" si="10"/>
        <v>3047218660</v>
      </c>
      <c r="AB87" s="3">
        <f t="shared" si="11"/>
        <v>3047218659</v>
      </c>
      <c r="AC87" s="3">
        <f t="shared" si="12"/>
        <v>4</v>
      </c>
      <c r="AD87" s="3">
        <f t="shared" si="13"/>
        <v>756963601</v>
      </c>
      <c r="AE87" s="3">
        <f t="shared" si="14"/>
        <v>5</v>
      </c>
      <c r="AF87" s="3">
        <f t="shared" si="15"/>
        <v>3872851</v>
      </c>
      <c r="AG87" s="3" t="str">
        <f t="shared" si="16"/>
        <v/>
      </c>
      <c r="AH87" s="3">
        <f t="shared" si="17"/>
        <v>0</v>
      </c>
      <c r="AI87" s="3" t="str">
        <f t="shared" si="18"/>
        <v/>
      </c>
      <c r="AJ87" s="3">
        <f t="shared" si="19"/>
        <v>0</v>
      </c>
    </row>
    <row r="88">
      <c r="C88" s="6" t="s">
        <v>88</v>
      </c>
      <c r="D88" s="3">
        <f t="shared" si="1"/>
        <v>0</v>
      </c>
      <c r="E88" s="3" t="str">
        <f>IFERROR(__xludf.DUMMYFUNCTION("REGEXEXTRACT(C88,""[^ ]* [^ ]*"")"),"pale lime")</f>
        <v>pale lime</v>
      </c>
      <c r="F88" s="3" t="str">
        <f>IFERROR(__xludf.DUMMYFUNCTION("MID(REGEXEXTRACT(C88,""contain.*$""),9,300)"),"2 bright orange bags.")</f>
        <v>2 bright orange bags.</v>
      </c>
      <c r="G88" s="3" t="str">
        <f>IFERROR(__xludf.DUMMYFUNCTION("INDEX(SPLIT($F88,"",""),COLUMN()-6)"),"2 bright orange bags.")</f>
        <v>2 bright orange bags.</v>
      </c>
      <c r="H88" s="3" t="str">
        <f>IFERROR(__xludf.DUMMYFUNCTION("MID(INDEX(SPLIT($F88,"",""),COLUMN()-6),2,300)"),"#REF!")</f>
        <v>#REF!</v>
      </c>
      <c r="I88" s="3" t="str">
        <f>IFERROR(__xludf.DUMMYFUNCTION("MID(INDEX(SPLIT($F88,"",""),COLUMN()-6),2,300)"),"#REF!")</f>
        <v>#REF!</v>
      </c>
      <c r="J88" s="3" t="str">
        <f>IFERROR(__xludf.DUMMYFUNCTION("MID(INDEX(SPLIT($F88,"",""),COLUMN()-6),2,300)"),"#REF!")</f>
        <v>#REF!</v>
      </c>
      <c r="K88" s="3">
        <f>IFERROR(__xludf.DUMMYFUNCTION("INDEX(SPLIT(G88,"" ""),1)"),2.0)</f>
        <v>2</v>
      </c>
      <c r="L88" s="3" t="str">
        <f>IFERROR(__xludf.DUMMYFUNCTION("REGEXEXTRACT(G88,"" [^ ]* [^ ]* "")")," bright orange ")</f>
        <v> bright orange </v>
      </c>
      <c r="M88" s="3" t="str">
        <f>IFERROR(__xludf.DUMMYFUNCTION("INDEX(SPLIT(H88,"" ""),1)"),"#REF!")</f>
        <v>#REF!</v>
      </c>
      <c r="N88" s="3" t="str">
        <f>IFERROR(__xludf.DUMMYFUNCTION("MID(REGEXEXTRACT(H88,"" [^ ]* [^ ]*""),2,300)"),"#REF!")</f>
        <v>#REF!</v>
      </c>
      <c r="O88" s="3" t="str">
        <f>IFERROR(__xludf.DUMMYFUNCTION("INDEX(SPLIT(I88,"" ""),1)"),"#REF!")</f>
        <v>#REF!</v>
      </c>
      <c r="P88" s="3" t="str">
        <f>IFERROR(__xludf.DUMMYFUNCTION("MID(REGEXEXTRACT(I88,"" [^ ]* [^ ]*""),2,300)"),"#REF!")</f>
        <v>#REF!</v>
      </c>
      <c r="Q88" s="3" t="str">
        <f>IFERROR(__xludf.DUMMYFUNCTION("INDEX(SPLIT(J88,"" ""),1)"),"#REF!")</f>
        <v>#REF!</v>
      </c>
      <c r="R88" s="3" t="str">
        <f>IFERROR(__xludf.DUMMYFUNCTION("MID(REGEXEXTRACT(J88,"" [^ ]* [^ ]*""),2,300)"),"#REF!")</f>
        <v>#REF!</v>
      </c>
      <c r="S88" s="3">
        <f t="shared" si="2"/>
        <v>2</v>
      </c>
      <c r="T88" s="3" t="str">
        <f t="shared" si="3"/>
        <v>bright orange</v>
      </c>
      <c r="U88" s="3" t="str">
        <f t="shared" si="4"/>
        <v/>
      </c>
      <c r="V88" s="3" t="str">
        <f t="shared" si="5"/>
        <v/>
      </c>
      <c r="W88" s="3" t="str">
        <f t="shared" si="6"/>
        <v/>
      </c>
      <c r="X88" s="3" t="str">
        <f t="shared" si="7"/>
        <v/>
      </c>
      <c r="Y88" s="3" t="str">
        <f t="shared" si="8"/>
        <v/>
      </c>
      <c r="Z88" s="3" t="str">
        <f t="shared" si="9"/>
        <v/>
      </c>
      <c r="AA88" s="13">
        <f t="shared" si="10"/>
        <v>5333</v>
      </c>
      <c r="AB88" s="3">
        <f t="shared" si="11"/>
        <v>5332</v>
      </c>
      <c r="AC88" s="3">
        <f t="shared" si="12"/>
        <v>2</v>
      </c>
      <c r="AD88" s="3">
        <f t="shared" si="13"/>
        <v>2666</v>
      </c>
      <c r="AE88" s="3" t="str">
        <f t="shared" si="14"/>
        <v/>
      </c>
      <c r="AF88" s="3">
        <f t="shared" si="15"/>
        <v>0</v>
      </c>
      <c r="AG88" s="3" t="str">
        <f t="shared" si="16"/>
        <v/>
      </c>
      <c r="AH88" s="3">
        <f t="shared" si="17"/>
        <v>0</v>
      </c>
      <c r="AI88" s="3" t="str">
        <f t="shared" si="18"/>
        <v/>
      </c>
      <c r="AJ88" s="3">
        <f t="shared" si="19"/>
        <v>0</v>
      </c>
    </row>
    <row r="89">
      <c r="C89" s="6" t="s">
        <v>89</v>
      </c>
      <c r="D89" s="3">
        <f t="shared" si="1"/>
        <v>2</v>
      </c>
      <c r="E89" s="3" t="str">
        <f>IFERROR(__xludf.DUMMYFUNCTION("REGEXEXTRACT(C89,""[^ ]* [^ ]*"")"),"muted maroon")</f>
        <v>muted maroon</v>
      </c>
      <c r="F89" s="3" t="str">
        <f>IFERROR(__xludf.DUMMYFUNCTION("MID(REGEXEXTRACT(C89,""contain.*$""),9,300)"),"2 bright violet bags, 1 shiny coral bag, 1 posh gray bag.")</f>
        <v>2 bright violet bags, 1 shiny coral bag, 1 posh gray bag.</v>
      </c>
      <c r="G89" s="3" t="str">
        <f>IFERROR(__xludf.DUMMYFUNCTION("INDEX(SPLIT($F89,"",""),COLUMN()-6)"),"2 bright violet bags")</f>
        <v>2 bright violet bags</v>
      </c>
      <c r="H89" s="3" t="str">
        <f>IFERROR(__xludf.DUMMYFUNCTION("MID(INDEX(SPLIT($F89,"",""),COLUMN()-6),2,300)"),"1 shiny coral bag")</f>
        <v>1 shiny coral bag</v>
      </c>
      <c r="I89" s="3" t="str">
        <f>IFERROR(__xludf.DUMMYFUNCTION("MID(INDEX(SPLIT($F89,"",""),COLUMN()-6),2,300)"),"1 posh gray bag.")</f>
        <v>1 posh gray bag.</v>
      </c>
      <c r="J89" s="3" t="str">
        <f>IFERROR(__xludf.DUMMYFUNCTION("MID(INDEX(SPLIT($F89,"",""),COLUMN()-6),2,300)"),"#REF!")</f>
        <v>#REF!</v>
      </c>
      <c r="K89" s="3">
        <f>IFERROR(__xludf.DUMMYFUNCTION("INDEX(SPLIT(G89,"" ""),1)"),2.0)</f>
        <v>2</v>
      </c>
      <c r="L89" s="3" t="str">
        <f>IFERROR(__xludf.DUMMYFUNCTION("REGEXEXTRACT(G89,"" [^ ]* [^ ]* "")")," bright violet ")</f>
        <v> bright violet </v>
      </c>
      <c r="M89" s="3">
        <f>IFERROR(__xludf.DUMMYFUNCTION("INDEX(SPLIT(H89,"" ""),1)"),1.0)</f>
        <v>1</v>
      </c>
      <c r="N89" s="3" t="str">
        <f>IFERROR(__xludf.DUMMYFUNCTION("MID(REGEXEXTRACT(H89,"" [^ ]* [^ ]*""),2,300)"),"shiny coral")</f>
        <v>shiny coral</v>
      </c>
      <c r="O89" s="3">
        <f>IFERROR(__xludf.DUMMYFUNCTION("INDEX(SPLIT(I89,"" ""),1)"),1.0)</f>
        <v>1</v>
      </c>
      <c r="P89" s="3" t="str">
        <f>IFERROR(__xludf.DUMMYFUNCTION("MID(REGEXEXTRACT(I89,"" [^ ]* [^ ]*""),2,300)"),"posh gray")</f>
        <v>posh gray</v>
      </c>
      <c r="Q89" s="3" t="str">
        <f>IFERROR(__xludf.DUMMYFUNCTION("INDEX(SPLIT(J89,"" ""),1)"),"#REF!")</f>
        <v>#REF!</v>
      </c>
      <c r="R89" s="3" t="str">
        <f>IFERROR(__xludf.DUMMYFUNCTION("MID(REGEXEXTRACT(J89,"" [^ ]* [^ ]*""),2,300)"),"#REF!")</f>
        <v>#REF!</v>
      </c>
      <c r="S89" s="3">
        <f t="shared" si="2"/>
        <v>2</v>
      </c>
      <c r="T89" s="3" t="str">
        <f t="shared" si="3"/>
        <v>bright violet</v>
      </c>
      <c r="U89" s="3">
        <f t="shared" si="4"/>
        <v>1</v>
      </c>
      <c r="V89" s="3" t="str">
        <f t="shared" si="5"/>
        <v>shiny coral</v>
      </c>
      <c r="W89" s="3">
        <f t="shared" si="6"/>
        <v>1</v>
      </c>
      <c r="X89" s="3" t="str">
        <f t="shared" si="7"/>
        <v>posh gray</v>
      </c>
      <c r="Y89" s="3" t="str">
        <f t="shared" si="8"/>
        <v/>
      </c>
      <c r="Z89" s="3" t="str">
        <f t="shared" si="9"/>
        <v/>
      </c>
      <c r="AA89" s="13">
        <f t="shared" si="10"/>
        <v>25481</v>
      </c>
      <c r="AB89" s="3">
        <f t="shared" si="11"/>
        <v>25480</v>
      </c>
      <c r="AC89" s="3">
        <f t="shared" si="12"/>
        <v>2</v>
      </c>
      <c r="AD89" s="3">
        <f t="shared" si="13"/>
        <v>1</v>
      </c>
      <c r="AE89" s="3">
        <f t="shared" si="14"/>
        <v>1</v>
      </c>
      <c r="AF89" s="3">
        <f t="shared" si="15"/>
        <v>1</v>
      </c>
      <c r="AG89" s="3">
        <f t="shared" si="16"/>
        <v>1</v>
      </c>
      <c r="AH89" s="3">
        <f t="shared" si="17"/>
        <v>25477</v>
      </c>
      <c r="AI89" s="3" t="str">
        <f t="shared" si="18"/>
        <v/>
      </c>
      <c r="AJ89" s="3">
        <f t="shared" si="19"/>
        <v>0</v>
      </c>
    </row>
    <row r="90">
      <c r="C90" s="6" t="s">
        <v>90</v>
      </c>
      <c r="D90" s="3">
        <f t="shared" si="1"/>
        <v>0</v>
      </c>
      <c r="E90" s="3" t="str">
        <f>IFERROR(__xludf.DUMMYFUNCTION("REGEXEXTRACT(C90,""[^ ]* [^ ]*"")"),"drab lavender")</f>
        <v>drab lavender</v>
      </c>
      <c r="F90" s="3" t="str">
        <f>IFERROR(__xludf.DUMMYFUNCTION("MID(REGEXEXTRACT(C90,""contain.*$""),9,300)"),"1 muted magenta bag.")</f>
        <v>1 muted magenta bag.</v>
      </c>
      <c r="G90" s="3" t="str">
        <f>IFERROR(__xludf.DUMMYFUNCTION("INDEX(SPLIT($F90,"",""),COLUMN()-6)"),"1 muted magenta bag.")</f>
        <v>1 muted magenta bag.</v>
      </c>
      <c r="H90" s="3" t="str">
        <f>IFERROR(__xludf.DUMMYFUNCTION("MID(INDEX(SPLIT($F90,"",""),COLUMN()-6),2,300)"),"#REF!")</f>
        <v>#REF!</v>
      </c>
      <c r="I90" s="3" t="str">
        <f>IFERROR(__xludf.DUMMYFUNCTION("MID(INDEX(SPLIT($F90,"",""),COLUMN()-6),2,300)"),"#REF!")</f>
        <v>#REF!</v>
      </c>
      <c r="J90" s="3" t="str">
        <f>IFERROR(__xludf.DUMMYFUNCTION("MID(INDEX(SPLIT($F90,"",""),COLUMN()-6),2,300)"),"#REF!")</f>
        <v>#REF!</v>
      </c>
      <c r="K90" s="3">
        <f>IFERROR(__xludf.DUMMYFUNCTION("INDEX(SPLIT(G90,"" ""),1)"),1.0)</f>
        <v>1</v>
      </c>
      <c r="L90" s="3" t="str">
        <f>IFERROR(__xludf.DUMMYFUNCTION("REGEXEXTRACT(G90,"" [^ ]* [^ ]* "")")," muted magenta ")</f>
        <v> muted magenta </v>
      </c>
      <c r="M90" s="3" t="str">
        <f>IFERROR(__xludf.DUMMYFUNCTION("INDEX(SPLIT(H90,"" ""),1)"),"#REF!")</f>
        <v>#REF!</v>
      </c>
      <c r="N90" s="3" t="str">
        <f>IFERROR(__xludf.DUMMYFUNCTION("MID(REGEXEXTRACT(H90,"" [^ ]* [^ ]*""),2,300)"),"#REF!")</f>
        <v>#REF!</v>
      </c>
      <c r="O90" s="3" t="str">
        <f>IFERROR(__xludf.DUMMYFUNCTION("INDEX(SPLIT(I90,"" ""),1)"),"#REF!")</f>
        <v>#REF!</v>
      </c>
      <c r="P90" s="3" t="str">
        <f>IFERROR(__xludf.DUMMYFUNCTION("MID(REGEXEXTRACT(I90,"" [^ ]* [^ ]*""),2,300)"),"#REF!")</f>
        <v>#REF!</v>
      </c>
      <c r="Q90" s="3" t="str">
        <f>IFERROR(__xludf.DUMMYFUNCTION("INDEX(SPLIT(J90,"" ""),1)"),"#REF!")</f>
        <v>#REF!</v>
      </c>
      <c r="R90" s="3" t="str">
        <f>IFERROR(__xludf.DUMMYFUNCTION("MID(REGEXEXTRACT(J90,"" [^ ]* [^ ]*""),2,300)"),"#REF!")</f>
        <v>#REF!</v>
      </c>
      <c r="S90" s="3">
        <f t="shared" si="2"/>
        <v>1</v>
      </c>
      <c r="T90" s="3" t="str">
        <f t="shared" si="3"/>
        <v>muted magenta</v>
      </c>
      <c r="U90" s="3" t="str">
        <f t="shared" si="4"/>
        <v/>
      </c>
      <c r="V90" s="3" t="str">
        <f t="shared" si="5"/>
        <v/>
      </c>
      <c r="W90" s="3" t="str">
        <f t="shared" si="6"/>
        <v/>
      </c>
      <c r="X90" s="3" t="str">
        <f t="shared" si="7"/>
        <v/>
      </c>
      <c r="Y90" s="3" t="str">
        <f t="shared" si="8"/>
        <v/>
      </c>
      <c r="Z90" s="3" t="str">
        <f t="shared" si="9"/>
        <v/>
      </c>
      <c r="AA90" s="13">
        <f t="shared" si="10"/>
        <v>762012</v>
      </c>
      <c r="AB90" s="3">
        <f t="shared" si="11"/>
        <v>762011</v>
      </c>
      <c r="AC90" s="3">
        <f t="shared" si="12"/>
        <v>1</v>
      </c>
      <c r="AD90" s="3">
        <f t="shared" si="13"/>
        <v>762011</v>
      </c>
      <c r="AE90" s="3" t="str">
        <f t="shared" si="14"/>
        <v/>
      </c>
      <c r="AF90" s="3">
        <f t="shared" si="15"/>
        <v>0</v>
      </c>
      <c r="AG90" s="3" t="str">
        <f t="shared" si="16"/>
        <v/>
      </c>
      <c r="AH90" s="3">
        <f t="shared" si="17"/>
        <v>0</v>
      </c>
      <c r="AI90" s="3" t="str">
        <f t="shared" si="18"/>
        <v/>
      </c>
      <c r="AJ90" s="3">
        <f t="shared" si="19"/>
        <v>0</v>
      </c>
    </row>
    <row r="91">
      <c r="C91" s="6" t="s">
        <v>91</v>
      </c>
      <c r="D91" s="3">
        <f t="shared" si="1"/>
        <v>0</v>
      </c>
      <c r="E91" s="3" t="str">
        <f>IFERROR(__xludf.DUMMYFUNCTION("REGEXEXTRACT(C91,""[^ ]* [^ ]*"")"),"bright fuchsia")</f>
        <v>bright fuchsia</v>
      </c>
      <c r="F91" s="3" t="str">
        <f>IFERROR(__xludf.DUMMYFUNCTION("MID(REGEXEXTRACT(C91,""contain.*$""),9,300)"),"1 striped lime bag.")</f>
        <v>1 striped lime bag.</v>
      </c>
      <c r="G91" s="3" t="str">
        <f>IFERROR(__xludf.DUMMYFUNCTION("INDEX(SPLIT($F91,"",""),COLUMN()-6)"),"1 striped lime bag.")</f>
        <v>1 striped lime bag.</v>
      </c>
      <c r="H91" s="3" t="str">
        <f>IFERROR(__xludf.DUMMYFUNCTION("MID(INDEX(SPLIT($F91,"",""),COLUMN()-6),2,300)"),"#REF!")</f>
        <v>#REF!</v>
      </c>
      <c r="I91" s="3" t="str">
        <f>IFERROR(__xludf.DUMMYFUNCTION("MID(INDEX(SPLIT($F91,"",""),COLUMN()-6),2,300)"),"#REF!")</f>
        <v>#REF!</v>
      </c>
      <c r="J91" s="3" t="str">
        <f>IFERROR(__xludf.DUMMYFUNCTION("MID(INDEX(SPLIT($F91,"",""),COLUMN()-6),2,300)"),"#REF!")</f>
        <v>#REF!</v>
      </c>
      <c r="K91" s="3">
        <f>IFERROR(__xludf.DUMMYFUNCTION("INDEX(SPLIT(G91,"" ""),1)"),1.0)</f>
        <v>1</v>
      </c>
      <c r="L91" s="3" t="str">
        <f>IFERROR(__xludf.DUMMYFUNCTION("REGEXEXTRACT(G91,"" [^ ]* [^ ]* "")")," striped lime ")</f>
        <v> striped lime </v>
      </c>
      <c r="M91" s="3" t="str">
        <f>IFERROR(__xludf.DUMMYFUNCTION("INDEX(SPLIT(H91,"" ""),1)"),"#REF!")</f>
        <v>#REF!</v>
      </c>
      <c r="N91" s="3" t="str">
        <f>IFERROR(__xludf.DUMMYFUNCTION("MID(REGEXEXTRACT(H91,"" [^ ]* [^ ]*""),2,300)"),"#REF!")</f>
        <v>#REF!</v>
      </c>
      <c r="O91" s="3" t="str">
        <f>IFERROR(__xludf.DUMMYFUNCTION("INDEX(SPLIT(I91,"" ""),1)"),"#REF!")</f>
        <v>#REF!</v>
      </c>
      <c r="P91" s="3" t="str">
        <f>IFERROR(__xludf.DUMMYFUNCTION("MID(REGEXEXTRACT(I91,"" [^ ]* [^ ]*""),2,300)"),"#REF!")</f>
        <v>#REF!</v>
      </c>
      <c r="Q91" s="3" t="str">
        <f>IFERROR(__xludf.DUMMYFUNCTION("INDEX(SPLIT(J91,"" ""),1)"),"#REF!")</f>
        <v>#REF!</v>
      </c>
      <c r="R91" s="3" t="str">
        <f>IFERROR(__xludf.DUMMYFUNCTION("MID(REGEXEXTRACT(J91,"" [^ ]* [^ ]*""),2,300)"),"#REF!")</f>
        <v>#REF!</v>
      </c>
      <c r="S91" s="3">
        <f t="shared" si="2"/>
        <v>1</v>
      </c>
      <c r="T91" s="3" t="str">
        <f t="shared" si="3"/>
        <v>striped lime</v>
      </c>
      <c r="U91" s="3" t="str">
        <f t="shared" si="4"/>
        <v/>
      </c>
      <c r="V91" s="3" t="str">
        <f t="shared" si="5"/>
        <v/>
      </c>
      <c r="W91" s="3" t="str">
        <f t="shared" si="6"/>
        <v/>
      </c>
      <c r="X91" s="3" t="str">
        <f t="shared" si="7"/>
        <v/>
      </c>
      <c r="Y91" s="3" t="str">
        <f t="shared" si="8"/>
        <v/>
      </c>
      <c r="Z91" s="3" t="str">
        <f t="shared" si="9"/>
        <v/>
      </c>
      <c r="AA91" s="13">
        <f t="shared" si="10"/>
        <v>12131</v>
      </c>
      <c r="AB91" s="3">
        <f t="shared" si="11"/>
        <v>12130</v>
      </c>
      <c r="AC91" s="3">
        <f t="shared" si="12"/>
        <v>1</v>
      </c>
      <c r="AD91" s="3">
        <f t="shared" si="13"/>
        <v>12130</v>
      </c>
      <c r="AE91" s="3" t="str">
        <f t="shared" si="14"/>
        <v/>
      </c>
      <c r="AF91" s="3">
        <f t="shared" si="15"/>
        <v>0</v>
      </c>
      <c r="AG91" s="3" t="str">
        <f t="shared" si="16"/>
        <v/>
      </c>
      <c r="AH91" s="3">
        <f t="shared" si="17"/>
        <v>0</v>
      </c>
      <c r="AI91" s="3" t="str">
        <f t="shared" si="18"/>
        <v/>
      </c>
      <c r="AJ91" s="3">
        <f t="shared" si="19"/>
        <v>0</v>
      </c>
    </row>
    <row r="92">
      <c r="C92" s="6" t="s">
        <v>92</v>
      </c>
      <c r="D92" s="3">
        <f t="shared" si="1"/>
        <v>3</v>
      </c>
      <c r="E92" s="3" t="str">
        <f>IFERROR(__xludf.DUMMYFUNCTION("REGEXEXTRACT(C92,""[^ ]* [^ ]*"")"),"wavy beige")</f>
        <v>wavy beige</v>
      </c>
      <c r="F92" s="3" t="str">
        <f>IFERROR(__xludf.DUMMYFUNCTION("MID(REGEXEXTRACT(C92,""contain.*$""),9,300)"),"2 bright brown bags, 1 pale black bag, 1 drab tomato bag, 4 vibrant blue bags.")</f>
        <v>2 bright brown bags, 1 pale black bag, 1 drab tomato bag, 4 vibrant blue bags.</v>
      </c>
      <c r="G92" s="3" t="str">
        <f>IFERROR(__xludf.DUMMYFUNCTION("INDEX(SPLIT($F92,"",""),COLUMN()-6)"),"2 bright brown bags")</f>
        <v>2 bright brown bags</v>
      </c>
      <c r="H92" s="3" t="str">
        <f>IFERROR(__xludf.DUMMYFUNCTION("MID(INDEX(SPLIT($F92,"",""),COLUMN()-6),2,300)"),"1 pale black bag")</f>
        <v>1 pale black bag</v>
      </c>
      <c r="I92" s="3" t="str">
        <f>IFERROR(__xludf.DUMMYFUNCTION("MID(INDEX(SPLIT($F92,"",""),COLUMN()-6),2,300)"),"1 drab tomato bag")</f>
        <v>1 drab tomato bag</v>
      </c>
      <c r="J92" s="3" t="str">
        <f>IFERROR(__xludf.DUMMYFUNCTION("MID(INDEX(SPLIT($F92,"",""),COLUMN()-6),2,300)"),"4 vibrant blue bags.")</f>
        <v>4 vibrant blue bags.</v>
      </c>
      <c r="K92" s="3">
        <f>IFERROR(__xludf.DUMMYFUNCTION("INDEX(SPLIT(G92,"" ""),1)"),2.0)</f>
        <v>2</v>
      </c>
      <c r="L92" s="3" t="str">
        <f>IFERROR(__xludf.DUMMYFUNCTION("REGEXEXTRACT(G92,"" [^ ]* [^ ]* "")")," bright brown ")</f>
        <v> bright brown </v>
      </c>
      <c r="M92" s="3">
        <f>IFERROR(__xludf.DUMMYFUNCTION("INDEX(SPLIT(H92,"" ""),1)"),1.0)</f>
        <v>1</v>
      </c>
      <c r="N92" s="3" t="str">
        <f>IFERROR(__xludf.DUMMYFUNCTION("MID(REGEXEXTRACT(H92,"" [^ ]* [^ ]*""),2,300)"),"pale black")</f>
        <v>pale black</v>
      </c>
      <c r="O92" s="3">
        <f>IFERROR(__xludf.DUMMYFUNCTION("INDEX(SPLIT(I92,"" ""),1)"),1.0)</f>
        <v>1</v>
      </c>
      <c r="P92" s="3" t="str">
        <f>IFERROR(__xludf.DUMMYFUNCTION("MID(REGEXEXTRACT(I92,"" [^ ]* [^ ]*""),2,300)"),"drab tomato")</f>
        <v>drab tomato</v>
      </c>
      <c r="Q92" s="3">
        <f>IFERROR(__xludf.DUMMYFUNCTION("INDEX(SPLIT(J92,"" ""),1)"),4.0)</f>
        <v>4</v>
      </c>
      <c r="R92" s="3" t="str">
        <f>IFERROR(__xludf.DUMMYFUNCTION("MID(REGEXEXTRACT(J92,"" [^ ]* [^ ]*""),2,300)"),"vibrant blue")</f>
        <v>vibrant blue</v>
      </c>
      <c r="S92" s="3">
        <f t="shared" si="2"/>
        <v>2</v>
      </c>
      <c r="T92" s="3" t="str">
        <f t="shared" si="3"/>
        <v>bright brown</v>
      </c>
      <c r="U92" s="3">
        <f t="shared" si="4"/>
        <v>1</v>
      </c>
      <c r="V92" s="3" t="str">
        <f t="shared" si="5"/>
        <v>pale black</v>
      </c>
      <c r="W92" s="3">
        <f t="shared" si="6"/>
        <v>1</v>
      </c>
      <c r="X92" s="3" t="str">
        <f t="shared" si="7"/>
        <v>drab tomato</v>
      </c>
      <c r="Y92" s="3">
        <f t="shared" si="8"/>
        <v>4</v>
      </c>
      <c r="Z92" s="3" t="str">
        <f t="shared" si="9"/>
        <v>vibrant blue</v>
      </c>
      <c r="AA92" s="13">
        <f t="shared" si="10"/>
        <v>44878</v>
      </c>
      <c r="AB92" s="3">
        <f t="shared" si="11"/>
        <v>44877</v>
      </c>
      <c r="AC92" s="3">
        <f t="shared" si="12"/>
        <v>2</v>
      </c>
      <c r="AD92" s="3">
        <f t="shared" si="13"/>
        <v>1</v>
      </c>
      <c r="AE92" s="3">
        <f t="shared" si="14"/>
        <v>1</v>
      </c>
      <c r="AF92" s="3">
        <f t="shared" si="15"/>
        <v>8</v>
      </c>
      <c r="AG92" s="3">
        <f t="shared" si="16"/>
        <v>1</v>
      </c>
      <c r="AH92" s="3">
        <f t="shared" si="17"/>
        <v>38687</v>
      </c>
      <c r="AI92" s="3">
        <f t="shared" si="18"/>
        <v>4</v>
      </c>
      <c r="AJ92" s="3">
        <f t="shared" si="19"/>
        <v>1545</v>
      </c>
    </row>
    <row r="93">
      <c r="C93" s="6" t="s">
        <v>93</v>
      </c>
      <c r="D93" s="3">
        <f t="shared" si="1"/>
        <v>3</v>
      </c>
      <c r="E93" s="3" t="str">
        <f>IFERROR(__xludf.DUMMYFUNCTION("REGEXEXTRACT(C93,""[^ ]* [^ ]*"")"),"shiny olive")</f>
        <v>shiny olive</v>
      </c>
      <c r="F93" s="3" t="str">
        <f>IFERROR(__xludf.DUMMYFUNCTION("MID(REGEXEXTRACT(C93,""contain.*$""),9,300)"),"2 dim teal bags, 1 mirrored cyan bag, 4 dim yellow bags, 4 muted aqua bags.")</f>
        <v>2 dim teal bags, 1 mirrored cyan bag, 4 dim yellow bags, 4 muted aqua bags.</v>
      </c>
      <c r="G93" s="3" t="str">
        <f>IFERROR(__xludf.DUMMYFUNCTION("INDEX(SPLIT($F93,"",""),COLUMN()-6)"),"2 dim teal bags")</f>
        <v>2 dim teal bags</v>
      </c>
      <c r="H93" s="3" t="str">
        <f>IFERROR(__xludf.DUMMYFUNCTION("MID(INDEX(SPLIT($F93,"",""),COLUMN()-6),2,300)"),"1 mirrored cyan bag")</f>
        <v>1 mirrored cyan bag</v>
      </c>
      <c r="I93" s="3" t="str">
        <f>IFERROR(__xludf.DUMMYFUNCTION("MID(INDEX(SPLIT($F93,"",""),COLUMN()-6),2,300)"),"4 dim yellow bags")</f>
        <v>4 dim yellow bags</v>
      </c>
      <c r="J93" s="3" t="str">
        <f>IFERROR(__xludf.DUMMYFUNCTION("MID(INDEX(SPLIT($F93,"",""),COLUMN()-6),2,300)"),"4 muted aqua bags.")</f>
        <v>4 muted aqua bags.</v>
      </c>
      <c r="K93" s="3">
        <f>IFERROR(__xludf.DUMMYFUNCTION("INDEX(SPLIT(G93,"" ""),1)"),2.0)</f>
        <v>2</v>
      </c>
      <c r="L93" s="3" t="str">
        <f>IFERROR(__xludf.DUMMYFUNCTION("REGEXEXTRACT(G93,"" [^ ]* [^ ]* "")")," dim teal ")</f>
        <v> dim teal </v>
      </c>
      <c r="M93" s="3">
        <f>IFERROR(__xludf.DUMMYFUNCTION("INDEX(SPLIT(H93,"" ""),1)"),1.0)</f>
        <v>1</v>
      </c>
      <c r="N93" s="3" t="str">
        <f>IFERROR(__xludf.DUMMYFUNCTION("MID(REGEXEXTRACT(H93,"" [^ ]* [^ ]*""),2,300)"),"mirrored cyan")</f>
        <v>mirrored cyan</v>
      </c>
      <c r="O93" s="3">
        <f>IFERROR(__xludf.DUMMYFUNCTION("INDEX(SPLIT(I93,"" ""),1)"),4.0)</f>
        <v>4</v>
      </c>
      <c r="P93" s="3" t="str">
        <f>IFERROR(__xludf.DUMMYFUNCTION("MID(REGEXEXTRACT(I93,"" [^ ]* [^ ]*""),2,300)"),"dim yellow")</f>
        <v>dim yellow</v>
      </c>
      <c r="Q93" s="3">
        <f>IFERROR(__xludf.DUMMYFUNCTION("INDEX(SPLIT(J93,"" ""),1)"),4.0)</f>
        <v>4</v>
      </c>
      <c r="R93" s="3" t="str">
        <f>IFERROR(__xludf.DUMMYFUNCTION("MID(REGEXEXTRACT(J93,"" [^ ]* [^ ]*""),2,300)"),"muted aqua")</f>
        <v>muted aqua</v>
      </c>
      <c r="S93" s="3">
        <f t="shared" si="2"/>
        <v>2</v>
      </c>
      <c r="T93" s="3" t="str">
        <f t="shared" si="3"/>
        <v>dim teal</v>
      </c>
      <c r="U93" s="3">
        <f t="shared" si="4"/>
        <v>1</v>
      </c>
      <c r="V93" s="3" t="str">
        <f t="shared" si="5"/>
        <v>mirrored cyan</v>
      </c>
      <c r="W93" s="3">
        <f t="shared" si="6"/>
        <v>4</v>
      </c>
      <c r="X93" s="3" t="str">
        <f t="shared" si="7"/>
        <v>dim yellow</v>
      </c>
      <c r="Y93" s="3">
        <f t="shared" si="8"/>
        <v>4</v>
      </c>
      <c r="Z93" s="3" t="str">
        <f t="shared" si="9"/>
        <v>muted aqua</v>
      </c>
      <c r="AA93" s="13">
        <f t="shared" si="10"/>
        <v>125840661</v>
      </c>
      <c r="AB93" s="3">
        <f t="shared" si="11"/>
        <v>125840660</v>
      </c>
      <c r="AC93" s="3">
        <f t="shared" si="12"/>
        <v>2</v>
      </c>
      <c r="AD93" s="3">
        <f t="shared" si="13"/>
        <v>62425747</v>
      </c>
      <c r="AE93" s="3">
        <f t="shared" si="14"/>
        <v>1</v>
      </c>
      <c r="AF93" s="3">
        <f t="shared" si="15"/>
        <v>1854</v>
      </c>
      <c r="AG93" s="3">
        <f t="shared" si="16"/>
        <v>4</v>
      </c>
      <c r="AH93" s="3">
        <f t="shared" si="17"/>
        <v>216745</v>
      </c>
      <c r="AI93" s="3">
        <f t="shared" si="18"/>
        <v>4</v>
      </c>
      <c r="AJ93" s="3">
        <f t="shared" si="19"/>
        <v>30083</v>
      </c>
    </row>
    <row r="94">
      <c r="C94" s="6" t="s">
        <v>94</v>
      </c>
      <c r="D94" s="3">
        <f t="shared" si="1"/>
        <v>0</v>
      </c>
      <c r="E94" s="3" t="str">
        <f>IFERROR(__xludf.DUMMYFUNCTION("REGEXEXTRACT(C94,""[^ ]* [^ ]*"")"),"posh coral")</f>
        <v>posh coral</v>
      </c>
      <c r="F94" s="3" t="str">
        <f>IFERROR(__xludf.DUMMYFUNCTION("MID(REGEXEXTRACT(C94,""contain.*$""),9,300)"),"no other bags.")</f>
        <v>no other bags.</v>
      </c>
      <c r="G94" s="3" t="str">
        <f>IFERROR(__xludf.DUMMYFUNCTION("INDEX(SPLIT($F94,"",""),COLUMN()-6)"),"no other bags.")</f>
        <v>no other bags.</v>
      </c>
      <c r="H94" s="3" t="str">
        <f>IFERROR(__xludf.DUMMYFUNCTION("MID(INDEX(SPLIT($F94,"",""),COLUMN()-6),2,300)"),"#REF!")</f>
        <v>#REF!</v>
      </c>
      <c r="I94" s="3" t="str">
        <f>IFERROR(__xludf.DUMMYFUNCTION("MID(INDEX(SPLIT($F94,"",""),COLUMN()-6),2,300)"),"#REF!")</f>
        <v>#REF!</v>
      </c>
      <c r="J94" s="3" t="str">
        <f>IFERROR(__xludf.DUMMYFUNCTION("MID(INDEX(SPLIT($F94,"",""),COLUMN()-6),2,300)"),"#REF!")</f>
        <v>#REF!</v>
      </c>
      <c r="K94" s="3" t="str">
        <f>IFERROR(__xludf.DUMMYFUNCTION("INDEX(SPLIT(G94,"" ""),1)"),"no")</f>
        <v>no</v>
      </c>
      <c r="L94" s="3" t="str">
        <f>IFERROR(__xludf.DUMMYFUNCTION("REGEXEXTRACT(G94,"" [^ ]* [^ ]* "")"),"#N/A")</f>
        <v>#N/A</v>
      </c>
      <c r="M94" s="3" t="str">
        <f>IFERROR(__xludf.DUMMYFUNCTION("INDEX(SPLIT(H94,"" ""),1)"),"#REF!")</f>
        <v>#REF!</v>
      </c>
      <c r="N94" s="3" t="str">
        <f>IFERROR(__xludf.DUMMYFUNCTION("MID(REGEXEXTRACT(H94,"" [^ ]* [^ ]*""),2,300)"),"#REF!")</f>
        <v>#REF!</v>
      </c>
      <c r="O94" s="3" t="str">
        <f>IFERROR(__xludf.DUMMYFUNCTION("INDEX(SPLIT(I94,"" ""),1)"),"#REF!")</f>
        <v>#REF!</v>
      </c>
      <c r="P94" s="3" t="str">
        <f>IFERROR(__xludf.DUMMYFUNCTION("MID(REGEXEXTRACT(I94,"" [^ ]* [^ ]*""),2,300)"),"#REF!")</f>
        <v>#REF!</v>
      </c>
      <c r="Q94" s="3" t="str">
        <f>IFERROR(__xludf.DUMMYFUNCTION("INDEX(SPLIT(J94,"" ""),1)"),"#REF!")</f>
        <v>#REF!</v>
      </c>
      <c r="R94" s="3" t="str">
        <f>IFERROR(__xludf.DUMMYFUNCTION("MID(REGEXEXTRACT(J94,"" [^ ]* [^ ]*""),2,300)"),"#REF!")</f>
        <v>#REF!</v>
      </c>
      <c r="S94" s="3" t="str">
        <f t="shared" si="2"/>
        <v/>
      </c>
      <c r="T94" s="3" t="str">
        <f t="shared" si="3"/>
        <v/>
      </c>
      <c r="U94" s="3" t="str">
        <f t="shared" si="4"/>
        <v/>
      </c>
      <c r="V94" s="3" t="str">
        <f t="shared" si="5"/>
        <v/>
      </c>
      <c r="W94" s="3" t="str">
        <f t="shared" si="6"/>
        <v/>
      </c>
      <c r="X94" s="3" t="str">
        <f t="shared" si="7"/>
        <v/>
      </c>
      <c r="Y94" s="3" t="str">
        <f t="shared" si="8"/>
        <v/>
      </c>
      <c r="Z94" s="3" t="str">
        <f t="shared" si="9"/>
        <v/>
      </c>
      <c r="AA94" s="13">
        <f t="shared" si="10"/>
        <v>1</v>
      </c>
      <c r="AB94" s="3">
        <f t="shared" si="11"/>
        <v>0</v>
      </c>
      <c r="AC94" s="3" t="str">
        <f t="shared" si="12"/>
        <v/>
      </c>
      <c r="AD94" s="3">
        <f t="shared" si="13"/>
        <v>0</v>
      </c>
      <c r="AE94" s="3" t="str">
        <f t="shared" si="14"/>
        <v/>
      </c>
      <c r="AF94" s="3">
        <f t="shared" si="15"/>
        <v>0</v>
      </c>
      <c r="AG94" s="3" t="str">
        <f t="shared" si="16"/>
        <v/>
      </c>
      <c r="AH94" s="3">
        <f t="shared" si="17"/>
        <v>0</v>
      </c>
      <c r="AI94" s="3" t="str">
        <f t="shared" si="18"/>
        <v/>
      </c>
      <c r="AJ94" s="3">
        <f t="shared" si="19"/>
        <v>0</v>
      </c>
    </row>
    <row r="95">
      <c r="C95" s="6" t="s">
        <v>95</v>
      </c>
      <c r="D95" s="3">
        <f t="shared" si="1"/>
        <v>2</v>
      </c>
      <c r="E95" s="3" t="str">
        <f>IFERROR(__xludf.DUMMYFUNCTION("REGEXEXTRACT(C95,""[^ ]* [^ ]*"")"),"dark green")</f>
        <v>dark green</v>
      </c>
      <c r="F95" s="3" t="str">
        <f>IFERROR(__xludf.DUMMYFUNCTION("MID(REGEXEXTRACT(C95,""contain.*$""),9,300)"),"2 posh brown bags, 2 muted white bags, 4 bright fuchsia bags.")</f>
        <v>2 posh brown bags, 2 muted white bags, 4 bright fuchsia bags.</v>
      </c>
      <c r="G95" s="3" t="str">
        <f>IFERROR(__xludf.DUMMYFUNCTION("INDEX(SPLIT($F95,"",""),COLUMN()-6)"),"2 posh brown bags")</f>
        <v>2 posh brown bags</v>
      </c>
      <c r="H95" s="3" t="str">
        <f>IFERROR(__xludf.DUMMYFUNCTION("MID(INDEX(SPLIT($F95,"",""),COLUMN()-6),2,300)"),"2 muted white bags")</f>
        <v>2 muted white bags</v>
      </c>
      <c r="I95" s="3" t="str">
        <f>IFERROR(__xludf.DUMMYFUNCTION("MID(INDEX(SPLIT($F95,"",""),COLUMN()-6),2,300)"),"4 bright fuchsia bags.")</f>
        <v>4 bright fuchsia bags.</v>
      </c>
      <c r="J95" s="3" t="str">
        <f>IFERROR(__xludf.DUMMYFUNCTION("MID(INDEX(SPLIT($F95,"",""),COLUMN()-6),2,300)"),"#REF!")</f>
        <v>#REF!</v>
      </c>
      <c r="K95" s="3">
        <f>IFERROR(__xludf.DUMMYFUNCTION("INDEX(SPLIT(G95,"" ""),1)"),2.0)</f>
        <v>2</v>
      </c>
      <c r="L95" s="3" t="str">
        <f>IFERROR(__xludf.DUMMYFUNCTION("REGEXEXTRACT(G95,"" [^ ]* [^ ]* "")")," posh brown ")</f>
        <v> posh brown </v>
      </c>
      <c r="M95" s="3">
        <f>IFERROR(__xludf.DUMMYFUNCTION("INDEX(SPLIT(H95,"" ""),1)"),2.0)</f>
        <v>2</v>
      </c>
      <c r="N95" s="3" t="str">
        <f>IFERROR(__xludf.DUMMYFUNCTION("MID(REGEXEXTRACT(H95,"" [^ ]* [^ ]*""),2,300)"),"muted white")</f>
        <v>muted white</v>
      </c>
      <c r="O95" s="3">
        <f>IFERROR(__xludf.DUMMYFUNCTION("INDEX(SPLIT(I95,"" ""),1)"),4.0)</f>
        <v>4</v>
      </c>
      <c r="P95" s="3" t="str">
        <f>IFERROR(__xludf.DUMMYFUNCTION("MID(REGEXEXTRACT(I95,"" [^ ]* [^ ]*""),2,300)"),"bright fuchsia")</f>
        <v>bright fuchsia</v>
      </c>
      <c r="Q95" s="3" t="str">
        <f>IFERROR(__xludf.DUMMYFUNCTION("INDEX(SPLIT(J95,"" ""),1)"),"#REF!")</f>
        <v>#REF!</v>
      </c>
      <c r="R95" s="3" t="str">
        <f>IFERROR(__xludf.DUMMYFUNCTION("MID(REGEXEXTRACT(J95,"" [^ ]* [^ ]*""),2,300)"),"#REF!")</f>
        <v>#REF!</v>
      </c>
      <c r="S95" s="3">
        <f t="shared" si="2"/>
        <v>2</v>
      </c>
      <c r="T95" s="3" t="str">
        <f t="shared" si="3"/>
        <v>posh brown</v>
      </c>
      <c r="U95" s="3">
        <f t="shared" si="4"/>
        <v>2</v>
      </c>
      <c r="V95" s="3" t="str">
        <f t="shared" si="5"/>
        <v>muted white</v>
      </c>
      <c r="W95" s="3">
        <f t="shared" si="6"/>
        <v>4</v>
      </c>
      <c r="X95" s="3" t="str">
        <f t="shared" si="7"/>
        <v>bright fuchsia</v>
      </c>
      <c r="Y95" s="3" t="str">
        <f t="shared" si="8"/>
        <v/>
      </c>
      <c r="Z95" s="3" t="str">
        <f t="shared" si="9"/>
        <v/>
      </c>
      <c r="AA95" s="13">
        <f t="shared" si="10"/>
        <v>5907723</v>
      </c>
      <c r="AB95" s="3">
        <f t="shared" si="11"/>
        <v>5907722</v>
      </c>
      <c r="AC95" s="3">
        <f t="shared" si="12"/>
        <v>2</v>
      </c>
      <c r="AD95" s="3">
        <f t="shared" si="13"/>
        <v>36149</v>
      </c>
      <c r="AE95" s="3">
        <f t="shared" si="14"/>
        <v>2</v>
      </c>
      <c r="AF95" s="3">
        <f t="shared" si="15"/>
        <v>2893450</v>
      </c>
      <c r="AG95" s="3">
        <f t="shared" si="16"/>
        <v>4</v>
      </c>
      <c r="AH95" s="3">
        <f t="shared" si="17"/>
        <v>12131</v>
      </c>
      <c r="AI95" s="3" t="str">
        <f t="shared" si="18"/>
        <v/>
      </c>
      <c r="AJ95" s="3">
        <f t="shared" si="19"/>
        <v>0</v>
      </c>
    </row>
    <row r="96">
      <c r="C96" s="6" t="s">
        <v>96</v>
      </c>
      <c r="D96" s="3">
        <f t="shared" si="1"/>
        <v>3</v>
      </c>
      <c r="E96" s="3" t="str">
        <f>IFERROR(__xludf.DUMMYFUNCTION("REGEXEXTRACT(C96,""[^ ]* [^ ]*"")"),"shiny green")</f>
        <v>shiny green</v>
      </c>
      <c r="F96" s="3" t="str">
        <f>IFERROR(__xludf.DUMMYFUNCTION("MID(REGEXEXTRACT(C96,""contain.*$""),9,300)"),"1 faded crimson bag, 3 striped purple bags, 4 shiny salmon bags, 2 dark bronze bags.")</f>
        <v>1 faded crimson bag, 3 striped purple bags, 4 shiny salmon bags, 2 dark bronze bags.</v>
      </c>
      <c r="G96" s="3" t="str">
        <f>IFERROR(__xludf.DUMMYFUNCTION("INDEX(SPLIT($F96,"",""),COLUMN()-6)"),"1 faded crimson bag")</f>
        <v>1 faded crimson bag</v>
      </c>
      <c r="H96" s="3" t="str">
        <f>IFERROR(__xludf.DUMMYFUNCTION("MID(INDEX(SPLIT($F96,"",""),COLUMN()-6),2,300)"),"3 striped purple bags")</f>
        <v>3 striped purple bags</v>
      </c>
      <c r="I96" s="3" t="str">
        <f>IFERROR(__xludf.DUMMYFUNCTION("MID(INDEX(SPLIT($F96,"",""),COLUMN()-6),2,300)"),"4 shiny salmon bags")</f>
        <v>4 shiny salmon bags</v>
      </c>
      <c r="J96" s="3" t="str">
        <f>IFERROR(__xludf.DUMMYFUNCTION("MID(INDEX(SPLIT($F96,"",""),COLUMN()-6),2,300)"),"2 dark bronze bags.")</f>
        <v>2 dark bronze bags.</v>
      </c>
      <c r="K96" s="3">
        <f>IFERROR(__xludf.DUMMYFUNCTION("INDEX(SPLIT(G96,"" ""),1)"),1.0)</f>
        <v>1</v>
      </c>
      <c r="L96" s="3" t="str">
        <f>IFERROR(__xludf.DUMMYFUNCTION("REGEXEXTRACT(G96,"" [^ ]* [^ ]* "")")," faded crimson ")</f>
        <v> faded crimson </v>
      </c>
      <c r="M96" s="3">
        <f>IFERROR(__xludf.DUMMYFUNCTION("INDEX(SPLIT(H96,"" ""),1)"),3.0)</f>
        <v>3</v>
      </c>
      <c r="N96" s="3" t="str">
        <f>IFERROR(__xludf.DUMMYFUNCTION("MID(REGEXEXTRACT(H96,"" [^ ]* [^ ]*""),2,300)"),"striped purple")</f>
        <v>striped purple</v>
      </c>
      <c r="O96" s="3">
        <f>IFERROR(__xludf.DUMMYFUNCTION("INDEX(SPLIT(I96,"" ""),1)"),4.0)</f>
        <v>4</v>
      </c>
      <c r="P96" s="3" t="str">
        <f>IFERROR(__xludf.DUMMYFUNCTION("MID(REGEXEXTRACT(I96,"" [^ ]* [^ ]*""),2,300)"),"shiny salmon")</f>
        <v>shiny salmon</v>
      </c>
      <c r="Q96" s="3">
        <f>IFERROR(__xludf.DUMMYFUNCTION("INDEX(SPLIT(J96,"" ""),1)"),2.0)</f>
        <v>2</v>
      </c>
      <c r="R96" s="3" t="str">
        <f>IFERROR(__xludf.DUMMYFUNCTION("MID(REGEXEXTRACT(J96,"" [^ ]* [^ ]*""),2,300)"),"dark bronze")</f>
        <v>dark bronze</v>
      </c>
      <c r="S96" s="3">
        <f t="shared" si="2"/>
        <v>1</v>
      </c>
      <c r="T96" s="3" t="str">
        <f t="shared" si="3"/>
        <v>faded crimson</v>
      </c>
      <c r="U96" s="3">
        <f t="shared" si="4"/>
        <v>3</v>
      </c>
      <c r="V96" s="3" t="str">
        <f t="shared" si="5"/>
        <v>striped purple</v>
      </c>
      <c r="W96" s="3">
        <f t="shared" si="6"/>
        <v>4</v>
      </c>
      <c r="X96" s="3" t="str">
        <f t="shared" si="7"/>
        <v>shiny salmon</v>
      </c>
      <c r="Y96" s="3">
        <f t="shared" si="8"/>
        <v>2</v>
      </c>
      <c r="Z96" s="3" t="str">
        <f t="shared" si="9"/>
        <v>dark bronze</v>
      </c>
      <c r="AA96" s="13">
        <f t="shared" si="10"/>
        <v>740764401</v>
      </c>
      <c r="AB96" s="3">
        <f t="shared" si="11"/>
        <v>740764400</v>
      </c>
      <c r="AC96" s="3">
        <f t="shared" si="12"/>
        <v>1</v>
      </c>
      <c r="AD96" s="3">
        <f t="shared" si="13"/>
        <v>450697810</v>
      </c>
      <c r="AE96" s="3">
        <f t="shared" si="14"/>
        <v>3</v>
      </c>
      <c r="AF96" s="3">
        <f t="shared" si="15"/>
        <v>96654824</v>
      </c>
      <c r="AG96" s="3">
        <f t="shared" si="16"/>
        <v>4</v>
      </c>
      <c r="AH96" s="3">
        <f t="shared" si="17"/>
        <v>18112</v>
      </c>
      <c r="AI96" s="3">
        <f t="shared" si="18"/>
        <v>2</v>
      </c>
      <c r="AJ96" s="3">
        <f t="shared" si="19"/>
        <v>14835</v>
      </c>
    </row>
    <row r="97">
      <c r="C97" s="6" t="s">
        <v>97</v>
      </c>
      <c r="D97" s="3">
        <f t="shared" si="1"/>
        <v>0</v>
      </c>
      <c r="E97" s="3" t="str">
        <f>IFERROR(__xludf.DUMMYFUNCTION("REGEXEXTRACT(C97,""[^ ]* [^ ]*"")"),"clear coral")</f>
        <v>clear coral</v>
      </c>
      <c r="F97" s="3" t="str">
        <f>IFERROR(__xludf.DUMMYFUNCTION("MID(REGEXEXTRACT(C97,""contain.*$""),9,300)"),"no other bags.")</f>
        <v>no other bags.</v>
      </c>
      <c r="G97" s="3" t="str">
        <f>IFERROR(__xludf.DUMMYFUNCTION("INDEX(SPLIT($F97,"",""),COLUMN()-6)"),"no other bags.")</f>
        <v>no other bags.</v>
      </c>
      <c r="H97" s="3" t="str">
        <f>IFERROR(__xludf.DUMMYFUNCTION("MID(INDEX(SPLIT($F97,"",""),COLUMN()-6),2,300)"),"#REF!")</f>
        <v>#REF!</v>
      </c>
      <c r="I97" s="3" t="str">
        <f>IFERROR(__xludf.DUMMYFUNCTION("MID(INDEX(SPLIT($F97,"",""),COLUMN()-6),2,300)"),"#REF!")</f>
        <v>#REF!</v>
      </c>
      <c r="J97" s="3" t="str">
        <f>IFERROR(__xludf.DUMMYFUNCTION("MID(INDEX(SPLIT($F97,"",""),COLUMN()-6),2,300)"),"#REF!")</f>
        <v>#REF!</v>
      </c>
      <c r="K97" s="3" t="str">
        <f>IFERROR(__xludf.DUMMYFUNCTION("INDEX(SPLIT(G97,"" ""),1)"),"no")</f>
        <v>no</v>
      </c>
      <c r="L97" s="3" t="str">
        <f>IFERROR(__xludf.DUMMYFUNCTION("REGEXEXTRACT(G97,"" [^ ]* [^ ]* "")"),"#N/A")</f>
        <v>#N/A</v>
      </c>
      <c r="M97" s="3" t="str">
        <f>IFERROR(__xludf.DUMMYFUNCTION("INDEX(SPLIT(H97,"" ""),1)"),"#REF!")</f>
        <v>#REF!</v>
      </c>
      <c r="N97" s="3" t="str">
        <f>IFERROR(__xludf.DUMMYFUNCTION("MID(REGEXEXTRACT(H97,"" [^ ]* [^ ]*""),2,300)"),"#REF!")</f>
        <v>#REF!</v>
      </c>
      <c r="O97" s="3" t="str">
        <f>IFERROR(__xludf.DUMMYFUNCTION("INDEX(SPLIT(I97,"" ""),1)"),"#REF!")</f>
        <v>#REF!</v>
      </c>
      <c r="P97" s="3" t="str">
        <f>IFERROR(__xludf.DUMMYFUNCTION("MID(REGEXEXTRACT(I97,"" [^ ]* [^ ]*""),2,300)"),"#REF!")</f>
        <v>#REF!</v>
      </c>
      <c r="Q97" s="3" t="str">
        <f>IFERROR(__xludf.DUMMYFUNCTION("INDEX(SPLIT(J97,"" ""),1)"),"#REF!")</f>
        <v>#REF!</v>
      </c>
      <c r="R97" s="3" t="str">
        <f>IFERROR(__xludf.DUMMYFUNCTION("MID(REGEXEXTRACT(J97,"" [^ ]* [^ ]*""),2,300)"),"#REF!")</f>
        <v>#REF!</v>
      </c>
      <c r="S97" s="3" t="str">
        <f t="shared" si="2"/>
        <v/>
      </c>
      <c r="T97" s="3" t="str">
        <f t="shared" si="3"/>
        <v/>
      </c>
      <c r="U97" s="3" t="str">
        <f t="shared" si="4"/>
        <v/>
      </c>
      <c r="V97" s="3" t="str">
        <f t="shared" si="5"/>
        <v/>
      </c>
      <c r="W97" s="3" t="str">
        <f t="shared" si="6"/>
        <v/>
      </c>
      <c r="X97" s="3" t="str">
        <f t="shared" si="7"/>
        <v/>
      </c>
      <c r="Y97" s="3" t="str">
        <f t="shared" si="8"/>
        <v/>
      </c>
      <c r="Z97" s="3" t="str">
        <f t="shared" si="9"/>
        <v/>
      </c>
      <c r="AA97" s="13">
        <f t="shared" si="10"/>
        <v>1</v>
      </c>
      <c r="AB97" s="3">
        <f t="shared" si="11"/>
        <v>0</v>
      </c>
      <c r="AC97" s="3" t="str">
        <f t="shared" si="12"/>
        <v/>
      </c>
      <c r="AD97" s="3">
        <f t="shared" si="13"/>
        <v>0</v>
      </c>
      <c r="AE97" s="3" t="str">
        <f t="shared" si="14"/>
        <v/>
      </c>
      <c r="AF97" s="3">
        <f t="shared" si="15"/>
        <v>0</v>
      </c>
      <c r="AG97" s="3" t="str">
        <f t="shared" si="16"/>
        <v/>
      </c>
      <c r="AH97" s="3">
        <f t="shared" si="17"/>
        <v>0</v>
      </c>
      <c r="AI97" s="3" t="str">
        <f t="shared" si="18"/>
        <v/>
      </c>
      <c r="AJ97" s="3">
        <f t="shared" si="19"/>
        <v>0</v>
      </c>
    </row>
    <row r="98">
      <c r="C98" s="6" t="s">
        <v>98</v>
      </c>
      <c r="D98" s="3">
        <f t="shared" si="1"/>
        <v>0</v>
      </c>
      <c r="E98" s="3" t="str">
        <f>IFERROR(__xludf.DUMMYFUNCTION("REGEXEXTRACT(C98,""[^ ]* [^ ]*"")"),"dull salmon")</f>
        <v>dull salmon</v>
      </c>
      <c r="F98" s="3" t="str">
        <f>IFERROR(__xludf.DUMMYFUNCTION("MID(REGEXEXTRACT(C98,""contain.*$""),9,300)"),"1 muted white bag.")</f>
        <v>1 muted white bag.</v>
      </c>
      <c r="G98" s="3" t="str">
        <f>IFERROR(__xludf.DUMMYFUNCTION("INDEX(SPLIT($F98,"",""),COLUMN()-6)"),"1 muted white bag.")</f>
        <v>1 muted white bag.</v>
      </c>
      <c r="H98" s="3" t="str">
        <f>IFERROR(__xludf.DUMMYFUNCTION("MID(INDEX(SPLIT($F98,"",""),COLUMN()-6),2,300)"),"#REF!")</f>
        <v>#REF!</v>
      </c>
      <c r="I98" s="3" t="str">
        <f>IFERROR(__xludf.DUMMYFUNCTION("MID(INDEX(SPLIT($F98,"",""),COLUMN()-6),2,300)"),"#REF!")</f>
        <v>#REF!</v>
      </c>
      <c r="J98" s="3" t="str">
        <f>IFERROR(__xludf.DUMMYFUNCTION("MID(INDEX(SPLIT($F98,"",""),COLUMN()-6),2,300)"),"#REF!")</f>
        <v>#REF!</v>
      </c>
      <c r="K98" s="3">
        <f>IFERROR(__xludf.DUMMYFUNCTION("INDEX(SPLIT(G98,"" ""),1)"),1.0)</f>
        <v>1</v>
      </c>
      <c r="L98" s="3" t="str">
        <f>IFERROR(__xludf.DUMMYFUNCTION("REGEXEXTRACT(G98,"" [^ ]* [^ ]* "")")," muted white ")</f>
        <v> muted white </v>
      </c>
      <c r="M98" s="3" t="str">
        <f>IFERROR(__xludf.DUMMYFUNCTION("INDEX(SPLIT(H98,"" ""),1)"),"#REF!")</f>
        <v>#REF!</v>
      </c>
      <c r="N98" s="3" t="str">
        <f>IFERROR(__xludf.DUMMYFUNCTION("MID(REGEXEXTRACT(H98,"" [^ ]* [^ ]*""),2,300)"),"#REF!")</f>
        <v>#REF!</v>
      </c>
      <c r="O98" s="3" t="str">
        <f>IFERROR(__xludf.DUMMYFUNCTION("INDEX(SPLIT(I98,"" ""),1)"),"#REF!")</f>
        <v>#REF!</v>
      </c>
      <c r="P98" s="3" t="str">
        <f>IFERROR(__xludf.DUMMYFUNCTION("MID(REGEXEXTRACT(I98,"" [^ ]* [^ ]*""),2,300)"),"#REF!")</f>
        <v>#REF!</v>
      </c>
      <c r="Q98" s="3" t="str">
        <f>IFERROR(__xludf.DUMMYFUNCTION("INDEX(SPLIT(J98,"" ""),1)"),"#REF!")</f>
        <v>#REF!</v>
      </c>
      <c r="R98" s="3" t="str">
        <f>IFERROR(__xludf.DUMMYFUNCTION("MID(REGEXEXTRACT(J98,"" [^ ]* [^ ]*""),2,300)"),"#REF!")</f>
        <v>#REF!</v>
      </c>
      <c r="S98" s="3">
        <f t="shared" si="2"/>
        <v>1</v>
      </c>
      <c r="T98" s="3" t="str">
        <f t="shared" si="3"/>
        <v>muted white</v>
      </c>
      <c r="U98" s="3" t="str">
        <f t="shared" si="4"/>
        <v/>
      </c>
      <c r="V98" s="3" t="str">
        <f t="shared" si="5"/>
        <v/>
      </c>
      <c r="W98" s="3" t="str">
        <f t="shared" si="6"/>
        <v/>
      </c>
      <c r="X98" s="3" t="str">
        <f t="shared" si="7"/>
        <v/>
      </c>
      <c r="Y98" s="3" t="str">
        <f t="shared" si="8"/>
        <v/>
      </c>
      <c r="Z98" s="3" t="str">
        <f t="shared" si="9"/>
        <v/>
      </c>
      <c r="AA98" s="13">
        <f t="shared" si="10"/>
        <v>2893451</v>
      </c>
      <c r="AB98" s="3">
        <f t="shared" si="11"/>
        <v>2893450</v>
      </c>
      <c r="AC98" s="3">
        <f t="shared" si="12"/>
        <v>1</v>
      </c>
      <c r="AD98" s="3">
        <f t="shared" si="13"/>
        <v>2893450</v>
      </c>
      <c r="AE98" s="3" t="str">
        <f t="shared" si="14"/>
        <v/>
      </c>
      <c r="AF98" s="3">
        <f t="shared" si="15"/>
        <v>0</v>
      </c>
      <c r="AG98" s="3" t="str">
        <f t="shared" si="16"/>
        <v/>
      </c>
      <c r="AH98" s="3">
        <f t="shared" si="17"/>
        <v>0</v>
      </c>
      <c r="AI98" s="3" t="str">
        <f t="shared" si="18"/>
        <v/>
      </c>
      <c r="AJ98" s="3">
        <f t="shared" si="19"/>
        <v>0</v>
      </c>
    </row>
    <row r="99">
      <c r="C99" s="6" t="s">
        <v>99</v>
      </c>
      <c r="D99" s="3">
        <f t="shared" si="1"/>
        <v>1</v>
      </c>
      <c r="E99" s="3" t="str">
        <f>IFERROR(__xludf.DUMMYFUNCTION("REGEXEXTRACT(C99,""[^ ]* [^ ]*"")"),"dark lavender")</f>
        <v>dark lavender</v>
      </c>
      <c r="F99" s="3" t="str">
        <f>IFERROR(__xludf.DUMMYFUNCTION("MID(REGEXEXTRACT(C99,""contain.*$""),9,300)"),"2 plaid gray bags, 4 muted olive bags.")</f>
        <v>2 plaid gray bags, 4 muted olive bags.</v>
      </c>
      <c r="G99" s="3" t="str">
        <f>IFERROR(__xludf.DUMMYFUNCTION("INDEX(SPLIT($F99,"",""),COLUMN()-6)"),"2 plaid gray bags")</f>
        <v>2 plaid gray bags</v>
      </c>
      <c r="H99" s="3" t="str">
        <f>IFERROR(__xludf.DUMMYFUNCTION("MID(INDEX(SPLIT($F99,"",""),COLUMN()-6),2,300)"),"4 muted olive bags.")</f>
        <v>4 muted olive bags.</v>
      </c>
      <c r="I99" s="3" t="str">
        <f>IFERROR(__xludf.DUMMYFUNCTION("MID(INDEX(SPLIT($F99,"",""),COLUMN()-6),2,300)"),"#REF!")</f>
        <v>#REF!</v>
      </c>
      <c r="J99" s="3" t="str">
        <f>IFERROR(__xludf.DUMMYFUNCTION("MID(INDEX(SPLIT($F99,"",""),COLUMN()-6),2,300)"),"#REF!")</f>
        <v>#REF!</v>
      </c>
      <c r="K99" s="3">
        <f>IFERROR(__xludf.DUMMYFUNCTION("INDEX(SPLIT(G99,"" ""),1)"),2.0)</f>
        <v>2</v>
      </c>
      <c r="L99" s="3" t="str">
        <f>IFERROR(__xludf.DUMMYFUNCTION("REGEXEXTRACT(G99,"" [^ ]* [^ ]* "")")," plaid gray ")</f>
        <v> plaid gray </v>
      </c>
      <c r="M99" s="3">
        <f>IFERROR(__xludf.DUMMYFUNCTION("INDEX(SPLIT(H99,"" ""),1)"),4.0)</f>
        <v>4</v>
      </c>
      <c r="N99" s="3" t="str">
        <f>IFERROR(__xludf.DUMMYFUNCTION("MID(REGEXEXTRACT(H99,"" [^ ]* [^ ]*""),2,300)"),"muted olive")</f>
        <v>muted olive</v>
      </c>
      <c r="O99" s="3" t="str">
        <f>IFERROR(__xludf.DUMMYFUNCTION("INDEX(SPLIT(I99,"" ""),1)"),"#REF!")</f>
        <v>#REF!</v>
      </c>
      <c r="P99" s="3" t="str">
        <f>IFERROR(__xludf.DUMMYFUNCTION("MID(REGEXEXTRACT(I99,"" [^ ]* [^ ]*""),2,300)"),"#REF!")</f>
        <v>#REF!</v>
      </c>
      <c r="Q99" s="3" t="str">
        <f>IFERROR(__xludf.DUMMYFUNCTION("INDEX(SPLIT(J99,"" ""),1)"),"#REF!")</f>
        <v>#REF!</v>
      </c>
      <c r="R99" s="3" t="str">
        <f>IFERROR(__xludf.DUMMYFUNCTION("MID(REGEXEXTRACT(J99,"" [^ ]* [^ ]*""),2,300)"),"#REF!")</f>
        <v>#REF!</v>
      </c>
      <c r="S99" s="3">
        <f t="shared" si="2"/>
        <v>2</v>
      </c>
      <c r="T99" s="3" t="str">
        <f t="shared" si="3"/>
        <v>plaid gray</v>
      </c>
      <c r="U99" s="3">
        <f t="shared" si="4"/>
        <v>4</v>
      </c>
      <c r="V99" s="3" t="str">
        <f t="shared" si="5"/>
        <v>muted olive</v>
      </c>
      <c r="W99" s="3" t="str">
        <f t="shared" si="6"/>
        <v/>
      </c>
      <c r="X99" s="3" t="str">
        <f t="shared" si="7"/>
        <v/>
      </c>
      <c r="Y99" s="3" t="str">
        <f t="shared" si="8"/>
        <v/>
      </c>
      <c r="Z99" s="3" t="str">
        <f t="shared" si="9"/>
        <v/>
      </c>
      <c r="AA99" s="13">
        <f t="shared" si="10"/>
        <v>133</v>
      </c>
      <c r="AB99" s="3">
        <f t="shared" si="11"/>
        <v>132</v>
      </c>
      <c r="AC99" s="3">
        <f t="shared" si="12"/>
        <v>2</v>
      </c>
      <c r="AD99" s="3">
        <f t="shared" si="13"/>
        <v>54</v>
      </c>
      <c r="AE99" s="3">
        <f t="shared" si="14"/>
        <v>4</v>
      </c>
      <c r="AF99" s="3">
        <f t="shared" si="15"/>
        <v>6</v>
      </c>
      <c r="AG99" s="3" t="str">
        <f t="shared" si="16"/>
        <v/>
      </c>
      <c r="AH99" s="3">
        <f t="shared" si="17"/>
        <v>0</v>
      </c>
      <c r="AI99" s="3" t="str">
        <f t="shared" si="18"/>
        <v/>
      </c>
      <c r="AJ99" s="3">
        <f t="shared" si="19"/>
        <v>0</v>
      </c>
    </row>
    <row r="100">
      <c r="C100" s="6" t="s">
        <v>100</v>
      </c>
      <c r="D100" s="3">
        <f t="shared" si="1"/>
        <v>0</v>
      </c>
      <c r="E100" s="3" t="str">
        <f>IFERROR(__xludf.DUMMYFUNCTION("REGEXEXTRACT(C100,""[^ ]* [^ ]*"")"),"bright silver")</f>
        <v>bright silver</v>
      </c>
      <c r="F100" s="3" t="str">
        <f>IFERROR(__xludf.DUMMYFUNCTION("MID(REGEXEXTRACT(C100,""contain.*$""),9,300)"),"5 pale black bags.")</f>
        <v>5 pale black bags.</v>
      </c>
      <c r="G100" s="3" t="str">
        <f>IFERROR(__xludf.DUMMYFUNCTION("INDEX(SPLIT($F100,"",""),COLUMN()-6)"),"5 pale black bags.")</f>
        <v>5 pale black bags.</v>
      </c>
      <c r="H100" s="3" t="str">
        <f>IFERROR(__xludf.DUMMYFUNCTION("MID(INDEX(SPLIT($F100,"",""),COLUMN()-6),2,300)"),"#REF!")</f>
        <v>#REF!</v>
      </c>
      <c r="I100" s="3" t="str">
        <f>IFERROR(__xludf.DUMMYFUNCTION("MID(INDEX(SPLIT($F100,"",""),COLUMN()-6),2,300)"),"#REF!")</f>
        <v>#REF!</v>
      </c>
      <c r="J100" s="3" t="str">
        <f>IFERROR(__xludf.DUMMYFUNCTION("MID(INDEX(SPLIT($F100,"",""),COLUMN()-6),2,300)"),"#REF!")</f>
        <v>#REF!</v>
      </c>
      <c r="K100" s="3">
        <f>IFERROR(__xludf.DUMMYFUNCTION("INDEX(SPLIT(G100,"" ""),1)"),5.0)</f>
        <v>5</v>
      </c>
      <c r="L100" s="3" t="str">
        <f>IFERROR(__xludf.DUMMYFUNCTION("REGEXEXTRACT(G100,"" [^ ]* [^ ]* "")")," pale black ")</f>
        <v> pale black </v>
      </c>
      <c r="M100" s="3" t="str">
        <f>IFERROR(__xludf.DUMMYFUNCTION("INDEX(SPLIT(H100,"" ""),1)"),"#REF!")</f>
        <v>#REF!</v>
      </c>
      <c r="N100" s="3" t="str">
        <f>IFERROR(__xludf.DUMMYFUNCTION("MID(REGEXEXTRACT(H100,"" [^ ]* [^ ]*""),2,300)"),"#REF!")</f>
        <v>#REF!</v>
      </c>
      <c r="O100" s="3" t="str">
        <f>IFERROR(__xludf.DUMMYFUNCTION("INDEX(SPLIT(I100,"" ""),1)"),"#REF!")</f>
        <v>#REF!</v>
      </c>
      <c r="P100" s="3" t="str">
        <f>IFERROR(__xludf.DUMMYFUNCTION("MID(REGEXEXTRACT(I100,"" [^ ]* [^ ]*""),2,300)"),"#REF!")</f>
        <v>#REF!</v>
      </c>
      <c r="Q100" s="3" t="str">
        <f>IFERROR(__xludf.DUMMYFUNCTION("INDEX(SPLIT(J100,"" ""),1)"),"#REF!")</f>
        <v>#REF!</v>
      </c>
      <c r="R100" s="3" t="str">
        <f>IFERROR(__xludf.DUMMYFUNCTION("MID(REGEXEXTRACT(J100,"" [^ ]* [^ ]*""),2,300)"),"#REF!")</f>
        <v>#REF!</v>
      </c>
      <c r="S100" s="3">
        <f t="shared" si="2"/>
        <v>5</v>
      </c>
      <c r="T100" s="3" t="str">
        <f t="shared" si="3"/>
        <v>pale black</v>
      </c>
      <c r="U100" s="3" t="str">
        <f t="shared" si="4"/>
        <v/>
      </c>
      <c r="V100" s="3" t="str">
        <f t="shared" si="5"/>
        <v/>
      </c>
      <c r="W100" s="3" t="str">
        <f t="shared" si="6"/>
        <v/>
      </c>
      <c r="X100" s="3" t="str">
        <f t="shared" si="7"/>
        <v/>
      </c>
      <c r="Y100" s="3" t="str">
        <f t="shared" si="8"/>
        <v/>
      </c>
      <c r="Z100" s="3" t="str">
        <f t="shared" si="9"/>
        <v/>
      </c>
      <c r="AA100" s="13">
        <f t="shared" si="10"/>
        <v>41</v>
      </c>
      <c r="AB100" s="3">
        <f t="shared" si="11"/>
        <v>40</v>
      </c>
      <c r="AC100" s="3">
        <f t="shared" si="12"/>
        <v>5</v>
      </c>
      <c r="AD100" s="3">
        <f t="shared" si="13"/>
        <v>8</v>
      </c>
      <c r="AE100" s="3" t="str">
        <f t="shared" si="14"/>
        <v/>
      </c>
      <c r="AF100" s="3">
        <f t="shared" si="15"/>
        <v>0</v>
      </c>
      <c r="AG100" s="3" t="str">
        <f t="shared" si="16"/>
        <v/>
      </c>
      <c r="AH100" s="3">
        <f t="shared" si="17"/>
        <v>0</v>
      </c>
      <c r="AI100" s="3" t="str">
        <f t="shared" si="18"/>
        <v/>
      </c>
      <c r="AJ100" s="3">
        <f t="shared" si="19"/>
        <v>0</v>
      </c>
    </row>
    <row r="101">
      <c r="C101" s="6" t="s">
        <v>101</v>
      </c>
      <c r="D101" s="3">
        <f t="shared" si="1"/>
        <v>2</v>
      </c>
      <c r="E101" s="3" t="str">
        <f>IFERROR(__xludf.DUMMYFUNCTION("REGEXEXTRACT(C101,""[^ ]* [^ ]*"")"),"posh green")</f>
        <v>posh green</v>
      </c>
      <c r="F101" s="3" t="str">
        <f>IFERROR(__xludf.DUMMYFUNCTION("MID(REGEXEXTRACT(C101,""contain.*$""),9,300)"),"5 muted olive bags, 4 dotted crimson bags, 4 dotted brown bags.")</f>
        <v>5 muted olive bags, 4 dotted crimson bags, 4 dotted brown bags.</v>
      </c>
      <c r="G101" s="3" t="str">
        <f>IFERROR(__xludf.DUMMYFUNCTION("INDEX(SPLIT($F101,"",""),COLUMN()-6)"),"5 muted olive bags")</f>
        <v>5 muted olive bags</v>
      </c>
      <c r="H101" s="3" t="str">
        <f>IFERROR(__xludf.DUMMYFUNCTION("MID(INDEX(SPLIT($F101,"",""),COLUMN()-6),2,300)"),"4 dotted crimson bags")</f>
        <v>4 dotted crimson bags</v>
      </c>
      <c r="I101" s="3" t="str">
        <f>IFERROR(__xludf.DUMMYFUNCTION("MID(INDEX(SPLIT($F101,"",""),COLUMN()-6),2,300)"),"4 dotted brown bags.")</f>
        <v>4 dotted brown bags.</v>
      </c>
      <c r="J101" s="3" t="str">
        <f>IFERROR(__xludf.DUMMYFUNCTION("MID(INDEX(SPLIT($F101,"",""),COLUMN()-6),2,300)"),"#REF!")</f>
        <v>#REF!</v>
      </c>
      <c r="K101" s="3">
        <f>IFERROR(__xludf.DUMMYFUNCTION("INDEX(SPLIT(G101,"" ""),1)"),5.0)</f>
        <v>5</v>
      </c>
      <c r="L101" s="3" t="str">
        <f>IFERROR(__xludf.DUMMYFUNCTION("REGEXEXTRACT(G101,"" [^ ]* [^ ]* "")")," muted olive ")</f>
        <v> muted olive </v>
      </c>
      <c r="M101" s="3">
        <f>IFERROR(__xludf.DUMMYFUNCTION("INDEX(SPLIT(H101,"" ""),1)"),4.0)</f>
        <v>4</v>
      </c>
      <c r="N101" s="3" t="str">
        <f>IFERROR(__xludf.DUMMYFUNCTION("MID(REGEXEXTRACT(H101,"" [^ ]* [^ ]*""),2,300)"),"dotted crimson")</f>
        <v>dotted crimson</v>
      </c>
      <c r="O101" s="3">
        <f>IFERROR(__xludf.DUMMYFUNCTION("INDEX(SPLIT(I101,"" ""),1)"),4.0)</f>
        <v>4</v>
      </c>
      <c r="P101" s="3" t="str">
        <f>IFERROR(__xludf.DUMMYFUNCTION("MID(REGEXEXTRACT(I101,"" [^ ]* [^ ]*""),2,300)"),"dotted brown")</f>
        <v>dotted brown</v>
      </c>
      <c r="Q101" s="3" t="str">
        <f>IFERROR(__xludf.DUMMYFUNCTION("INDEX(SPLIT(J101,"" ""),1)"),"#REF!")</f>
        <v>#REF!</v>
      </c>
      <c r="R101" s="3" t="str">
        <f>IFERROR(__xludf.DUMMYFUNCTION("MID(REGEXEXTRACT(J101,"" [^ ]* [^ ]*""),2,300)"),"#REF!")</f>
        <v>#REF!</v>
      </c>
      <c r="S101" s="3">
        <f t="shared" si="2"/>
        <v>5</v>
      </c>
      <c r="T101" s="3" t="str">
        <f t="shared" si="3"/>
        <v>muted olive</v>
      </c>
      <c r="U101" s="3">
        <f t="shared" si="4"/>
        <v>4</v>
      </c>
      <c r="V101" s="3" t="str">
        <f t="shared" si="5"/>
        <v>dotted crimson</v>
      </c>
      <c r="W101" s="3">
        <f t="shared" si="6"/>
        <v>4</v>
      </c>
      <c r="X101" s="3" t="str">
        <f t="shared" si="7"/>
        <v>dotted brown</v>
      </c>
      <c r="Y101" s="3" t="str">
        <f t="shared" si="8"/>
        <v/>
      </c>
      <c r="Z101" s="3" t="str">
        <f t="shared" si="9"/>
        <v/>
      </c>
      <c r="AA101" s="13">
        <f t="shared" si="10"/>
        <v>6367</v>
      </c>
      <c r="AB101" s="3">
        <f t="shared" si="11"/>
        <v>6366</v>
      </c>
      <c r="AC101" s="3">
        <f t="shared" si="12"/>
        <v>5</v>
      </c>
      <c r="AD101" s="3">
        <f t="shared" si="13"/>
        <v>6</v>
      </c>
      <c r="AE101" s="3">
        <f t="shared" si="14"/>
        <v>4</v>
      </c>
      <c r="AF101" s="3">
        <f t="shared" si="15"/>
        <v>1279</v>
      </c>
      <c r="AG101" s="3">
        <f t="shared" si="16"/>
        <v>4</v>
      </c>
      <c r="AH101" s="3">
        <f t="shared" si="17"/>
        <v>305</v>
      </c>
      <c r="AI101" s="3" t="str">
        <f t="shared" si="18"/>
        <v/>
      </c>
      <c r="AJ101" s="3">
        <f t="shared" si="19"/>
        <v>0</v>
      </c>
    </row>
    <row r="102">
      <c r="C102" s="6" t="s">
        <v>102</v>
      </c>
      <c r="D102" s="3">
        <f t="shared" si="1"/>
        <v>2</v>
      </c>
      <c r="E102" s="3" t="str">
        <f>IFERROR(__xludf.DUMMYFUNCTION("REGEXEXTRACT(C102,""[^ ]* [^ ]*"")"),"dotted fuchsia")</f>
        <v>dotted fuchsia</v>
      </c>
      <c r="F102" s="3" t="str">
        <f>IFERROR(__xludf.DUMMYFUNCTION("MID(REGEXEXTRACT(C102,""contain.*$""),9,300)"),"5 shiny chartreuse bags, 1 dotted coral bag, 1 shiny cyan bag.")</f>
        <v>5 shiny chartreuse bags, 1 dotted coral bag, 1 shiny cyan bag.</v>
      </c>
      <c r="G102" s="3" t="str">
        <f>IFERROR(__xludf.DUMMYFUNCTION("INDEX(SPLIT($F102,"",""),COLUMN()-6)"),"5 shiny chartreuse bags")</f>
        <v>5 shiny chartreuse bags</v>
      </c>
      <c r="H102" s="3" t="str">
        <f>IFERROR(__xludf.DUMMYFUNCTION("MID(INDEX(SPLIT($F102,"",""),COLUMN()-6),2,300)"),"1 dotted coral bag")</f>
        <v>1 dotted coral bag</v>
      </c>
      <c r="I102" s="3" t="str">
        <f>IFERROR(__xludf.DUMMYFUNCTION("MID(INDEX(SPLIT($F102,"",""),COLUMN()-6),2,300)"),"1 shiny cyan bag.")</f>
        <v>1 shiny cyan bag.</v>
      </c>
      <c r="J102" s="3" t="str">
        <f>IFERROR(__xludf.DUMMYFUNCTION("MID(INDEX(SPLIT($F102,"",""),COLUMN()-6),2,300)"),"#REF!")</f>
        <v>#REF!</v>
      </c>
      <c r="K102" s="3">
        <f>IFERROR(__xludf.DUMMYFUNCTION("INDEX(SPLIT(G102,"" ""),1)"),5.0)</f>
        <v>5</v>
      </c>
      <c r="L102" s="3" t="str">
        <f>IFERROR(__xludf.DUMMYFUNCTION("REGEXEXTRACT(G102,"" [^ ]* [^ ]* "")")," shiny chartreuse ")</f>
        <v> shiny chartreuse </v>
      </c>
      <c r="M102" s="3">
        <f>IFERROR(__xludf.DUMMYFUNCTION("INDEX(SPLIT(H102,"" ""),1)"),1.0)</f>
        <v>1</v>
      </c>
      <c r="N102" s="3" t="str">
        <f>IFERROR(__xludf.DUMMYFUNCTION("MID(REGEXEXTRACT(H102,"" [^ ]* [^ ]*""),2,300)"),"dotted coral")</f>
        <v>dotted coral</v>
      </c>
      <c r="O102" s="3">
        <f>IFERROR(__xludf.DUMMYFUNCTION("INDEX(SPLIT(I102,"" ""),1)"),1.0)</f>
        <v>1</v>
      </c>
      <c r="P102" s="3" t="str">
        <f>IFERROR(__xludf.DUMMYFUNCTION("MID(REGEXEXTRACT(I102,"" [^ ]* [^ ]*""),2,300)"),"shiny cyan")</f>
        <v>shiny cyan</v>
      </c>
      <c r="Q102" s="3" t="str">
        <f>IFERROR(__xludf.DUMMYFUNCTION("INDEX(SPLIT(J102,"" ""),1)"),"#REF!")</f>
        <v>#REF!</v>
      </c>
      <c r="R102" s="3" t="str">
        <f>IFERROR(__xludf.DUMMYFUNCTION("MID(REGEXEXTRACT(J102,"" [^ ]* [^ ]*""),2,300)"),"#REF!")</f>
        <v>#REF!</v>
      </c>
      <c r="S102" s="3">
        <f t="shared" si="2"/>
        <v>5</v>
      </c>
      <c r="T102" s="3" t="str">
        <f t="shared" si="3"/>
        <v>shiny chartreuse</v>
      </c>
      <c r="U102" s="3">
        <f t="shared" si="4"/>
        <v>1</v>
      </c>
      <c r="V102" s="3" t="str">
        <f t="shared" si="5"/>
        <v>dotted coral</v>
      </c>
      <c r="W102" s="3">
        <f t="shared" si="6"/>
        <v>1</v>
      </c>
      <c r="X102" s="3" t="str">
        <f t="shared" si="7"/>
        <v>shiny cyan</v>
      </c>
      <c r="Y102" s="3" t="str">
        <f t="shared" si="8"/>
        <v/>
      </c>
      <c r="Z102" s="3" t="str">
        <f t="shared" si="9"/>
        <v/>
      </c>
      <c r="AA102" s="13">
        <f t="shared" si="10"/>
        <v>18533</v>
      </c>
      <c r="AB102" s="3">
        <f t="shared" si="11"/>
        <v>18532</v>
      </c>
      <c r="AC102" s="3">
        <f t="shared" si="12"/>
        <v>5</v>
      </c>
      <c r="AD102" s="3">
        <f t="shared" si="13"/>
        <v>1545</v>
      </c>
      <c r="AE102" s="3">
        <f t="shared" si="14"/>
        <v>1</v>
      </c>
      <c r="AF102" s="3">
        <f t="shared" si="15"/>
        <v>10803</v>
      </c>
      <c r="AG102" s="3">
        <f t="shared" si="16"/>
        <v>1</v>
      </c>
      <c r="AH102" s="3">
        <f t="shared" si="17"/>
        <v>4</v>
      </c>
      <c r="AI102" s="3" t="str">
        <f t="shared" si="18"/>
        <v/>
      </c>
      <c r="AJ102" s="3">
        <f t="shared" si="19"/>
        <v>0</v>
      </c>
    </row>
    <row r="103">
      <c r="C103" s="6" t="s">
        <v>103</v>
      </c>
      <c r="D103" s="3">
        <f t="shared" si="1"/>
        <v>1</v>
      </c>
      <c r="E103" s="3" t="str">
        <f>IFERROR(__xludf.DUMMYFUNCTION("REGEXEXTRACT(C103,""[^ ]* [^ ]*"")"),"dim fuchsia")</f>
        <v>dim fuchsia</v>
      </c>
      <c r="F103" s="3" t="str">
        <f>IFERROR(__xludf.DUMMYFUNCTION("MID(REGEXEXTRACT(C103,""contain.*$""),9,300)"),"1 striped orange bag, 1 clear crimson bag.")</f>
        <v>1 striped orange bag, 1 clear crimson bag.</v>
      </c>
      <c r="G103" s="3" t="str">
        <f>IFERROR(__xludf.DUMMYFUNCTION("INDEX(SPLIT($F103,"",""),COLUMN()-6)"),"1 striped orange bag")</f>
        <v>1 striped orange bag</v>
      </c>
      <c r="H103" s="3" t="str">
        <f>IFERROR(__xludf.DUMMYFUNCTION("MID(INDEX(SPLIT($F103,"",""),COLUMN()-6),2,300)"),"1 clear crimson bag.")</f>
        <v>1 clear crimson bag.</v>
      </c>
      <c r="I103" s="3" t="str">
        <f>IFERROR(__xludf.DUMMYFUNCTION("MID(INDEX(SPLIT($F103,"",""),COLUMN()-6),2,300)"),"#REF!")</f>
        <v>#REF!</v>
      </c>
      <c r="J103" s="3" t="str">
        <f>IFERROR(__xludf.DUMMYFUNCTION("MID(INDEX(SPLIT($F103,"",""),COLUMN()-6),2,300)"),"#REF!")</f>
        <v>#REF!</v>
      </c>
      <c r="K103" s="3">
        <f>IFERROR(__xludf.DUMMYFUNCTION("INDEX(SPLIT(G103,"" ""),1)"),1.0)</f>
        <v>1</v>
      </c>
      <c r="L103" s="3" t="str">
        <f>IFERROR(__xludf.DUMMYFUNCTION("REGEXEXTRACT(G103,"" [^ ]* [^ ]* "")")," striped orange ")</f>
        <v> striped orange </v>
      </c>
      <c r="M103" s="3">
        <f>IFERROR(__xludf.DUMMYFUNCTION("INDEX(SPLIT(H103,"" ""),1)"),1.0)</f>
        <v>1</v>
      </c>
      <c r="N103" s="3" t="str">
        <f>IFERROR(__xludf.DUMMYFUNCTION("MID(REGEXEXTRACT(H103,"" [^ ]* [^ ]*""),2,300)"),"clear crimson")</f>
        <v>clear crimson</v>
      </c>
      <c r="O103" s="3" t="str">
        <f>IFERROR(__xludf.DUMMYFUNCTION("INDEX(SPLIT(I103,"" ""),1)"),"#REF!")</f>
        <v>#REF!</v>
      </c>
      <c r="P103" s="3" t="str">
        <f>IFERROR(__xludf.DUMMYFUNCTION("MID(REGEXEXTRACT(I103,"" [^ ]* [^ ]*""),2,300)"),"#REF!")</f>
        <v>#REF!</v>
      </c>
      <c r="Q103" s="3" t="str">
        <f>IFERROR(__xludf.DUMMYFUNCTION("INDEX(SPLIT(J103,"" ""),1)"),"#REF!")</f>
        <v>#REF!</v>
      </c>
      <c r="R103" s="3" t="str">
        <f>IFERROR(__xludf.DUMMYFUNCTION("MID(REGEXEXTRACT(J103,"" [^ ]* [^ ]*""),2,300)"),"#REF!")</f>
        <v>#REF!</v>
      </c>
      <c r="S103" s="3">
        <f t="shared" si="2"/>
        <v>1</v>
      </c>
      <c r="T103" s="3" t="str">
        <f t="shared" si="3"/>
        <v>striped orange</v>
      </c>
      <c r="U103" s="3">
        <f t="shared" si="4"/>
        <v>1</v>
      </c>
      <c r="V103" s="3" t="str">
        <f t="shared" si="5"/>
        <v>clear crimson</v>
      </c>
      <c r="W103" s="3" t="str">
        <f t="shared" si="6"/>
        <v/>
      </c>
      <c r="X103" s="3" t="str">
        <f t="shared" si="7"/>
        <v/>
      </c>
      <c r="Y103" s="3" t="str">
        <f t="shared" si="8"/>
        <v/>
      </c>
      <c r="Z103" s="3" t="str">
        <f t="shared" si="9"/>
        <v/>
      </c>
      <c r="AA103" s="13">
        <f t="shared" si="10"/>
        <v>510711139</v>
      </c>
      <c r="AB103" s="3">
        <f t="shared" si="11"/>
        <v>510711138</v>
      </c>
      <c r="AC103" s="3">
        <f t="shared" si="12"/>
        <v>1</v>
      </c>
      <c r="AD103" s="3">
        <f t="shared" si="13"/>
        <v>485371005</v>
      </c>
      <c r="AE103" s="3">
        <f t="shared" si="14"/>
        <v>1</v>
      </c>
      <c r="AF103" s="3">
        <f t="shared" si="15"/>
        <v>25340133</v>
      </c>
      <c r="AG103" s="3" t="str">
        <f t="shared" si="16"/>
        <v/>
      </c>
      <c r="AH103" s="3">
        <f t="shared" si="17"/>
        <v>0</v>
      </c>
      <c r="AI103" s="3" t="str">
        <f t="shared" si="18"/>
        <v/>
      </c>
      <c r="AJ103" s="3">
        <f t="shared" si="19"/>
        <v>0</v>
      </c>
    </row>
    <row r="104">
      <c r="C104" s="6" t="s">
        <v>104</v>
      </c>
      <c r="D104" s="3">
        <f t="shared" si="1"/>
        <v>1</v>
      </c>
      <c r="E104" s="3" t="str">
        <f>IFERROR(__xludf.DUMMYFUNCTION("REGEXEXTRACT(C104,""[^ ]* [^ ]*"")"),"dotted cyan")</f>
        <v>dotted cyan</v>
      </c>
      <c r="F104" s="3" t="str">
        <f>IFERROR(__xludf.DUMMYFUNCTION("MID(REGEXEXTRACT(C104,""contain.*$""),9,300)"),"5 muted olive bags, 3 shiny white bags.")</f>
        <v>5 muted olive bags, 3 shiny white bags.</v>
      </c>
      <c r="G104" s="3" t="str">
        <f>IFERROR(__xludf.DUMMYFUNCTION("INDEX(SPLIT($F104,"",""),COLUMN()-6)"),"5 muted olive bags")</f>
        <v>5 muted olive bags</v>
      </c>
      <c r="H104" s="3" t="str">
        <f>IFERROR(__xludf.DUMMYFUNCTION("MID(INDEX(SPLIT($F104,"",""),COLUMN()-6),2,300)"),"3 shiny white bags.")</f>
        <v>3 shiny white bags.</v>
      </c>
      <c r="I104" s="3" t="str">
        <f>IFERROR(__xludf.DUMMYFUNCTION("MID(INDEX(SPLIT($F104,"",""),COLUMN()-6),2,300)"),"#REF!")</f>
        <v>#REF!</v>
      </c>
      <c r="J104" s="3" t="str">
        <f>IFERROR(__xludf.DUMMYFUNCTION("MID(INDEX(SPLIT($F104,"",""),COLUMN()-6),2,300)"),"#REF!")</f>
        <v>#REF!</v>
      </c>
      <c r="K104" s="3">
        <f>IFERROR(__xludf.DUMMYFUNCTION("INDEX(SPLIT(G104,"" ""),1)"),5.0)</f>
        <v>5</v>
      </c>
      <c r="L104" s="3" t="str">
        <f>IFERROR(__xludf.DUMMYFUNCTION("REGEXEXTRACT(G104,"" [^ ]* [^ ]* "")")," muted olive ")</f>
        <v> muted olive </v>
      </c>
      <c r="M104" s="3">
        <f>IFERROR(__xludf.DUMMYFUNCTION("INDEX(SPLIT(H104,"" ""),1)"),3.0)</f>
        <v>3</v>
      </c>
      <c r="N104" s="3" t="str">
        <f>IFERROR(__xludf.DUMMYFUNCTION("MID(REGEXEXTRACT(H104,"" [^ ]* [^ ]*""),2,300)"),"shiny white")</f>
        <v>shiny white</v>
      </c>
      <c r="O104" s="3" t="str">
        <f>IFERROR(__xludf.DUMMYFUNCTION("INDEX(SPLIT(I104,"" ""),1)"),"#REF!")</f>
        <v>#REF!</v>
      </c>
      <c r="P104" s="3" t="str">
        <f>IFERROR(__xludf.DUMMYFUNCTION("MID(REGEXEXTRACT(I104,"" [^ ]* [^ ]*""),2,300)"),"#REF!")</f>
        <v>#REF!</v>
      </c>
      <c r="Q104" s="3" t="str">
        <f>IFERROR(__xludf.DUMMYFUNCTION("INDEX(SPLIT(J104,"" ""),1)"),"#REF!")</f>
        <v>#REF!</v>
      </c>
      <c r="R104" s="3" t="str">
        <f>IFERROR(__xludf.DUMMYFUNCTION("MID(REGEXEXTRACT(J104,"" [^ ]* [^ ]*""),2,300)"),"#REF!")</f>
        <v>#REF!</v>
      </c>
      <c r="S104" s="3">
        <f t="shared" si="2"/>
        <v>5</v>
      </c>
      <c r="T104" s="3" t="str">
        <f t="shared" si="3"/>
        <v>muted olive</v>
      </c>
      <c r="U104" s="3">
        <f t="shared" si="4"/>
        <v>3</v>
      </c>
      <c r="V104" s="3" t="str">
        <f t="shared" si="5"/>
        <v>shiny white</v>
      </c>
      <c r="W104" s="3" t="str">
        <f t="shared" si="6"/>
        <v/>
      </c>
      <c r="X104" s="3" t="str">
        <f t="shared" si="7"/>
        <v/>
      </c>
      <c r="Y104" s="3" t="str">
        <f t="shared" si="8"/>
        <v/>
      </c>
      <c r="Z104" s="3" t="str">
        <f t="shared" si="9"/>
        <v/>
      </c>
      <c r="AA104" s="13">
        <f t="shared" si="10"/>
        <v>354607</v>
      </c>
      <c r="AB104" s="3">
        <f t="shared" si="11"/>
        <v>354606</v>
      </c>
      <c r="AC104" s="3">
        <f t="shared" si="12"/>
        <v>5</v>
      </c>
      <c r="AD104" s="3">
        <f t="shared" si="13"/>
        <v>6</v>
      </c>
      <c r="AE104" s="3">
        <f t="shared" si="14"/>
        <v>3</v>
      </c>
      <c r="AF104" s="3">
        <f t="shared" si="15"/>
        <v>118192</v>
      </c>
      <c r="AG104" s="3" t="str">
        <f t="shared" si="16"/>
        <v/>
      </c>
      <c r="AH104" s="3">
        <f t="shared" si="17"/>
        <v>0</v>
      </c>
      <c r="AI104" s="3" t="str">
        <f t="shared" si="18"/>
        <v/>
      </c>
      <c r="AJ104" s="3">
        <f t="shared" si="19"/>
        <v>0</v>
      </c>
    </row>
    <row r="105">
      <c r="C105" s="6" t="s">
        <v>105</v>
      </c>
      <c r="D105" s="3">
        <f t="shared" si="1"/>
        <v>2</v>
      </c>
      <c r="E105" s="3" t="str">
        <f>IFERROR(__xludf.DUMMYFUNCTION("REGEXEXTRACT(C105,""[^ ]* [^ ]*"")"),"dark beige")</f>
        <v>dark beige</v>
      </c>
      <c r="F105" s="3" t="str">
        <f>IFERROR(__xludf.DUMMYFUNCTION("MID(REGEXEXTRACT(C105,""contain.*$""),9,300)"),"4 light teal bags, 4 drab teal bags, 5 wavy beige bags.")</f>
        <v>4 light teal bags, 4 drab teal bags, 5 wavy beige bags.</v>
      </c>
      <c r="G105" s="3" t="str">
        <f>IFERROR(__xludf.DUMMYFUNCTION("INDEX(SPLIT($F105,"",""),COLUMN()-6)"),"4 light teal bags")</f>
        <v>4 light teal bags</v>
      </c>
      <c r="H105" s="3" t="str">
        <f>IFERROR(__xludf.DUMMYFUNCTION("MID(INDEX(SPLIT($F105,"",""),COLUMN()-6),2,300)"),"4 drab teal bags")</f>
        <v>4 drab teal bags</v>
      </c>
      <c r="I105" s="3" t="str">
        <f>IFERROR(__xludf.DUMMYFUNCTION("MID(INDEX(SPLIT($F105,"",""),COLUMN()-6),2,300)"),"5 wavy beige bags.")</f>
        <v>5 wavy beige bags.</v>
      </c>
      <c r="J105" s="3" t="str">
        <f>IFERROR(__xludf.DUMMYFUNCTION("MID(INDEX(SPLIT($F105,"",""),COLUMN()-6),2,300)"),"#REF!")</f>
        <v>#REF!</v>
      </c>
      <c r="K105" s="3">
        <f>IFERROR(__xludf.DUMMYFUNCTION("INDEX(SPLIT(G105,"" ""),1)"),4.0)</f>
        <v>4</v>
      </c>
      <c r="L105" s="3" t="str">
        <f>IFERROR(__xludf.DUMMYFUNCTION("REGEXEXTRACT(G105,"" [^ ]* [^ ]* "")")," light teal ")</f>
        <v> light teal </v>
      </c>
      <c r="M105" s="3">
        <f>IFERROR(__xludf.DUMMYFUNCTION("INDEX(SPLIT(H105,"" ""),1)"),4.0)</f>
        <v>4</v>
      </c>
      <c r="N105" s="3" t="str">
        <f>IFERROR(__xludf.DUMMYFUNCTION("MID(REGEXEXTRACT(H105,"" [^ ]* [^ ]*""),2,300)"),"drab teal")</f>
        <v>drab teal</v>
      </c>
      <c r="O105" s="3">
        <f>IFERROR(__xludf.DUMMYFUNCTION("INDEX(SPLIT(I105,"" ""),1)"),5.0)</f>
        <v>5</v>
      </c>
      <c r="P105" s="3" t="str">
        <f>IFERROR(__xludf.DUMMYFUNCTION("MID(REGEXEXTRACT(I105,"" [^ ]* [^ ]*""),2,300)"),"wavy beige")</f>
        <v>wavy beige</v>
      </c>
      <c r="Q105" s="3" t="str">
        <f>IFERROR(__xludf.DUMMYFUNCTION("INDEX(SPLIT(J105,"" ""),1)"),"#REF!")</f>
        <v>#REF!</v>
      </c>
      <c r="R105" s="3" t="str">
        <f>IFERROR(__xludf.DUMMYFUNCTION("MID(REGEXEXTRACT(J105,"" [^ ]* [^ ]*""),2,300)"),"#REF!")</f>
        <v>#REF!</v>
      </c>
      <c r="S105" s="3">
        <f t="shared" si="2"/>
        <v>4</v>
      </c>
      <c r="T105" s="3" t="str">
        <f t="shared" si="3"/>
        <v>light teal</v>
      </c>
      <c r="U105" s="3">
        <f t="shared" si="4"/>
        <v>4</v>
      </c>
      <c r="V105" s="3" t="str">
        <f t="shared" si="5"/>
        <v>drab teal</v>
      </c>
      <c r="W105" s="3">
        <f t="shared" si="6"/>
        <v>5</v>
      </c>
      <c r="X105" s="3" t="str">
        <f t="shared" si="7"/>
        <v>wavy beige</v>
      </c>
      <c r="Y105" s="3" t="str">
        <f t="shared" si="8"/>
        <v/>
      </c>
      <c r="Z105" s="3" t="str">
        <f t="shared" si="9"/>
        <v/>
      </c>
      <c r="AA105" s="13">
        <f t="shared" si="10"/>
        <v>581115</v>
      </c>
      <c r="AB105" s="3">
        <f t="shared" si="11"/>
        <v>581114</v>
      </c>
      <c r="AC105" s="3">
        <f t="shared" si="12"/>
        <v>4</v>
      </c>
      <c r="AD105" s="3">
        <f t="shared" si="13"/>
        <v>48488</v>
      </c>
      <c r="AE105" s="3">
        <f t="shared" si="14"/>
        <v>4</v>
      </c>
      <c r="AF105" s="3">
        <f t="shared" si="15"/>
        <v>40693</v>
      </c>
      <c r="AG105" s="3">
        <f t="shared" si="16"/>
        <v>5</v>
      </c>
      <c r="AH105" s="3">
        <f t="shared" si="17"/>
        <v>44878</v>
      </c>
      <c r="AI105" s="3" t="str">
        <f t="shared" si="18"/>
        <v/>
      </c>
      <c r="AJ105" s="3">
        <f t="shared" si="19"/>
        <v>0</v>
      </c>
    </row>
    <row r="106">
      <c r="C106" s="6" t="s">
        <v>106</v>
      </c>
      <c r="D106" s="3">
        <f t="shared" si="1"/>
        <v>2</v>
      </c>
      <c r="E106" s="3" t="str">
        <f>IFERROR(__xludf.DUMMYFUNCTION("REGEXEXTRACT(C106,""[^ ]* [^ ]*"")"),"striped magenta")</f>
        <v>striped magenta</v>
      </c>
      <c r="F106" s="3" t="str">
        <f>IFERROR(__xludf.DUMMYFUNCTION("MID(REGEXEXTRACT(C106,""contain.*$""),9,300)"),"5 plaid purple bags, 3 dotted crimson bags, 2 dull tomato bags.")</f>
        <v>5 plaid purple bags, 3 dotted crimson bags, 2 dull tomato bags.</v>
      </c>
      <c r="G106" s="3" t="str">
        <f>IFERROR(__xludf.DUMMYFUNCTION("INDEX(SPLIT($F106,"",""),COLUMN()-6)"),"5 plaid purple bags")</f>
        <v>5 plaid purple bags</v>
      </c>
      <c r="H106" s="3" t="str">
        <f>IFERROR(__xludf.DUMMYFUNCTION("MID(INDEX(SPLIT($F106,"",""),COLUMN()-6),2,300)"),"3 dotted crimson bags")</f>
        <v>3 dotted crimson bags</v>
      </c>
      <c r="I106" s="3" t="str">
        <f>IFERROR(__xludf.DUMMYFUNCTION("MID(INDEX(SPLIT($F106,"",""),COLUMN()-6),2,300)"),"2 dull tomato bags.")</f>
        <v>2 dull tomato bags.</v>
      </c>
      <c r="J106" s="3" t="str">
        <f>IFERROR(__xludf.DUMMYFUNCTION("MID(INDEX(SPLIT($F106,"",""),COLUMN()-6),2,300)"),"#REF!")</f>
        <v>#REF!</v>
      </c>
      <c r="K106" s="3">
        <f>IFERROR(__xludf.DUMMYFUNCTION("INDEX(SPLIT(G106,"" ""),1)"),5.0)</f>
        <v>5</v>
      </c>
      <c r="L106" s="3" t="str">
        <f>IFERROR(__xludf.DUMMYFUNCTION("REGEXEXTRACT(G106,"" [^ ]* [^ ]* "")")," plaid purple ")</f>
        <v> plaid purple </v>
      </c>
      <c r="M106" s="3">
        <f>IFERROR(__xludf.DUMMYFUNCTION("INDEX(SPLIT(H106,"" ""),1)"),3.0)</f>
        <v>3</v>
      </c>
      <c r="N106" s="3" t="str">
        <f>IFERROR(__xludf.DUMMYFUNCTION("MID(REGEXEXTRACT(H106,"" [^ ]* [^ ]*""),2,300)"),"dotted crimson")</f>
        <v>dotted crimson</v>
      </c>
      <c r="O106" s="3">
        <f>IFERROR(__xludf.DUMMYFUNCTION("INDEX(SPLIT(I106,"" ""),1)"),2.0)</f>
        <v>2</v>
      </c>
      <c r="P106" s="3" t="str">
        <f>IFERROR(__xludf.DUMMYFUNCTION("MID(REGEXEXTRACT(I106,"" [^ ]* [^ ]*""),2,300)"),"dull tomato")</f>
        <v>dull tomato</v>
      </c>
      <c r="Q106" s="3" t="str">
        <f>IFERROR(__xludf.DUMMYFUNCTION("INDEX(SPLIT(J106,"" ""),1)"),"#REF!")</f>
        <v>#REF!</v>
      </c>
      <c r="R106" s="3" t="str">
        <f>IFERROR(__xludf.DUMMYFUNCTION("MID(REGEXEXTRACT(J106,"" [^ ]* [^ ]*""),2,300)"),"#REF!")</f>
        <v>#REF!</v>
      </c>
      <c r="S106" s="3">
        <f t="shared" si="2"/>
        <v>5</v>
      </c>
      <c r="T106" s="3" t="str">
        <f t="shared" si="3"/>
        <v>plaid purple</v>
      </c>
      <c r="U106" s="3">
        <f t="shared" si="4"/>
        <v>3</v>
      </c>
      <c r="V106" s="3" t="str">
        <f t="shared" si="5"/>
        <v>dotted crimson</v>
      </c>
      <c r="W106" s="3">
        <f t="shared" si="6"/>
        <v>2</v>
      </c>
      <c r="X106" s="3" t="str">
        <f t="shared" si="7"/>
        <v>dull tomato</v>
      </c>
      <c r="Y106" s="3" t="str">
        <f t="shared" si="8"/>
        <v/>
      </c>
      <c r="Z106" s="3" t="str">
        <f t="shared" si="9"/>
        <v/>
      </c>
      <c r="AA106" s="13">
        <f t="shared" si="10"/>
        <v>140015</v>
      </c>
      <c r="AB106" s="3">
        <f t="shared" si="11"/>
        <v>140014</v>
      </c>
      <c r="AC106" s="3">
        <f t="shared" si="12"/>
        <v>5</v>
      </c>
      <c r="AD106" s="3">
        <f t="shared" si="13"/>
        <v>27231</v>
      </c>
      <c r="AE106" s="3">
        <f t="shared" si="14"/>
        <v>3</v>
      </c>
      <c r="AF106" s="3">
        <f t="shared" si="15"/>
        <v>1279</v>
      </c>
      <c r="AG106" s="3">
        <f t="shared" si="16"/>
        <v>2</v>
      </c>
      <c r="AH106" s="3">
        <f t="shared" si="17"/>
        <v>11</v>
      </c>
      <c r="AI106" s="3" t="str">
        <f t="shared" si="18"/>
        <v/>
      </c>
      <c r="AJ106" s="3">
        <f t="shared" si="19"/>
        <v>0</v>
      </c>
    </row>
    <row r="107">
      <c r="C107" s="6" t="s">
        <v>107</v>
      </c>
      <c r="D107" s="3">
        <f t="shared" si="1"/>
        <v>0</v>
      </c>
      <c r="E107" s="3" t="str">
        <f>IFERROR(__xludf.DUMMYFUNCTION("REGEXEXTRACT(C107,""[^ ]* [^ ]*"")"),"striped blue")</f>
        <v>striped blue</v>
      </c>
      <c r="F107" s="3" t="str">
        <f>IFERROR(__xludf.DUMMYFUNCTION("MID(REGEXEXTRACT(C107,""contain.*$""),9,300)"),"3 dim aqua bags.")</f>
        <v>3 dim aqua bags.</v>
      </c>
      <c r="G107" s="3" t="str">
        <f>IFERROR(__xludf.DUMMYFUNCTION("INDEX(SPLIT($F107,"",""),COLUMN()-6)"),"3 dim aqua bags.")</f>
        <v>3 dim aqua bags.</v>
      </c>
      <c r="H107" s="3" t="str">
        <f>IFERROR(__xludf.DUMMYFUNCTION("MID(INDEX(SPLIT($F107,"",""),COLUMN()-6),2,300)"),"#REF!")</f>
        <v>#REF!</v>
      </c>
      <c r="I107" s="3" t="str">
        <f>IFERROR(__xludf.DUMMYFUNCTION("MID(INDEX(SPLIT($F107,"",""),COLUMN()-6),2,300)"),"#REF!")</f>
        <v>#REF!</v>
      </c>
      <c r="J107" s="3" t="str">
        <f>IFERROR(__xludf.DUMMYFUNCTION("MID(INDEX(SPLIT($F107,"",""),COLUMN()-6),2,300)"),"#REF!")</f>
        <v>#REF!</v>
      </c>
      <c r="K107" s="3">
        <f>IFERROR(__xludf.DUMMYFUNCTION("INDEX(SPLIT(G107,"" ""),1)"),3.0)</f>
        <v>3</v>
      </c>
      <c r="L107" s="3" t="str">
        <f>IFERROR(__xludf.DUMMYFUNCTION("REGEXEXTRACT(G107,"" [^ ]* [^ ]* "")")," dim aqua ")</f>
        <v> dim aqua </v>
      </c>
      <c r="M107" s="3" t="str">
        <f>IFERROR(__xludf.DUMMYFUNCTION("INDEX(SPLIT(H107,"" ""),1)"),"#REF!")</f>
        <v>#REF!</v>
      </c>
      <c r="N107" s="3" t="str">
        <f>IFERROR(__xludf.DUMMYFUNCTION("MID(REGEXEXTRACT(H107,"" [^ ]* [^ ]*""),2,300)"),"#REF!")</f>
        <v>#REF!</v>
      </c>
      <c r="O107" s="3" t="str">
        <f>IFERROR(__xludf.DUMMYFUNCTION("INDEX(SPLIT(I107,"" ""),1)"),"#REF!")</f>
        <v>#REF!</v>
      </c>
      <c r="P107" s="3" t="str">
        <f>IFERROR(__xludf.DUMMYFUNCTION("MID(REGEXEXTRACT(I107,"" [^ ]* [^ ]*""),2,300)"),"#REF!")</f>
        <v>#REF!</v>
      </c>
      <c r="Q107" s="3" t="str">
        <f>IFERROR(__xludf.DUMMYFUNCTION("INDEX(SPLIT(J107,"" ""),1)"),"#REF!")</f>
        <v>#REF!</v>
      </c>
      <c r="R107" s="3" t="str">
        <f>IFERROR(__xludf.DUMMYFUNCTION("MID(REGEXEXTRACT(J107,"" [^ ]* [^ ]*""),2,300)"),"#REF!")</f>
        <v>#REF!</v>
      </c>
      <c r="S107" s="3">
        <f t="shared" si="2"/>
        <v>3</v>
      </c>
      <c r="T107" s="3" t="str">
        <f t="shared" si="3"/>
        <v>dim aqua</v>
      </c>
      <c r="U107" s="3" t="str">
        <f t="shared" si="4"/>
        <v/>
      </c>
      <c r="V107" s="3" t="str">
        <f t="shared" si="5"/>
        <v/>
      </c>
      <c r="W107" s="3" t="str">
        <f t="shared" si="6"/>
        <v/>
      </c>
      <c r="X107" s="3" t="str">
        <f t="shared" si="7"/>
        <v/>
      </c>
      <c r="Y107" s="3" t="str">
        <f t="shared" si="8"/>
        <v/>
      </c>
      <c r="Z107" s="3" t="str">
        <f t="shared" si="9"/>
        <v/>
      </c>
      <c r="AA107" s="13">
        <f t="shared" si="10"/>
        <v>180499</v>
      </c>
      <c r="AB107" s="3">
        <f t="shared" si="11"/>
        <v>180498</v>
      </c>
      <c r="AC107" s="3">
        <f t="shared" si="12"/>
        <v>3</v>
      </c>
      <c r="AD107" s="3">
        <f t="shared" si="13"/>
        <v>60166</v>
      </c>
      <c r="AE107" s="3" t="str">
        <f t="shared" si="14"/>
        <v/>
      </c>
      <c r="AF107" s="3">
        <f t="shared" si="15"/>
        <v>0</v>
      </c>
      <c r="AG107" s="3" t="str">
        <f t="shared" si="16"/>
        <v/>
      </c>
      <c r="AH107" s="3">
        <f t="shared" si="17"/>
        <v>0</v>
      </c>
      <c r="AI107" s="3" t="str">
        <f t="shared" si="18"/>
        <v/>
      </c>
      <c r="AJ107" s="3">
        <f t="shared" si="19"/>
        <v>0</v>
      </c>
    </row>
    <row r="108">
      <c r="C108" s="6" t="s">
        <v>108</v>
      </c>
      <c r="D108" s="3">
        <f t="shared" si="1"/>
        <v>3</v>
      </c>
      <c r="E108" s="3" t="str">
        <f>IFERROR(__xludf.DUMMYFUNCTION("REGEXEXTRACT(C108,""[^ ]* [^ ]*"")"),"light silver")</f>
        <v>light silver</v>
      </c>
      <c r="F108" s="3" t="str">
        <f>IFERROR(__xludf.DUMMYFUNCTION("MID(REGEXEXTRACT(C108,""contain.*$""),9,300)"),"3 shiny green bags, 2 vibrant black bags, 1 wavy turquoise bag, 3 faded bronze bags.")</f>
        <v>3 shiny green bags, 2 vibrant black bags, 1 wavy turquoise bag, 3 faded bronze bags.</v>
      </c>
      <c r="G108" s="3" t="str">
        <f>IFERROR(__xludf.DUMMYFUNCTION("INDEX(SPLIT($F108,"",""),COLUMN()-6)"),"3 shiny green bags")</f>
        <v>3 shiny green bags</v>
      </c>
      <c r="H108" s="3" t="str">
        <f>IFERROR(__xludf.DUMMYFUNCTION("MID(INDEX(SPLIT($F108,"",""),COLUMN()-6),2,300)"),"2 vibrant black bags")</f>
        <v>2 vibrant black bags</v>
      </c>
      <c r="I108" s="3" t="str">
        <f>IFERROR(__xludf.DUMMYFUNCTION("MID(INDEX(SPLIT($F108,"",""),COLUMN()-6),2,300)"),"1 wavy turquoise bag")</f>
        <v>1 wavy turquoise bag</v>
      </c>
      <c r="J108" s="3" t="str">
        <f>IFERROR(__xludf.DUMMYFUNCTION("MID(INDEX(SPLIT($F108,"",""),COLUMN()-6),2,300)"),"3 faded bronze bags.")</f>
        <v>3 faded bronze bags.</v>
      </c>
      <c r="K108" s="3">
        <f>IFERROR(__xludf.DUMMYFUNCTION("INDEX(SPLIT(G108,"" ""),1)"),3.0)</f>
        <v>3</v>
      </c>
      <c r="L108" s="3" t="str">
        <f>IFERROR(__xludf.DUMMYFUNCTION("REGEXEXTRACT(G108,"" [^ ]* [^ ]* "")")," shiny green ")</f>
        <v> shiny green </v>
      </c>
      <c r="M108" s="3">
        <f>IFERROR(__xludf.DUMMYFUNCTION("INDEX(SPLIT(H108,"" ""),1)"),2.0)</f>
        <v>2</v>
      </c>
      <c r="N108" s="3" t="str">
        <f>IFERROR(__xludf.DUMMYFUNCTION("MID(REGEXEXTRACT(H108,"" [^ ]* [^ ]*""),2,300)"),"vibrant black")</f>
        <v>vibrant black</v>
      </c>
      <c r="O108" s="3">
        <f>IFERROR(__xludf.DUMMYFUNCTION("INDEX(SPLIT(I108,"" ""),1)"),1.0)</f>
        <v>1</v>
      </c>
      <c r="P108" s="3" t="str">
        <f>IFERROR(__xludf.DUMMYFUNCTION("MID(REGEXEXTRACT(I108,"" [^ ]* [^ ]*""),2,300)"),"wavy turquoise")</f>
        <v>wavy turquoise</v>
      </c>
      <c r="Q108" s="3">
        <f>IFERROR(__xludf.DUMMYFUNCTION("INDEX(SPLIT(J108,"" ""),1)"),3.0)</f>
        <v>3</v>
      </c>
      <c r="R108" s="3" t="str">
        <f>IFERROR(__xludf.DUMMYFUNCTION("MID(REGEXEXTRACT(J108,"" [^ ]* [^ ]*""),2,300)"),"faded bronze")</f>
        <v>faded bronze</v>
      </c>
      <c r="S108" s="3">
        <f t="shared" si="2"/>
        <v>3</v>
      </c>
      <c r="T108" s="3" t="str">
        <f t="shared" si="3"/>
        <v>shiny green</v>
      </c>
      <c r="U108" s="3">
        <f t="shared" si="4"/>
        <v>2</v>
      </c>
      <c r="V108" s="3" t="str">
        <f t="shared" si="5"/>
        <v>vibrant black</v>
      </c>
      <c r="W108" s="3">
        <f t="shared" si="6"/>
        <v>1</v>
      </c>
      <c r="X108" s="3" t="str">
        <f t="shared" si="7"/>
        <v>wavy turquoise</v>
      </c>
      <c r="Y108" s="3">
        <f t="shared" si="8"/>
        <v>3</v>
      </c>
      <c r="Z108" s="3" t="str">
        <f t="shared" si="9"/>
        <v>faded bronze</v>
      </c>
      <c r="AA108" s="13">
        <f t="shared" si="10"/>
        <v>2526579336</v>
      </c>
      <c r="AB108" s="3">
        <f t="shared" si="11"/>
        <v>2526579335</v>
      </c>
      <c r="AC108" s="3">
        <f t="shared" si="12"/>
        <v>3</v>
      </c>
      <c r="AD108" s="3">
        <f t="shared" si="13"/>
        <v>740764401</v>
      </c>
      <c r="AE108" s="3">
        <f t="shared" si="14"/>
        <v>2</v>
      </c>
      <c r="AF108" s="3">
        <f t="shared" si="15"/>
        <v>152100230</v>
      </c>
      <c r="AG108" s="3">
        <f t="shared" si="16"/>
        <v>1</v>
      </c>
      <c r="AH108" s="3">
        <f t="shared" si="17"/>
        <v>11485</v>
      </c>
      <c r="AI108" s="3">
        <f t="shared" si="18"/>
        <v>3</v>
      </c>
      <c r="AJ108" s="3">
        <f t="shared" si="19"/>
        <v>24729</v>
      </c>
    </row>
    <row r="109">
      <c r="C109" s="6" t="s">
        <v>109</v>
      </c>
      <c r="D109" s="3">
        <f t="shared" si="1"/>
        <v>3</v>
      </c>
      <c r="E109" s="3" t="str">
        <f>IFERROR(__xludf.DUMMYFUNCTION("REGEXEXTRACT(C109,""[^ ]* [^ ]*"")"),"pale indigo")</f>
        <v>pale indigo</v>
      </c>
      <c r="F109" s="3" t="str">
        <f>IFERROR(__xludf.DUMMYFUNCTION("MID(REGEXEXTRACT(C109,""contain.*$""),9,300)"),"4 pale silver bags, 3 dotted tomato bags, 1 dark violet bag, 3 clear lime bags.")</f>
        <v>4 pale silver bags, 3 dotted tomato bags, 1 dark violet bag, 3 clear lime bags.</v>
      </c>
      <c r="G109" s="3" t="str">
        <f>IFERROR(__xludf.DUMMYFUNCTION("INDEX(SPLIT($F109,"",""),COLUMN()-6)"),"4 pale silver bags")</f>
        <v>4 pale silver bags</v>
      </c>
      <c r="H109" s="3" t="str">
        <f>IFERROR(__xludf.DUMMYFUNCTION("MID(INDEX(SPLIT($F109,"",""),COLUMN()-6),2,300)"),"3 dotted tomato bags")</f>
        <v>3 dotted tomato bags</v>
      </c>
      <c r="I109" s="3" t="str">
        <f>IFERROR(__xludf.DUMMYFUNCTION("MID(INDEX(SPLIT($F109,"",""),COLUMN()-6),2,300)"),"1 dark violet bag")</f>
        <v>1 dark violet bag</v>
      </c>
      <c r="J109" s="3" t="str">
        <f>IFERROR(__xludf.DUMMYFUNCTION("MID(INDEX(SPLIT($F109,"",""),COLUMN()-6),2,300)"),"3 clear lime bags.")</f>
        <v>3 clear lime bags.</v>
      </c>
      <c r="K109" s="3">
        <f>IFERROR(__xludf.DUMMYFUNCTION("INDEX(SPLIT(G109,"" ""),1)"),4.0)</f>
        <v>4</v>
      </c>
      <c r="L109" s="3" t="str">
        <f>IFERROR(__xludf.DUMMYFUNCTION("REGEXEXTRACT(G109,"" [^ ]* [^ ]* "")")," pale silver ")</f>
        <v> pale silver </v>
      </c>
      <c r="M109" s="3">
        <f>IFERROR(__xludf.DUMMYFUNCTION("INDEX(SPLIT(H109,"" ""),1)"),3.0)</f>
        <v>3</v>
      </c>
      <c r="N109" s="3" t="str">
        <f>IFERROR(__xludf.DUMMYFUNCTION("MID(REGEXEXTRACT(H109,"" [^ ]* [^ ]*""),2,300)"),"dotted tomato")</f>
        <v>dotted tomato</v>
      </c>
      <c r="O109" s="3">
        <f>IFERROR(__xludf.DUMMYFUNCTION("INDEX(SPLIT(I109,"" ""),1)"),1.0)</f>
        <v>1</v>
      </c>
      <c r="P109" s="3" t="str">
        <f>IFERROR(__xludf.DUMMYFUNCTION("MID(REGEXEXTRACT(I109,"" [^ ]* [^ ]*""),2,300)"),"dark violet")</f>
        <v>dark violet</v>
      </c>
      <c r="Q109" s="3">
        <f>IFERROR(__xludf.DUMMYFUNCTION("INDEX(SPLIT(J109,"" ""),1)"),3.0)</f>
        <v>3</v>
      </c>
      <c r="R109" s="3" t="str">
        <f>IFERROR(__xludf.DUMMYFUNCTION("MID(REGEXEXTRACT(J109,"" [^ ]* [^ ]*""),2,300)"),"clear lime")</f>
        <v>clear lime</v>
      </c>
      <c r="S109" s="3">
        <f t="shared" si="2"/>
        <v>4</v>
      </c>
      <c r="T109" s="3" t="str">
        <f t="shared" si="3"/>
        <v>pale silver</v>
      </c>
      <c r="U109" s="3">
        <f t="shared" si="4"/>
        <v>3</v>
      </c>
      <c r="V109" s="3" t="str">
        <f t="shared" si="5"/>
        <v>dotted tomato</v>
      </c>
      <c r="W109" s="3">
        <f t="shared" si="6"/>
        <v>1</v>
      </c>
      <c r="X109" s="3" t="str">
        <f t="shared" si="7"/>
        <v>dark violet</v>
      </c>
      <c r="Y109" s="3">
        <f t="shared" si="8"/>
        <v>3</v>
      </c>
      <c r="Z109" s="3" t="str">
        <f t="shared" si="9"/>
        <v>clear lime</v>
      </c>
      <c r="AA109" s="13">
        <f t="shared" si="10"/>
        <v>93823002</v>
      </c>
      <c r="AB109" s="3">
        <f t="shared" si="11"/>
        <v>93823001</v>
      </c>
      <c r="AC109" s="3">
        <f t="shared" si="12"/>
        <v>4</v>
      </c>
      <c r="AD109" s="3">
        <f t="shared" si="13"/>
        <v>14456969</v>
      </c>
      <c r="AE109" s="3">
        <f t="shared" si="14"/>
        <v>3</v>
      </c>
      <c r="AF109" s="3">
        <f t="shared" si="15"/>
        <v>11056167</v>
      </c>
      <c r="AG109" s="3">
        <f t="shared" si="16"/>
        <v>1</v>
      </c>
      <c r="AH109" s="3">
        <f t="shared" si="17"/>
        <v>508749</v>
      </c>
      <c r="AI109" s="3">
        <f t="shared" si="18"/>
        <v>3</v>
      </c>
      <c r="AJ109" s="3">
        <f t="shared" si="19"/>
        <v>772625</v>
      </c>
    </row>
    <row r="110">
      <c r="C110" s="6" t="s">
        <v>110</v>
      </c>
      <c r="D110" s="3">
        <f t="shared" si="1"/>
        <v>3</v>
      </c>
      <c r="E110" s="3" t="str">
        <f>IFERROR(__xludf.DUMMYFUNCTION("REGEXEXTRACT(C110,""[^ ]* [^ ]*"")"),"mirrored turquoise")</f>
        <v>mirrored turquoise</v>
      </c>
      <c r="F110" s="3" t="str">
        <f>IFERROR(__xludf.DUMMYFUNCTION("MID(REGEXEXTRACT(C110,""contain.*$""),9,300)"),"1 pale salmon bag, 2 dotted crimson bags, 1 drab tomato bag, 2 muted green bags.")</f>
        <v>1 pale salmon bag, 2 dotted crimson bags, 1 drab tomato bag, 2 muted green bags.</v>
      </c>
      <c r="G110" s="3" t="str">
        <f>IFERROR(__xludf.DUMMYFUNCTION("INDEX(SPLIT($F110,"",""),COLUMN()-6)"),"1 pale salmon bag")</f>
        <v>1 pale salmon bag</v>
      </c>
      <c r="H110" s="3" t="str">
        <f>IFERROR(__xludf.DUMMYFUNCTION("MID(INDEX(SPLIT($F110,"",""),COLUMN()-6),2,300)"),"2 dotted crimson bags")</f>
        <v>2 dotted crimson bags</v>
      </c>
      <c r="I110" s="3" t="str">
        <f>IFERROR(__xludf.DUMMYFUNCTION("MID(INDEX(SPLIT($F110,"",""),COLUMN()-6),2,300)"),"1 drab tomato bag")</f>
        <v>1 drab tomato bag</v>
      </c>
      <c r="J110" s="3" t="str">
        <f>IFERROR(__xludf.DUMMYFUNCTION("MID(INDEX(SPLIT($F110,"",""),COLUMN()-6),2,300)"),"2 muted green bags.")</f>
        <v>2 muted green bags.</v>
      </c>
      <c r="K110" s="3">
        <f>IFERROR(__xludf.DUMMYFUNCTION("INDEX(SPLIT(G110,"" ""),1)"),1.0)</f>
        <v>1</v>
      </c>
      <c r="L110" s="3" t="str">
        <f>IFERROR(__xludf.DUMMYFUNCTION("REGEXEXTRACT(G110,"" [^ ]* [^ ]* "")")," pale salmon ")</f>
        <v> pale salmon </v>
      </c>
      <c r="M110" s="3">
        <f>IFERROR(__xludf.DUMMYFUNCTION("INDEX(SPLIT(H110,"" ""),1)"),2.0)</f>
        <v>2</v>
      </c>
      <c r="N110" s="3" t="str">
        <f>IFERROR(__xludf.DUMMYFUNCTION("MID(REGEXEXTRACT(H110,"" [^ ]* [^ ]*""),2,300)"),"dotted crimson")</f>
        <v>dotted crimson</v>
      </c>
      <c r="O110" s="3">
        <f>IFERROR(__xludf.DUMMYFUNCTION("INDEX(SPLIT(I110,"" ""),1)"),1.0)</f>
        <v>1</v>
      </c>
      <c r="P110" s="3" t="str">
        <f>IFERROR(__xludf.DUMMYFUNCTION("MID(REGEXEXTRACT(I110,"" [^ ]* [^ ]*""),2,300)"),"drab tomato")</f>
        <v>drab tomato</v>
      </c>
      <c r="Q110" s="3">
        <f>IFERROR(__xludf.DUMMYFUNCTION("INDEX(SPLIT(J110,"" ""),1)"),2.0)</f>
        <v>2</v>
      </c>
      <c r="R110" s="3" t="str">
        <f>IFERROR(__xludf.DUMMYFUNCTION("MID(REGEXEXTRACT(J110,"" [^ ]* [^ ]*""),2,300)"),"muted green")</f>
        <v>muted green</v>
      </c>
      <c r="S110" s="3">
        <f t="shared" si="2"/>
        <v>1</v>
      </c>
      <c r="T110" s="3" t="str">
        <f t="shared" si="3"/>
        <v>pale salmon</v>
      </c>
      <c r="U110" s="3">
        <f t="shared" si="4"/>
        <v>2</v>
      </c>
      <c r="V110" s="3" t="str">
        <f t="shared" si="5"/>
        <v>dotted crimson</v>
      </c>
      <c r="W110" s="3">
        <f t="shared" si="6"/>
        <v>1</v>
      </c>
      <c r="X110" s="3" t="str">
        <f t="shared" si="7"/>
        <v>drab tomato</v>
      </c>
      <c r="Y110" s="3">
        <f t="shared" si="8"/>
        <v>2</v>
      </c>
      <c r="Z110" s="3" t="str">
        <f t="shared" si="9"/>
        <v>muted green</v>
      </c>
      <c r="AA110" s="13">
        <f t="shared" si="10"/>
        <v>78313</v>
      </c>
      <c r="AB110" s="3">
        <f t="shared" si="11"/>
        <v>78312</v>
      </c>
      <c r="AC110" s="3">
        <f t="shared" si="12"/>
        <v>1</v>
      </c>
      <c r="AD110" s="3">
        <f t="shared" si="13"/>
        <v>9889</v>
      </c>
      <c r="AE110" s="3">
        <f t="shared" si="14"/>
        <v>2</v>
      </c>
      <c r="AF110" s="3">
        <f t="shared" si="15"/>
        <v>1279</v>
      </c>
      <c r="AG110" s="3">
        <f t="shared" si="16"/>
        <v>1</v>
      </c>
      <c r="AH110" s="3">
        <f t="shared" si="17"/>
        <v>38687</v>
      </c>
      <c r="AI110" s="3">
        <f t="shared" si="18"/>
        <v>2</v>
      </c>
      <c r="AJ110" s="3">
        <f t="shared" si="19"/>
        <v>13589</v>
      </c>
    </row>
    <row r="111">
      <c r="C111" s="6" t="s">
        <v>111</v>
      </c>
      <c r="D111" s="3">
        <f t="shared" si="1"/>
        <v>3</v>
      </c>
      <c r="E111" s="3" t="str">
        <f>IFERROR(__xludf.DUMMYFUNCTION("REGEXEXTRACT(C111,""[^ ]* [^ ]*"")"),"striped beige")</f>
        <v>striped beige</v>
      </c>
      <c r="F111" s="3" t="str">
        <f>IFERROR(__xludf.DUMMYFUNCTION("MID(REGEXEXTRACT(C111,""contain.*$""),9,300)"),"3 dotted tomato bags, 4 vibrant purple bags, 2 plaid tomato bags, 4 dark salmon bags.")</f>
        <v>3 dotted tomato bags, 4 vibrant purple bags, 2 plaid tomato bags, 4 dark salmon bags.</v>
      </c>
      <c r="G111" s="3" t="str">
        <f>IFERROR(__xludf.DUMMYFUNCTION("INDEX(SPLIT($F111,"",""),COLUMN()-6)"),"3 dotted tomato bags")</f>
        <v>3 dotted tomato bags</v>
      </c>
      <c r="H111" s="3" t="str">
        <f>IFERROR(__xludf.DUMMYFUNCTION("MID(INDEX(SPLIT($F111,"",""),COLUMN()-6),2,300)"),"4 vibrant purple bags")</f>
        <v>4 vibrant purple bags</v>
      </c>
      <c r="I111" s="3" t="str">
        <f>IFERROR(__xludf.DUMMYFUNCTION("MID(INDEX(SPLIT($F111,"",""),COLUMN()-6),2,300)"),"2 plaid tomato bags")</f>
        <v>2 plaid tomato bags</v>
      </c>
      <c r="J111" s="3" t="str">
        <f>IFERROR(__xludf.DUMMYFUNCTION("MID(INDEX(SPLIT($F111,"",""),COLUMN()-6),2,300)"),"4 dark salmon bags.")</f>
        <v>4 dark salmon bags.</v>
      </c>
      <c r="K111" s="3">
        <f>IFERROR(__xludf.DUMMYFUNCTION("INDEX(SPLIT(G111,"" ""),1)"),3.0)</f>
        <v>3</v>
      </c>
      <c r="L111" s="3" t="str">
        <f>IFERROR(__xludf.DUMMYFUNCTION("REGEXEXTRACT(G111,"" [^ ]* [^ ]* "")")," dotted tomato ")</f>
        <v> dotted tomato </v>
      </c>
      <c r="M111" s="3">
        <f>IFERROR(__xludf.DUMMYFUNCTION("INDEX(SPLIT(H111,"" ""),1)"),4.0)</f>
        <v>4</v>
      </c>
      <c r="N111" s="3" t="str">
        <f>IFERROR(__xludf.DUMMYFUNCTION("MID(REGEXEXTRACT(H111,"" [^ ]* [^ ]*""),2,300)"),"vibrant purple")</f>
        <v>vibrant purple</v>
      </c>
      <c r="O111" s="3">
        <f>IFERROR(__xludf.DUMMYFUNCTION("INDEX(SPLIT(I111,"" ""),1)"),2.0)</f>
        <v>2</v>
      </c>
      <c r="P111" s="3" t="str">
        <f>IFERROR(__xludf.DUMMYFUNCTION("MID(REGEXEXTRACT(I111,"" [^ ]* [^ ]*""),2,300)"),"plaid tomato")</f>
        <v>plaid tomato</v>
      </c>
      <c r="Q111" s="3">
        <f>IFERROR(__xludf.DUMMYFUNCTION("INDEX(SPLIT(J111,"" ""),1)"),4.0)</f>
        <v>4</v>
      </c>
      <c r="R111" s="3" t="str">
        <f>IFERROR(__xludf.DUMMYFUNCTION("MID(REGEXEXTRACT(J111,"" [^ ]* [^ ]*""),2,300)"),"dark salmon")</f>
        <v>dark salmon</v>
      </c>
      <c r="S111" s="3">
        <f t="shared" si="2"/>
        <v>3</v>
      </c>
      <c r="T111" s="3" t="str">
        <f t="shared" si="3"/>
        <v>dotted tomato</v>
      </c>
      <c r="U111" s="3">
        <f t="shared" si="4"/>
        <v>4</v>
      </c>
      <c r="V111" s="3" t="str">
        <f t="shared" si="5"/>
        <v>vibrant purple</v>
      </c>
      <c r="W111" s="3">
        <f t="shared" si="6"/>
        <v>2</v>
      </c>
      <c r="X111" s="3" t="str">
        <f t="shared" si="7"/>
        <v>plaid tomato</v>
      </c>
      <c r="Y111" s="3">
        <f t="shared" si="8"/>
        <v>4</v>
      </c>
      <c r="Z111" s="3" t="str">
        <f t="shared" si="9"/>
        <v>dark salmon</v>
      </c>
      <c r="AA111" s="13">
        <f t="shared" si="10"/>
        <v>1728590198</v>
      </c>
      <c r="AB111" s="3">
        <f t="shared" si="11"/>
        <v>1728590197</v>
      </c>
      <c r="AC111" s="3">
        <f t="shared" si="12"/>
        <v>3</v>
      </c>
      <c r="AD111" s="3">
        <f t="shared" si="13"/>
        <v>11056167</v>
      </c>
      <c r="AE111" s="3">
        <f t="shared" si="14"/>
        <v>4</v>
      </c>
      <c r="AF111" s="3">
        <f t="shared" si="15"/>
        <v>207721</v>
      </c>
      <c r="AG111" s="3">
        <f t="shared" si="16"/>
        <v>2</v>
      </c>
      <c r="AH111" s="3">
        <f t="shared" si="17"/>
        <v>94877726</v>
      </c>
      <c r="AI111" s="3">
        <f t="shared" si="18"/>
        <v>4</v>
      </c>
      <c r="AJ111" s="3">
        <f t="shared" si="19"/>
        <v>376208840</v>
      </c>
    </row>
    <row r="112">
      <c r="C112" s="6" t="s">
        <v>112</v>
      </c>
      <c r="D112" s="3">
        <f t="shared" si="1"/>
        <v>2</v>
      </c>
      <c r="E112" s="3" t="str">
        <f>IFERROR(__xludf.DUMMYFUNCTION("REGEXEXTRACT(C112,""[^ ]* [^ ]*"")"),"pale silver")</f>
        <v>pale silver</v>
      </c>
      <c r="F112" s="3" t="str">
        <f>IFERROR(__xludf.DUMMYFUNCTION("MID(REGEXEXTRACT(C112,""contain.*$""),9,300)"),"5 dark lavender bags, 4 drab tan bags, 5 clear yellow bags.")</f>
        <v>5 dark lavender bags, 4 drab tan bags, 5 clear yellow bags.</v>
      </c>
      <c r="G112" s="3" t="str">
        <f>IFERROR(__xludf.DUMMYFUNCTION("INDEX(SPLIT($F112,"",""),COLUMN()-6)"),"5 dark lavender bags")</f>
        <v>5 dark lavender bags</v>
      </c>
      <c r="H112" s="3" t="str">
        <f>IFERROR(__xludf.DUMMYFUNCTION("MID(INDEX(SPLIT($F112,"",""),COLUMN()-6),2,300)"),"4 drab tan bags")</f>
        <v>4 drab tan bags</v>
      </c>
      <c r="I112" s="3" t="str">
        <f>IFERROR(__xludf.DUMMYFUNCTION("MID(INDEX(SPLIT($F112,"",""),COLUMN()-6),2,300)"),"5 clear yellow bags.")</f>
        <v>5 clear yellow bags.</v>
      </c>
      <c r="J112" s="3" t="str">
        <f>IFERROR(__xludf.DUMMYFUNCTION("MID(INDEX(SPLIT($F112,"",""),COLUMN()-6),2,300)"),"#REF!")</f>
        <v>#REF!</v>
      </c>
      <c r="K112" s="3">
        <f>IFERROR(__xludf.DUMMYFUNCTION("INDEX(SPLIT(G112,"" ""),1)"),5.0)</f>
        <v>5</v>
      </c>
      <c r="L112" s="3" t="str">
        <f>IFERROR(__xludf.DUMMYFUNCTION("REGEXEXTRACT(G112,"" [^ ]* [^ ]* "")")," dark lavender ")</f>
        <v> dark lavender </v>
      </c>
      <c r="M112" s="3">
        <f>IFERROR(__xludf.DUMMYFUNCTION("INDEX(SPLIT(H112,"" ""),1)"),4.0)</f>
        <v>4</v>
      </c>
      <c r="N112" s="3" t="str">
        <f>IFERROR(__xludf.DUMMYFUNCTION("MID(REGEXEXTRACT(H112,"" [^ ]* [^ ]*""),2,300)"),"drab tan")</f>
        <v>drab tan</v>
      </c>
      <c r="O112" s="3">
        <f>IFERROR(__xludf.DUMMYFUNCTION("INDEX(SPLIT(I112,"" ""),1)"),5.0)</f>
        <v>5</v>
      </c>
      <c r="P112" s="3" t="str">
        <f>IFERROR(__xludf.DUMMYFUNCTION("MID(REGEXEXTRACT(I112,"" [^ ]* [^ ]*""),2,300)"),"clear yellow")</f>
        <v>clear yellow</v>
      </c>
      <c r="Q112" s="3" t="str">
        <f>IFERROR(__xludf.DUMMYFUNCTION("INDEX(SPLIT(J112,"" ""),1)"),"#REF!")</f>
        <v>#REF!</v>
      </c>
      <c r="R112" s="3" t="str">
        <f>IFERROR(__xludf.DUMMYFUNCTION("MID(REGEXEXTRACT(J112,"" [^ ]* [^ ]*""),2,300)"),"#REF!")</f>
        <v>#REF!</v>
      </c>
      <c r="S112" s="3">
        <f t="shared" si="2"/>
        <v>5</v>
      </c>
      <c r="T112" s="3" t="str">
        <f t="shared" si="3"/>
        <v>dark lavender</v>
      </c>
      <c r="U112" s="3">
        <f t="shared" si="4"/>
        <v>4</v>
      </c>
      <c r="V112" s="3" t="str">
        <f t="shared" si="5"/>
        <v>drab tan</v>
      </c>
      <c r="W112" s="3">
        <f t="shared" si="6"/>
        <v>5</v>
      </c>
      <c r="X112" s="3" t="str">
        <f t="shared" si="7"/>
        <v>clear yellow</v>
      </c>
      <c r="Y112" s="3" t="str">
        <f t="shared" si="8"/>
        <v/>
      </c>
      <c r="Z112" s="3" t="str">
        <f t="shared" si="9"/>
        <v/>
      </c>
      <c r="AA112" s="13">
        <f t="shared" si="10"/>
        <v>14456969</v>
      </c>
      <c r="AB112" s="3">
        <f t="shared" si="11"/>
        <v>14456968</v>
      </c>
      <c r="AC112" s="3">
        <f t="shared" si="12"/>
        <v>5</v>
      </c>
      <c r="AD112" s="3">
        <f t="shared" si="13"/>
        <v>133</v>
      </c>
      <c r="AE112" s="3">
        <f t="shared" si="14"/>
        <v>4</v>
      </c>
      <c r="AF112" s="3">
        <f t="shared" si="15"/>
        <v>3591437</v>
      </c>
      <c r="AG112" s="3">
        <f t="shared" si="16"/>
        <v>5</v>
      </c>
      <c r="AH112" s="3">
        <f t="shared" si="17"/>
        <v>18111</v>
      </c>
      <c r="AI112" s="3" t="str">
        <f t="shared" si="18"/>
        <v/>
      </c>
      <c r="AJ112" s="3">
        <f t="shared" si="19"/>
        <v>0</v>
      </c>
    </row>
    <row r="113">
      <c r="C113" s="6" t="s">
        <v>113</v>
      </c>
      <c r="D113" s="3">
        <f t="shared" si="1"/>
        <v>1</v>
      </c>
      <c r="E113" s="3" t="str">
        <f>IFERROR(__xludf.DUMMYFUNCTION("REGEXEXTRACT(C113,""[^ ]* [^ ]*"")"),"dark lime")</f>
        <v>dark lime</v>
      </c>
      <c r="F113" s="3" t="str">
        <f>IFERROR(__xludf.DUMMYFUNCTION("MID(REGEXEXTRACT(C113,""contain.*$""),9,300)"),"3 pale aqua bags, 5 posh green bags.")</f>
        <v>3 pale aqua bags, 5 posh green bags.</v>
      </c>
      <c r="G113" s="3" t="str">
        <f>IFERROR(__xludf.DUMMYFUNCTION("INDEX(SPLIT($F113,"",""),COLUMN()-6)"),"3 pale aqua bags")</f>
        <v>3 pale aqua bags</v>
      </c>
      <c r="H113" s="3" t="str">
        <f>IFERROR(__xludf.DUMMYFUNCTION("MID(INDEX(SPLIT($F113,"",""),COLUMN()-6),2,300)"),"5 posh green bags.")</f>
        <v>5 posh green bags.</v>
      </c>
      <c r="I113" s="3" t="str">
        <f>IFERROR(__xludf.DUMMYFUNCTION("MID(INDEX(SPLIT($F113,"",""),COLUMN()-6),2,300)"),"#REF!")</f>
        <v>#REF!</v>
      </c>
      <c r="J113" s="3" t="str">
        <f>IFERROR(__xludf.DUMMYFUNCTION("MID(INDEX(SPLIT($F113,"",""),COLUMN()-6),2,300)"),"#REF!")</f>
        <v>#REF!</v>
      </c>
      <c r="K113" s="3">
        <f>IFERROR(__xludf.DUMMYFUNCTION("INDEX(SPLIT(G113,"" ""),1)"),3.0)</f>
        <v>3</v>
      </c>
      <c r="L113" s="3" t="str">
        <f>IFERROR(__xludf.DUMMYFUNCTION("REGEXEXTRACT(G113,"" [^ ]* [^ ]* "")")," pale aqua ")</f>
        <v> pale aqua </v>
      </c>
      <c r="M113" s="3">
        <f>IFERROR(__xludf.DUMMYFUNCTION("INDEX(SPLIT(H113,"" ""),1)"),5.0)</f>
        <v>5</v>
      </c>
      <c r="N113" s="3" t="str">
        <f>IFERROR(__xludf.DUMMYFUNCTION("MID(REGEXEXTRACT(H113,"" [^ ]* [^ ]*""),2,300)"),"posh green")</f>
        <v>posh green</v>
      </c>
      <c r="O113" s="3" t="str">
        <f>IFERROR(__xludf.DUMMYFUNCTION("INDEX(SPLIT(I113,"" ""),1)"),"#REF!")</f>
        <v>#REF!</v>
      </c>
      <c r="P113" s="3" t="str">
        <f>IFERROR(__xludf.DUMMYFUNCTION("MID(REGEXEXTRACT(I113,"" [^ ]* [^ ]*""),2,300)"),"#REF!")</f>
        <v>#REF!</v>
      </c>
      <c r="Q113" s="3" t="str">
        <f>IFERROR(__xludf.DUMMYFUNCTION("INDEX(SPLIT(J113,"" ""),1)"),"#REF!")</f>
        <v>#REF!</v>
      </c>
      <c r="R113" s="3" t="str">
        <f>IFERROR(__xludf.DUMMYFUNCTION("MID(REGEXEXTRACT(J113,"" [^ ]* [^ ]*""),2,300)"),"#REF!")</f>
        <v>#REF!</v>
      </c>
      <c r="S113" s="3">
        <f t="shared" si="2"/>
        <v>3</v>
      </c>
      <c r="T113" s="3" t="str">
        <f t="shared" si="3"/>
        <v>pale aqua</v>
      </c>
      <c r="U113" s="3">
        <f t="shared" si="4"/>
        <v>5</v>
      </c>
      <c r="V113" s="3" t="str">
        <f t="shared" si="5"/>
        <v>posh green</v>
      </c>
      <c r="W113" s="3" t="str">
        <f t="shared" si="6"/>
        <v/>
      </c>
      <c r="X113" s="3" t="str">
        <f t="shared" si="7"/>
        <v/>
      </c>
      <c r="Y113" s="3" t="str">
        <f t="shared" si="8"/>
        <v/>
      </c>
      <c r="Z113" s="3" t="str">
        <f t="shared" si="9"/>
        <v/>
      </c>
      <c r="AA113" s="13">
        <f t="shared" si="10"/>
        <v>4766484</v>
      </c>
      <c r="AB113" s="3">
        <f t="shared" si="11"/>
        <v>4766483</v>
      </c>
      <c r="AC113" s="3">
        <f t="shared" si="12"/>
        <v>3</v>
      </c>
      <c r="AD113" s="3">
        <f t="shared" si="13"/>
        <v>1578216</v>
      </c>
      <c r="AE113" s="3">
        <f t="shared" si="14"/>
        <v>5</v>
      </c>
      <c r="AF113" s="3">
        <f t="shared" si="15"/>
        <v>6367</v>
      </c>
      <c r="AG113" s="3" t="str">
        <f t="shared" si="16"/>
        <v/>
      </c>
      <c r="AH113" s="3">
        <f t="shared" si="17"/>
        <v>0</v>
      </c>
      <c r="AI113" s="3" t="str">
        <f t="shared" si="18"/>
        <v/>
      </c>
      <c r="AJ113" s="3">
        <f t="shared" si="19"/>
        <v>0</v>
      </c>
    </row>
    <row r="114">
      <c r="C114" s="6" t="s">
        <v>114</v>
      </c>
      <c r="D114" s="3">
        <f t="shared" si="1"/>
        <v>3</v>
      </c>
      <c r="E114" s="3" t="str">
        <f>IFERROR(__xludf.DUMMYFUNCTION("REGEXEXTRACT(C114,""[^ ]* [^ ]*"")"),"faded coral")</f>
        <v>faded coral</v>
      </c>
      <c r="F114" s="3" t="str">
        <f>IFERROR(__xludf.DUMMYFUNCTION("MID(REGEXEXTRACT(C114,""contain.*$""),9,300)"),"3 dull tomato bags, 4 dark bronze bags, 3 drab tomato bags, 2 bright white bags.")</f>
        <v>3 dull tomato bags, 4 dark bronze bags, 3 drab tomato bags, 2 bright white bags.</v>
      </c>
      <c r="G114" s="3" t="str">
        <f>IFERROR(__xludf.DUMMYFUNCTION("INDEX(SPLIT($F114,"",""),COLUMN()-6)"),"3 dull tomato bags")</f>
        <v>3 dull tomato bags</v>
      </c>
      <c r="H114" s="3" t="str">
        <f>IFERROR(__xludf.DUMMYFUNCTION("MID(INDEX(SPLIT($F114,"",""),COLUMN()-6),2,300)"),"4 dark bronze bags")</f>
        <v>4 dark bronze bags</v>
      </c>
      <c r="I114" s="3" t="str">
        <f>IFERROR(__xludf.DUMMYFUNCTION("MID(INDEX(SPLIT($F114,"",""),COLUMN()-6),2,300)"),"3 drab tomato bags")</f>
        <v>3 drab tomato bags</v>
      </c>
      <c r="J114" s="3" t="str">
        <f>IFERROR(__xludf.DUMMYFUNCTION("MID(INDEX(SPLIT($F114,"",""),COLUMN()-6),2,300)"),"2 bright white bags.")</f>
        <v>2 bright white bags.</v>
      </c>
      <c r="K114" s="3">
        <f>IFERROR(__xludf.DUMMYFUNCTION("INDEX(SPLIT(G114,"" ""),1)"),3.0)</f>
        <v>3</v>
      </c>
      <c r="L114" s="3" t="str">
        <f>IFERROR(__xludf.DUMMYFUNCTION("REGEXEXTRACT(G114,"" [^ ]* [^ ]* "")")," dull tomato ")</f>
        <v> dull tomato </v>
      </c>
      <c r="M114" s="3">
        <f>IFERROR(__xludf.DUMMYFUNCTION("INDEX(SPLIT(H114,"" ""),1)"),4.0)</f>
        <v>4</v>
      </c>
      <c r="N114" s="3" t="str">
        <f>IFERROR(__xludf.DUMMYFUNCTION("MID(REGEXEXTRACT(H114,"" [^ ]* [^ ]*""),2,300)"),"dark bronze")</f>
        <v>dark bronze</v>
      </c>
      <c r="O114" s="3">
        <f>IFERROR(__xludf.DUMMYFUNCTION("INDEX(SPLIT(I114,"" ""),1)"),3.0)</f>
        <v>3</v>
      </c>
      <c r="P114" s="3" t="str">
        <f>IFERROR(__xludf.DUMMYFUNCTION("MID(REGEXEXTRACT(I114,"" [^ ]* [^ ]*""),2,300)"),"drab tomato")</f>
        <v>drab tomato</v>
      </c>
      <c r="Q114" s="3">
        <f>IFERROR(__xludf.DUMMYFUNCTION("INDEX(SPLIT(J114,"" ""),1)"),2.0)</f>
        <v>2</v>
      </c>
      <c r="R114" s="3" t="str">
        <f>IFERROR(__xludf.DUMMYFUNCTION("MID(REGEXEXTRACT(J114,"" [^ ]* [^ ]*""),2,300)"),"bright white")</f>
        <v>bright white</v>
      </c>
      <c r="S114" s="3">
        <f t="shared" si="2"/>
        <v>3</v>
      </c>
      <c r="T114" s="3" t="str">
        <f t="shared" si="3"/>
        <v>dull tomato</v>
      </c>
      <c r="U114" s="3">
        <f t="shared" si="4"/>
        <v>4</v>
      </c>
      <c r="V114" s="3" t="str">
        <f t="shared" si="5"/>
        <v>dark bronze</v>
      </c>
      <c r="W114" s="3">
        <f t="shared" si="6"/>
        <v>3</v>
      </c>
      <c r="X114" s="3" t="str">
        <f t="shared" si="7"/>
        <v>drab tomato</v>
      </c>
      <c r="Y114" s="3">
        <f t="shared" si="8"/>
        <v>2</v>
      </c>
      <c r="Z114" s="3" t="str">
        <f t="shared" si="9"/>
        <v>bright white</v>
      </c>
      <c r="AA114" s="13">
        <f t="shared" si="10"/>
        <v>50143651</v>
      </c>
      <c r="AB114" s="3">
        <f t="shared" si="11"/>
        <v>50143650</v>
      </c>
      <c r="AC114" s="3">
        <f t="shared" si="12"/>
        <v>3</v>
      </c>
      <c r="AD114" s="3">
        <f t="shared" si="13"/>
        <v>11</v>
      </c>
      <c r="AE114" s="3">
        <f t="shared" si="14"/>
        <v>4</v>
      </c>
      <c r="AF114" s="3">
        <f t="shared" si="15"/>
        <v>14835</v>
      </c>
      <c r="AG114" s="3">
        <f t="shared" si="16"/>
        <v>3</v>
      </c>
      <c r="AH114" s="3">
        <f t="shared" si="17"/>
        <v>38687</v>
      </c>
      <c r="AI114" s="3">
        <f t="shared" si="18"/>
        <v>2</v>
      </c>
      <c r="AJ114" s="3">
        <f t="shared" si="19"/>
        <v>24984108</v>
      </c>
    </row>
    <row r="115">
      <c r="C115" s="6" t="s">
        <v>115</v>
      </c>
      <c r="D115" s="3">
        <f t="shared" si="1"/>
        <v>0</v>
      </c>
      <c r="E115" s="3" t="str">
        <f>IFERROR(__xludf.DUMMYFUNCTION("REGEXEXTRACT(C115,""[^ ]* [^ ]*"")"),"mirrored lavender")</f>
        <v>mirrored lavender</v>
      </c>
      <c r="F115" s="3" t="str">
        <f>IFERROR(__xludf.DUMMYFUNCTION("MID(REGEXEXTRACT(C115,""contain.*$""),9,300)"),"3 mirrored cyan bags.")</f>
        <v>3 mirrored cyan bags.</v>
      </c>
      <c r="G115" s="3" t="str">
        <f>IFERROR(__xludf.DUMMYFUNCTION("INDEX(SPLIT($F115,"",""),COLUMN()-6)"),"3 mirrored cyan bags.")</f>
        <v>3 mirrored cyan bags.</v>
      </c>
      <c r="H115" s="3" t="str">
        <f>IFERROR(__xludf.DUMMYFUNCTION("MID(INDEX(SPLIT($F115,"",""),COLUMN()-6),2,300)"),"#REF!")</f>
        <v>#REF!</v>
      </c>
      <c r="I115" s="3" t="str">
        <f>IFERROR(__xludf.DUMMYFUNCTION("MID(INDEX(SPLIT($F115,"",""),COLUMN()-6),2,300)"),"#REF!")</f>
        <v>#REF!</v>
      </c>
      <c r="J115" s="3" t="str">
        <f>IFERROR(__xludf.DUMMYFUNCTION("MID(INDEX(SPLIT($F115,"",""),COLUMN()-6),2,300)"),"#REF!")</f>
        <v>#REF!</v>
      </c>
      <c r="K115" s="3">
        <f>IFERROR(__xludf.DUMMYFUNCTION("INDEX(SPLIT(G115,"" ""),1)"),3.0)</f>
        <v>3</v>
      </c>
      <c r="L115" s="3" t="str">
        <f>IFERROR(__xludf.DUMMYFUNCTION("REGEXEXTRACT(G115,"" [^ ]* [^ ]* "")")," mirrored cyan ")</f>
        <v> mirrored cyan </v>
      </c>
      <c r="M115" s="3" t="str">
        <f>IFERROR(__xludf.DUMMYFUNCTION("INDEX(SPLIT(H115,"" ""),1)"),"#REF!")</f>
        <v>#REF!</v>
      </c>
      <c r="N115" s="3" t="str">
        <f>IFERROR(__xludf.DUMMYFUNCTION("MID(REGEXEXTRACT(H115,"" [^ ]* [^ ]*""),2,300)"),"#REF!")</f>
        <v>#REF!</v>
      </c>
      <c r="O115" s="3" t="str">
        <f>IFERROR(__xludf.DUMMYFUNCTION("INDEX(SPLIT(I115,"" ""),1)"),"#REF!")</f>
        <v>#REF!</v>
      </c>
      <c r="P115" s="3" t="str">
        <f>IFERROR(__xludf.DUMMYFUNCTION("MID(REGEXEXTRACT(I115,"" [^ ]* [^ ]*""),2,300)"),"#REF!")</f>
        <v>#REF!</v>
      </c>
      <c r="Q115" s="3" t="str">
        <f>IFERROR(__xludf.DUMMYFUNCTION("INDEX(SPLIT(J115,"" ""),1)"),"#REF!")</f>
        <v>#REF!</v>
      </c>
      <c r="R115" s="3" t="str">
        <f>IFERROR(__xludf.DUMMYFUNCTION("MID(REGEXEXTRACT(J115,"" [^ ]* [^ ]*""),2,300)"),"#REF!")</f>
        <v>#REF!</v>
      </c>
      <c r="S115" s="3">
        <f t="shared" si="2"/>
        <v>3</v>
      </c>
      <c r="T115" s="3" t="str">
        <f t="shared" si="3"/>
        <v>mirrored cyan</v>
      </c>
      <c r="U115" s="3" t="str">
        <f t="shared" si="4"/>
        <v/>
      </c>
      <c r="V115" s="3" t="str">
        <f t="shared" si="5"/>
        <v/>
      </c>
      <c r="W115" s="3" t="str">
        <f t="shared" si="6"/>
        <v/>
      </c>
      <c r="X115" s="3" t="str">
        <f t="shared" si="7"/>
        <v/>
      </c>
      <c r="Y115" s="3" t="str">
        <f t="shared" si="8"/>
        <v/>
      </c>
      <c r="Z115" s="3" t="str">
        <f t="shared" si="9"/>
        <v/>
      </c>
      <c r="AA115" s="13">
        <f t="shared" si="10"/>
        <v>5563</v>
      </c>
      <c r="AB115" s="3">
        <f t="shared" si="11"/>
        <v>5562</v>
      </c>
      <c r="AC115" s="3">
        <f t="shared" si="12"/>
        <v>3</v>
      </c>
      <c r="AD115" s="3">
        <f t="shared" si="13"/>
        <v>1854</v>
      </c>
      <c r="AE115" s="3" t="str">
        <f t="shared" si="14"/>
        <v/>
      </c>
      <c r="AF115" s="3">
        <f t="shared" si="15"/>
        <v>0</v>
      </c>
      <c r="AG115" s="3" t="str">
        <f t="shared" si="16"/>
        <v/>
      </c>
      <c r="AH115" s="3">
        <f t="shared" si="17"/>
        <v>0</v>
      </c>
      <c r="AI115" s="3" t="str">
        <f t="shared" si="18"/>
        <v/>
      </c>
      <c r="AJ115" s="3">
        <f t="shared" si="19"/>
        <v>0</v>
      </c>
    </row>
    <row r="116">
      <c r="C116" s="6" t="s">
        <v>116</v>
      </c>
      <c r="D116" s="3">
        <f t="shared" si="1"/>
        <v>0</v>
      </c>
      <c r="E116" s="3" t="str">
        <f>IFERROR(__xludf.DUMMYFUNCTION("REGEXEXTRACT(C116,""[^ ]* [^ ]*"")"),"bright crimson")</f>
        <v>bright crimson</v>
      </c>
      <c r="F116" s="3" t="str">
        <f>IFERROR(__xludf.DUMMYFUNCTION("MID(REGEXEXTRACT(C116,""contain.*$""),9,300)"),"2 mirrored silver bags.")</f>
        <v>2 mirrored silver bags.</v>
      </c>
      <c r="G116" s="3" t="str">
        <f>IFERROR(__xludf.DUMMYFUNCTION("INDEX(SPLIT($F116,"",""),COLUMN()-6)"),"2 mirrored silver bags.")</f>
        <v>2 mirrored silver bags.</v>
      </c>
      <c r="H116" s="3" t="str">
        <f>IFERROR(__xludf.DUMMYFUNCTION("MID(INDEX(SPLIT($F116,"",""),COLUMN()-6),2,300)"),"#REF!")</f>
        <v>#REF!</v>
      </c>
      <c r="I116" s="3" t="str">
        <f>IFERROR(__xludf.DUMMYFUNCTION("MID(INDEX(SPLIT($F116,"",""),COLUMN()-6),2,300)"),"#REF!")</f>
        <v>#REF!</v>
      </c>
      <c r="J116" s="3" t="str">
        <f>IFERROR(__xludf.DUMMYFUNCTION("MID(INDEX(SPLIT($F116,"",""),COLUMN()-6),2,300)"),"#REF!")</f>
        <v>#REF!</v>
      </c>
      <c r="K116" s="3">
        <f>IFERROR(__xludf.DUMMYFUNCTION("INDEX(SPLIT(G116,"" ""),1)"),2.0)</f>
        <v>2</v>
      </c>
      <c r="L116" s="3" t="str">
        <f>IFERROR(__xludf.DUMMYFUNCTION("REGEXEXTRACT(G116,"" [^ ]* [^ ]* "")")," mirrored silver ")</f>
        <v> mirrored silver </v>
      </c>
      <c r="M116" s="3" t="str">
        <f>IFERROR(__xludf.DUMMYFUNCTION("INDEX(SPLIT(H116,"" ""),1)"),"#REF!")</f>
        <v>#REF!</v>
      </c>
      <c r="N116" s="3" t="str">
        <f>IFERROR(__xludf.DUMMYFUNCTION("MID(REGEXEXTRACT(H116,"" [^ ]* [^ ]*""),2,300)"),"#REF!")</f>
        <v>#REF!</v>
      </c>
      <c r="O116" s="3" t="str">
        <f>IFERROR(__xludf.DUMMYFUNCTION("INDEX(SPLIT(I116,"" ""),1)"),"#REF!")</f>
        <v>#REF!</v>
      </c>
      <c r="P116" s="3" t="str">
        <f>IFERROR(__xludf.DUMMYFUNCTION("MID(REGEXEXTRACT(I116,"" [^ ]* [^ ]*""),2,300)"),"#REF!")</f>
        <v>#REF!</v>
      </c>
      <c r="Q116" s="3" t="str">
        <f>IFERROR(__xludf.DUMMYFUNCTION("INDEX(SPLIT(J116,"" ""),1)"),"#REF!")</f>
        <v>#REF!</v>
      </c>
      <c r="R116" s="3" t="str">
        <f>IFERROR(__xludf.DUMMYFUNCTION("MID(REGEXEXTRACT(J116,"" [^ ]* [^ ]*""),2,300)"),"#REF!")</f>
        <v>#REF!</v>
      </c>
      <c r="S116" s="3">
        <f t="shared" si="2"/>
        <v>2</v>
      </c>
      <c r="T116" s="3" t="str">
        <f t="shared" si="3"/>
        <v>mirrored silver</v>
      </c>
      <c r="U116" s="3" t="str">
        <f t="shared" si="4"/>
        <v/>
      </c>
      <c r="V116" s="3" t="str">
        <f t="shared" si="5"/>
        <v/>
      </c>
      <c r="W116" s="3" t="str">
        <f t="shared" si="6"/>
        <v/>
      </c>
      <c r="X116" s="3" t="str">
        <f t="shared" si="7"/>
        <v/>
      </c>
      <c r="Y116" s="3" t="str">
        <f t="shared" si="8"/>
        <v/>
      </c>
      <c r="Z116" s="3" t="str">
        <f t="shared" si="9"/>
        <v/>
      </c>
      <c r="AA116" s="13">
        <f t="shared" si="10"/>
        <v>773</v>
      </c>
      <c r="AB116" s="3">
        <f t="shared" si="11"/>
        <v>772</v>
      </c>
      <c r="AC116" s="3">
        <f t="shared" si="12"/>
        <v>2</v>
      </c>
      <c r="AD116" s="3">
        <f t="shared" si="13"/>
        <v>386</v>
      </c>
      <c r="AE116" s="3" t="str">
        <f t="shared" si="14"/>
        <v/>
      </c>
      <c r="AF116" s="3">
        <f t="shared" si="15"/>
        <v>0</v>
      </c>
      <c r="AG116" s="3" t="str">
        <f t="shared" si="16"/>
        <v/>
      </c>
      <c r="AH116" s="3">
        <f t="shared" si="17"/>
        <v>0</v>
      </c>
      <c r="AI116" s="3" t="str">
        <f t="shared" si="18"/>
        <v/>
      </c>
      <c r="AJ116" s="3">
        <f t="shared" si="19"/>
        <v>0</v>
      </c>
    </row>
    <row r="117">
      <c r="C117" s="6" t="s">
        <v>117</v>
      </c>
      <c r="D117" s="3">
        <f t="shared" si="1"/>
        <v>3</v>
      </c>
      <c r="E117" s="3" t="str">
        <f>IFERROR(__xludf.DUMMYFUNCTION("REGEXEXTRACT(C117,""[^ ]* [^ ]*"")"),"striped gray")</f>
        <v>striped gray</v>
      </c>
      <c r="F117" s="3" t="str">
        <f>IFERROR(__xludf.DUMMYFUNCTION("MID(REGEXEXTRACT(C117,""contain.*$""),9,300)"),"3 dotted coral bags, 4 muted maroon bags, 4 dark teal bags, 5 pale bronze bags.")</f>
        <v>3 dotted coral bags, 4 muted maroon bags, 4 dark teal bags, 5 pale bronze bags.</v>
      </c>
      <c r="G117" s="3" t="str">
        <f>IFERROR(__xludf.DUMMYFUNCTION("INDEX(SPLIT($F117,"",""),COLUMN()-6)"),"3 dotted coral bags")</f>
        <v>3 dotted coral bags</v>
      </c>
      <c r="H117" s="3" t="str">
        <f>IFERROR(__xludf.DUMMYFUNCTION("MID(INDEX(SPLIT($F117,"",""),COLUMN()-6),2,300)"),"4 muted maroon bags")</f>
        <v>4 muted maroon bags</v>
      </c>
      <c r="I117" s="3" t="str">
        <f>IFERROR(__xludf.DUMMYFUNCTION("MID(INDEX(SPLIT($F117,"",""),COLUMN()-6),2,300)"),"4 dark teal bags")</f>
        <v>4 dark teal bags</v>
      </c>
      <c r="J117" s="3" t="str">
        <f>IFERROR(__xludf.DUMMYFUNCTION("MID(INDEX(SPLIT($F117,"",""),COLUMN()-6),2,300)"),"5 pale bronze bags.")</f>
        <v>5 pale bronze bags.</v>
      </c>
      <c r="K117" s="3">
        <f>IFERROR(__xludf.DUMMYFUNCTION("INDEX(SPLIT(G117,"" ""),1)"),3.0)</f>
        <v>3</v>
      </c>
      <c r="L117" s="3" t="str">
        <f>IFERROR(__xludf.DUMMYFUNCTION("REGEXEXTRACT(G117,"" [^ ]* [^ ]* "")")," dotted coral ")</f>
        <v> dotted coral </v>
      </c>
      <c r="M117" s="3">
        <f>IFERROR(__xludf.DUMMYFUNCTION("INDEX(SPLIT(H117,"" ""),1)"),4.0)</f>
        <v>4</v>
      </c>
      <c r="N117" s="3" t="str">
        <f>IFERROR(__xludf.DUMMYFUNCTION("MID(REGEXEXTRACT(H117,"" [^ ]* [^ ]*""),2,300)"),"muted maroon")</f>
        <v>muted maroon</v>
      </c>
      <c r="O117" s="3">
        <f>IFERROR(__xludf.DUMMYFUNCTION("INDEX(SPLIT(I117,"" ""),1)"),4.0)</f>
        <v>4</v>
      </c>
      <c r="P117" s="3" t="str">
        <f>IFERROR(__xludf.DUMMYFUNCTION("MID(REGEXEXTRACT(I117,"" [^ ]* [^ ]*""),2,300)"),"dark teal")</f>
        <v>dark teal</v>
      </c>
      <c r="Q117" s="3">
        <f>IFERROR(__xludf.DUMMYFUNCTION("INDEX(SPLIT(J117,"" ""),1)"),5.0)</f>
        <v>5</v>
      </c>
      <c r="R117" s="3" t="str">
        <f>IFERROR(__xludf.DUMMYFUNCTION("MID(REGEXEXTRACT(J117,"" [^ ]* [^ ]*""),2,300)"),"pale bronze")</f>
        <v>pale bronze</v>
      </c>
      <c r="S117" s="3">
        <f t="shared" si="2"/>
        <v>3</v>
      </c>
      <c r="T117" s="3" t="str">
        <f t="shared" si="3"/>
        <v>dotted coral</v>
      </c>
      <c r="U117" s="3">
        <f t="shared" si="4"/>
        <v>4</v>
      </c>
      <c r="V117" s="3" t="str">
        <f t="shared" si="5"/>
        <v>muted maroon</v>
      </c>
      <c r="W117" s="3">
        <f t="shared" si="6"/>
        <v>4</v>
      </c>
      <c r="X117" s="3" t="str">
        <f t="shared" si="7"/>
        <v>dark teal</v>
      </c>
      <c r="Y117" s="3">
        <f t="shared" si="8"/>
        <v>5</v>
      </c>
      <c r="Z117" s="3" t="str">
        <f t="shared" si="9"/>
        <v>pale bronze</v>
      </c>
      <c r="AA117" s="13">
        <f t="shared" si="10"/>
        <v>203468</v>
      </c>
      <c r="AB117" s="3">
        <f t="shared" si="11"/>
        <v>203467</v>
      </c>
      <c r="AC117" s="3">
        <f t="shared" si="12"/>
        <v>3</v>
      </c>
      <c r="AD117" s="3">
        <f t="shared" si="13"/>
        <v>10803</v>
      </c>
      <c r="AE117" s="3">
        <f t="shared" si="14"/>
        <v>4</v>
      </c>
      <c r="AF117" s="3">
        <f t="shared" si="15"/>
        <v>25481</v>
      </c>
      <c r="AG117" s="3">
        <f t="shared" si="16"/>
        <v>4</v>
      </c>
      <c r="AH117" s="3">
        <f t="shared" si="17"/>
        <v>15041</v>
      </c>
      <c r="AI117" s="3">
        <f t="shared" si="18"/>
        <v>5</v>
      </c>
      <c r="AJ117" s="3">
        <f t="shared" si="19"/>
        <v>1794</v>
      </c>
    </row>
    <row r="118">
      <c r="C118" s="6" t="s">
        <v>118</v>
      </c>
      <c r="D118" s="3">
        <f t="shared" si="1"/>
        <v>2</v>
      </c>
      <c r="E118" s="3" t="str">
        <f>IFERROR(__xludf.DUMMYFUNCTION("REGEXEXTRACT(C118,""[^ ]* [^ ]*"")"),"dotted magenta")</f>
        <v>dotted magenta</v>
      </c>
      <c r="F118" s="3" t="str">
        <f>IFERROR(__xludf.DUMMYFUNCTION("MID(REGEXEXTRACT(C118,""contain.*$""),9,300)"),"2 dim teal bags, 2 wavy turquoise bags, 5 dull turquoise bags.")</f>
        <v>2 dim teal bags, 2 wavy turquoise bags, 5 dull turquoise bags.</v>
      </c>
      <c r="G118" s="3" t="str">
        <f>IFERROR(__xludf.DUMMYFUNCTION("INDEX(SPLIT($F118,"",""),COLUMN()-6)"),"2 dim teal bags")</f>
        <v>2 dim teal bags</v>
      </c>
      <c r="H118" s="3" t="str">
        <f>IFERROR(__xludf.DUMMYFUNCTION("MID(INDEX(SPLIT($F118,"",""),COLUMN()-6),2,300)"),"2 wavy turquoise bags")</f>
        <v>2 wavy turquoise bags</v>
      </c>
      <c r="I118" s="3" t="str">
        <f>IFERROR(__xludf.DUMMYFUNCTION("MID(INDEX(SPLIT($F118,"",""),COLUMN()-6),2,300)"),"5 dull turquoise bags.")</f>
        <v>5 dull turquoise bags.</v>
      </c>
      <c r="J118" s="3" t="str">
        <f>IFERROR(__xludf.DUMMYFUNCTION("MID(INDEX(SPLIT($F118,"",""),COLUMN()-6),2,300)"),"#REF!")</f>
        <v>#REF!</v>
      </c>
      <c r="K118" s="3">
        <f>IFERROR(__xludf.DUMMYFUNCTION("INDEX(SPLIT(G118,"" ""),1)"),2.0)</f>
        <v>2</v>
      </c>
      <c r="L118" s="3" t="str">
        <f>IFERROR(__xludf.DUMMYFUNCTION("REGEXEXTRACT(G118,"" [^ ]* [^ ]* "")")," dim teal ")</f>
        <v> dim teal </v>
      </c>
      <c r="M118" s="3">
        <f>IFERROR(__xludf.DUMMYFUNCTION("INDEX(SPLIT(H118,"" ""),1)"),2.0)</f>
        <v>2</v>
      </c>
      <c r="N118" s="3" t="str">
        <f>IFERROR(__xludf.DUMMYFUNCTION("MID(REGEXEXTRACT(H118,"" [^ ]* [^ ]*""),2,300)"),"wavy turquoise")</f>
        <v>wavy turquoise</v>
      </c>
      <c r="O118" s="3">
        <f>IFERROR(__xludf.DUMMYFUNCTION("INDEX(SPLIT(I118,"" ""),1)"),5.0)</f>
        <v>5</v>
      </c>
      <c r="P118" s="3" t="str">
        <f>IFERROR(__xludf.DUMMYFUNCTION("MID(REGEXEXTRACT(I118,"" [^ ]* [^ ]*""),2,300)"),"dull turquoise")</f>
        <v>dull turquoise</v>
      </c>
      <c r="Q118" s="3" t="str">
        <f>IFERROR(__xludf.DUMMYFUNCTION("INDEX(SPLIT(J118,"" ""),1)"),"#REF!")</f>
        <v>#REF!</v>
      </c>
      <c r="R118" s="3" t="str">
        <f>IFERROR(__xludf.DUMMYFUNCTION("MID(REGEXEXTRACT(J118,"" [^ ]* [^ ]*""),2,300)"),"#REF!")</f>
        <v>#REF!</v>
      </c>
      <c r="S118" s="3">
        <f t="shared" si="2"/>
        <v>2</v>
      </c>
      <c r="T118" s="3" t="str">
        <f t="shared" si="3"/>
        <v>dim teal</v>
      </c>
      <c r="U118" s="3">
        <f t="shared" si="4"/>
        <v>2</v>
      </c>
      <c r="V118" s="3" t="str">
        <f t="shared" si="5"/>
        <v>wavy turquoise</v>
      </c>
      <c r="W118" s="3">
        <f t="shared" si="6"/>
        <v>5</v>
      </c>
      <c r="X118" s="3" t="str">
        <f t="shared" si="7"/>
        <v>dull turquoise</v>
      </c>
      <c r="Y118" s="3" t="str">
        <f t="shared" si="8"/>
        <v/>
      </c>
      <c r="Z118" s="3" t="str">
        <f t="shared" si="9"/>
        <v/>
      </c>
      <c r="AA118" s="13">
        <f t="shared" si="10"/>
        <v>126606810</v>
      </c>
      <c r="AB118" s="3">
        <f t="shared" si="11"/>
        <v>126606809</v>
      </c>
      <c r="AC118" s="3">
        <f t="shared" si="12"/>
        <v>2</v>
      </c>
      <c r="AD118" s="3">
        <f t="shared" si="13"/>
        <v>62425747</v>
      </c>
      <c r="AE118" s="3">
        <f t="shared" si="14"/>
        <v>2</v>
      </c>
      <c r="AF118" s="3">
        <f t="shared" si="15"/>
        <v>11485</v>
      </c>
      <c r="AG118" s="3">
        <f t="shared" si="16"/>
        <v>5</v>
      </c>
      <c r="AH118" s="3">
        <f t="shared" si="17"/>
        <v>346469</v>
      </c>
      <c r="AI118" s="3" t="str">
        <f t="shared" si="18"/>
        <v/>
      </c>
      <c r="AJ118" s="3">
        <f t="shared" si="19"/>
        <v>0</v>
      </c>
    </row>
    <row r="119">
      <c r="C119" s="6" t="s">
        <v>119</v>
      </c>
      <c r="D119" s="3">
        <f t="shared" si="1"/>
        <v>1</v>
      </c>
      <c r="E119" s="3" t="str">
        <f>IFERROR(__xludf.DUMMYFUNCTION("REGEXEXTRACT(C119,""[^ ]* [^ ]*"")"),"posh white")</f>
        <v>posh white</v>
      </c>
      <c r="F119" s="3" t="str">
        <f>IFERROR(__xludf.DUMMYFUNCTION("MID(REGEXEXTRACT(C119,""contain.*$""),9,300)"),"4 drab tomato bags, 2 muted aqua bags.")</f>
        <v>4 drab tomato bags, 2 muted aqua bags.</v>
      </c>
      <c r="G119" s="3" t="str">
        <f>IFERROR(__xludf.DUMMYFUNCTION("INDEX(SPLIT($F119,"",""),COLUMN()-6)"),"4 drab tomato bags")</f>
        <v>4 drab tomato bags</v>
      </c>
      <c r="H119" s="3" t="str">
        <f>IFERROR(__xludf.DUMMYFUNCTION("MID(INDEX(SPLIT($F119,"",""),COLUMN()-6),2,300)"),"2 muted aqua bags.")</f>
        <v>2 muted aqua bags.</v>
      </c>
      <c r="I119" s="3" t="str">
        <f>IFERROR(__xludf.DUMMYFUNCTION("MID(INDEX(SPLIT($F119,"",""),COLUMN()-6),2,300)"),"#REF!")</f>
        <v>#REF!</v>
      </c>
      <c r="J119" s="3" t="str">
        <f>IFERROR(__xludf.DUMMYFUNCTION("MID(INDEX(SPLIT($F119,"",""),COLUMN()-6),2,300)"),"#REF!")</f>
        <v>#REF!</v>
      </c>
      <c r="K119" s="3">
        <f>IFERROR(__xludf.DUMMYFUNCTION("INDEX(SPLIT(G119,"" ""),1)"),4.0)</f>
        <v>4</v>
      </c>
      <c r="L119" s="3" t="str">
        <f>IFERROR(__xludf.DUMMYFUNCTION("REGEXEXTRACT(G119,"" [^ ]* [^ ]* "")")," drab tomato ")</f>
        <v> drab tomato </v>
      </c>
      <c r="M119" s="3">
        <f>IFERROR(__xludf.DUMMYFUNCTION("INDEX(SPLIT(H119,"" ""),1)"),2.0)</f>
        <v>2</v>
      </c>
      <c r="N119" s="3" t="str">
        <f>IFERROR(__xludf.DUMMYFUNCTION("MID(REGEXEXTRACT(H119,"" [^ ]* [^ ]*""),2,300)"),"muted aqua")</f>
        <v>muted aqua</v>
      </c>
      <c r="O119" s="3" t="str">
        <f>IFERROR(__xludf.DUMMYFUNCTION("INDEX(SPLIT(I119,"" ""),1)"),"#REF!")</f>
        <v>#REF!</v>
      </c>
      <c r="P119" s="3" t="str">
        <f>IFERROR(__xludf.DUMMYFUNCTION("MID(REGEXEXTRACT(I119,"" [^ ]* [^ ]*""),2,300)"),"#REF!")</f>
        <v>#REF!</v>
      </c>
      <c r="Q119" s="3" t="str">
        <f>IFERROR(__xludf.DUMMYFUNCTION("INDEX(SPLIT(J119,"" ""),1)"),"#REF!")</f>
        <v>#REF!</v>
      </c>
      <c r="R119" s="3" t="str">
        <f>IFERROR(__xludf.DUMMYFUNCTION("MID(REGEXEXTRACT(J119,"" [^ ]* [^ ]*""),2,300)"),"#REF!")</f>
        <v>#REF!</v>
      </c>
      <c r="S119" s="3">
        <f t="shared" si="2"/>
        <v>4</v>
      </c>
      <c r="T119" s="3" t="str">
        <f t="shared" si="3"/>
        <v>drab tomato</v>
      </c>
      <c r="U119" s="3">
        <f t="shared" si="4"/>
        <v>2</v>
      </c>
      <c r="V119" s="3" t="str">
        <f t="shared" si="5"/>
        <v>muted aqua</v>
      </c>
      <c r="W119" s="3" t="str">
        <f t="shared" si="6"/>
        <v/>
      </c>
      <c r="X119" s="3" t="str">
        <f t="shared" si="7"/>
        <v/>
      </c>
      <c r="Y119" s="3" t="str">
        <f t="shared" si="8"/>
        <v/>
      </c>
      <c r="Z119" s="3" t="str">
        <f t="shared" si="9"/>
        <v/>
      </c>
      <c r="AA119" s="13">
        <f t="shared" si="10"/>
        <v>214915</v>
      </c>
      <c r="AB119" s="3">
        <f t="shared" si="11"/>
        <v>214914</v>
      </c>
      <c r="AC119" s="3">
        <f t="shared" si="12"/>
        <v>4</v>
      </c>
      <c r="AD119" s="3">
        <f t="shared" si="13"/>
        <v>38687</v>
      </c>
      <c r="AE119" s="3">
        <f t="shared" si="14"/>
        <v>2</v>
      </c>
      <c r="AF119" s="3">
        <f t="shared" si="15"/>
        <v>30083</v>
      </c>
      <c r="AG119" s="3" t="str">
        <f t="shared" si="16"/>
        <v/>
      </c>
      <c r="AH119" s="3">
        <f t="shared" si="17"/>
        <v>0</v>
      </c>
      <c r="AI119" s="3" t="str">
        <f t="shared" si="18"/>
        <v/>
      </c>
      <c r="AJ119" s="3">
        <f t="shared" si="19"/>
        <v>0</v>
      </c>
    </row>
    <row r="120">
      <c r="C120" s="6" t="s">
        <v>120</v>
      </c>
      <c r="D120" s="3">
        <f t="shared" si="1"/>
        <v>2</v>
      </c>
      <c r="E120" s="3" t="str">
        <f>IFERROR(__xludf.DUMMYFUNCTION("REGEXEXTRACT(C120,""[^ ]* [^ ]*"")"),"striped red")</f>
        <v>striped red</v>
      </c>
      <c r="F120" s="3" t="str">
        <f>IFERROR(__xludf.DUMMYFUNCTION("MID(REGEXEXTRACT(C120,""contain.*$""),9,300)"),"2 plaid blue bags, 1 light plum bag, 3 bright white bags.")</f>
        <v>2 plaid blue bags, 1 light plum bag, 3 bright white bags.</v>
      </c>
      <c r="G120" s="3" t="str">
        <f>IFERROR(__xludf.DUMMYFUNCTION("INDEX(SPLIT($F120,"",""),COLUMN()-6)"),"2 plaid blue bags")</f>
        <v>2 plaid blue bags</v>
      </c>
      <c r="H120" s="3" t="str">
        <f>IFERROR(__xludf.DUMMYFUNCTION("MID(INDEX(SPLIT($F120,"",""),COLUMN()-6),2,300)"),"1 light plum bag")</f>
        <v>1 light plum bag</v>
      </c>
      <c r="I120" s="3" t="str">
        <f>IFERROR(__xludf.DUMMYFUNCTION("MID(INDEX(SPLIT($F120,"",""),COLUMN()-6),2,300)"),"3 bright white bags.")</f>
        <v>3 bright white bags.</v>
      </c>
      <c r="J120" s="3" t="str">
        <f>IFERROR(__xludf.DUMMYFUNCTION("MID(INDEX(SPLIT($F120,"",""),COLUMN()-6),2,300)"),"#REF!")</f>
        <v>#REF!</v>
      </c>
      <c r="K120" s="3">
        <f>IFERROR(__xludf.DUMMYFUNCTION("INDEX(SPLIT(G120,"" ""),1)"),2.0)</f>
        <v>2</v>
      </c>
      <c r="L120" s="3" t="str">
        <f>IFERROR(__xludf.DUMMYFUNCTION("REGEXEXTRACT(G120,"" [^ ]* [^ ]* "")")," plaid blue ")</f>
        <v> plaid blue </v>
      </c>
      <c r="M120" s="3">
        <f>IFERROR(__xludf.DUMMYFUNCTION("INDEX(SPLIT(H120,"" ""),1)"),1.0)</f>
        <v>1</v>
      </c>
      <c r="N120" s="3" t="str">
        <f>IFERROR(__xludf.DUMMYFUNCTION("MID(REGEXEXTRACT(H120,"" [^ ]* [^ ]*""),2,300)"),"light plum")</f>
        <v>light plum</v>
      </c>
      <c r="O120" s="3">
        <f>IFERROR(__xludf.DUMMYFUNCTION("INDEX(SPLIT(I120,"" ""),1)"),3.0)</f>
        <v>3</v>
      </c>
      <c r="P120" s="3" t="str">
        <f>IFERROR(__xludf.DUMMYFUNCTION("MID(REGEXEXTRACT(I120,"" [^ ]* [^ ]*""),2,300)"),"bright white")</f>
        <v>bright white</v>
      </c>
      <c r="Q120" s="3" t="str">
        <f>IFERROR(__xludf.DUMMYFUNCTION("INDEX(SPLIT(J120,"" ""),1)"),"#REF!")</f>
        <v>#REF!</v>
      </c>
      <c r="R120" s="3" t="str">
        <f>IFERROR(__xludf.DUMMYFUNCTION("MID(REGEXEXTRACT(J120,"" [^ ]* [^ ]*""),2,300)"),"#REF!")</f>
        <v>#REF!</v>
      </c>
      <c r="S120" s="3">
        <f t="shared" si="2"/>
        <v>2</v>
      </c>
      <c r="T120" s="3" t="str">
        <f t="shared" si="3"/>
        <v>plaid blue</v>
      </c>
      <c r="U120" s="3">
        <f t="shared" si="4"/>
        <v>1</v>
      </c>
      <c r="V120" s="3" t="str">
        <f t="shared" si="5"/>
        <v>light plum</v>
      </c>
      <c r="W120" s="3">
        <f t="shared" si="6"/>
        <v>3</v>
      </c>
      <c r="X120" s="3" t="str">
        <f t="shared" si="7"/>
        <v>bright white</v>
      </c>
      <c r="Y120" s="3" t="str">
        <f t="shared" si="8"/>
        <v/>
      </c>
      <c r="Z120" s="3" t="str">
        <f t="shared" si="9"/>
        <v/>
      </c>
      <c r="AA120" s="13">
        <f t="shared" si="10"/>
        <v>75115716</v>
      </c>
      <c r="AB120" s="3">
        <f t="shared" si="11"/>
        <v>75115715</v>
      </c>
      <c r="AC120" s="3">
        <f t="shared" si="12"/>
        <v>2</v>
      </c>
      <c r="AD120" s="3">
        <f t="shared" si="13"/>
        <v>81694</v>
      </c>
      <c r="AE120" s="3">
        <f t="shared" si="14"/>
        <v>1</v>
      </c>
      <c r="AF120" s="3">
        <f t="shared" si="15"/>
        <v>3</v>
      </c>
      <c r="AG120" s="3">
        <f t="shared" si="16"/>
        <v>3</v>
      </c>
      <c r="AH120" s="3">
        <f t="shared" si="17"/>
        <v>24984108</v>
      </c>
      <c r="AI120" s="3" t="str">
        <f t="shared" si="18"/>
        <v/>
      </c>
      <c r="AJ120" s="3">
        <f t="shared" si="19"/>
        <v>0</v>
      </c>
    </row>
    <row r="121">
      <c r="C121" s="6" t="s">
        <v>121</v>
      </c>
      <c r="D121" s="3">
        <f t="shared" si="1"/>
        <v>0</v>
      </c>
      <c r="E121" s="3" t="str">
        <f>IFERROR(__xludf.DUMMYFUNCTION("REGEXEXTRACT(C121,""[^ ]* [^ ]*"")"),"pale white")</f>
        <v>pale white</v>
      </c>
      <c r="F121" s="3" t="str">
        <f>IFERROR(__xludf.DUMMYFUNCTION("MID(REGEXEXTRACT(C121,""contain.*$""),9,300)"),"1 light purple bag.")</f>
        <v>1 light purple bag.</v>
      </c>
      <c r="G121" s="3" t="str">
        <f>IFERROR(__xludf.DUMMYFUNCTION("INDEX(SPLIT($F121,"",""),COLUMN()-6)"),"1 light purple bag.")</f>
        <v>1 light purple bag.</v>
      </c>
      <c r="H121" s="3" t="str">
        <f>IFERROR(__xludf.DUMMYFUNCTION("MID(INDEX(SPLIT($F121,"",""),COLUMN()-6),2,300)"),"#REF!")</f>
        <v>#REF!</v>
      </c>
      <c r="I121" s="3" t="str">
        <f>IFERROR(__xludf.DUMMYFUNCTION("MID(INDEX(SPLIT($F121,"",""),COLUMN()-6),2,300)"),"#REF!")</f>
        <v>#REF!</v>
      </c>
      <c r="J121" s="3" t="str">
        <f>IFERROR(__xludf.DUMMYFUNCTION("MID(INDEX(SPLIT($F121,"",""),COLUMN()-6),2,300)"),"#REF!")</f>
        <v>#REF!</v>
      </c>
      <c r="K121" s="3">
        <f>IFERROR(__xludf.DUMMYFUNCTION("INDEX(SPLIT(G121,"" ""),1)"),1.0)</f>
        <v>1</v>
      </c>
      <c r="L121" s="3" t="str">
        <f>IFERROR(__xludf.DUMMYFUNCTION("REGEXEXTRACT(G121,"" [^ ]* [^ ]* "")")," light purple ")</f>
        <v> light purple </v>
      </c>
      <c r="M121" s="3" t="str">
        <f>IFERROR(__xludf.DUMMYFUNCTION("INDEX(SPLIT(H121,"" ""),1)"),"#REF!")</f>
        <v>#REF!</v>
      </c>
      <c r="N121" s="3" t="str">
        <f>IFERROR(__xludf.DUMMYFUNCTION("MID(REGEXEXTRACT(H121,"" [^ ]* [^ ]*""),2,300)"),"#REF!")</f>
        <v>#REF!</v>
      </c>
      <c r="O121" s="3" t="str">
        <f>IFERROR(__xludf.DUMMYFUNCTION("INDEX(SPLIT(I121,"" ""),1)"),"#REF!")</f>
        <v>#REF!</v>
      </c>
      <c r="P121" s="3" t="str">
        <f>IFERROR(__xludf.DUMMYFUNCTION("MID(REGEXEXTRACT(I121,"" [^ ]* [^ ]*""),2,300)"),"#REF!")</f>
        <v>#REF!</v>
      </c>
      <c r="Q121" s="3" t="str">
        <f>IFERROR(__xludf.DUMMYFUNCTION("INDEX(SPLIT(J121,"" ""),1)"),"#REF!")</f>
        <v>#REF!</v>
      </c>
      <c r="R121" s="3" t="str">
        <f>IFERROR(__xludf.DUMMYFUNCTION("MID(REGEXEXTRACT(J121,"" [^ ]* [^ ]*""),2,300)"),"#REF!")</f>
        <v>#REF!</v>
      </c>
      <c r="S121" s="3">
        <f t="shared" si="2"/>
        <v>1</v>
      </c>
      <c r="T121" s="3" t="str">
        <f t="shared" si="3"/>
        <v>light purple</v>
      </c>
      <c r="U121" s="3" t="str">
        <f t="shared" si="4"/>
        <v/>
      </c>
      <c r="V121" s="3" t="str">
        <f t="shared" si="5"/>
        <v/>
      </c>
      <c r="W121" s="3" t="str">
        <f t="shared" si="6"/>
        <v/>
      </c>
      <c r="X121" s="3" t="str">
        <f t="shared" si="7"/>
        <v/>
      </c>
      <c r="Y121" s="3" t="str">
        <f t="shared" si="8"/>
        <v/>
      </c>
      <c r="Z121" s="3" t="str">
        <f t="shared" si="9"/>
        <v/>
      </c>
      <c r="AA121" s="13">
        <f t="shared" si="10"/>
        <v>76433</v>
      </c>
      <c r="AB121" s="3">
        <f t="shared" si="11"/>
        <v>76432</v>
      </c>
      <c r="AC121" s="3">
        <f t="shared" si="12"/>
        <v>1</v>
      </c>
      <c r="AD121" s="3">
        <f t="shared" si="13"/>
        <v>76432</v>
      </c>
      <c r="AE121" s="3" t="str">
        <f t="shared" si="14"/>
        <v/>
      </c>
      <c r="AF121" s="3">
        <f t="shared" si="15"/>
        <v>0</v>
      </c>
      <c r="AG121" s="3" t="str">
        <f t="shared" si="16"/>
        <v/>
      </c>
      <c r="AH121" s="3">
        <f t="shared" si="17"/>
        <v>0</v>
      </c>
      <c r="AI121" s="3" t="str">
        <f t="shared" si="18"/>
        <v/>
      </c>
      <c r="AJ121" s="3">
        <f t="shared" si="19"/>
        <v>0</v>
      </c>
    </row>
    <row r="122">
      <c r="C122" s="6" t="s">
        <v>122</v>
      </c>
      <c r="D122" s="3">
        <f t="shared" si="1"/>
        <v>0</v>
      </c>
      <c r="E122" s="3" t="str">
        <f>IFERROR(__xludf.DUMMYFUNCTION("REGEXEXTRACT(C122,""[^ ]* [^ ]*"")"),"shiny coral")</f>
        <v>shiny coral</v>
      </c>
      <c r="F122" s="3" t="str">
        <f>IFERROR(__xludf.DUMMYFUNCTION("MID(REGEXEXTRACT(C122,""contain.*$""),9,300)"),"no other bags.")</f>
        <v>no other bags.</v>
      </c>
      <c r="G122" s="3" t="str">
        <f>IFERROR(__xludf.DUMMYFUNCTION("INDEX(SPLIT($F122,"",""),COLUMN()-6)"),"no other bags.")</f>
        <v>no other bags.</v>
      </c>
      <c r="H122" s="3" t="str">
        <f>IFERROR(__xludf.DUMMYFUNCTION("MID(INDEX(SPLIT($F122,"",""),COLUMN()-6),2,300)"),"#REF!")</f>
        <v>#REF!</v>
      </c>
      <c r="I122" s="3" t="str">
        <f>IFERROR(__xludf.DUMMYFUNCTION("MID(INDEX(SPLIT($F122,"",""),COLUMN()-6),2,300)"),"#REF!")</f>
        <v>#REF!</v>
      </c>
      <c r="J122" s="3" t="str">
        <f>IFERROR(__xludf.DUMMYFUNCTION("MID(INDEX(SPLIT($F122,"",""),COLUMN()-6),2,300)"),"#REF!")</f>
        <v>#REF!</v>
      </c>
      <c r="K122" s="3" t="str">
        <f>IFERROR(__xludf.DUMMYFUNCTION("INDEX(SPLIT(G122,"" ""),1)"),"no")</f>
        <v>no</v>
      </c>
      <c r="L122" s="3" t="str">
        <f>IFERROR(__xludf.DUMMYFUNCTION("REGEXEXTRACT(G122,"" [^ ]* [^ ]* "")"),"#N/A")</f>
        <v>#N/A</v>
      </c>
      <c r="M122" s="3" t="str">
        <f>IFERROR(__xludf.DUMMYFUNCTION("INDEX(SPLIT(H122,"" ""),1)"),"#REF!")</f>
        <v>#REF!</v>
      </c>
      <c r="N122" s="3" t="str">
        <f>IFERROR(__xludf.DUMMYFUNCTION("MID(REGEXEXTRACT(H122,"" [^ ]* [^ ]*""),2,300)"),"#REF!")</f>
        <v>#REF!</v>
      </c>
      <c r="O122" s="3" t="str">
        <f>IFERROR(__xludf.DUMMYFUNCTION("INDEX(SPLIT(I122,"" ""),1)"),"#REF!")</f>
        <v>#REF!</v>
      </c>
      <c r="P122" s="3" t="str">
        <f>IFERROR(__xludf.DUMMYFUNCTION("MID(REGEXEXTRACT(I122,"" [^ ]* [^ ]*""),2,300)"),"#REF!")</f>
        <v>#REF!</v>
      </c>
      <c r="Q122" s="3" t="str">
        <f>IFERROR(__xludf.DUMMYFUNCTION("INDEX(SPLIT(J122,"" ""),1)"),"#REF!")</f>
        <v>#REF!</v>
      </c>
      <c r="R122" s="3" t="str">
        <f>IFERROR(__xludf.DUMMYFUNCTION("MID(REGEXEXTRACT(J122,"" [^ ]* [^ ]*""),2,300)"),"#REF!")</f>
        <v>#REF!</v>
      </c>
      <c r="S122" s="3" t="str">
        <f t="shared" si="2"/>
        <v/>
      </c>
      <c r="T122" s="3" t="str">
        <f t="shared" si="3"/>
        <v/>
      </c>
      <c r="U122" s="3" t="str">
        <f t="shared" si="4"/>
        <v/>
      </c>
      <c r="V122" s="3" t="str">
        <f t="shared" si="5"/>
        <v/>
      </c>
      <c r="W122" s="3" t="str">
        <f t="shared" si="6"/>
        <v/>
      </c>
      <c r="X122" s="3" t="str">
        <f t="shared" si="7"/>
        <v/>
      </c>
      <c r="Y122" s="3" t="str">
        <f t="shared" si="8"/>
        <v/>
      </c>
      <c r="Z122" s="3" t="str">
        <f t="shared" si="9"/>
        <v/>
      </c>
      <c r="AA122" s="13">
        <f t="shared" si="10"/>
        <v>1</v>
      </c>
      <c r="AB122" s="3">
        <f t="shared" si="11"/>
        <v>0</v>
      </c>
      <c r="AC122" s="3" t="str">
        <f t="shared" si="12"/>
        <v/>
      </c>
      <c r="AD122" s="3">
        <f t="shared" si="13"/>
        <v>0</v>
      </c>
      <c r="AE122" s="3" t="str">
        <f t="shared" si="14"/>
        <v/>
      </c>
      <c r="AF122" s="3">
        <f t="shared" si="15"/>
        <v>0</v>
      </c>
      <c r="AG122" s="3" t="str">
        <f t="shared" si="16"/>
        <v/>
      </c>
      <c r="AH122" s="3">
        <f t="shared" si="17"/>
        <v>0</v>
      </c>
      <c r="AI122" s="3" t="str">
        <f t="shared" si="18"/>
        <v/>
      </c>
      <c r="AJ122" s="3">
        <f t="shared" si="19"/>
        <v>0</v>
      </c>
    </row>
    <row r="123">
      <c r="C123" s="6" t="s">
        <v>123</v>
      </c>
      <c r="D123" s="3">
        <f t="shared" si="1"/>
        <v>3</v>
      </c>
      <c r="E123" s="3" t="str">
        <f>IFERROR(__xludf.DUMMYFUNCTION("REGEXEXTRACT(C123,""[^ ]* [^ ]*"")"),"dark magenta")</f>
        <v>dark magenta</v>
      </c>
      <c r="F123" s="3" t="str">
        <f>IFERROR(__xludf.DUMMYFUNCTION("MID(REGEXEXTRACT(C123,""contain.*$""),9,300)"),"4 pale tan bags, 1 posh chartreuse bag, 2 pale yellow bags, 2 pale indigo bags.")</f>
        <v>4 pale tan bags, 1 posh chartreuse bag, 2 pale yellow bags, 2 pale indigo bags.</v>
      </c>
      <c r="G123" s="3" t="str">
        <f>IFERROR(__xludf.DUMMYFUNCTION("INDEX(SPLIT($F123,"",""),COLUMN()-6)"),"4 pale tan bags")</f>
        <v>4 pale tan bags</v>
      </c>
      <c r="H123" s="3" t="str">
        <f>IFERROR(__xludf.DUMMYFUNCTION("MID(INDEX(SPLIT($F123,"",""),COLUMN()-6),2,300)"),"1 posh chartreuse bag")</f>
        <v>1 posh chartreuse bag</v>
      </c>
      <c r="I123" s="3" t="str">
        <f>IFERROR(__xludf.DUMMYFUNCTION("MID(INDEX(SPLIT($F123,"",""),COLUMN()-6),2,300)"),"2 pale yellow bags")</f>
        <v>2 pale yellow bags</v>
      </c>
      <c r="J123" s="3" t="str">
        <f>IFERROR(__xludf.DUMMYFUNCTION("MID(INDEX(SPLIT($F123,"",""),COLUMN()-6),2,300)"),"2 pale indigo bags.")</f>
        <v>2 pale indigo bags.</v>
      </c>
      <c r="K123" s="3">
        <f>IFERROR(__xludf.DUMMYFUNCTION("INDEX(SPLIT(G123,"" ""),1)"),4.0)</f>
        <v>4</v>
      </c>
      <c r="L123" s="3" t="str">
        <f>IFERROR(__xludf.DUMMYFUNCTION("REGEXEXTRACT(G123,"" [^ ]* [^ ]* "")")," pale tan ")</f>
        <v> pale tan </v>
      </c>
      <c r="M123" s="3">
        <f>IFERROR(__xludf.DUMMYFUNCTION("INDEX(SPLIT(H123,"" ""),1)"),1.0)</f>
        <v>1</v>
      </c>
      <c r="N123" s="3" t="str">
        <f>IFERROR(__xludf.DUMMYFUNCTION("MID(REGEXEXTRACT(H123,"" [^ ]* [^ ]*""),2,300)"),"posh chartreuse")</f>
        <v>posh chartreuse</v>
      </c>
      <c r="O123" s="3">
        <f>IFERROR(__xludf.DUMMYFUNCTION("INDEX(SPLIT(I123,"" ""),1)"),2.0)</f>
        <v>2</v>
      </c>
      <c r="P123" s="3" t="str">
        <f>IFERROR(__xludf.DUMMYFUNCTION("MID(REGEXEXTRACT(I123,"" [^ ]* [^ ]*""),2,300)"),"pale yellow")</f>
        <v>pale yellow</v>
      </c>
      <c r="Q123" s="3">
        <f>IFERROR(__xludf.DUMMYFUNCTION("INDEX(SPLIT(J123,"" ""),1)"),2.0)</f>
        <v>2</v>
      </c>
      <c r="R123" s="3" t="str">
        <f>IFERROR(__xludf.DUMMYFUNCTION("MID(REGEXEXTRACT(J123,"" [^ ]* [^ ]*""),2,300)"),"pale indigo")</f>
        <v>pale indigo</v>
      </c>
      <c r="S123" s="3">
        <f t="shared" si="2"/>
        <v>4</v>
      </c>
      <c r="T123" s="3" t="str">
        <f t="shared" si="3"/>
        <v>pale tan</v>
      </c>
      <c r="U123" s="3">
        <f t="shared" si="4"/>
        <v>1</v>
      </c>
      <c r="V123" s="3" t="str">
        <f t="shared" si="5"/>
        <v>posh chartreuse</v>
      </c>
      <c r="W123" s="3">
        <f t="shared" si="6"/>
        <v>2</v>
      </c>
      <c r="X123" s="3" t="str">
        <f t="shared" si="7"/>
        <v>pale yellow</v>
      </c>
      <c r="Y123" s="3">
        <f t="shared" si="8"/>
        <v>2</v>
      </c>
      <c r="Z123" s="3" t="str">
        <f t="shared" si="9"/>
        <v>pale indigo</v>
      </c>
      <c r="AA123" s="13">
        <f t="shared" si="10"/>
        <v>229206490</v>
      </c>
      <c r="AB123" s="3">
        <f t="shared" si="11"/>
        <v>229206489</v>
      </c>
      <c r="AC123" s="3">
        <f t="shared" si="12"/>
        <v>4</v>
      </c>
      <c r="AD123" s="3">
        <f t="shared" si="13"/>
        <v>10022021</v>
      </c>
      <c r="AE123" s="3">
        <f t="shared" si="14"/>
        <v>1</v>
      </c>
      <c r="AF123" s="3">
        <f t="shared" si="15"/>
        <v>1471743</v>
      </c>
      <c r="AG123" s="3">
        <f t="shared" si="16"/>
        <v>2</v>
      </c>
      <c r="AH123" s="3">
        <f t="shared" si="17"/>
        <v>329</v>
      </c>
      <c r="AI123" s="3">
        <f t="shared" si="18"/>
        <v>2</v>
      </c>
      <c r="AJ123" s="3">
        <f t="shared" si="19"/>
        <v>93823002</v>
      </c>
    </row>
    <row r="124">
      <c r="C124" s="6" t="s">
        <v>124</v>
      </c>
      <c r="D124" s="3">
        <f t="shared" si="1"/>
        <v>2</v>
      </c>
      <c r="E124" s="3" t="str">
        <f>IFERROR(__xludf.DUMMYFUNCTION("REGEXEXTRACT(C124,""[^ ]* [^ ]*"")"),"light gray")</f>
        <v>light gray</v>
      </c>
      <c r="F124" s="3" t="str">
        <f>IFERROR(__xludf.DUMMYFUNCTION("MID(REGEXEXTRACT(C124,""contain.*$""),9,300)"),"4 pale green bags, 5 dotted green bags, 4 shiny gray bags.")</f>
        <v>4 pale green bags, 5 dotted green bags, 4 shiny gray bags.</v>
      </c>
      <c r="G124" s="3" t="str">
        <f>IFERROR(__xludf.DUMMYFUNCTION("INDEX(SPLIT($F124,"",""),COLUMN()-6)"),"4 pale green bags")</f>
        <v>4 pale green bags</v>
      </c>
      <c r="H124" s="3" t="str">
        <f>IFERROR(__xludf.DUMMYFUNCTION("MID(INDEX(SPLIT($F124,"",""),COLUMN()-6),2,300)"),"5 dotted green bags")</f>
        <v>5 dotted green bags</v>
      </c>
      <c r="I124" s="3" t="str">
        <f>IFERROR(__xludf.DUMMYFUNCTION("MID(INDEX(SPLIT($F124,"",""),COLUMN()-6),2,300)"),"4 shiny gray bags.")</f>
        <v>4 shiny gray bags.</v>
      </c>
      <c r="J124" s="3" t="str">
        <f>IFERROR(__xludf.DUMMYFUNCTION("MID(INDEX(SPLIT($F124,"",""),COLUMN()-6),2,300)"),"#REF!")</f>
        <v>#REF!</v>
      </c>
      <c r="K124" s="3">
        <f>IFERROR(__xludf.DUMMYFUNCTION("INDEX(SPLIT(G124,"" ""),1)"),4.0)</f>
        <v>4</v>
      </c>
      <c r="L124" s="3" t="str">
        <f>IFERROR(__xludf.DUMMYFUNCTION("REGEXEXTRACT(G124,"" [^ ]* [^ ]* "")")," pale green ")</f>
        <v> pale green </v>
      </c>
      <c r="M124" s="3">
        <f>IFERROR(__xludf.DUMMYFUNCTION("INDEX(SPLIT(H124,"" ""),1)"),5.0)</f>
        <v>5</v>
      </c>
      <c r="N124" s="3" t="str">
        <f>IFERROR(__xludf.DUMMYFUNCTION("MID(REGEXEXTRACT(H124,"" [^ ]* [^ ]*""),2,300)"),"dotted green")</f>
        <v>dotted green</v>
      </c>
      <c r="O124" s="3">
        <f>IFERROR(__xludf.DUMMYFUNCTION("INDEX(SPLIT(I124,"" ""),1)"),4.0)</f>
        <v>4</v>
      </c>
      <c r="P124" s="3" t="str">
        <f>IFERROR(__xludf.DUMMYFUNCTION("MID(REGEXEXTRACT(I124,"" [^ ]* [^ ]*""),2,300)"),"shiny gray")</f>
        <v>shiny gray</v>
      </c>
      <c r="Q124" s="3" t="str">
        <f>IFERROR(__xludf.DUMMYFUNCTION("INDEX(SPLIT(J124,"" ""),1)"),"#REF!")</f>
        <v>#REF!</v>
      </c>
      <c r="R124" s="3" t="str">
        <f>IFERROR(__xludf.DUMMYFUNCTION("MID(REGEXEXTRACT(J124,"" [^ ]* [^ ]*""),2,300)"),"#REF!")</f>
        <v>#REF!</v>
      </c>
      <c r="S124" s="3">
        <f t="shared" si="2"/>
        <v>4</v>
      </c>
      <c r="T124" s="3" t="str">
        <f t="shared" si="3"/>
        <v>pale green</v>
      </c>
      <c r="U124" s="3">
        <f t="shared" si="4"/>
        <v>5</v>
      </c>
      <c r="V124" s="3" t="str">
        <f t="shared" si="5"/>
        <v>dotted green</v>
      </c>
      <c r="W124" s="3">
        <f t="shared" si="6"/>
        <v>4</v>
      </c>
      <c r="X124" s="3" t="str">
        <f t="shared" si="7"/>
        <v>shiny gray</v>
      </c>
      <c r="Y124" s="3" t="str">
        <f t="shared" si="8"/>
        <v/>
      </c>
      <c r="Z124" s="3" t="str">
        <f t="shared" si="9"/>
        <v/>
      </c>
      <c r="AA124" s="13">
        <f t="shared" si="10"/>
        <v>204122628</v>
      </c>
      <c r="AB124" s="3">
        <f t="shared" si="11"/>
        <v>204122627</v>
      </c>
      <c r="AC124" s="3">
        <f t="shared" si="12"/>
        <v>4</v>
      </c>
      <c r="AD124" s="3">
        <f t="shared" si="13"/>
        <v>8485185</v>
      </c>
      <c r="AE124" s="3">
        <f t="shared" si="14"/>
        <v>5</v>
      </c>
      <c r="AF124" s="3">
        <f t="shared" si="15"/>
        <v>34009111</v>
      </c>
      <c r="AG124" s="3">
        <f t="shared" si="16"/>
        <v>4</v>
      </c>
      <c r="AH124" s="3">
        <f t="shared" si="17"/>
        <v>34083</v>
      </c>
      <c r="AI124" s="3" t="str">
        <f t="shared" si="18"/>
        <v/>
      </c>
      <c r="AJ124" s="3">
        <f t="shared" si="19"/>
        <v>0</v>
      </c>
    </row>
    <row r="125">
      <c r="C125" s="6" t="s">
        <v>125</v>
      </c>
      <c r="D125" s="3">
        <f t="shared" si="1"/>
        <v>3</v>
      </c>
      <c r="E125" s="3" t="str">
        <f>IFERROR(__xludf.DUMMYFUNCTION("REGEXEXTRACT(C125,""[^ ]* [^ ]*"")"),"dim gold")</f>
        <v>dim gold</v>
      </c>
      <c r="F125" s="3" t="str">
        <f>IFERROR(__xludf.DUMMYFUNCTION("MID(REGEXEXTRACT(C125,""contain.*$""),9,300)"),"3 clear violet bags, 5 plaid aqua bags, 2 bright tomato bags, 2 wavy teal bags.")</f>
        <v>3 clear violet bags, 5 plaid aqua bags, 2 bright tomato bags, 2 wavy teal bags.</v>
      </c>
      <c r="G125" s="3" t="str">
        <f>IFERROR(__xludf.DUMMYFUNCTION("INDEX(SPLIT($F125,"",""),COLUMN()-6)"),"3 clear violet bags")</f>
        <v>3 clear violet bags</v>
      </c>
      <c r="H125" s="3" t="str">
        <f>IFERROR(__xludf.DUMMYFUNCTION("MID(INDEX(SPLIT($F125,"",""),COLUMN()-6),2,300)"),"5 plaid aqua bags")</f>
        <v>5 plaid aqua bags</v>
      </c>
      <c r="I125" s="3" t="str">
        <f>IFERROR(__xludf.DUMMYFUNCTION("MID(INDEX(SPLIT($F125,"",""),COLUMN()-6),2,300)"),"2 bright tomato bags")</f>
        <v>2 bright tomato bags</v>
      </c>
      <c r="J125" s="3" t="str">
        <f>IFERROR(__xludf.DUMMYFUNCTION("MID(INDEX(SPLIT($F125,"",""),COLUMN()-6),2,300)"),"2 wavy teal bags.")</f>
        <v>2 wavy teal bags.</v>
      </c>
      <c r="K125" s="3">
        <f>IFERROR(__xludf.DUMMYFUNCTION("INDEX(SPLIT(G125,"" ""),1)"),3.0)</f>
        <v>3</v>
      </c>
      <c r="L125" s="3" t="str">
        <f>IFERROR(__xludf.DUMMYFUNCTION("REGEXEXTRACT(G125,"" [^ ]* [^ ]* "")")," clear violet ")</f>
        <v> clear violet </v>
      </c>
      <c r="M125" s="3">
        <f>IFERROR(__xludf.DUMMYFUNCTION("INDEX(SPLIT(H125,"" ""),1)"),5.0)</f>
        <v>5</v>
      </c>
      <c r="N125" s="3" t="str">
        <f>IFERROR(__xludf.DUMMYFUNCTION("MID(REGEXEXTRACT(H125,"" [^ ]* [^ ]*""),2,300)"),"plaid aqua")</f>
        <v>plaid aqua</v>
      </c>
      <c r="O125" s="3">
        <f>IFERROR(__xludf.DUMMYFUNCTION("INDEX(SPLIT(I125,"" ""),1)"),2.0)</f>
        <v>2</v>
      </c>
      <c r="P125" s="3" t="str">
        <f>IFERROR(__xludf.DUMMYFUNCTION("MID(REGEXEXTRACT(I125,"" [^ ]* [^ ]*""),2,300)"),"bright tomato")</f>
        <v>bright tomato</v>
      </c>
      <c r="Q125" s="3">
        <f>IFERROR(__xludf.DUMMYFUNCTION("INDEX(SPLIT(J125,"" ""),1)"),2.0)</f>
        <v>2</v>
      </c>
      <c r="R125" s="3" t="str">
        <f>IFERROR(__xludf.DUMMYFUNCTION("MID(REGEXEXTRACT(J125,"" [^ ]* [^ ]*""),2,300)"),"wavy teal")</f>
        <v>wavy teal</v>
      </c>
      <c r="S125" s="3">
        <f t="shared" si="2"/>
        <v>3</v>
      </c>
      <c r="T125" s="3" t="str">
        <f t="shared" si="3"/>
        <v>clear violet</v>
      </c>
      <c r="U125" s="3">
        <f t="shared" si="4"/>
        <v>5</v>
      </c>
      <c r="V125" s="3" t="str">
        <f t="shared" si="5"/>
        <v>plaid aqua</v>
      </c>
      <c r="W125" s="3">
        <f t="shared" si="6"/>
        <v>2</v>
      </c>
      <c r="X125" s="3" t="str">
        <f t="shared" si="7"/>
        <v>bright tomato</v>
      </c>
      <c r="Y125" s="3">
        <f t="shared" si="8"/>
        <v>2</v>
      </c>
      <c r="Z125" s="3" t="str">
        <f t="shared" si="9"/>
        <v>wavy teal</v>
      </c>
      <c r="AA125" s="13">
        <f t="shared" si="10"/>
        <v>149536384</v>
      </c>
      <c r="AB125" s="3">
        <f t="shared" si="11"/>
        <v>149536383</v>
      </c>
      <c r="AC125" s="3">
        <f t="shared" si="12"/>
        <v>3</v>
      </c>
      <c r="AD125" s="3">
        <f t="shared" si="13"/>
        <v>29140290</v>
      </c>
      <c r="AE125" s="3">
        <f t="shared" si="14"/>
        <v>5</v>
      </c>
      <c r="AF125" s="3">
        <f t="shared" si="15"/>
        <v>1</v>
      </c>
      <c r="AG125" s="3">
        <f t="shared" si="16"/>
        <v>2</v>
      </c>
      <c r="AH125" s="3">
        <f t="shared" si="17"/>
        <v>30973004</v>
      </c>
      <c r="AI125" s="3">
        <f t="shared" si="18"/>
        <v>2</v>
      </c>
      <c r="AJ125" s="3">
        <f t="shared" si="19"/>
        <v>84750</v>
      </c>
    </row>
    <row r="126">
      <c r="C126" s="6" t="s">
        <v>126</v>
      </c>
      <c r="D126" s="3">
        <f t="shared" si="1"/>
        <v>1</v>
      </c>
      <c r="E126" s="3" t="str">
        <f>IFERROR(__xludf.DUMMYFUNCTION("REGEXEXTRACT(C126,""[^ ]* [^ ]*"")"),"dim crimson")</f>
        <v>dim crimson</v>
      </c>
      <c r="F126" s="3" t="str">
        <f>IFERROR(__xludf.DUMMYFUNCTION("MID(REGEXEXTRACT(C126,""contain.*$""),9,300)"),"4 muted blue bags, 2 light tan bags.")</f>
        <v>4 muted blue bags, 2 light tan bags.</v>
      </c>
      <c r="G126" s="3" t="str">
        <f>IFERROR(__xludf.DUMMYFUNCTION("INDEX(SPLIT($F126,"",""),COLUMN()-6)"),"4 muted blue bags")</f>
        <v>4 muted blue bags</v>
      </c>
      <c r="H126" s="3" t="str">
        <f>IFERROR(__xludf.DUMMYFUNCTION("MID(INDEX(SPLIT($F126,"",""),COLUMN()-6),2,300)"),"2 light tan bags.")</f>
        <v>2 light tan bags.</v>
      </c>
      <c r="I126" s="3" t="str">
        <f>IFERROR(__xludf.DUMMYFUNCTION("MID(INDEX(SPLIT($F126,"",""),COLUMN()-6),2,300)"),"#REF!")</f>
        <v>#REF!</v>
      </c>
      <c r="J126" s="3" t="str">
        <f>IFERROR(__xludf.DUMMYFUNCTION("MID(INDEX(SPLIT($F126,"",""),COLUMN()-6),2,300)"),"#REF!")</f>
        <v>#REF!</v>
      </c>
      <c r="K126" s="3">
        <f>IFERROR(__xludf.DUMMYFUNCTION("INDEX(SPLIT(G126,"" ""),1)"),4.0)</f>
        <v>4</v>
      </c>
      <c r="L126" s="3" t="str">
        <f>IFERROR(__xludf.DUMMYFUNCTION("REGEXEXTRACT(G126,"" [^ ]* [^ ]* "")")," muted blue ")</f>
        <v> muted blue </v>
      </c>
      <c r="M126" s="3">
        <f>IFERROR(__xludf.DUMMYFUNCTION("INDEX(SPLIT(H126,"" ""),1)"),2.0)</f>
        <v>2</v>
      </c>
      <c r="N126" s="3" t="str">
        <f>IFERROR(__xludf.DUMMYFUNCTION("MID(REGEXEXTRACT(H126,"" [^ ]* [^ ]*""),2,300)"),"light tan")</f>
        <v>light tan</v>
      </c>
      <c r="O126" s="3" t="str">
        <f>IFERROR(__xludf.DUMMYFUNCTION("INDEX(SPLIT(I126,"" ""),1)"),"#REF!")</f>
        <v>#REF!</v>
      </c>
      <c r="P126" s="3" t="str">
        <f>IFERROR(__xludf.DUMMYFUNCTION("MID(REGEXEXTRACT(I126,"" [^ ]* [^ ]*""),2,300)"),"#REF!")</f>
        <v>#REF!</v>
      </c>
      <c r="Q126" s="3" t="str">
        <f>IFERROR(__xludf.DUMMYFUNCTION("INDEX(SPLIT(J126,"" ""),1)"),"#REF!")</f>
        <v>#REF!</v>
      </c>
      <c r="R126" s="3" t="str">
        <f>IFERROR(__xludf.DUMMYFUNCTION("MID(REGEXEXTRACT(J126,"" [^ ]* [^ ]*""),2,300)"),"#REF!")</f>
        <v>#REF!</v>
      </c>
      <c r="S126" s="3">
        <f t="shared" si="2"/>
        <v>4</v>
      </c>
      <c r="T126" s="3" t="str">
        <f t="shared" si="3"/>
        <v>muted blue</v>
      </c>
      <c r="U126" s="3">
        <f t="shared" si="4"/>
        <v>2</v>
      </c>
      <c r="V126" s="3" t="str">
        <f t="shared" si="5"/>
        <v>light tan</v>
      </c>
      <c r="W126" s="3" t="str">
        <f t="shared" si="6"/>
        <v/>
      </c>
      <c r="X126" s="3" t="str">
        <f t="shared" si="7"/>
        <v/>
      </c>
      <c r="Y126" s="3" t="str">
        <f t="shared" si="8"/>
        <v/>
      </c>
      <c r="Z126" s="3" t="str">
        <f t="shared" si="9"/>
        <v/>
      </c>
      <c r="AA126" s="13">
        <f t="shared" si="10"/>
        <v>13662321</v>
      </c>
      <c r="AB126" s="3">
        <f t="shared" si="11"/>
        <v>13662320</v>
      </c>
      <c r="AC126" s="3">
        <f t="shared" si="12"/>
        <v>4</v>
      </c>
      <c r="AD126" s="3">
        <f t="shared" si="13"/>
        <v>3381607</v>
      </c>
      <c r="AE126" s="3">
        <f t="shared" si="14"/>
        <v>2</v>
      </c>
      <c r="AF126" s="3">
        <f t="shared" si="15"/>
        <v>67946</v>
      </c>
      <c r="AG126" s="3" t="str">
        <f t="shared" si="16"/>
        <v/>
      </c>
      <c r="AH126" s="3">
        <f t="shared" si="17"/>
        <v>0</v>
      </c>
      <c r="AI126" s="3" t="str">
        <f t="shared" si="18"/>
        <v/>
      </c>
      <c r="AJ126" s="3">
        <f t="shared" si="19"/>
        <v>0</v>
      </c>
    </row>
    <row r="127">
      <c r="C127" s="6" t="s">
        <v>127</v>
      </c>
      <c r="D127" s="3">
        <f t="shared" si="1"/>
        <v>2</v>
      </c>
      <c r="E127" s="3" t="str">
        <f>IFERROR(__xludf.DUMMYFUNCTION("REGEXEXTRACT(C127,""[^ ]* [^ ]*"")"),"wavy tan")</f>
        <v>wavy tan</v>
      </c>
      <c r="F127" s="3" t="str">
        <f>IFERROR(__xludf.DUMMYFUNCTION("MID(REGEXEXTRACT(C127,""contain.*$""),9,300)"),"1 posh plum bag, 3 mirrored gray bags, 1 muted purple bag.")</f>
        <v>1 posh plum bag, 3 mirrored gray bags, 1 muted purple bag.</v>
      </c>
      <c r="G127" s="3" t="str">
        <f>IFERROR(__xludf.DUMMYFUNCTION("INDEX(SPLIT($F127,"",""),COLUMN()-6)"),"1 posh plum bag")</f>
        <v>1 posh plum bag</v>
      </c>
      <c r="H127" s="3" t="str">
        <f>IFERROR(__xludf.DUMMYFUNCTION("MID(INDEX(SPLIT($F127,"",""),COLUMN()-6),2,300)"),"3 mirrored gray bags")</f>
        <v>3 mirrored gray bags</v>
      </c>
      <c r="I127" s="3" t="str">
        <f>IFERROR(__xludf.DUMMYFUNCTION("MID(INDEX(SPLIT($F127,"",""),COLUMN()-6),2,300)"),"1 muted purple bag.")</f>
        <v>1 muted purple bag.</v>
      </c>
      <c r="J127" s="3" t="str">
        <f>IFERROR(__xludf.DUMMYFUNCTION("MID(INDEX(SPLIT($F127,"",""),COLUMN()-6),2,300)"),"#REF!")</f>
        <v>#REF!</v>
      </c>
      <c r="K127" s="3">
        <f>IFERROR(__xludf.DUMMYFUNCTION("INDEX(SPLIT(G127,"" ""),1)"),1.0)</f>
        <v>1</v>
      </c>
      <c r="L127" s="3" t="str">
        <f>IFERROR(__xludf.DUMMYFUNCTION("REGEXEXTRACT(G127,"" [^ ]* [^ ]* "")")," posh plum ")</f>
        <v> posh plum </v>
      </c>
      <c r="M127" s="3">
        <f>IFERROR(__xludf.DUMMYFUNCTION("INDEX(SPLIT(H127,"" ""),1)"),3.0)</f>
        <v>3</v>
      </c>
      <c r="N127" s="3" t="str">
        <f>IFERROR(__xludf.DUMMYFUNCTION("MID(REGEXEXTRACT(H127,"" [^ ]* [^ ]*""),2,300)"),"mirrored gray")</f>
        <v>mirrored gray</v>
      </c>
      <c r="O127" s="3">
        <f>IFERROR(__xludf.DUMMYFUNCTION("INDEX(SPLIT(I127,"" ""),1)"),1.0)</f>
        <v>1</v>
      </c>
      <c r="P127" s="3" t="str">
        <f>IFERROR(__xludf.DUMMYFUNCTION("MID(REGEXEXTRACT(I127,"" [^ ]* [^ ]*""),2,300)"),"muted purple")</f>
        <v>muted purple</v>
      </c>
      <c r="Q127" s="3" t="str">
        <f>IFERROR(__xludf.DUMMYFUNCTION("INDEX(SPLIT(J127,"" ""),1)"),"#REF!")</f>
        <v>#REF!</v>
      </c>
      <c r="R127" s="3" t="str">
        <f>IFERROR(__xludf.DUMMYFUNCTION("MID(REGEXEXTRACT(J127,"" [^ ]* [^ ]*""),2,300)"),"#REF!")</f>
        <v>#REF!</v>
      </c>
      <c r="S127" s="3">
        <f t="shared" si="2"/>
        <v>1</v>
      </c>
      <c r="T127" s="3" t="str">
        <f t="shared" si="3"/>
        <v>posh plum</v>
      </c>
      <c r="U127" s="3">
        <f t="shared" si="4"/>
        <v>3</v>
      </c>
      <c r="V127" s="3" t="str">
        <f t="shared" si="5"/>
        <v>mirrored gray</v>
      </c>
      <c r="W127" s="3">
        <f t="shared" si="6"/>
        <v>1</v>
      </c>
      <c r="X127" s="3" t="str">
        <f t="shared" si="7"/>
        <v>muted purple</v>
      </c>
      <c r="Y127" s="3" t="str">
        <f t="shared" si="8"/>
        <v/>
      </c>
      <c r="Z127" s="3" t="str">
        <f t="shared" si="9"/>
        <v/>
      </c>
      <c r="AA127" s="13">
        <f t="shared" si="10"/>
        <v>19928</v>
      </c>
      <c r="AB127" s="3">
        <f t="shared" si="11"/>
        <v>19927</v>
      </c>
      <c r="AC127" s="3">
        <f t="shared" si="12"/>
        <v>1</v>
      </c>
      <c r="AD127" s="3">
        <f t="shared" si="13"/>
        <v>6182</v>
      </c>
      <c r="AE127" s="3">
        <f t="shared" si="14"/>
        <v>3</v>
      </c>
      <c r="AF127" s="3">
        <f t="shared" si="15"/>
        <v>8</v>
      </c>
      <c r="AG127" s="3">
        <f t="shared" si="16"/>
        <v>1</v>
      </c>
      <c r="AH127" s="3">
        <f t="shared" si="17"/>
        <v>13721</v>
      </c>
      <c r="AI127" s="3" t="str">
        <f t="shared" si="18"/>
        <v/>
      </c>
      <c r="AJ127" s="3">
        <f t="shared" si="19"/>
        <v>0</v>
      </c>
    </row>
    <row r="128">
      <c r="C128" s="6" t="s">
        <v>128</v>
      </c>
      <c r="D128" s="3">
        <f t="shared" si="1"/>
        <v>0</v>
      </c>
      <c r="E128" s="3" t="str">
        <f>IFERROR(__xludf.DUMMYFUNCTION("REGEXEXTRACT(C128,""[^ ]* [^ ]*"")"),"posh brown")</f>
        <v>posh brown</v>
      </c>
      <c r="F128" s="3" t="str">
        <f>IFERROR(__xludf.DUMMYFUNCTION("MID(REGEXEXTRACT(C128,""contain.*$""),9,300)"),"4 mirrored black bags.")</f>
        <v>4 mirrored black bags.</v>
      </c>
      <c r="G128" s="3" t="str">
        <f>IFERROR(__xludf.DUMMYFUNCTION("INDEX(SPLIT($F128,"",""),COLUMN()-6)"),"4 mirrored black bags.")</f>
        <v>4 mirrored black bags.</v>
      </c>
      <c r="H128" s="3" t="str">
        <f>IFERROR(__xludf.DUMMYFUNCTION("MID(INDEX(SPLIT($F128,"",""),COLUMN()-6),2,300)"),"#REF!")</f>
        <v>#REF!</v>
      </c>
      <c r="I128" s="3" t="str">
        <f>IFERROR(__xludf.DUMMYFUNCTION("MID(INDEX(SPLIT($F128,"",""),COLUMN()-6),2,300)"),"#REF!")</f>
        <v>#REF!</v>
      </c>
      <c r="J128" s="3" t="str">
        <f>IFERROR(__xludf.DUMMYFUNCTION("MID(INDEX(SPLIT($F128,"",""),COLUMN()-6),2,300)"),"#REF!")</f>
        <v>#REF!</v>
      </c>
      <c r="K128" s="3">
        <f>IFERROR(__xludf.DUMMYFUNCTION("INDEX(SPLIT(G128,"" ""),1)"),4.0)</f>
        <v>4</v>
      </c>
      <c r="L128" s="3" t="str">
        <f>IFERROR(__xludf.DUMMYFUNCTION("REGEXEXTRACT(G128,"" [^ ]* [^ ]* "")")," mirrored black ")</f>
        <v> mirrored black </v>
      </c>
      <c r="M128" s="3" t="str">
        <f>IFERROR(__xludf.DUMMYFUNCTION("INDEX(SPLIT(H128,"" ""),1)"),"#REF!")</f>
        <v>#REF!</v>
      </c>
      <c r="N128" s="3" t="str">
        <f>IFERROR(__xludf.DUMMYFUNCTION("MID(REGEXEXTRACT(H128,"" [^ ]* [^ ]*""),2,300)"),"#REF!")</f>
        <v>#REF!</v>
      </c>
      <c r="O128" s="3" t="str">
        <f>IFERROR(__xludf.DUMMYFUNCTION("INDEX(SPLIT(I128,"" ""),1)"),"#REF!")</f>
        <v>#REF!</v>
      </c>
      <c r="P128" s="3" t="str">
        <f>IFERROR(__xludf.DUMMYFUNCTION("MID(REGEXEXTRACT(I128,"" [^ ]* [^ ]*""),2,300)"),"#REF!")</f>
        <v>#REF!</v>
      </c>
      <c r="Q128" s="3" t="str">
        <f>IFERROR(__xludf.DUMMYFUNCTION("INDEX(SPLIT(J128,"" ""),1)"),"#REF!")</f>
        <v>#REF!</v>
      </c>
      <c r="R128" s="3" t="str">
        <f>IFERROR(__xludf.DUMMYFUNCTION("MID(REGEXEXTRACT(J128,"" [^ ]* [^ ]*""),2,300)"),"#REF!")</f>
        <v>#REF!</v>
      </c>
      <c r="S128" s="3">
        <f t="shared" si="2"/>
        <v>4</v>
      </c>
      <c r="T128" s="3" t="str">
        <f t="shared" si="3"/>
        <v>mirrored black</v>
      </c>
      <c r="U128" s="3" t="str">
        <f t="shared" si="4"/>
        <v/>
      </c>
      <c r="V128" s="3" t="str">
        <f t="shared" si="5"/>
        <v/>
      </c>
      <c r="W128" s="3" t="str">
        <f t="shared" si="6"/>
        <v/>
      </c>
      <c r="X128" s="3" t="str">
        <f t="shared" si="7"/>
        <v/>
      </c>
      <c r="Y128" s="3" t="str">
        <f t="shared" si="8"/>
        <v/>
      </c>
      <c r="Z128" s="3" t="str">
        <f t="shared" si="9"/>
        <v/>
      </c>
      <c r="AA128" s="13">
        <f t="shared" si="10"/>
        <v>36149</v>
      </c>
      <c r="AB128" s="3">
        <f t="shared" si="11"/>
        <v>36148</v>
      </c>
      <c r="AC128" s="3">
        <f t="shared" si="12"/>
        <v>4</v>
      </c>
      <c r="AD128" s="3">
        <f t="shared" si="13"/>
        <v>9037</v>
      </c>
      <c r="AE128" s="3" t="str">
        <f t="shared" si="14"/>
        <v/>
      </c>
      <c r="AF128" s="3">
        <f t="shared" si="15"/>
        <v>0</v>
      </c>
      <c r="AG128" s="3" t="str">
        <f t="shared" si="16"/>
        <v/>
      </c>
      <c r="AH128" s="3">
        <f t="shared" si="17"/>
        <v>0</v>
      </c>
      <c r="AI128" s="3" t="str">
        <f t="shared" si="18"/>
        <v/>
      </c>
      <c r="AJ128" s="3">
        <f t="shared" si="19"/>
        <v>0</v>
      </c>
    </row>
    <row r="129">
      <c r="C129" s="6" t="s">
        <v>129</v>
      </c>
      <c r="D129" s="3">
        <f t="shared" si="1"/>
        <v>1</v>
      </c>
      <c r="E129" s="3" t="str">
        <f>IFERROR(__xludf.DUMMYFUNCTION("REGEXEXTRACT(C129,""[^ ]* [^ ]*"")"),"bright plum")</f>
        <v>bright plum</v>
      </c>
      <c r="F129" s="3" t="str">
        <f>IFERROR(__xludf.DUMMYFUNCTION("MID(REGEXEXTRACT(C129,""contain.*$""),9,300)"),"3 vibrant plum bags, 3 mirrored crimson bags.")</f>
        <v>3 vibrant plum bags, 3 mirrored crimson bags.</v>
      </c>
      <c r="G129" s="3" t="str">
        <f>IFERROR(__xludf.DUMMYFUNCTION("INDEX(SPLIT($F129,"",""),COLUMN()-6)"),"3 vibrant plum bags")</f>
        <v>3 vibrant plum bags</v>
      </c>
      <c r="H129" s="3" t="str">
        <f>IFERROR(__xludf.DUMMYFUNCTION("MID(INDEX(SPLIT($F129,"",""),COLUMN()-6),2,300)"),"3 mirrored crimson bags.")</f>
        <v>3 mirrored crimson bags.</v>
      </c>
      <c r="I129" s="3" t="str">
        <f>IFERROR(__xludf.DUMMYFUNCTION("MID(INDEX(SPLIT($F129,"",""),COLUMN()-6),2,300)"),"#REF!")</f>
        <v>#REF!</v>
      </c>
      <c r="J129" s="3" t="str">
        <f>IFERROR(__xludf.DUMMYFUNCTION("MID(INDEX(SPLIT($F129,"",""),COLUMN()-6),2,300)"),"#REF!")</f>
        <v>#REF!</v>
      </c>
      <c r="K129" s="3">
        <f>IFERROR(__xludf.DUMMYFUNCTION("INDEX(SPLIT(G129,"" ""),1)"),3.0)</f>
        <v>3</v>
      </c>
      <c r="L129" s="3" t="str">
        <f>IFERROR(__xludf.DUMMYFUNCTION("REGEXEXTRACT(G129,"" [^ ]* [^ ]* "")")," vibrant plum ")</f>
        <v> vibrant plum </v>
      </c>
      <c r="M129" s="3">
        <f>IFERROR(__xludf.DUMMYFUNCTION("INDEX(SPLIT(H129,"" ""),1)"),3.0)</f>
        <v>3</v>
      </c>
      <c r="N129" s="3" t="str">
        <f>IFERROR(__xludf.DUMMYFUNCTION("MID(REGEXEXTRACT(H129,"" [^ ]* [^ ]*""),2,300)"),"mirrored crimson")</f>
        <v>mirrored crimson</v>
      </c>
      <c r="O129" s="3" t="str">
        <f>IFERROR(__xludf.DUMMYFUNCTION("INDEX(SPLIT(I129,"" ""),1)"),"#REF!")</f>
        <v>#REF!</v>
      </c>
      <c r="P129" s="3" t="str">
        <f>IFERROR(__xludf.DUMMYFUNCTION("MID(REGEXEXTRACT(I129,"" [^ ]* [^ ]*""),2,300)"),"#REF!")</f>
        <v>#REF!</v>
      </c>
      <c r="Q129" s="3" t="str">
        <f>IFERROR(__xludf.DUMMYFUNCTION("INDEX(SPLIT(J129,"" ""),1)"),"#REF!")</f>
        <v>#REF!</v>
      </c>
      <c r="R129" s="3" t="str">
        <f>IFERROR(__xludf.DUMMYFUNCTION("MID(REGEXEXTRACT(J129,"" [^ ]* [^ ]*""),2,300)"),"#REF!")</f>
        <v>#REF!</v>
      </c>
      <c r="S129" s="3">
        <f t="shared" si="2"/>
        <v>3</v>
      </c>
      <c r="T129" s="3" t="str">
        <f t="shared" si="3"/>
        <v>vibrant plum</v>
      </c>
      <c r="U129" s="3">
        <f t="shared" si="4"/>
        <v>3</v>
      </c>
      <c r="V129" s="3" t="str">
        <f t="shared" si="5"/>
        <v>mirrored crimson</v>
      </c>
      <c r="W129" s="3" t="str">
        <f t="shared" si="6"/>
        <v/>
      </c>
      <c r="X129" s="3" t="str">
        <f t="shared" si="7"/>
        <v/>
      </c>
      <c r="Y129" s="3" t="str">
        <f t="shared" si="8"/>
        <v/>
      </c>
      <c r="Z129" s="3" t="str">
        <f t="shared" si="9"/>
        <v/>
      </c>
      <c r="AA129" s="13">
        <f t="shared" si="10"/>
        <v>150907</v>
      </c>
      <c r="AB129" s="3">
        <f t="shared" si="11"/>
        <v>150906</v>
      </c>
      <c r="AC129" s="3">
        <f t="shared" si="12"/>
        <v>3</v>
      </c>
      <c r="AD129" s="3">
        <f t="shared" si="13"/>
        <v>26642</v>
      </c>
      <c r="AE129" s="3">
        <f t="shared" si="14"/>
        <v>3</v>
      </c>
      <c r="AF129" s="3">
        <f t="shared" si="15"/>
        <v>23660</v>
      </c>
      <c r="AG129" s="3" t="str">
        <f t="shared" si="16"/>
        <v/>
      </c>
      <c r="AH129" s="3">
        <f t="shared" si="17"/>
        <v>0</v>
      </c>
      <c r="AI129" s="3" t="str">
        <f t="shared" si="18"/>
        <v/>
      </c>
      <c r="AJ129" s="3">
        <f t="shared" si="19"/>
        <v>0</v>
      </c>
    </row>
    <row r="130">
      <c r="C130" s="6" t="s">
        <v>130</v>
      </c>
      <c r="D130" s="3">
        <f t="shared" si="1"/>
        <v>1</v>
      </c>
      <c r="E130" s="3" t="str">
        <f>IFERROR(__xludf.DUMMYFUNCTION("REGEXEXTRACT(C130,""[^ ]* [^ ]*"")"),"faded black")</f>
        <v>faded black</v>
      </c>
      <c r="F130" s="3" t="str">
        <f>IFERROR(__xludf.DUMMYFUNCTION("MID(REGEXEXTRACT(C130,""contain.*$""),9,300)"),"1 pale lime bag, 2 pale tomato bags.")</f>
        <v>1 pale lime bag, 2 pale tomato bags.</v>
      </c>
      <c r="G130" s="3" t="str">
        <f>IFERROR(__xludf.DUMMYFUNCTION("INDEX(SPLIT($F130,"",""),COLUMN()-6)"),"1 pale lime bag")</f>
        <v>1 pale lime bag</v>
      </c>
      <c r="H130" s="3" t="str">
        <f>IFERROR(__xludf.DUMMYFUNCTION("MID(INDEX(SPLIT($F130,"",""),COLUMN()-6),2,300)"),"2 pale tomato bags.")</f>
        <v>2 pale tomato bags.</v>
      </c>
      <c r="I130" s="3" t="str">
        <f>IFERROR(__xludf.DUMMYFUNCTION("MID(INDEX(SPLIT($F130,"",""),COLUMN()-6),2,300)"),"#REF!")</f>
        <v>#REF!</v>
      </c>
      <c r="J130" s="3" t="str">
        <f>IFERROR(__xludf.DUMMYFUNCTION("MID(INDEX(SPLIT($F130,"",""),COLUMN()-6),2,300)"),"#REF!")</f>
        <v>#REF!</v>
      </c>
      <c r="K130" s="3">
        <f>IFERROR(__xludf.DUMMYFUNCTION("INDEX(SPLIT(G130,"" ""),1)"),1.0)</f>
        <v>1</v>
      </c>
      <c r="L130" s="3" t="str">
        <f>IFERROR(__xludf.DUMMYFUNCTION("REGEXEXTRACT(G130,"" [^ ]* [^ ]* "")")," pale lime ")</f>
        <v> pale lime </v>
      </c>
      <c r="M130" s="3">
        <f>IFERROR(__xludf.DUMMYFUNCTION("INDEX(SPLIT(H130,"" ""),1)"),2.0)</f>
        <v>2</v>
      </c>
      <c r="N130" s="3" t="str">
        <f>IFERROR(__xludf.DUMMYFUNCTION("MID(REGEXEXTRACT(H130,"" [^ ]* [^ ]*""),2,300)"),"pale tomato")</f>
        <v>pale tomato</v>
      </c>
      <c r="O130" s="3" t="str">
        <f>IFERROR(__xludf.DUMMYFUNCTION("INDEX(SPLIT(I130,"" ""),1)"),"#REF!")</f>
        <v>#REF!</v>
      </c>
      <c r="P130" s="3" t="str">
        <f>IFERROR(__xludf.DUMMYFUNCTION("MID(REGEXEXTRACT(I130,"" [^ ]* [^ ]*""),2,300)"),"#REF!")</f>
        <v>#REF!</v>
      </c>
      <c r="Q130" s="3" t="str">
        <f>IFERROR(__xludf.DUMMYFUNCTION("INDEX(SPLIT(J130,"" ""),1)"),"#REF!")</f>
        <v>#REF!</v>
      </c>
      <c r="R130" s="3" t="str">
        <f>IFERROR(__xludf.DUMMYFUNCTION("MID(REGEXEXTRACT(J130,"" [^ ]* [^ ]*""),2,300)"),"#REF!")</f>
        <v>#REF!</v>
      </c>
      <c r="S130" s="3">
        <f t="shared" si="2"/>
        <v>1</v>
      </c>
      <c r="T130" s="3" t="str">
        <f t="shared" si="3"/>
        <v>pale lime</v>
      </c>
      <c r="U130" s="3">
        <f t="shared" si="4"/>
        <v>2</v>
      </c>
      <c r="V130" s="3" t="str">
        <f t="shared" si="5"/>
        <v>pale tomato</v>
      </c>
      <c r="W130" s="3" t="str">
        <f t="shared" si="6"/>
        <v/>
      </c>
      <c r="X130" s="3" t="str">
        <f t="shared" si="7"/>
        <v/>
      </c>
      <c r="Y130" s="3" t="str">
        <f t="shared" si="8"/>
        <v/>
      </c>
      <c r="Z130" s="3" t="str">
        <f t="shared" si="9"/>
        <v/>
      </c>
      <c r="AA130" s="13">
        <f t="shared" si="10"/>
        <v>565872</v>
      </c>
      <c r="AB130" s="3">
        <f t="shared" si="11"/>
        <v>565871</v>
      </c>
      <c r="AC130" s="3">
        <f t="shared" si="12"/>
        <v>1</v>
      </c>
      <c r="AD130" s="3">
        <f t="shared" si="13"/>
        <v>5333</v>
      </c>
      <c r="AE130" s="3">
        <f t="shared" si="14"/>
        <v>2</v>
      </c>
      <c r="AF130" s="3">
        <f t="shared" si="15"/>
        <v>280269</v>
      </c>
      <c r="AG130" s="3" t="str">
        <f t="shared" si="16"/>
        <v/>
      </c>
      <c r="AH130" s="3">
        <f t="shared" si="17"/>
        <v>0</v>
      </c>
      <c r="AI130" s="3" t="str">
        <f t="shared" si="18"/>
        <v/>
      </c>
      <c r="AJ130" s="3">
        <f t="shared" si="19"/>
        <v>0</v>
      </c>
    </row>
    <row r="131">
      <c r="C131" s="6" t="s">
        <v>131</v>
      </c>
      <c r="D131" s="3">
        <f t="shared" si="1"/>
        <v>3</v>
      </c>
      <c r="E131" s="3" t="str">
        <f>IFERROR(__xludf.DUMMYFUNCTION("REGEXEXTRACT(C131,""[^ ]* [^ ]*"")"),"mirrored yellow")</f>
        <v>mirrored yellow</v>
      </c>
      <c r="F131" s="3" t="str">
        <f>IFERROR(__xludf.DUMMYFUNCTION("MID(REGEXEXTRACT(C131,""contain.*$""),9,300)"),"1 pale aqua bag, 4 dull aqua bags, 4 shiny white bags, 3 clear lime bags.")</f>
        <v>1 pale aqua bag, 4 dull aqua bags, 4 shiny white bags, 3 clear lime bags.</v>
      </c>
      <c r="G131" s="3" t="str">
        <f>IFERROR(__xludf.DUMMYFUNCTION("INDEX(SPLIT($F131,"",""),COLUMN()-6)"),"1 pale aqua bag")</f>
        <v>1 pale aqua bag</v>
      </c>
      <c r="H131" s="3" t="str">
        <f>IFERROR(__xludf.DUMMYFUNCTION("MID(INDEX(SPLIT($F131,"",""),COLUMN()-6),2,300)"),"4 dull aqua bags")</f>
        <v>4 dull aqua bags</v>
      </c>
      <c r="I131" s="3" t="str">
        <f>IFERROR(__xludf.DUMMYFUNCTION("MID(INDEX(SPLIT($F131,"",""),COLUMN()-6),2,300)"),"4 shiny white bags")</f>
        <v>4 shiny white bags</v>
      </c>
      <c r="J131" s="3" t="str">
        <f>IFERROR(__xludf.DUMMYFUNCTION("MID(INDEX(SPLIT($F131,"",""),COLUMN()-6),2,300)"),"3 clear lime bags.")</f>
        <v>3 clear lime bags.</v>
      </c>
      <c r="K131" s="3">
        <f>IFERROR(__xludf.DUMMYFUNCTION("INDEX(SPLIT(G131,"" ""),1)"),1.0)</f>
        <v>1</v>
      </c>
      <c r="L131" s="3" t="str">
        <f>IFERROR(__xludf.DUMMYFUNCTION("REGEXEXTRACT(G131,"" [^ ]* [^ ]* "")")," pale aqua ")</f>
        <v> pale aqua </v>
      </c>
      <c r="M131" s="3">
        <f>IFERROR(__xludf.DUMMYFUNCTION("INDEX(SPLIT(H131,"" ""),1)"),4.0)</f>
        <v>4</v>
      </c>
      <c r="N131" s="3" t="str">
        <f>IFERROR(__xludf.DUMMYFUNCTION("MID(REGEXEXTRACT(H131,"" [^ ]* [^ ]*""),2,300)"),"dull aqua")</f>
        <v>dull aqua</v>
      </c>
      <c r="O131" s="3">
        <f>IFERROR(__xludf.DUMMYFUNCTION("INDEX(SPLIT(I131,"" ""),1)"),4.0)</f>
        <v>4</v>
      </c>
      <c r="P131" s="3" t="str">
        <f>IFERROR(__xludf.DUMMYFUNCTION("MID(REGEXEXTRACT(I131,"" [^ ]* [^ ]*""),2,300)"),"shiny white")</f>
        <v>shiny white</v>
      </c>
      <c r="Q131" s="3">
        <f>IFERROR(__xludf.DUMMYFUNCTION("INDEX(SPLIT(J131,"" ""),1)"),3.0)</f>
        <v>3</v>
      </c>
      <c r="R131" s="3" t="str">
        <f>IFERROR(__xludf.DUMMYFUNCTION("MID(REGEXEXTRACT(J131,"" [^ ]* [^ ]*""),2,300)"),"clear lime")</f>
        <v>clear lime</v>
      </c>
      <c r="S131" s="3">
        <f t="shared" si="2"/>
        <v>1</v>
      </c>
      <c r="T131" s="3" t="str">
        <f t="shared" si="3"/>
        <v>pale aqua</v>
      </c>
      <c r="U131" s="3">
        <f t="shared" si="4"/>
        <v>4</v>
      </c>
      <c r="V131" s="3" t="str">
        <f t="shared" si="5"/>
        <v>dull aqua</v>
      </c>
      <c r="W131" s="3">
        <f t="shared" si="6"/>
        <v>4</v>
      </c>
      <c r="X131" s="3" t="str">
        <f t="shared" si="7"/>
        <v>shiny white</v>
      </c>
      <c r="Y131" s="3">
        <f t="shared" si="8"/>
        <v>3</v>
      </c>
      <c r="Z131" s="3" t="str">
        <f t="shared" si="9"/>
        <v>clear lime</v>
      </c>
      <c r="AA131" s="13">
        <f t="shared" si="10"/>
        <v>52501888</v>
      </c>
      <c r="AB131" s="3">
        <f t="shared" si="11"/>
        <v>52501887</v>
      </c>
      <c r="AC131" s="3">
        <f t="shared" si="12"/>
        <v>1</v>
      </c>
      <c r="AD131" s="3">
        <f t="shared" si="13"/>
        <v>1578216</v>
      </c>
      <c r="AE131" s="3">
        <f t="shared" si="14"/>
        <v>4</v>
      </c>
      <c r="AF131" s="3">
        <f t="shared" si="15"/>
        <v>12033257</v>
      </c>
      <c r="AG131" s="3">
        <f t="shared" si="16"/>
        <v>4</v>
      </c>
      <c r="AH131" s="3">
        <f t="shared" si="17"/>
        <v>118192</v>
      </c>
      <c r="AI131" s="3">
        <f t="shared" si="18"/>
        <v>3</v>
      </c>
      <c r="AJ131" s="3">
        <f t="shared" si="19"/>
        <v>772625</v>
      </c>
    </row>
    <row r="132">
      <c r="C132" s="6" t="s">
        <v>132</v>
      </c>
      <c r="D132" s="3">
        <f t="shared" si="1"/>
        <v>0</v>
      </c>
      <c r="E132" s="3" t="str">
        <f>IFERROR(__xludf.DUMMYFUNCTION("REGEXEXTRACT(C132,""[^ ]* [^ ]*"")"),"muted tan")</f>
        <v>muted tan</v>
      </c>
      <c r="F132" s="3" t="str">
        <f>IFERROR(__xludf.DUMMYFUNCTION("MID(REGEXEXTRACT(C132,""contain.*$""),9,300)"),"2 clear brown bags.")</f>
        <v>2 clear brown bags.</v>
      </c>
      <c r="G132" s="3" t="str">
        <f>IFERROR(__xludf.DUMMYFUNCTION("INDEX(SPLIT($F132,"",""),COLUMN()-6)"),"2 clear brown bags.")</f>
        <v>2 clear brown bags.</v>
      </c>
      <c r="H132" s="3" t="str">
        <f>IFERROR(__xludf.DUMMYFUNCTION("MID(INDEX(SPLIT($F132,"",""),COLUMN()-6),2,300)"),"#REF!")</f>
        <v>#REF!</v>
      </c>
      <c r="I132" s="3" t="str">
        <f>IFERROR(__xludf.DUMMYFUNCTION("MID(INDEX(SPLIT($F132,"",""),COLUMN()-6),2,300)"),"#REF!")</f>
        <v>#REF!</v>
      </c>
      <c r="J132" s="3" t="str">
        <f>IFERROR(__xludf.DUMMYFUNCTION("MID(INDEX(SPLIT($F132,"",""),COLUMN()-6),2,300)"),"#REF!")</f>
        <v>#REF!</v>
      </c>
      <c r="K132" s="3">
        <f>IFERROR(__xludf.DUMMYFUNCTION("INDEX(SPLIT(G132,"" ""),1)"),2.0)</f>
        <v>2</v>
      </c>
      <c r="L132" s="3" t="str">
        <f>IFERROR(__xludf.DUMMYFUNCTION("REGEXEXTRACT(G132,"" [^ ]* [^ ]* "")")," clear brown ")</f>
        <v> clear brown </v>
      </c>
      <c r="M132" s="3" t="str">
        <f>IFERROR(__xludf.DUMMYFUNCTION("INDEX(SPLIT(H132,"" ""),1)"),"#REF!")</f>
        <v>#REF!</v>
      </c>
      <c r="N132" s="3" t="str">
        <f>IFERROR(__xludf.DUMMYFUNCTION("MID(REGEXEXTRACT(H132,"" [^ ]* [^ ]*""),2,300)"),"#REF!")</f>
        <v>#REF!</v>
      </c>
      <c r="O132" s="3" t="str">
        <f>IFERROR(__xludf.DUMMYFUNCTION("INDEX(SPLIT(I132,"" ""),1)"),"#REF!")</f>
        <v>#REF!</v>
      </c>
      <c r="P132" s="3" t="str">
        <f>IFERROR(__xludf.DUMMYFUNCTION("MID(REGEXEXTRACT(I132,"" [^ ]* [^ ]*""),2,300)"),"#REF!")</f>
        <v>#REF!</v>
      </c>
      <c r="Q132" s="3" t="str">
        <f>IFERROR(__xludf.DUMMYFUNCTION("INDEX(SPLIT(J132,"" ""),1)"),"#REF!")</f>
        <v>#REF!</v>
      </c>
      <c r="R132" s="3" t="str">
        <f>IFERROR(__xludf.DUMMYFUNCTION("MID(REGEXEXTRACT(J132,"" [^ ]* [^ ]*""),2,300)"),"#REF!")</f>
        <v>#REF!</v>
      </c>
      <c r="S132" s="3">
        <f t="shared" si="2"/>
        <v>2</v>
      </c>
      <c r="T132" s="3" t="str">
        <f t="shared" si="3"/>
        <v>clear brown</v>
      </c>
      <c r="U132" s="3" t="str">
        <f t="shared" si="4"/>
        <v/>
      </c>
      <c r="V132" s="3" t="str">
        <f t="shared" si="5"/>
        <v/>
      </c>
      <c r="W132" s="3" t="str">
        <f t="shared" si="6"/>
        <v/>
      </c>
      <c r="X132" s="3" t="str">
        <f t="shared" si="7"/>
        <v/>
      </c>
      <c r="Y132" s="3" t="str">
        <f t="shared" si="8"/>
        <v/>
      </c>
      <c r="Z132" s="3" t="str">
        <f t="shared" si="9"/>
        <v/>
      </c>
      <c r="AA132" s="13">
        <f t="shared" si="10"/>
        <v>105003779</v>
      </c>
      <c r="AB132" s="3">
        <f t="shared" si="11"/>
        <v>105003778</v>
      </c>
      <c r="AC132" s="3">
        <f t="shared" si="12"/>
        <v>2</v>
      </c>
      <c r="AD132" s="3">
        <f t="shared" si="13"/>
        <v>52501889</v>
      </c>
      <c r="AE132" s="3" t="str">
        <f t="shared" si="14"/>
        <v/>
      </c>
      <c r="AF132" s="3">
        <f t="shared" si="15"/>
        <v>0</v>
      </c>
      <c r="AG132" s="3" t="str">
        <f t="shared" si="16"/>
        <v/>
      </c>
      <c r="AH132" s="3">
        <f t="shared" si="17"/>
        <v>0</v>
      </c>
      <c r="AI132" s="3" t="str">
        <f t="shared" si="18"/>
        <v/>
      </c>
      <c r="AJ132" s="3">
        <f t="shared" si="19"/>
        <v>0</v>
      </c>
    </row>
    <row r="133">
      <c r="C133" s="6" t="s">
        <v>133</v>
      </c>
      <c r="D133" s="3">
        <f t="shared" si="1"/>
        <v>3</v>
      </c>
      <c r="E133" s="3" t="str">
        <f>IFERROR(__xludf.DUMMYFUNCTION("REGEXEXTRACT(C133,""[^ ]* [^ ]*"")"),"drab white")</f>
        <v>drab white</v>
      </c>
      <c r="F133" s="3" t="str">
        <f>IFERROR(__xludf.DUMMYFUNCTION("MID(REGEXEXTRACT(C133,""contain.*$""),9,300)"),"5 dull coral bags, 2 drab green bags, 4 wavy tomato bags, 5 mirrored cyan bags.")</f>
        <v>5 dull coral bags, 2 drab green bags, 4 wavy tomato bags, 5 mirrored cyan bags.</v>
      </c>
      <c r="G133" s="3" t="str">
        <f>IFERROR(__xludf.DUMMYFUNCTION("INDEX(SPLIT($F133,"",""),COLUMN()-6)"),"5 dull coral bags")</f>
        <v>5 dull coral bags</v>
      </c>
      <c r="H133" s="3" t="str">
        <f>IFERROR(__xludf.DUMMYFUNCTION("MID(INDEX(SPLIT($F133,"",""),COLUMN()-6),2,300)"),"2 drab green bags")</f>
        <v>2 drab green bags</v>
      </c>
      <c r="I133" s="3" t="str">
        <f>IFERROR(__xludf.DUMMYFUNCTION("MID(INDEX(SPLIT($F133,"",""),COLUMN()-6),2,300)"),"4 wavy tomato bags")</f>
        <v>4 wavy tomato bags</v>
      </c>
      <c r="J133" s="3" t="str">
        <f>IFERROR(__xludf.DUMMYFUNCTION("MID(INDEX(SPLIT($F133,"",""),COLUMN()-6),2,300)"),"5 mirrored cyan bags.")</f>
        <v>5 mirrored cyan bags.</v>
      </c>
      <c r="K133" s="3">
        <f>IFERROR(__xludf.DUMMYFUNCTION("INDEX(SPLIT(G133,"" ""),1)"),5.0)</f>
        <v>5</v>
      </c>
      <c r="L133" s="3" t="str">
        <f>IFERROR(__xludf.DUMMYFUNCTION("REGEXEXTRACT(G133,"" [^ ]* [^ ]* "")")," dull coral ")</f>
        <v> dull coral </v>
      </c>
      <c r="M133" s="3">
        <f>IFERROR(__xludf.DUMMYFUNCTION("INDEX(SPLIT(H133,"" ""),1)"),2.0)</f>
        <v>2</v>
      </c>
      <c r="N133" s="3" t="str">
        <f>IFERROR(__xludf.DUMMYFUNCTION("MID(REGEXEXTRACT(H133,"" [^ ]* [^ ]*""),2,300)"),"drab green")</f>
        <v>drab green</v>
      </c>
      <c r="O133" s="3">
        <f>IFERROR(__xludf.DUMMYFUNCTION("INDEX(SPLIT(I133,"" ""),1)"),4.0)</f>
        <v>4</v>
      </c>
      <c r="P133" s="3" t="str">
        <f>IFERROR(__xludf.DUMMYFUNCTION("MID(REGEXEXTRACT(I133,"" [^ ]* [^ ]*""),2,300)"),"wavy tomato")</f>
        <v>wavy tomato</v>
      </c>
      <c r="Q133" s="3">
        <f>IFERROR(__xludf.DUMMYFUNCTION("INDEX(SPLIT(J133,"" ""),1)"),5.0)</f>
        <v>5</v>
      </c>
      <c r="R133" s="3" t="str">
        <f>IFERROR(__xludf.DUMMYFUNCTION("MID(REGEXEXTRACT(J133,"" [^ ]* [^ ]*""),2,300)"),"mirrored cyan")</f>
        <v>mirrored cyan</v>
      </c>
      <c r="S133" s="3">
        <f t="shared" si="2"/>
        <v>5</v>
      </c>
      <c r="T133" s="3" t="str">
        <f t="shared" si="3"/>
        <v>dull coral</v>
      </c>
      <c r="U133" s="3">
        <f t="shared" si="4"/>
        <v>2</v>
      </c>
      <c r="V133" s="3" t="str">
        <f t="shared" si="5"/>
        <v>drab green</v>
      </c>
      <c r="W133" s="3">
        <f t="shared" si="6"/>
        <v>4</v>
      </c>
      <c r="X133" s="3" t="str">
        <f t="shared" si="7"/>
        <v>wavy tomato</v>
      </c>
      <c r="Y133" s="3">
        <f t="shared" si="8"/>
        <v>5</v>
      </c>
      <c r="Z133" s="3" t="str">
        <f t="shared" si="9"/>
        <v>mirrored cyan</v>
      </c>
      <c r="AA133" s="13">
        <f t="shared" si="10"/>
        <v>14961</v>
      </c>
      <c r="AB133" s="3">
        <f t="shared" si="11"/>
        <v>14960</v>
      </c>
      <c r="AC133" s="3">
        <f t="shared" si="12"/>
        <v>5</v>
      </c>
      <c r="AD133" s="3">
        <f t="shared" si="13"/>
        <v>924</v>
      </c>
      <c r="AE133" s="3">
        <f t="shared" si="14"/>
        <v>2</v>
      </c>
      <c r="AF133" s="3">
        <f t="shared" si="15"/>
        <v>5</v>
      </c>
      <c r="AG133" s="3">
        <f t="shared" si="16"/>
        <v>4</v>
      </c>
      <c r="AH133" s="3">
        <f t="shared" si="17"/>
        <v>265</v>
      </c>
      <c r="AI133" s="3">
        <f t="shared" si="18"/>
        <v>5</v>
      </c>
      <c r="AJ133" s="3">
        <f t="shared" si="19"/>
        <v>1854</v>
      </c>
    </row>
    <row r="134">
      <c r="C134" s="6" t="s">
        <v>134</v>
      </c>
      <c r="D134" s="3">
        <f t="shared" si="1"/>
        <v>2</v>
      </c>
      <c r="E134" s="3" t="str">
        <f>IFERROR(__xludf.DUMMYFUNCTION("REGEXEXTRACT(C134,""[^ ]* [^ ]*"")"),"dull black")</f>
        <v>dull black</v>
      </c>
      <c r="F134" s="3" t="str">
        <f>IFERROR(__xludf.DUMMYFUNCTION("MID(REGEXEXTRACT(C134,""contain.*$""),9,300)"),"4 vibrant tan bags, 1 shiny chartreuse bag, 5 pale gold bags.")</f>
        <v>4 vibrant tan bags, 1 shiny chartreuse bag, 5 pale gold bags.</v>
      </c>
      <c r="G134" s="3" t="str">
        <f>IFERROR(__xludf.DUMMYFUNCTION("INDEX(SPLIT($F134,"",""),COLUMN()-6)"),"4 vibrant tan bags")</f>
        <v>4 vibrant tan bags</v>
      </c>
      <c r="H134" s="3" t="str">
        <f>IFERROR(__xludf.DUMMYFUNCTION("MID(INDEX(SPLIT($F134,"",""),COLUMN()-6),2,300)"),"1 shiny chartreuse bag")</f>
        <v>1 shiny chartreuse bag</v>
      </c>
      <c r="I134" s="3" t="str">
        <f>IFERROR(__xludf.DUMMYFUNCTION("MID(INDEX(SPLIT($F134,"",""),COLUMN()-6),2,300)"),"5 pale gold bags.")</f>
        <v>5 pale gold bags.</v>
      </c>
      <c r="J134" s="3" t="str">
        <f>IFERROR(__xludf.DUMMYFUNCTION("MID(INDEX(SPLIT($F134,"",""),COLUMN()-6),2,300)"),"#REF!")</f>
        <v>#REF!</v>
      </c>
      <c r="K134" s="3">
        <f>IFERROR(__xludf.DUMMYFUNCTION("INDEX(SPLIT(G134,"" ""),1)"),4.0)</f>
        <v>4</v>
      </c>
      <c r="L134" s="3" t="str">
        <f>IFERROR(__xludf.DUMMYFUNCTION("REGEXEXTRACT(G134,"" [^ ]* [^ ]* "")")," vibrant tan ")</f>
        <v> vibrant tan </v>
      </c>
      <c r="M134" s="3">
        <f>IFERROR(__xludf.DUMMYFUNCTION("INDEX(SPLIT(H134,"" ""),1)"),1.0)</f>
        <v>1</v>
      </c>
      <c r="N134" s="3" t="str">
        <f>IFERROR(__xludf.DUMMYFUNCTION("MID(REGEXEXTRACT(H134,"" [^ ]* [^ ]*""),2,300)"),"shiny chartreuse")</f>
        <v>shiny chartreuse</v>
      </c>
      <c r="O134" s="3">
        <f>IFERROR(__xludf.DUMMYFUNCTION("INDEX(SPLIT(I134,"" ""),1)"),5.0)</f>
        <v>5</v>
      </c>
      <c r="P134" s="3" t="str">
        <f>IFERROR(__xludf.DUMMYFUNCTION("MID(REGEXEXTRACT(I134,"" [^ ]* [^ ]*""),2,300)"),"pale gold")</f>
        <v>pale gold</v>
      </c>
      <c r="Q134" s="3" t="str">
        <f>IFERROR(__xludf.DUMMYFUNCTION("INDEX(SPLIT(J134,"" ""),1)"),"#REF!")</f>
        <v>#REF!</v>
      </c>
      <c r="R134" s="3" t="str">
        <f>IFERROR(__xludf.DUMMYFUNCTION("MID(REGEXEXTRACT(J134,"" [^ ]* [^ ]*""),2,300)"),"#REF!")</f>
        <v>#REF!</v>
      </c>
      <c r="S134" s="3">
        <f t="shared" si="2"/>
        <v>4</v>
      </c>
      <c r="T134" s="3" t="str">
        <f t="shared" si="3"/>
        <v>vibrant tan</v>
      </c>
      <c r="U134" s="3">
        <f t="shared" si="4"/>
        <v>1</v>
      </c>
      <c r="V134" s="3" t="str">
        <f t="shared" si="5"/>
        <v>shiny chartreuse</v>
      </c>
      <c r="W134" s="3">
        <f t="shared" si="6"/>
        <v>5</v>
      </c>
      <c r="X134" s="3" t="str">
        <f t="shared" si="7"/>
        <v>pale gold</v>
      </c>
      <c r="Y134" s="3" t="str">
        <f t="shared" si="8"/>
        <v/>
      </c>
      <c r="Z134" s="3" t="str">
        <f t="shared" si="9"/>
        <v/>
      </c>
      <c r="AA134" s="13">
        <f t="shared" si="10"/>
        <v>544188235</v>
      </c>
      <c r="AB134" s="3">
        <f t="shared" si="11"/>
        <v>544188234</v>
      </c>
      <c r="AC134" s="3">
        <f t="shared" si="12"/>
        <v>4</v>
      </c>
      <c r="AD134" s="3">
        <f t="shared" si="13"/>
        <v>229951</v>
      </c>
      <c r="AE134" s="3">
        <f t="shared" si="14"/>
        <v>1</v>
      </c>
      <c r="AF134" s="3">
        <f t="shared" si="15"/>
        <v>1545</v>
      </c>
      <c r="AG134" s="3">
        <f t="shared" si="16"/>
        <v>5</v>
      </c>
      <c r="AH134" s="3">
        <f t="shared" si="17"/>
        <v>108653377</v>
      </c>
      <c r="AI134" s="3" t="str">
        <f t="shared" si="18"/>
        <v/>
      </c>
      <c r="AJ134" s="3">
        <f t="shared" si="19"/>
        <v>0</v>
      </c>
    </row>
    <row r="135">
      <c r="C135" s="6" t="s">
        <v>135</v>
      </c>
      <c r="D135" s="3">
        <f t="shared" si="1"/>
        <v>3</v>
      </c>
      <c r="E135" s="3" t="str">
        <f>IFERROR(__xludf.DUMMYFUNCTION("REGEXEXTRACT(C135,""[^ ]* [^ ]*"")"),"posh maroon")</f>
        <v>posh maroon</v>
      </c>
      <c r="F135" s="3" t="str">
        <f>IFERROR(__xludf.DUMMYFUNCTION("MID(REGEXEXTRACT(C135,""contain.*$""),9,300)"),"5 dark coral bags, 5 faded yellow bags, 2 light lavender bags, 2 wavy teal bags.")</f>
        <v>5 dark coral bags, 5 faded yellow bags, 2 light lavender bags, 2 wavy teal bags.</v>
      </c>
      <c r="G135" s="3" t="str">
        <f>IFERROR(__xludf.DUMMYFUNCTION("INDEX(SPLIT($F135,"",""),COLUMN()-6)"),"5 dark coral bags")</f>
        <v>5 dark coral bags</v>
      </c>
      <c r="H135" s="3" t="str">
        <f>IFERROR(__xludf.DUMMYFUNCTION("MID(INDEX(SPLIT($F135,"",""),COLUMN()-6),2,300)"),"5 faded yellow bags")</f>
        <v>5 faded yellow bags</v>
      </c>
      <c r="I135" s="3" t="str">
        <f>IFERROR(__xludf.DUMMYFUNCTION("MID(INDEX(SPLIT($F135,"",""),COLUMN()-6),2,300)"),"2 light lavender bags")</f>
        <v>2 light lavender bags</v>
      </c>
      <c r="J135" s="3" t="str">
        <f>IFERROR(__xludf.DUMMYFUNCTION("MID(INDEX(SPLIT($F135,"",""),COLUMN()-6),2,300)"),"2 wavy teal bags.")</f>
        <v>2 wavy teal bags.</v>
      </c>
      <c r="K135" s="3">
        <f>IFERROR(__xludf.DUMMYFUNCTION("INDEX(SPLIT(G135,"" ""),1)"),5.0)</f>
        <v>5</v>
      </c>
      <c r="L135" s="3" t="str">
        <f>IFERROR(__xludf.DUMMYFUNCTION("REGEXEXTRACT(G135,"" [^ ]* [^ ]* "")")," dark coral ")</f>
        <v> dark coral </v>
      </c>
      <c r="M135" s="3">
        <f>IFERROR(__xludf.DUMMYFUNCTION("INDEX(SPLIT(H135,"" ""),1)"),5.0)</f>
        <v>5</v>
      </c>
      <c r="N135" s="3" t="str">
        <f>IFERROR(__xludf.DUMMYFUNCTION("MID(REGEXEXTRACT(H135,"" [^ ]* [^ ]*""),2,300)"),"faded yellow")</f>
        <v>faded yellow</v>
      </c>
      <c r="O135" s="3">
        <f>IFERROR(__xludf.DUMMYFUNCTION("INDEX(SPLIT(I135,"" ""),1)"),2.0)</f>
        <v>2</v>
      </c>
      <c r="P135" s="3" t="str">
        <f>IFERROR(__xludf.DUMMYFUNCTION("MID(REGEXEXTRACT(I135,"" [^ ]* [^ ]*""),2,300)"),"light lavender")</f>
        <v>light lavender</v>
      </c>
      <c r="Q135" s="3">
        <f>IFERROR(__xludf.DUMMYFUNCTION("INDEX(SPLIT(J135,"" ""),1)"),2.0)</f>
        <v>2</v>
      </c>
      <c r="R135" s="3" t="str">
        <f>IFERROR(__xludf.DUMMYFUNCTION("MID(REGEXEXTRACT(J135,"" [^ ]* [^ ]*""),2,300)"),"wavy teal")</f>
        <v>wavy teal</v>
      </c>
      <c r="S135" s="3">
        <f t="shared" si="2"/>
        <v>5</v>
      </c>
      <c r="T135" s="3" t="str">
        <f t="shared" si="3"/>
        <v>dark coral</v>
      </c>
      <c r="U135" s="3">
        <f t="shared" si="4"/>
        <v>5</v>
      </c>
      <c r="V135" s="3" t="str">
        <f t="shared" si="5"/>
        <v>faded yellow</v>
      </c>
      <c r="W135" s="3">
        <f t="shared" si="6"/>
        <v>2</v>
      </c>
      <c r="X135" s="3" t="str">
        <f t="shared" si="7"/>
        <v>light lavender</v>
      </c>
      <c r="Y135" s="3">
        <f t="shared" si="8"/>
        <v>2</v>
      </c>
      <c r="Z135" s="3" t="str">
        <f t="shared" si="9"/>
        <v>wavy teal</v>
      </c>
      <c r="AA135" s="13">
        <f t="shared" si="10"/>
        <v>26937623</v>
      </c>
      <c r="AB135" s="3">
        <f t="shared" si="11"/>
        <v>26937622</v>
      </c>
      <c r="AC135" s="3">
        <f t="shared" si="12"/>
        <v>5</v>
      </c>
      <c r="AD135" s="3">
        <f t="shared" si="13"/>
        <v>3753521</v>
      </c>
      <c r="AE135" s="3">
        <f t="shared" si="14"/>
        <v>5</v>
      </c>
      <c r="AF135" s="3">
        <f t="shared" si="15"/>
        <v>50963</v>
      </c>
      <c r="AG135" s="3">
        <f t="shared" si="16"/>
        <v>2</v>
      </c>
      <c r="AH135" s="3">
        <f t="shared" si="17"/>
        <v>3872851</v>
      </c>
      <c r="AI135" s="3">
        <f t="shared" si="18"/>
        <v>2</v>
      </c>
      <c r="AJ135" s="3">
        <f t="shared" si="19"/>
        <v>84750</v>
      </c>
    </row>
    <row r="136">
      <c r="C136" s="6" t="s">
        <v>136</v>
      </c>
      <c r="D136" s="3">
        <f t="shared" si="1"/>
        <v>1</v>
      </c>
      <c r="E136" s="3" t="str">
        <f>IFERROR(__xludf.DUMMYFUNCTION("REGEXEXTRACT(C136,""[^ ]* [^ ]*"")"),"drab coral")</f>
        <v>drab coral</v>
      </c>
      <c r="F136" s="3" t="str">
        <f>IFERROR(__xludf.DUMMYFUNCTION("MID(REGEXEXTRACT(C136,""contain.*$""),9,300)"),"4 posh chartreuse bags, 2 dim red bags.")</f>
        <v>4 posh chartreuse bags, 2 dim red bags.</v>
      </c>
      <c r="G136" s="3" t="str">
        <f>IFERROR(__xludf.DUMMYFUNCTION("INDEX(SPLIT($F136,"",""),COLUMN()-6)"),"4 posh chartreuse bags")</f>
        <v>4 posh chartreuse bags</v>
      </c>
      <c r="H136" s="3" t="str">
        <f>IFERROR(__xludf.DUMMYFUNCTION("MID(INDEX(SPLIT($F136,"",""),COLUMN()-6),2,300)"),"2 dim red bags.")</f>
        <v>2 dim red bags.</v>
      </c>
      <c r="I136" s="3" t="str">
        <f>IFERROR(__xludf.DUMMYFUNCTION("MID(INDEX(SPLIT($F136,"",""),COLUMN()-6),2,300)"),"#REF!")</f>
        <v>#REF!</v>
      </c>
      <c r="J136" s="3" t="str">
        <f>IFERROR(__xludf.DUMMYFUNCTION("MID(INDEX(SPLIT($F136,"",""),COLUMN()-6),2,300)"),"#REF!")</f>
        <v>#REF!</v>
      </c>
      <c r="K136" s="3">
        <f>IFERROR(__xludf.DUMMYFUNCTION("INDEX(SPLIT(G136,"" ""),1)"),4.0)</f>
        <v>4</v>
      </c>
      <c r="L136" s="3" t="str">
        <f>IFERROR(__xludf.DUMMYFUNCTION("REGEXEXTRACT(G136,"" [^ ]* [^ ]* "")")," posh chartreuse ")</f>
        <v> posh chartreuse </v>
      </c>
      <c r="M136" s="3">
        <f>IFERROR(__xludf.DUMMYFUNCTION("INDEX(SPLIT(H136,"" ""),1)"),2.0)</f>
        <v>2</v>
      </c>
      <c r="N136" s="3" t="str">
        <f>IFERROR(__xludf.DUMMYFUNCTION("MID(REGEXEXTRACT(H136,"" [^ ]* [^ ]*""),2,300)"),"dim red")</f>
        <v>dim red</v>
      </c>
      <c r="O136" s="3" t="str">
        <f>IFERROR(__xludf.DUMMYFUNCTION("INDEX(SPLIT(I136,"" ""),1)"),"#REF!")</f>
        <v>#REF!</v>
      </c>
      <c r="P136" s="3" t="str">
        <f>IFERROR(__xludf.DUMMYFUNCTION("MID(REGEXEXTRACT(I136,"" [^ ]* [^ ]*""),2,300)"),"#REF!")</f>
        <v>#REF!</v>
      </c>
      <c r="Q136" s="3" t="str">
        <f>IFERROR(__xludf.DUMMYFUNCTION("INDEX(SPLIT(J136,"" ""),1)"),"#REF!")</f>
        <v>#REF!</v>
      </c>
      <c r="R136" s="3" t="str">
        <f>IFERROR(__xludf.DUMMYFUNCTION("MID(REGEXEXTRACT(J136,"" [^ ]* [^ ]*""),2,300)"),"#REF!")</f>
        <v>#REF!</v>
      </c>
      <c r="S136" s="3">
        <f t="shared" si="2"/>
        <v>4</v>
      </c>
      <c r="T136" s="3" t="str">
        <f t="shared" si="3"/>
        <v>posh chartreuse</v>
      </c>
      <c r="U136" s="3">
        <f t="shared" si="4"/>
        <v>2</v>
      </c>
      <c r="V136" s="3" t="str">
        <f t="shared" si="5"/>
        <v>dim red</v>
      </c>
      <c r="W136" s="3" t="str">
        <f t="shared" si="6"/>
        <v/>
      </c>
      <c r="X136" s="3" t="str">
        <f t="shared" si="7"/>
        <v/>
      </c>
      <c r="Y136" s="3" t="str">
        <f t="shared" si="8"/>
        <v/>
      </c>
      <c r="Z136" s="3" t="str">
        <f t="shared" si="9"/>
        <v/>
      </c>
      <c r="AA136" s="13">
        <f t="shared" si="10"/>
        <v>41911827</v>
      </c>
      <c r="AB136" s="3">
        <f t="shared" si="11"/>
        <v>41911826</v>
      </c>
      <c r="AC136" s="3">
        <f t="shared" si="12"/>
        <v>4</v>
      </c>
      <c r="AD136" s="3">
        <f t="shared" si="13"/>
        <v>1471743</v>
      </c>
      <c r="AE136" s="3">
        <f t="shared" si="14"/>
        <v>2</v>
      </c>
      <c r="AF136" s="3">
        <f t="shared" si="15"/>
        <v>18012427</v>
      </c>
      <c r="AG136" s="3" t="str">
        <f t="shared" si="16"/>
        <v/>
      </c>
      <c r="AH136" s="3">
        <f t="shared" si="17"/>
        <v>0</v>
      </c>
      <c r="AI136" s="3" t="str">
        <f t="shared" si="18"/>
        <v/>
      </c>
      <c r="AJ136" s="3">
        <f t="shared" si="19"/>
        <v>0</v>
      </c>
    </row>
    <row r="137">
      <c r="C137" s="6" t="s">
        <v>137</v>
      </c>
      <c r="D137" s="3">
        <f t="shared" si="1"/>
        <v>1</v>
      </c>
      <c r="E137" s="3" t="str">
        <f>IFERROR(__xludf.DUMMYFUNCTION("REGEXEXTRACT(C137,""[^ ]* [^ ]*"")"),"posh indigo")</f>
        <v>posh indigo</v>
      </c>
      <c r="F137" s="3" t="str">
        <f>IFERROR(__xludf.DUMMYFUNCTION("MID(REGEXEXTRACT(C137,""contain.*$""),9,300)"),"2 plaid brown bags, 4 muted green bags.")</f>
        <v>2 plaid brown bags, 4 muted green bags.</v>
      </c>
      <c r="G137" s="3" t="str">
        <f>IFERROR(__xludf.DUMMYFUNCTION("INDEX(SPLIT($F137,"",""),COLUMN()-6)"),"2 plaid brown bags")</f>
        <v>2 plaid brown bags</v>
      </c>
      <c r="H137" s="3" t="str">
        <f>IFERROR(__xludf.DUMMYFUNCTION("MID(INDEX(SPLIT($F137,"",""),COLUMN()-6),2,300)"),"4 muted green bags.")</f>
        <v>4 muted green bags.</v>
      </c>
      <c r="I137" s="3" t="str">
        <f>IFERROR(__xludf.DUMMYFUNCTION("MID(INDEX(SPLIT($F137,"",""),COLUMN()-6),2,300)"),"#REF!")</f>
        <v>#REF!</v>
      </c>
      <c r="J137" s="3" t="str">
        <f>IFERROR(__xludf.DUMMYFUNCTION("MID(INDEX(SPLIT($F137,"",""),COLUMN()-6),2,300)"),"#REF!")</f>
        <v>#REF!</v>
      </c>
      <c r="K137" s="3">
        <f>IFERROR(__xludf.DUMMYFUNCTION("INDEX(SPLIT(G137,"" ""),1)"),2.0)</f>
        <v>2</v>
      </c>
      <c r="L137" s="3" t="str">
        <f>IFERROR(__xludf.DUMMYFUNCTION("REGEXEXTRACT(G137,"" [^ ]* [^ ]* "")")," plaid brown ")</f>
        <v> plaid brown </v>
      </c>
      <c r="M137" s="3">
        <f>IFERROR(__xludf.DUMMYFUNCTION("INDEX(SPLIT(H137,"" ""),1)"),4.0)</f>
        <v>4</v>
      </c>
      <c r="N137" s="3" t="str">
        <f>IFERROR(__xludf.DUMMYFUNCTION("MID(REGEXEXTRACT(H137,"" [^ ]* [^ ]*""),2,300)"),"muted green")</f>
        <v>muted green</v>
      </c>
      <c r="O137" s="3" t="str">
        <f>IFERROR(__xludf.DUMMYFUNCTION("INDEX(SPLIT(I137,"" ""),1)"),"#REF!")</f>
        <v>#REF!</v>
      </c>
      <c r="P137" s="3" t="str">
        <f>IFERROR(__xludf.DUMMYFUNCTION("MID(REGEXEXTRACT(I137,"" [^ ]* [^ ]*""),2,300)"),"#REF!")</f>
        <v>#REF!</v>
      </c>
      <c r="Q137" s="3" t="str">
        <f>IFERROR(__xludf.DUMMYFUNCTION("INDEX(SPLIT(J137,"" ""),1)"),"#REF!")</f>
        <v>#REF!</v>
      </c>
      <c r="R137" s="3" t="str">
        <f>IFERROR(__xludf.DUMMYFUNCTION("MID(REGEXEXTRACT(J137,"" [^ ]* [^ ]*""),2,300)"),"#REF!")</f>
        <v>#REF!</v>
      </c>
      <c r="S137" s="3">
        <f t="shared" si="2"/>
        <v>2</v>
      </c>
      <c r="T137" s="3" t="str">
        <f t="shared" si="3"/>
        <v>plaid brown</v>
      </c>
      <c r="U137" s="3">
        <f t="shared" si="4"/>
        <v>4</v>
      </c>
      <c r="V137" s="3" t="str">
        <f t="shared" si="5"/>
        <v>muted green</v>
      </c>
      <c r="W137" s="3" t="str">
        <f t="shared" si="6"/>
        <v/>
      </c>
      <c r="X137" s="3" t="str">
        <f t="shared" si="7"/>
        <v/>
      </c>
      <c r="Y137" s="3" t="str">
        <f t="shared" si="8"/>
        <v/>
      </c>
      <c r="Z137" s="3" t="str">
        <f t="shared" si="9"/>
        <v/>
      </c>
      <c r="AA137" s="13">
        <f t="shared" si="10"/>
        <v>319567</v>
      </c>
      <c r="AB137" s="3">
        <f t="shared" si="11"/>
        <v>319566</v>
      </c>
      <c r="AC137" s="3">
        <f t="shared" si="12"/>
        <v>2</v>
      </c>
      <c r="AD137" s="3">
        <f t="shared" si="13"/>
        <v>132605</v>
      </c>
      <c r="AE137" s="3">
        <f t="shared" si="14"/>
        <v>4</v>
      </c>
      <c r="AF137" s="3">
        <f t="shared" si="15"/>
        <v>13589</v>
      </c>
      <c r="AG137" s="3" t="str">
        <f t="shared" si="16"/>
        <v/>
      </c>
      <c r="AH137" s="3">
        <f t="shared" si="17"/>
        <v>0</v>
      </c>
      <c r="AI137" s="3" t="str">
        <f t="shared" si="18"/>
        <v/>
      </c>
      <c r="AJ137" s="3">
        <f t="shared" si="19"/>
        <v>0</v>
      </c>
    </row>
    <row r="138">
      <c r="C138" s="6" t="s">
        <v>138</v>
      </c>
      <c r="D138" s="3">
        <f t="shared" si="1"/>
        <v>1</v>
      </c>
      <c r="E138" s="3" t="str">
        <f>IFERROR(__xludf.DUMMYFUNCTION("REGEXEXTRACT(C138,""[^ ]* [^ ]*"")"),"drab aqua")</f>
        <v>drab aqua</v>
      </c>
      <c r="F138" s="3" t="str">
        <f>IFERROR(__xludf.DUMMYFUNCTION("MID(REGEXEXTRACT(C138,""contain.*$""),9,300)"),"2 pale magenta bags, 2 posh orange bags.")</f>
        <v>2 pale magenta bags, 2 posh orange bags.</v>
      </c>
      <c r="G138" s="3" t="str">
        <f>IFERROR(__xludf.DUMMYFUNCTION("INDEX(SPLIT($F138,"",""),COLUMN()-6)"),"2 pale magenta bags")</f>
        <v>2 pale magenta bags</v>
      </c>
      <c r="H138" s="3" t="str">
        <f>IFERROR(__xludf.DUMMYFUNCTION("MID(INDEX(SPLIT($F138,"",""),COLUMN()-6),2,300)"),"2 posh orange bags.")</f>
        <v>2 posh orange bags.</v>
      </c>
      <c r="I138" s="3" t="str">
        <f>IFERROR(__xludf.DUMMYFUNCTION("MID(INDEX(SPLIT($F138,"",""),COLUMN()-6),2,300)"),"#REF!")</f>
        <v>#REF!</v>
      </c>
      <c r="J138" s="3" t="str">
        <f>IFERROR(__xludf.DUMMYFUNCTION("MID(INDEX(SPLIT($F138,"",""),COLUMN()-6),2,300)"),"#REF!")</f>
        <v>#REF!</v>
      </c>
      <c r="K138" s="3">
        <f>IFERROR(__xludf.DUMMYFUNCTION("INDEX(SPLIT(G138,"" ""),1)"),2.0)</f>
        <v>2</v>
      </c>
      <c r="L138" s="3" t="str">
        <f>IFERROR(__xludf.DUMMYFUNCTION("REGEXEXTRACT(G138,"" [^ ]* [^ ]* "")")," pale magenta ")</f>
        <v> pale magenta </v>
      </c>
      <c r="M138" s="3">
        <f>IFERROR(__xludf.DUMMYFUNCTION("INDEX(SPLIT(H138,"" ""),1)"),2.0)</f>
        <v>2</v>
      </c>
      <c r="N138" s="3" t="str">
        <f>IFERROR(__xludf.DUMMYFUNCTION("MID(REGEXEXTRACT(H138,"" [^ ]* [^ ]*""),2,300)"),"posh orange")</f>
        <v>posh orange</v>
      </c>
      <c r="O138" s="3" t="str">
        <f>IFERROR(__xludf.DUMMYFUNCTION("INDEX(SPLIT(I138,"" ""),1)"),"#REF!")</f>
        <v>#REF!</v>
      </c>
      <c r="P138" s="3" t="str">
        <f>IFERROR(__xludf.DUMMYFUNCTION("MID(REGEXEXTRACT(I138,"" [^ ]* [^ ]*""),2,300)"),"#REF!")</f>
        <v>#REF!</v>
      </c>
      <c r="Q138" s="3" t="str">
        <f>IFERROR(__xludf.DUMMYFUNCTION("INDEX(SPLIT(J138,"" ""),1)"),"#REF!")</f>
        <v>#REF!</v>
      </c>
      <c r="R138" s="3" t="str">
        <f>IFERROR(__xludf.DUMMYFUNCTION("MID(REGEXEXTRACT(J138,"" [^ ]* [^ ]*""),2,300)"),"#REF!")</f>
        <v>#REF!</v>
      </c>
      <c r="S138" s="3">
        <f t="shared" si="2"/>
        <v>2</v>
      </c>
      <c r="T138" s="3" t="str">
        <f t="shared" si="3"/>
        <v>pale magenta</v>
      </c>
      <c r="U138" s="3">
        <f t="shared" si="4"/>
        <v>2</v>
      </c>
      <c r="V138" s="3" t="str">
        <f t="shared" si="5"/>
        <v>posh orange</v>
      </c>
      <c r="W138" s="3" t="str">
        <f t="shared" si="6"/>
        <v/>
      </c>
      <c r="X138" s="3" t="str">
        <f t="shared" si="7"/>
        <v/>
      </c>
      <c r="Y138" s="3" t="str">
        <f t="shared" si="8"/>
        <v/>
      </c>
      <c r="Z138" s="3" t="str">
        <f t="shared" si="9"/>
        <v/>
      </c>
      <c r="AA138" s="13">
        <f t="shared" si="10"/>
        <v>1818578087</v>
      </c>
      <c r="AB138" s="3">
        <f t="shared" si="11"/>
        <v>1818578086</v>
      </c>
      <c r="AC138" s="3">
        <f t="shared" si="12"/>
        <v>2</v>
      </c>
      <c r="AD138" s="3">
        <f t="shared" si="13"/>
        <v>909289041</v>
      </c>
      <c r="AE138" s="3">
        <f t="shared" si="14"/>
        <v>2</v>
      </c>
      <c r="AF138" s="3">
        <f t="shared" si="15"/>
        <v>2</v>
      </c>
      <c r="AG138" s="3" t="str">
        <f t="shared" si="16"/>
        <v/>
      </c>
      <c r="AH138" s="3">
        <f t="shared" si="17"/>
        <v>0</v>
      </c>
      <c r="AI138" s="3" t="str">
        <f t="shared" si="18"/>
        <v/>
      </c>
      <c r="AJ138" s="3">
        <f t="shared" si="19"/>
        <v>0</v>
      </c>
    </row>
    <row r="139">
      <c r="C139" s="6" t="s">
        <v>139</v>
      </c>
      <c r="D139" s="3">
        <f t="shared" si="1"/>
        <v>2</v>
      </c>
      <c r="E139" s="3" t="str">
        <f>IFERROR(__xludf.DUMMYFUNCTION("REGEXEXTRACT(C139,""[^ ]* [^ ]*"")"),"drab crimson")</f>
        <v>drab crimson</v>
      </c>
      <c r="F139" s="3" t="str">
        <f>IFERROR(__xludf.DUMMYFUNCTION("MID(REGEXEXTRACT(C139,""contain.*$""),9,300)"),"2 pale bronze bags, 4 dotted blue bags, 2 dim silver bags.")</f>
        <v>2 pale bronze bags, 4 dotted blue bags, 2 dim silver bags.</v>
      </c>
      <c r="G139" s="3" t="str">
        <f>IFERROR(__xludf.DUMMYFUNCTION("INDEX(SPLIT($F139,"",""),COLUMN()-6)"),"2 pale bronze bags")</f>
        <v>2 pale bronze bags</v>
      </c>
      <c r="H139" s="3" t="str">
        <f>IFERROR(__xludf.DUMMYFUNCTION("MID(INDEX(SPLIT($F139,"",""),COLUMN()-6),2,300)"),"4 dotted blue bags")</f>
        <v>4 dotted blue bags</v>
      </c>
      <c r="I139" s="3" t="str">
        <f>IFERROR(__xludf.DUMMYFUNCTION("MID(INDEX(SPLIT($F139,"",""),COLUMN()-6),2,300)"),"2 dim silver bags.")</f>
        <v>2 dim silver bags.</v>
      </c>
      <c r="J139" s="3" t="str">
        <f>IFERROR(__xludf.DUMMYFUNCTION("MID(INDEX(SPLIT($F139,"",""),COLUMN()-6),2,300)"),"#REF!")</f>
        <v>#REF!</v>
      </c>
      <c r="K139" s="3">
        <f>IFERROR(__xludf.DUMMYFUNCTION("INDEX(SPLIT(G139,"" ""),1)"),2.0)</f>
        <v>2</v>
      </c>
      <c r="L139" s="3" t="str">
        <f>IFERROR(__xludf.DUMMYFUNCTION("REGEXEXTRACT(G139,"" [^ ]* [^ ]* "")")," pale bronze ")</f>
        <v> pale bronze </v>
      </c>
      <c r="M139" s="3">
        <f>IFERROR(__xludf.DUMMYFUNCTION("INDEX(SPLIT(H139,"" ""),1)"),4.0)</f>
        <v>4</v>
      </c>
      <c r="N139" s="3" t="str">
        <f>IFERROR(__xludf.DUMMYFUNCTION("MID(REGEXEXTRACT(H139,"" [^ ]* [^ ]*""),2,300)"),"dotted blue")</f>
        <v>dotted blue</v>
      </c>
      <c r="O139" s="3">
        <f>IFERROR(__xludf.DUMMYFUNCTION("INDEX(SPLIT(I139,"" ""),1)"),2.0)</f>
        <v>2</v>
      </c>
      <c r="P139" s="3" t="str">
        <f>IFERROR(__xludf.DUMMYFUNCTION("MID(REGEXEXTRACT(I139,"" [^ ]* [^ ]*""),2,300)"),"dim silver")</f>
        <v>dim silver</v>
      </c>
      <c r="Q139" s="3" t="str">
        <f>IFERROR(__xludf.DUMMYFUNCTION("INDEX(SPLIT(J139,"" ""),1)"),"#REF!")</f>
        <v>#REF!</v>
      </c>
      <c r="R139" s="3" t="str">
        <f>IFERROR(__xludf.DUMMYFUNCTION("MID(REGEXEXTRACT(J139,"" [^ ]* [^ ]*""),2,300)"),"#REF!")</f>
        <v>#REF!</v>
      </c>
      <c r="S139" s="3">
        <f t="shared" si="2"/>
        <v>2</v>
      </c>
      <c r="T139" s="3" t="str">
        <f t="shared" si="3"/>
        <v>pale bronze</v>
      </c>
      <c r="U139" s="3">
        <f t="shared" si="4"/>
        <v>4</v>
      </c>
      <c r="V139" s="3" t="str">
        <f t="shared" si="5"/>
        <v>dotted blue</v>
      </c>
      <c r="W139" s="3">
        <f t="shared" si="6"/>
        <v>2</v>
      </c>
      <c r="X139" s="3" t="str">
        <f t="shared" si="7"/>
        <v>dim silver</v>
      </c>
      <c r="Y139" s="3" t="str">
        <f t="shared" si="8"/>
        <v/>
      </c>
      <c r="Z139" s="3" t="str">
        <f t="shared" si="9"/>
        <v/>
      </c>
      <c r="AA139" s="13">
        <f t="shared" si="10"/>
        <v>294808767</v>
      </c>
      <c r="AB139" s="3">
        <f t="shared" si="11"/>
        <v>294808766</v>
      </c>
      <c r="AC139" s="3">
        <f t="shared" si="12"/>
        <v>2</v>
      </c>
      <c r="AD139" s="3">
        <f t="shared" si="13"/>
        <v>1794</v>
      </c>
      <c r="AE139" s="3">
        <f t="shared" si="14"/>
        <v>4</v>
      </c>
      <c r="AF139" s="3">
        <f t="shared" si="15"/>
        <v>5837626</v>
      </c>
      <c r="AG139" s="3">
        <f t="shared" si="16"/>
        <v>2</v>
      </c>
      <c r="AH139" s="3">
        <f t="shared" si="17"/>
        <v>135727337</v>
      </c>
      <c r="AI139" s="3" t="str">
        <f t="shared" si="18"/>
        <v/>
      </c>
      <c r="AJ139" s="3">
        <f t="shared" si="19"/>
        <v>0</v>
      </c>
    </row>
    <row r="140">
      <c r="C140" s="6" t="s">
        <v>140</v>
      </c>
      <c r="D140" s="3">
        <f t="shared" si="1"/>
        <v>1</v>
      </c>
      <c r="E140" s="3" t="str">
        <f>IFERROR(__xludf.DUMMYFUNCTION("REGEXEXTRACT(C140,""[^ ]* [^ ]*"")"),"drab silver")</f>
        <v>drab silver</v>
      </c>
      <c r="F140" s="3" t="str">
        <f>IFERROR(__xludf.DUMMYFUNCTION("MID(REGEXEXTRACT(C140,""contain.*$""),9,300)"),"5 clear blue bags, 4 pale bronze bags.")</f>
        <v>5 clear blue bags, 4 pale bronze bags.</v>
      </c>
      <c r="G140" s="3" t="str">
        <f>IFERROR(__xludf.DUMMYFUNCTION("INDEX(SPLIT($F140,"",""),COLUMN()-6)"),"5 clear blue bags")</f>
        <v>5 clear blue bags</v>
      </c>
      <c r="H140" s="3" t="str">
        <f>IFERROR(__xludf.DUMMYFUNCTION("MID(INDEX(SPLIT($F140,"",""),COLUMN()-6),2,300)"),"4 pale bronze bags.")</f>
        <v>4 pale bronze bags.</v>
      </c>
      <c r="I140" s="3" t="str">
        <f>IFERROR(__xludf.DUMMYFUNCTION("MID(INDEX(SPLIT($F140,"",""),COLUMN()-6),2,300)"),"#REF!")</f>
        <v>#REF!</v>
      </c>
      <c r="J140" s="3" t="str">
        <f>IFERROR(__xludf.DUMMYFUNCTION("MID(INDEX(SPLIT($F140,"",""),COLUMN()-6),2,300)"),"#REF!")</f>
        <v>#REF!</v>
      </c>
      <c r="K140" s="3">
        <f>IFERROR(__xludf.DUMMYFUNCTION("INDEX(SPLIT(G140,"" ""),1)"),5.0)</f>
        <v>5</v>
      </c>
      <c r="L140" s="3" t="str">
        <f>IFERROR(__xludf.DUMMYFUNCTION("REGEXEXTRACT(G140,"" [^ ]* [^ ]* "")")," clear blue ")</f>
        <v> clear blue </v>
      </c>
      <c r="M140" s="3">
        <f>IFERROR(__xludf.DUMMYFUNCTION("INDEX(SPLIT(H140,"" ""),1)"),4.0)</f>
        <v>4</v>
      </c>
      <c r="N140" s="3" t="str">
        <f>IFERROR(__xludf.DUMMYFUNCTION("MID(REGEXEXTRACT(H140,"" [^ ]* [^ ]*""),2,300)"),"pale bronze")</f>
        <v>pale bronze</v>
      </c>
      <c r="O140" s="3" t="str">
        <f>IFERROR(__xludf.DUMMYFUNCTION("INDEX(SPLIT(I140,"" ""),1)"),"#REF!")</f>
        <v>#REF!</v>
      </c>
      <c r="P140" s="3" t="str">
        <f>IFERROR(__xludf.DUMMYFUNCTION("MID(REGEXEXTRACT(I140,"" [^ ]* [^ ]*""),2,300)"),"#REF!")</f>
        <v>#REF!</v>
      </c>
      <c r="Q140" s="3" t="str">
        <f>IFERROR(__xludf.DUMMYFUNCTION("INDEX(SPLIT(J140,"" ""),1)"),"#REF!")</f>
        <v>#REF!</v>
      </c>
      <c r="R140" s="3" t="str">
        <f>IFERROR(__xludf.DUMMYFUNCTION("MID(REGEXEXTRACT(J140,"" [^ ]* [^ ]*""),2,300)"),"#REF!")</f>
        <v>#REF!</v>
      </c>
      <c r="S140" s="3">
        <f t="shared" si="2"/>
        <v>5</v>
      </c>
      <c r="T140" s="3" t="str">
        <f t="shared" si="3"/>
        <v>clear blue</v>
      </c>
      <c r="U140" s="3">
        <f t="shared" si="4"/>
        <v>4</v>
      </c>
      <c r="V140" s="3" t="str">
        <f t="shared" si="5"/>
        <v>pale bronze</v>
      </c>
      <c r="W140" s="3" t="str">
        <f t="shared" si="6"/>
        <v/>
      </c>
      <c r="X140" s="3" t="str">
        <f t="shared" si="7"/>
        <v/>
      </c>
      <c r="Y140" s="3" t="str">
        <f t="shared" si="8"/>
        <v/>
      </c>
      <c r="Z140" s="3" t="str">
        <f t="shared" si="9"/>
        <v/>
      </c>
      <c r="AA140" s="13">
        <f t="shared" si="10"/>
        <v>7557</v>
      </c>
      <c r="AB140" s="3">
        <f t="shared" si="11"/>
        <v>7556</v>
      </c>
      <c r="AC140" s="3">
        <f t="shared" si="12"/>
        <v>5</v>
      </c>
      <c r="AD140" s="3">
        <f t="shared" si="13"/>
        <v>76</v>
      </c>
      <c r="AE140" s="3">
        <f t="shared" si="14"/>
        <v>4</v>
      </c>
      <c r="AF140" s="3">
        <f t="shared" si="15"/>
        <v>1794</v>
      </c>
      <c r="AG140" s="3" t="str">
        <f t="shared" si="16"/>
        <v/>
      </c>
      <c r="AH140" s="3">
        <f t="shared" si="17"/>
        <v>0</v>
      </c>
      <c r="AI140" s="3" t="str">
        <f t="shared" si="18"/>
        <v/>
      </c>
      <c r="AJ140" s="3">
        <f t="shared" si="19"/>
        <v>0</v>
      </c>
    </row>
    <row r="141">
      <c r="C141" s="6" t="s">
        <v>141</v>
      </c>
      <c r="D141" s="3">
        <f t="shared" si="1"/>
        <v>2</v>
      </c>
      <c r="E141" s="3" t="str">
        <f>IFERROR(__xludf.DUMMYFUNCTION("REGEXEXTRACT(C141,""[^ ]* [^ ]*"")"),"clear salmon")</f>
        <v>clear salmon</v>
      </c>
      <c r="F141" s="3" t="str">
        <f>IFERROR(__xludf.DUMMYFUNCTION("MID(REGEXEXTRACT(C141,""contain.*$""),9,300)"),"2 pale aqua bags, 1 plaid gray bag, 1 clear coral bag.")</f>
        <v>2 pale aqua bags, 1 plaid gray bag, 1 clear coral bag.</v>
      </c>
      <c r="G141" s="3" t="str">
        <f>IFERROR(__xludf.DUMMYFUNCTION("INDEX(SPLIT($F141,"",""),COLUMN()-6)"),"2 pale aqua bags")</f>
        <v>2 pale aqua bags</v>
      </c>
      <c r="H141" s="3" t="str">
        <f>IFERROR(__xludf.DUMMYFUNCTION("MID(INDEX(SPLIT($F141,"",""),COLUMN()-6),2,300)"),"1 plaid gray bag")</f>
        <v>1 plaid gray bag</v>
      </c>
      <c r="I141" s="3" t="str">
        <f>IFERROR(__xludf.DUMMYFUNCTION("MID(INDEX(SPLIT($F141,"",""),COLUMN()-6),2,300)"),"1 clear coral bag.")</f>
        <v>1 clear coral bag.</v>
      </c>
      <c r="J141" s="3" t="str">
        <f>IFERROR(__xludf.DUMMYFUNCTION("MID(INDEX(SPLIT($F141,"",""),COLUMN()-6),2,300)"),"#REF!")</f>
        <v>#REF!</v>
      </c>
      <c r="K141" s="3">
        <f>IFERROR(__xludf.DUMMYFUNCTION("INDEX(SPLIT(G141,"" ""),1)"),2.0)</f>
        <v>2</v>
      </c>
      <c r="L141" s="3" t="str">
        <f>IFERROR(__xludf.DUMMYFUNCTION("REGEXEXTRACT(G141,"" [^ ]* [^ ]* "")")," pale aqua ")</f>
        <v> pale aqua </v>
      </c>
      <c r="M141" s="3">
        <f>IFERROR(__xludf.DUMMYFUNCTION("INDEX(SPLIT(H141,"" ""),1)"),1.0)</f>
        <v>1</v>
      </c>
      <c r="N141" s="3" t="str">
        <f>IFERROR(__xludf.DUMMYFUNCTION("MID(REGEXEXTRACT(H141,"" [^ ]* [^ ]*""),2,300)"),"plaid gray")</f>
        <v>plaid gray</v>
      </c>
      <c r="O141" s="3">
        <f>IFERROR(__xludf.DUMMYFUNCTION("INDEX(SPLIT(I141,"" ""),1)"),1.0)</f>
        <v>1</v>
      </c>
      <c r="P141" s="3" t="str">
        <f>IFERROR(__xludf.DUMMYFUNCTION("MID(REGEXEXTRACT(I141,"" [^ ]* [^ ]*""),2,300)"),"clear coral")</f>
        <v>clear coral</v>
      </c>
      <c r="Q141" s="3" t="str">
        <f>IFERROR(__xludf.DUMMYFUNCTION("INDEX(SPLIT(J141,"" ""),1)"),"#REF!")</f>
        <v>#REF!</v>
      </c>
      <c r="R141" s="3" t="str">
        <f>IFERROR(__xludf.DUMMYFUNCTION("MID(REGEXEXTRACT(J141,"" [^ ]* [^ ]*""),2,300)"),"#REF!")</f>
        <v>#REF!</v>
      </c>
      <c r="S141" s="3">
        <f t="shared" si="2"/>
        <v>2</v>
      </c>
      <c r="T141" s="3" t="str">
        <f t="shared" si="3"/>
        <v>pale aqua</v>
      </c>
      <c r="U141" s="3">
        <f t="shared" si="4"/>
        <v>1</v>
      </c>
      <c r="V141" s="3" t="str">
        <f t="shared" si="5"/>
        <v>plaid gray</v>
      </c>
      <c r="W141" s="3">
        <f t="shared" si="6"/>
        <v>1</v>
      </c>
      <c r="X141" s="3" t="str">
        <f t="shared" si="7"/>
        <v>clear coral</v>
      </c>
      <c r="Y141" s="3" t="str">
        <f t="shared" si="8"/>
        <v/>
      </c>
      <c r="Z141" s="3" t="str">
        <f t="shared" si="9"/>
        <v/>
      </c>
      <c r="AA141" s="13">
        <f t="shared" si="10"/>
        <v>3156488</v>
      </c>
      <c r="AB141" s="3">
        <f t="shared" si="11"/>
        <v>3156487</v>
      </c>
      <c r="AC141" s="3">
        <f t="shared" si="12"/>
        <v>2</v>
      </c>
      <c r="AD141" s="3">
        <f t="shared" si="13"/>
        <v>1578216</v>
      </c>
      <c r="AE141" s="3">
        <f t="shared" si="14"/>
        <v>1</v>
      </c>
      <c r="AF141" s="3">
        <f t="shared" si="15"/>
        <v>54</v>
      </c>
      <c r="AG141" s="3">
        <f t="shared" si="16"/>
        <v>1</v>
      </c>
      <c r="AH141" s="3">
        <f t="shared" si="17"/>
        <v>1</v>
      </c>
      <c r="AI141" s="3" t="str">
        <f t="shared" si="18"/>
        <v/>
      </c>
      <c r="AJ141" s="3">
        <f t="shared" si="19"/>
        <v>0</v>
      </c>
    </row>
    <row r="142">
      <c r="C142" s="6" t="s">
        <v>142</v>
      </c>
      <c r="D142" s="3">
        <f t="shared" si="1"/>
        <v>0</v>
      </c>
      <c r="E142" s="3" t="str">
        <f>IFERROR(__xludf.DUMMYFUNCTION("REGEXEXTRACT(C142,""[^ ]* [^ ]*"")"),"wavy chartreuse")</f>
        <v>wavy chartreuse</v>
      </c>
      <c r="F142" s="3" t="str">
        <f>IFERROR(__xludf.DUMMYFUNCTION("MID(REGEXEXTRACT(C142,""contain.*$""),9,300)"),"no other bags.")</f>
        <v>no other bags.</v>
      </c>
      <c r="G142" s="3" t="str">
        <f>IFERROR(__xludf.DUMMYFUNCTION("INDEX(SPLIT($F142,"",""),COLUMN()-6)"),"no other bags.")</f>
        <v>no other bags.</v>
      </c>
      <c r="H142" s="3" t="str">
        <f>IFERROR(__xludf.DUMMYFUNCTION("MID(INDEX(SPLIT($F142,"",""),COLUMN()-6),2,300)"),"#REF!")</f>
        <v>#REF!</v>
      </c>
      <c r="I142" s="3" t="str">
        <f>IFERROR(__xludf.DUMMYFUNCTION("MID(INDEX(SPLIT($F142,"",""),COLUMN()-6),2,300)"),"#REF!")</f>
        <v>#REF!</v>
      </c>
      <c r="J142" s="3" t="str">
        <f>IFERROR(__xludf.DUMMYFUNCTION("MID(INDEX(SPLIT($F142,"",""),COLUMN()-6),2,300)"),"#REF!")</f>
        <v>#REF!</v>
      </c>
      <c r="K142" s="3" t="str">
        <f>IFERROR(__xludf.DUMMYFUNCTION("INDEX(SPLIT(G142,"" ""),1)"),"no")</f>
        <v>no</v>
      </c>
      <c r="L142" s="3" t="str">
        <f>IFERROR(__xludf.DUMMYFUNCTION("REGEXEXTRACT(G142,"" [^ ]* [^ ]* "")"),"#N/A")</f>
        <v>#N/A</v>
      </c>
      <c r="M142" s="3" t="str">
        <f>IFERROR(__xludf.DUMMYFUNCTION("INDEX(SPLIT(H142,"" ""),1)"),"#REF!")</f>
        <v>#REF!</v>
      </c>
      <c r="N142" s="3" t="str">
        <f>IFERROR(__xludf.DUMMYFUNCTION("MID(REGEXEXTRACT(H142,"" [^ ]* [^ ]*""),2,300)"),"#REF!")</f>
        <v>#REF!</v>
      </c>
      <c r="O142" s="3" t="str">
        <f>IFERROR(__xludf.DUMMYFUNCTION("INDEX(SPLIT(I142,"" ""),1)"),"#REF!")</f>
        <v>#REF!</v>
      </c>
      <c r="P142" s="3" t="str">
        <f>IFERROR(__xludf.DUMMYFUNCTION("MID(REGEXEXTRACT(I142,"" [^ ]* [^ ]*""),2,300)"),"#REF!")</f>
        <v>#REF!</v>
      </c>
      <c r="Q142" s="3" t="str">
        <f>IFERROR(__xludf.DUMMYFUNCTION("INDEX(SPLIT(J142,"" ""),1)"),"#REF!")</f>
        <v>#REF!</v>
      </c>
      <c r="R142" s="3" t="str">
        <f>IFERROR(__xludf.DUMMYFUNCTION("MID(REGEXEXTRACT(J142,"" [^ ]* [^ ]*""),2,300)"),"#REF!")</f>
        <v>#REF!</v>
      </c>
      <c r="S142" s="3" t="str">
        <f t="shared" si="2"/>
        <v/>
      </c>
      <c r="T142" s="3" t="str">
        <f t="shared" si="3"/>
        <v/>
      </c>
      <c r="U142" s="3" t="str">
        <f t="shared" si="4"/>
        <v/>
      </c>
      <c r="V142" s="3" t="str">
        <f t="shared" si="5"/>
        <v/>
      </c>
      <c r="W142" s="3" t="str">
        <f t="shared" si="6"/>
        <v/>
      </c>
      <c r="X142" s="3" t="str">
        <f t="shared" si="7"/>
        <v/>
      </c>
      <c r="Y142" s="3" t="str">
        <f t="shared" si="8"/>
        <v/>
      </c>
      <c r="Z142" s="3" t="str">
        <f t="shared" si="9"/>
        <v/>
      </c>
      <c r="AA142" s="13">
        <f t="shared" si="10"/>
        <v>1</v>
      </c>
      <c r="AB142" s="3">
        <f t="shared" si="11"/>
        <v>0</v>
      </c>
      <c r="AC142" s="3" t="str">
        <f t="shared" si="12"/>
        <v/>
      </c>
      <c r="AD142" s="3">
        <f t="shared" si="13"/>
        <v>0</v>
      </c>
      <c r="AE142" s="3" t="str">
        <f t="shared" si="14"/>
        <v/>
      </c>
      <c r="AF142" s="3">
        <f t="shared" si="15"/>
        <v>0</v>
      </c>
      <c r="AG142" s="3" t="str">
        <f t="shared" si="16"/>
        <v/>
      </c>
      <c r="AH142" s="3">
        <f t="shared" si="17"/>
        <v>0</v>
      </c>
      <c r="AI142" s="3" t="str">
        <f t="shared" si="18"/>
        <v/>
      </c>
      <c r="AJ142" s="3">
        <f t="shared" si="19"/>
        <v>0</v>
      </c>
    </row>
    <row r="143">
      <c r="C143" s="6" t="s">
        <v>143</v>
      </c>
      <c r="D143" s="3">
        <f t="shared" si="1"/>
        <v>3</v>
      </c>
      <c r="E143" s="3" t="str">
        <f>IFERROR(__xludf.DUMMYFUNCTION("REGEXEXTRACT(C143,""[^ ]* [^ ]*"")"),"dull plum")</f>
        <v>dull plum</v>
      </c>
      <c r="F143" s="3" t="str">
        <f>IFERROR(__xludf.DUMMYFUNCTION("MID(REGEXEXTRACT(C143,""contain.*$""),9,300)"),"3 plaid gray bags, 3 plaid aqua bags, 2 mirrored beige bags, 2 wavy magenta bags.")</f>
        <v>3 plaid gray bags, 3 plaid aqua bags, 2 mirrored beige bags, 2 wavy magenta bags.</v>
      </c>
      <c r="G143" s="3" t="str">
        <f>IFERROR(__xludf.DUMMYFUNCTION("INDEX(SPLIT($F143,"",""),COLUMN()-6)"),"3 plaid gray bags")</f>
        <v>3 plaid gray bags</v>
      </c>
      <c r="H143" s="3" t="str">
        <f>IFERROR(__xludf.DUMMYFUNCTION("MID(INDEX(SPLIT($F143,"",""),COLUMN()-6),2,300)"),"3 plaid aqua bags")</f>
        <v>3 plaid aqua bags</v>
      </c>
      <c r="I143" s="3" t="str">
        <f>IFERROR(__xludf.DUMMYFUNCTION("MID(INDEX(SPLIT($F143,"",""),COLUMN()-6),2,300)"),"2 mirrored beige bags")</f>
        <v>2 mirrored beige bags</v>
      </c>
      <c r="J143" s="3" t="str">
        <f>IFERROR(__xludf.DUMMYFUNCTION("MID(INDEX(SPLIT($F143,"",""),COLUMN()-6),2,300)"),"2 wavy magenta bags.")</f>
        <v>2 wavy magenta bags.</v>
      </c>
      <c r="K143" s="3">
        <f>IFERROR(__xludf.DUMMYFUNCTION("INDEX(SPLIT(G143,"" ""),1)"),3.0)</f>
        <v>3</v>
      </c>
      <c r="L143" s="3" t="str">
        <f>IFERROR(__xludf.DUMMYFUNCTION("REGEXEXTRACT(G143,"" [^ ]* [^ ]* "")")," plaid gray ")</f>
        <v> plaid gray </v>
      </c>
      <c r="M143" s="3">
        <f>IFERROR(__xludf.DUMMYFUNCTION("INDEX(SPLIT(H143,"" ""),1)"),3.0)</f>
        <v>3</v>
      </c>
      <c r="N143" s="3" t="str">
        <f>IFERROR(__xludf.DUMMYFUNCTION("MID(REGEXEXTRACT(H143,"" [^ ]* [^ ]*""),2,300)"),"plaid aqua")</f>
        <v>plaid aqua</v>
      </c>
      <c r="O143" s="3">
        <f>IFERROR(__xludf.DUMMYFUNCTION("INDEX(SPLIT(I143,"" ""),1)"),2.0)</f>
        <v>2</v>
      </c>
      <c r="P143" s="3" t="str">
        <f>IFERROR(__xludf.DUMMYFUNCTION("MID(REGEXEXTRACT(I143,"" [^ ]* [^ ]*""),2,300)"),"mirrored beige")</f>
        <v>mirrored beige</v>
      </c>
      <c r="Q143" s="3">
        <f>IFERROR(__xludf.DUMMYFUNCTION("INDEX(SPLIT(J143,"" ""),1)"),2.0)</f>
        <v>2</v>
      </c>
      <c r="R143" s="3" t="str">
        <f>IFERROR(__xludf.DUMMYFUNCTION("MID(REGEXEXTRACT(J143,"" [^ ]* [^ ]*""),2,300)"),"wavy magenta")</f>
        <v>wavy magenta</v>
      </c>
      <c r="S143" s="3">
        <f t="shared" si="2"/>
        <v>3</v>
      </c>
      <c r="T143" s="3" t="str">
        <f t="shared" si="3"/>
        <v>plaid gray</v>
      </c>
      <c r="U143" s="3">
        <f t="shared" si="4"/>
        <v>3</v>
      </c>
      <c r="V143" s="3" t="str">
        <f t="shared" si="5"/>
        <v>plaid aqua</v>
      </c>
      <c r="W143" s="3">
        <f t="shared" si="6"/>
        <v>2</v>
      </c>
      <c r="X143" s="3" t="str">
        <f t="shared" si="7"/>
        <v>mirrored beige</v>
      </c>
      <c r="Y143" s="3">
        <f t="shared" si="8"/>
        <v>2</v>
      </c>
      <c r="Z143" s="3" t="str">
        <f t="shared" si="9"/>
        <v>wavy magenta</v>
      </c>
      <c r="AA143" s="13">
        <f t="shared" si="10"/>
        <v>13545768</v>
      </c>
      <c r="AB143" s="3">
        <f t="shared" si="11"/>
        <v>13545767</v>
      </c>
      <c r="AC143" s="3">
        <f t="shared" si="12"/>
        <v>3</v>
      </c>
      <c r="AD143" s="3">
        <f t="shared" si="13"/>
        <v>54</v>
      </c>
      <c r="AE143" s="3">
        <f t="shared" si="14"/>
        <v>3</v>
      </c>
      <c r="AF143" s="3">
        <f t="shared" si="15"/>
        <v>1</v>
      </c>
      <c r="AG143" s="3">
        <f t="shared" si="16"/>
        <v>2</v>
      </c>
      <c r="AH143" s="3">
        <f t="shared" si="17"/>
        <v>598224</v>
      </c>
      <c r="AI143" s="3">
        <f t="shared" si="18"/>
        <v>2</v>
      </c>
      <c r="AJ143" s="3">
        <f t="shared" si="19"/>
        <v>6174577</v>
      </c>
    </row>
    <row r="144">
      <c r="C144" s="6" t="s">
        <v>144</v>
      </c>
      <c r="D144" s="3">
        <f t="shared" si="1"/>
        <v>3</v>
      </c>
      <c r="E144" s="3" t="str">
        <f>IFERROR(__xludf.DUMMYFUNCTION("REGEXEXTRACT(C144,""[^ ]* [^ ]*"")"),"faded gray")</f>
        <v>faded gray</v>
      </c>
      <c r="F144" s="3" t="str">
        <f>IFERROR(__xludf.DUMMYFUNCTION("MID(REGEXEXTRACT(C144,""contain.*$""),9,300)"),"2 dull cyan bags, 3 light lime bags, 3 bright lavender bags, 5 wavy plum bags.")</f>
        <v>2 dull cyan bags, 3 light lime bags, 3 bright lavender bags, 5 wavy plum bags.</v>
      </c>
      <c r="G144" s="3" t="str">
        <f>IFERROR(__xludf.DUMMYFUNCTION("INDEX(SPLIT($F144,"",""),COLUMN()-6)"),"2 dull cyan bags")</f>
        <v>2 dull cyan bags</v>
      </c>
      <c r="H144" s="3" t="str">
        <f>IFERROR(__xludf.DUMMYFUNCTION("MID(INDEX(SPLIT($F144,"",""),COLUMN()-6),2,300)"),"3 light lime bags")</f>
        <v>3 light lime bags</v>
      </c>
      <c r="I144" s="3" t="str">
        <f>IFERROR(__xludf.DUMMYFUNCTION("MID(INDEX(SPLIT($F144,"",""),COLUMN()-6),2,300)"),"3 bright lavender bags")</f>
        <v>3 bright lavender bags</v>
      </c>
      <c r="J144" s="3" t="str">
        <f>IFERROR(__xludf.DUMMYFUNCTION("MID(INDEX(SPLIT($F144,"",""),COLUMN()-6),2,300)"),"5 wavy plum bags.")</f>
        <v>5 wavy plum bags.</v>
      </c>
      <c r="K144" s="3">
        <f>IFERROR(__xludf.DUMMYFUNCTION("INDEX(SPLIT(G144,"" ""),1)"),2.0)</f>
        <v>2</v>
      </c>
      <c r="L144" s="3" t="str">
        <f>IFERROR(__xludf.DUMMYFUNCTION("REGEXEXTRACT(G144,"" [^ ]* [^ ]* "")")," dull cyan ")</f>
        <v> dull cyan </v>
      </c>
      <c r="M144" s="3">
        <f>IFERROR(__xludf.DUMMYFUNCTION("INDEX(SPLIT(H144,"" ""),1)"),3.0)</f>
        <v>3</v>
      </c>
      <c r="N144" s="3" t="str">
        <f>IFERROR(__xludf.DUMMYFUNCTION("MID(REGEXEXTRACT(H144,"" [^ ]* [^ ]*""),2,300)"),"light lime")</f>
        <v>light lime</v>
      </c>
      <c r="O144" s="3">
        <f>IFERROR(__xludf.DUMMYFUNCTION("INDEX(SPLIT(I144,"" ""),1)"),3.0)</f>
        <v>3</v>
      </c>
      <c r="P144" s="3" t="str">
        <f>IFERROR(__xludf.DUMMYFUNCTION("MID(REGEXEXTRACT(I144,"" [^ ]* [^ ]*""),2,300)"),"bright lavender")</f>
        <v>bright lavender</v>
      </c>
      <c r="Q144" s="3">
        <f>IFERROR(__xludf.DUMMYFUNCTION("INDEX(SPLIT(J144,"" ""),1)"),5.0)</f>
        <v>5</v>
      </c>
      <c r="R144" s="3" t="str">
        <f>IFERROR(__xludf.DUMMYFUNCTION("MID(REGEXEXTRACT(J144,"" [^ ]* [^ ]*""),2,300)"),"wavy plum")</f>
        <v>wavy plum</v>
      </c>
      <c r="S144" s="3">
        <f t="shared" si="2"/>
        <v>2</v>
      </c>
      <c r="T144" s="3" t="str">
        <f t="shared" si="3"/>
        <v>dull cyan</v>
      </c>
      <c r="U144" s="3">
        <f t="shared" si="4"/>
        <v>3</v>
      </c>
      <c r="V144" s="3" t="str">
        <f t="shared" si="5"/>
        <v>light lime</v>
      </c>
      <c r="W144" s="3">
        <f t="shared" si="6"/>
        <v>3</v>
      </c>
      <c r="X144" s="3" t="str">
        <f t="shared" si="7"/>
        <v>bright lavender</v>
      </c>
      <c r="Y144" s="3">
        <f t="shared" si="8"/>
        <v>5</v>
      </c>
      <c r="Z144" s="3" t="str">
        <f t="shared" si="9"/>
        <v>wavy plum</v>
      </c>
      <c r="AA144" s="13">
        <f t="shared" si="10"/>
        <v>442764016</v>
      </c>
      <c r="AB144" s="3">
        <f t="shared" si="11"/>
        <v>442764015</v>
      </c>
      <c r="AC144" s="3">
        <f t="shared" si="12"/>
        <v>2</v>
      </c>
      <c r="AD144" s="3">
        <f t="shared" si="13"/>
        <v>3008</v>
      </c>
      <c r="AE144" s="3">
        <f t="shared" si="14"/>
        <v>3</v>
      </c>
      <c r="AF144" s="3">
        <f t="shared" si="15"/>
        <v>147338859</v>
      </c>
      <c r="AG144" s="3">
        <f t="shared" si="16"/>
        <v>3</v>
      </c>
      <c r="AH144" s="3">
        <f t="shared" si="17"/>
        <v>164</v>
      </c>
      <c r="AI144" s="3">
        <f t="shared" si="18"/>
        <v>5</v>
      </c>
      <c r="AJ144" s="3">
        <f t="shared" si="19"/>
        <v>148186</v>
      </c>
    </row>
    <row r="145">
      <c r="C145" s="6" t="s">
        <v>145</v>
      </c>
      <c r="D145" s="3">
        <f t="shared" si="1"/>
        <v>0</v>
      </c>
      <c r="E145" s="3" t="str">
        <f>IFERROR(__xludf.DUMMYFUNCTION("REGEXEXTRACT(C145,""[^ ]* [^ ]*"")"),"striped teal")</f>
        <v>striped teal</v>
      </c>
      <c r="F145" s="3" t="str">
        <f>IFERROR(__xludf.DUMMYFUNCTION("MID(REGEXEXTRACT(C145,""contain.*$""),9,300)"),"4 drab maroon bags.")</f>
        <v>4 drab maroon bags.</v>
      </c>
      <c r="G145" s="3" t="str">
        <f>IFERROR(__xludf.DUMMYFUNCTION("INDEX(SPLIT($F145,"",""),COLUMN()-6)"),"4 drab maroon bags.")</f>
        <v>4 drab maroon bags.</v>
      </c>
      <c r="H145" s="3" t="str">
        <f>IFERROR(__xludf.DUMMYFUNCTION("MID(INDEX(SPLIT($F145,"",""),COLUMN()-6),2,300)"),"#REF!")</f>
        <v>#REF!</v>
      </c>
      <c r="I145" s="3" t="str">
        <f>IFERROR(__xludf.DUMMYFUNCTION("MID(INDEX(SPLIT($F145,"",""),COLUMN()-6),2,300)"),"#REF!")</f>
        <v>#REF!</v>
      </c>
      <c r="J145" s="3" t="str">
        <f>IFERROR(__xludf.DUMMYFUNCTION("MID(INDEX(SPLIT($F145,"",""),COLUMN()-6),2,300)"),"#REF!")</f>
        <v>#REF!</v>
      </c>
      <c r="K145" s="3">
        <f>IFERROR(__xludf.DUMMYFUNCTION("INDEX(SPLIT(G145,"" ""),1)"),4.0)</f>
        <v>4</v>
      </c>
      <c r="L145" s="3" t="str">
        <f>IFERROR(__xludf.DUMMYFUNCTION("REGEXEXTRACT(G145,"" [^ ]* [^ ]* "")")," drab maroon ")</f>
        <v> drab maroon </v>
      </c>
      <c r="M145" s="3" t="str">
        <f>IFERROR(__xludf.DUMMYFUNCTION("INDEX(SPLIT(H145,"" ""),1)"),"#REF!")</f>
        <v>#REF!</v>
      </c>
      <c r="N145" s="3" t="str">
        <f>IFERROR(__xludf.DUMMYFUNCTION("MID(REGEXEXTRACT(H145,"" [^ ]* [^ ]*""),2,300)"),"#REF!")</f>
        <v>#REF!</v>
      </c>
      <c r="O145" s="3" t="str">
        <f>IFERROR(__xludf.DUMMYFUNCTION("INDEX(SPLIT(I145,"" ""),1)"),"#REF!")</f>
        <v>#REF!</v>
      </c>
      <c r="P145" s="3" t="str">
        <f>IFERROR(__xludf.DUMMYFUNCTION("MID(REGEXEXTRACT(I145,"" [^ ]* [^ ]*""),2,300)"),"#REF!")</f>
        <v>#REF!</v>
      </c>
      <c r="Q145" s="3" t="str">
        <f>IFERROR(__xludf.DUMMYFUNCTION("INDEX(SPLIT(J145,"" ""),1)"),"#REF!")</f>
        <v>#REF!</v>
      </c>
      <c r="R145" s="3" t="str">
        <f>IFERROR(__xludf.DUMMYFUNCTION("MID(REGEXEXTRACT(J145,"" [^ ]* [^ ]*""),2,300)"),"#REF!")</f>
        <v>#REF!</v>
      </c>
      <c r="S145" s="3">
        <f t="shared" si="2"/>
        <v>4</v>
      </c>
      <c r="T145" s="3" t="str">
        <f t="shared" si="3"/>
        <v>drab maroon</v>
      </c>
      <c r="U145" s="3" t="str">
        <f t="shared" si="4"/>
        <v/>
      </c>
      <c r="V145" s="3" t="str">
        <f t="shared" si="5"/>
        <v/>
      </c>
      <c r="W145" s="3" t="str">
        <f t="shared" si="6"/>
        <v/>
      </c>
      <c r="X145" s="3" t="str">
        <f t="shared" si="7"/>
        <v/>
      </c>
      <c r="Y145" s="3" t="str">
        <f t="shared" si="8"/>
        <v/>
      </c>
      <c r="Z145" s="3" t="str">
        <f t="shared" si="9"/>
        <v/>
      </c>
      <c r="AA145" s="13">
        <f t="shared" si="10"/>
        <v>14389</v>
      </c>
      <c r="AB145" s="3">
        <f t="shared" si="11"/>
        <v>14388</v>
      </c>
      <c r="AC145" s="3">
        <f t="shared" si="12"/>
        <v>4</v>
      </c>
      <c r="AD145" s="3">
        <f t="shared" si="13"/>
        <v>3597</v>
      </c>
      <c r="AE145" s="3" t="str">
        <f t="shared" si="14"/>
        <v/>
      </c>
      <c r="AF145" s="3">
        <f t="shared" si="15"/>
        <v>0</v>
      </c>
      <c r="AG145" s="3" t="str">
        <f t="shared" si="16"/>
        <v/>
      </c>
      <c r="AH145" s="3">
        <f t="shared" si="17"/>
        <v>0</v>
      </c>
      <c r="AI145" s="3" t="str">
        <f t="shared" si="18"/>
        <v/>
      </c>
      <c r="AJ145" s="3">
        <f t="shared" si="19"/>
        <v>0</v>
      </c>
    </row>
    <row r="146">
      <c r="C146" s="6" t="s">
        <v>146</v>
      </c>
      <c r="D146" s="3">
        <f t="shared" si="1"/>
        <v>3</v>
      </c>
      <c r="E146" s="3" t="str">
        <f>IFERROR(__xludf.DUMMYFUNCTION("REGEXEXTRACT(C146,""[^ ]* [^ ]*"")"),"clear lavender")</f>
        <v>clear lavender</v>
      </c>
      <c r="F146" s="3" t="str">
        <f>IFERROR(__xludf.DUMMYFUNCTION("MID(REGEXEXTRACT(C146,""contain.*$""),9,300)"),"3 clear coral bags, 5 bright crimson bags, 5 drab brown bags, 2 dim indigo bags.")</f>
        <v>3 clear coral bags, 5 bright crimson bags, 5 drab brown bags, 2 dim indigo bags.</v>
      </c>
      <c r="G146" s="3" t="str">
        <f>IFERROR(__xludf.DUMMYFUNCTION("INDEX(SPLIT($F146,"",""),COLUMN()-6)"),"3 clear coral bags")</f>
        <v>3 clear coral bags</v>
      </c>
      <c r="H146" s="3" t="str">
        <f>IFERROR(__xludf.DUMMYFUNCTION("MID(INDEX(SPLIT($F146,"",""),COLUMN()-6),2,300)"),"5 bright crimson bags")</f>
        <v>5 bright crimson bags</v>
      </c>
      <c r="I146" s="3" t="str">
        <f>IFERROR(__xludf.DUMMYFUNCTION("MID(INDEX(SPLIT($F146,"",""),COLUMN()-6),2,300)"),"5 drab brown bags")</f>
        <v>5 drab brown bags</v>
      </c>
      <c r="J146" s="3" t="str">
        <f>IFERROR(__xludf.DUMMYFUNCTION("MID(INDEX(SPLIT($F146,"",""),COLUMN()-6),2,300)"),"2 dim indigo bags.")</f>
        <v>2 dim indigo bags.</v>
      </c>
      <c r="K146" s="3">
        <f>IFERROR(__xludf.DUMMYFUNCTION("INDEX(SPLIT(G146,"" ""),1)"),3.0)</f>
        <v>3</v>
      </c>
      <c r="L146" s="3" t="str">
        <f>IFERROR(__xludf.DUMMYFUNCTION("REGEXEXTRACT(G146,"" [^ ]* [^ ]* "")")," clear coral ")</f>
        <v> clear coral </v>
      </c>
      <c r="M146" s="3">
        <f>IFERROR(__xludf.DUMMYFUNCTION("INDEX(SPLIT(H146,"" ""),1)"),5.0)</f>
        <v>5</v>
      </c>
      <c r="N146" s="3" t="str">
        <f>IFERROR(__xludf.DUMMYFUNCTION("MID(REGEXEXTRACT(H146,"" [^ ]* [^ ]*""),2,300)"),"bright crimson")</f>
        <v>bright crimson</v>
      </c>
      <c r="O146" s="3">
        <f>IFERROR(__xludf.DUMMYFUNCTION("INDEX(SPLIT(I146,"" ""),1)"),5.0)</f>
        <v>5</v>
      </c>
      <c r="P146" s="3" t="str">
        <f>IFERROR(__xludf.DUMMYFUNCTION("MID(REGEXEXTRACT(I146,"" [^ ]* [^ ]*""),2,300)"),"drab brown")</f>
        <v>drab brown</v>
      </c>
      <c r="Q146" s="3">
        <f>IFERROR(__xludf.DUMMYFUNCTION("INDEX(SPLIT(J146,"" ""),1)"),2.0)</f>
        <v>2</v>
      </c>
      <c r="R146" s="3" t="str">
        <f>IFERROR(__xludf.DUMMYFUNCTION("MID(REGEXEXTRACT(J146,"" [^ ]* [^ ]*""),2,300)"),"dim indigo")</f>
        <v>dim indigo</v>
      </c>
      <c r="S146" s="3">
        <f t="shared" si="2"/>
        <v>3</v>
      </c>
      <c r="T146" s="3" t="str">
        <f t="shared" si="3"/>
        <v>clear coral</v>
      </c>
      <c r="U146" s="3">
        <f t="shared" si="4"/>
        <v>5</v>
      </c>
      <c r="V146" s="3" t="str">
        <f t="shared" si="5"/>
        <v>bright crimson</v>
      </c>
      <c r="W146" s="3">
        <f t="shared" si="6"/>
        <v>5</v>
      </c>
      <c r="X146" s="3" t="str">
        <f t="shared" si="7"/>
        <v>drab brown</v>
      </c>
      <c r="Y146" s="3">
        <f t="shared" si="8"/>
        <v>2</v>
      </c>
      <c r="Z146" s="3" t="str">
        <f t="shared" si="9"/>
        <v>dim indigo</v>
      </c>
      <c r="AA146" s="13">
        <f t="shared" si="10"/>
        <v>547348</v>
      </c>
      <c r="AB146" s="3">
        <f t="shared" si="11"/>
        <v>547347</v>
      </c>
      <c r="AC146" s="3">
        <f t="shared" si="12"/>
        <v>3</v>
      </c>
      <c r="AD146" s="3">
        <f t="shared" si="13"/>
        <v>1</v>
      </c>
      <c r="AE146" s="3">
        <f t="shared" si="14"/>
        <v>5</v>
      </c>
      <c r="AF146" s="3">
        <f t="shared" si="15"/>
        <v>773</v>
      </c>
      <c r="AG146" s="3">
        <f t="shared" si="16"/>
        <v>5</v>
      </c>
      <c r="AH146" s="3">
        <f t="shared" si="17"/>
        <v>96841</v>
      </c>
      <c r="AI146" s="3">
        <f t="shared" si="18"/>
        <v>2</v>
      </c>
      <c r="AJ146" s="3">
        <f t="shared" si="19"/>
        <v>29637</v>
      </c>
    </row>
    <row r="147">
      <c r="C147" s="6" t="s">
        <v>147</v>
      </c>
      <c r="D147" s="3">
        <f t="shared" si="1"/>
        <v>2</v>
      </c>
      <c r="E147" s="3" t="str">
        <f>IFERROR(__xludf.DUMMYFUNCTION("REGEXEXTRACT(C147,""[^ ]* [^ ]*"")"),"mirrored maroon")</f>
        <v>mirrored maroon</v>
      </c>
      <c r="F147" s="3" t="str">
        <f>IFERROR(__xludf.DUMMYFUNCTION("MID(REGEXEXTRACT(C147,""contain.*$""),9,300)"),"1 clear gray bag, 3 shiny salmon bags, 3 mirrored violet bags.")</f>
        <v>1 clear gray bag, 3 shiny salmon bags, 3 mirrored violet bags.</v>
      </c>
      <c r="G147" s="3" t="str">
        <f>IFERROR(__xludf.DUMMYFUNCTION("INDEX(SPLIT($F147,"",""),COLUMN()-6)"),"1 clear gray bag")</f>
        <v>1 clear gray bag</v>
      </c>
      <c r="H147" s="3" t="str">
        <f>IFERROR(__xludf.DUMMYFUNCTION("MID(INDEX(SPLIT($F147,"",""),COLUMN()-6),2,300)"),"3 shiny salmon bags")</f>
        <v>3 shiny salmon bags</v>
      </c>
      <c r="I147" s="3" t="str">
        <f>IFERROR(__xludf.DUMMYFUNCTION("MID(INDEX(SPLIT($F147,"",""),COLUMN()-6),2,300)"),"3 mirrored violet bags.")</f>
        <v>3 mirrored violet bags.</v>
      </c>
      <c r="J147" s="3" t="str">
        <f>IFERROR(__xludf.DUMMYFUNCTION("MID(INDEX(SPLIT($F147,"",""),COLUMN()-6),2,300)"),"#REF!")</f>
        <v>#REF!</v>
      </c>
      <c r="K147" s="3">
        <f>IFERROR(__xludf.DUMMYFUNCTION("INDEX(SPLIT(G147,"" ""),1)"),1.0)</f>
        <v>1</v>
      </c>
      <c r="L147" s="3" t="str">
        <f>IFERROR(__xludf.DUMMYFUNCTION("REGEXEXTRACT(G147,"" [^ ]* [^ ]* "")")," clear gray ")</f>
        <v> clear gray </v>
      </c>
      <c r="M147" s="3">
        <f>IFERROR(__xludf.DUMMYFUNCTION("INDEX(SPLIT(H147,"" ""),1)"),3.0)</f>
        <v>3</v>
      </c>
      <c r="N147" s="3" t="str">
        <f>IFERROR(__xludf.DUMMYFUNCTION("MID(REGEXEXTRACT(H147,"" [^ ]* [^ ]*""),2,300)"),"shiny salmon")</f>
        <v>shiny salmon</v>
      </c>
      <c r="O147" s="3">
        <f>IFERROR(__xludf.DUMMYFUNCTION("INDEX(SPLIT(I147,"" ""),1)"),3.0)</f>
        <v>3</v>
      </c>
      <c r="P147" s="3" t="str">
        <f>IFERROR(__xludf.DUMMYFUNCTION("MID(REGEXEXTRACT(I147,"" [^ ]* [^ ]*""),2,300)"),"mirrored violet")</f>
        <v>mirrored violet</v>
      </c>
      <c r="Q147" s="3" t="str">
        <f>IFERROR(__xludf.DUMMYFUNCTION("INDEX(SPLIT(J147,"" ""),1)"),"#REF!")</f>
        <v>#REF!</v>
      </c>
      <c r="R147" s="3" t="str">
        <f>IFERROR(__xludf.DUMMYFUNCTION("MID(REGEXEXTRACT(J147,"" [^ ]* [^ ]*""),2,300)"),"#REF!")</f>
        <v>#REF!</v>
      </c>
      <c r="S147" s="3">
        <f t="shared" si="2"/>
        <v>1</v>
      </c>
      <c r="T147" s="3" t="str">
        <f t="shared" si="3"/>
        <v>clear gray</v>
      </c>
      <c r="U147" s="3">
        <f t="shared" si="4"/>
        <v>3</v>
      </c>
      <c r="V147" s="3" t="str">
        <f t="shared" si="5"/>
        <v>shiny salmon</v>
      </c>
      <c r="W147" s="3">
        <f t="shared" si="6"/>
        <v>3</v>
      </c>
      <c r="X147" s="3" t="str">
        <f t="shared" si="7"/>
        <v>mirrored violet</v>
      </c>
      <c r="Y147" s="3" t="str">
        <f t="shared" si="8"/>
        <v/>
      </c>
      <c r="Z147" s="3" t="str">
        <f t="shared" si="9"/>
        <v/>
      </c>
      <c r="AA147" s="13">
        <f t="shared" si="10"/>
        <v>2263272</v>
      </c>
      <c r="AB147" s="3">
        <f t="shared" si="11"/>
        <v>2263271</v>
      </c>
      <c r="AC147" s="3">
        <f t="shared" si="12"/>
        <v>1</v>
      </c>
      <c r="AD147" s="3">
        <f t="shared" si="13"/>
        <v>594104</v>
      </c>
      <c r="AE147" s="3">
        <f t="shared" si="14"/>
        <v>3</v>
      </c>
      <c r="AF147" s="3">
        <f t="shared" si="15"/>
        <v>18112</v>
      </c>
      <c r="AG147" s="3">
        <f t="shared" si="16"/>
        <v>3</v>
      </c>
      <c r="AH147" s="3">
        <f t="shared" si="17"/>
        <v>538277</v>
      </c>
      <c r="AI147" s="3" t="str">
        <f t="shared" si="18"/>
        <v/>
      </c>
      <c r="AJ147" s="3">
        <f t="shared" si="19"/>
        <v>0</v>
      </c>
    </row>
    <row r="148">
      <c r="C148" s="6" t="s">
        <v>148</v>
      </c>
      <c r="D148" s="3">
        <f t="shared" si="1"/>
        <v>3</v>
      </c>
      <c r="E148" s="3" t="str">
        <f>IFERROR(__xludf.DUMMYFUNCTION("REGEXEXTRACT(C148,""[^ ]* [^ ]*"")"),"muted turquoise")</f>
        <v>muted turquoise</v>
      </c>
      <c r="F148" s="3" t="str">
        <f>IFERROR(__xludf.DUMMYFUNCTION("MID(REGEXEXTRACT(C148,""contain.*$""),9,300)"),"2 drab teal bags, 2 plaid plum bags, 4 plaid coral bags, 2 wavy chartreuse bags.")</f>
        <v>2 drab teal bags, 2 plaid plum bags, 4 plaid coral bags, 2 wavy chartreuse bags.</v>
      </c>
      <c r="G148" s="3" t="str">
        <f>IFERROR(__xludf.DUMMYFUNCTION("INDEX(SPLIT($F148,"",""),COLUMN()-6)"),"2 drab teal bags")</f>
        <v>2 drab teal bags</v>
      </c>
      <c r="H148" s="3" t="str">
        <f>IFERROR(__xludf.DUMMYFUNCTION("MID(INDEX(SPLIT($F148,"",""),COLUMN()-6),2,300)"),"2 plaid plum bags")</f>
        <v>2 plaid plum bags</v>
      </c>
      <c r="I148" s="3" t="str">
        <f>IFERROR(__xludf.DUMMYFUNCTION("MID(INDEX(SPLIT($F148,"",""),COLUMN()-6),2,300)"),"4 plaid coral bags")</f>
        <v>4 plaid coral bags</v>
      </c>
      <c r="J148" s="3" t="str">
        <f>IFERROR(__xludf.DUMMYFUNCTION("MID(INDEX(SPLIT($F148,"",""),COLUMN()-6),2,300)"),"2 wavy chartreuse bags.")</f>
        <v>2 wavy chartreuse bags.</v>
      </c>
      <c r="K148" s="3">
        <f>IFERROR(__xludf.DUMMYFUNCTION("INDEX(SPLIT(G148,"" ""),1)"),2.0)</f>
        <v>2</v>
      </c>
      <c r="L148" s="3" t="str">
        <f>IFERROR(__xludf.DUMMYFUNCTION("REGEXEXTRACT(G148,"" [^ ]* [^ ]* "")")," drab teal ")</f>
        <v> drab teal </v>
      </c>
      <c r="M148" s="3">
        <f>IFERROR(__xludf.DUMMYFUNCTION("INDEX(SPLIT(H148,"" ""),1)"),2.0)</f>
        <v>2</v>
      </c>
      <c r="N148" s="3" t="str">
        <f>IFERROR(__xludf.DUMMYFUNCTION("MID(REGEXEXTRACT(H148,"" [^ ]* [^ ]*""),2,300)"),"plaid plum")</f>
        <v>plaid plum</v>
      </c>
      <c r="O148" s="3">
        <f>IFERROR(__xludf.DUMMYFUNCTION("INDEX(SPLIT(I148,"" ""),1)"),4.0)</f>
        <v>4</v>
      </c>
      <c r="P148" s="3" t="str">
        <f>IFERROR(__xludf.DUMMYFUNCTION("MID(REGEXEXTRACT(I148,"" [^ ]* [^ ]*""),2,300)"),"plaid coral")</f>
        <v>plaid coral</v>
      </c>
      <c r="Q148" s="3">
        <f>IFERROR(__xludf.DUMMYFUNCTION("INDEX(SPLIT(J148,"" ""),1)"),2.0)</f>
        <v>2</v>
      </c>
      <c r="R148" s="3" t="str">
        <f>IFERROR(__xludf.DUMMYFUNCTION("MID(REGEXEXTRACT(J148,"" [^ ]* [^ ]*""),2,300)"),"wavy chartreuse")</f>
        <v>wavy chartreuse</v>
      </c>
      <c r="S148" s="3">
        <f t="shared" si="2"/>
        <v>2</v>
      </c>
      <c r="T148" s="3" t="str">
        <f t="shared" si="3"/>
        <v>drab teal</v>
      </c>
      <c r="U148" s="3">
        <f t="shared" si="4"/>
        <v>2</v>
      </c>
      <c r="V148" s="3" t="str">
        <f t="shared" si="5"/>
        <v>plaid plum</v>
      </c>
      <c r="W148" s="3">
        <f t="shared" si="6"/>
        <v>4</v>
      </c>
      <c r="X148" s="3" t="str">
        <f t="shared" si="7"/>
        <v>plaid coral</v>
      </c>
      <c r="Y148" s="3">
        <f t="shared" si="8"/>
        <v>2</v>
      </c>
      <c r="Z148" s="3" t="str">
        <f t="shared" si="9"/>
        <v>wavy chartreuse</v>
      </c>
      <c r="AA148" s="13">
        <f t="shared" si="10"/>
        <v>115360275</v>
      </c>
      <c r="AB148" s="3">
        <f t="shared" si="11"/>
        <v>115360274</v>
      </c>
      <c r="AC148" s="3">
        <f t="shared" si="12"/>
        <v>2</v>
      </c>
      <c r="AD148" s="3">
        <f t="shared" si="13"/>
        <v>40693</v>
      </c>
      <c r="AE148" s="3">
        <f t="shared" si="14"/>
        <v>2</v>
      </c>
      <c r="AF148" s="3">
        <f t="shared" si="15"/>
        <v>3599</v>
      </c>
      <c r="AG148" s="3">
        <f t="shared" si="16"/>
        <v>4</v>
      </c>
      <c r="AH148" s="3">
        <f t="shared" si="17"/>
        <v>28817922</v>
      </c>
      <c r="AI148" s="3">
        <f t="shared" si="18"/>
        <v>2</v>
      </c>
      <c r="AJ148" s="3">
        <f t="shared" si="19"/>
        <v>1</v>
      </c>
    </row>
    <row r="149">
      <c r="C149" s="6" t="s">
        <v>149</v>
      </c>
      <c r="D149" s="3">
        <f t="shared" si="1"/>
        <v>3</v>
      </c>
      <c r="E149" s="3" t="str">
        <f>IFERROR(__xludf.DUMMYFUNCTION("REGEXEXTRACT(C149,""[^ ]* [^ ]*"")"),"dark white")</f>
        <v>dark white</v>
      </c>
      <c r="F149" s="3" t="str">
        <f>IFERROR(__xludf.DUMMYFUNCTION("MID(REGEXEXTRACT(C149,""contain.*$""),9,300)"),"4 bright fuchsia bags, 1 dull white bag, 3 shiny indigo bags, 3 dim white bags.")</f>
        <v>4 bright fuchsia bags, 1 dull white bag, 3 shiny indigo bags, 3 dim white bags.</v>
      </c>
      <c r="G149" s="3" t="str">
        <f>IFERROR(__xludf.DUMMYFUNCTION("INDEX(SPLIT($F149,"",""),COLUMN()-6)"),"4 bright fuchsia bags")</f>
        <v>4 bright fuchsia bags</v>
      </c>
      <c r="H149" s="3" t="str">
        <f>IFERROR(__xludf.DUMMYFUNCTION("MID(INDEX(SPLIT($F149,"",""),COLUMN()-6),2,300)"),"1 dull white bag")</f>
        <v>1 dull white bag</v>
      </c>
      <c r="I149" s="3" t="str">
        <f>IFERROR(__xludf.DUMMYFUNCTION("MID(INDEX(SPLIT($F149,"",""),COLUMN()-6),2,300)"),"3 shiny indigo bags")</f>
        <v>3 shiny indigo bags</v>
      </c>
      <c r="J149" s="3" t="str">
        <f>IFERROR(__xludf.DUMMYFUNCTION("MID(INDEX(SPLIT($F149,"",""),COLUMN()-6),2,300)"),"3 dim white bags.")</f>
        <v>3 dim white bags.</v>
      </c>
      <c r="K149" s="3">
        <f>IFERROR(__xludf.DUMMYFUNCTION("INDEX(SPLIT(G149,"" ""),1)"),4.0)</f>
        <v>4</v>
      </c>
      <c r="L149" s="3" t="str">
        <f>IFERROR(__xludf.DUMMYFUNCTION("REGEXEXTRACT(G149,"" [^ ]* [^ ]* "")")," bright fuchsia ")</f>
        <v> bright fuchsia </v>
      </c>
      <c r="M149" s="3">
        <f>IFERROR(__xludf.DUMMYFUNCTION("INDEX(SPLIT(H149,"" ""),1)"),1.0)</f>
        <v>1</v>
      </c>
      <c r="N149" s="3" t="str">
        <f>IFERROR(__xludf.DUMMYFUNCTION("MID(REGEXEXTRACT(H149,"" [^ ]* [^ ]*""),2,300)"),"dull white")</f>
        <v>dull white</v>
      </c>
      <c r="O149" s="3">
        <f>IFERROR(__xludf.DUMMYFUNCTION("INDEX(SPLIT(I149,"" ""),1)"),3.0)</f>
        <v>3</v>
      </c>
      <c r="P149" s="3" t="str">
        <f>IFERROR(__xludf.DUMMYFUNCTION("MID(REGEXEXTRACT(I149,"" [^ ]* [^ ]*""),2,300)"),"shiny indigo")</f>
        <v>shiny indigo</v>
      </c>
      <c r="Q149" s="3">
        <f>IFERROR(__xludf.DUMMYFUNCTION("INDEX(SPLIT(J149,"" ""),1)"),3.0)</f>
        <v>3</v>
      </c>
      <c r="R149" s="3" t="str">
        <f>IFERROR(__xludf.DUMMYFUNCTION("MID(REGEXEXTRACT(J149,"" [^ ]* [^ ]*""),2,300)"),"dim white")</f>
        <v>dim white</v>
      </c>
      <c r="S149" s="3">
        <f t="shared" si="2"/>
        <v>4</v>
      </c>
      <c r="T149" s="3" t="str">
        <f t="shared" si="3"/>
        <v>bright fuchsia</v>
      </c>
      <c r="U149" s="3">
        <f t="shared" si="4"/>
        <v>1</v>
      </c>
      <c r="V149" s="3" t="str">
        <f t="shared" si="5"/>
        <v>dull white</v>
      </c>
      <c r="W149" s="3">
        <f t="shared" si="6"/>
        <v>3</v>
      </c>
      <c r="X149" s="3" t="str">
        <f t="shared" si="7"/>
        <v>shiny indigo</v>
      </c>
      <c r="Y149" s="3">
        <f t="shared" si="8"/>
        <v>3</v>
      </c>
      <c r="Z149" s="3" t="str">
        <f t="shared" si="9"/>
        <v>dim white</v>
      </c>
      <c r="AA149" s="13">
        <f t="shared" si="10"/>
        <v>799970875</v>
      </c>
      <c r="AB149" s="3">
        <f t="shared" si="11"/>
        <v>799970874</v>
      </c>
      <c r="AC149" s="3">
        <f t="shared" si="12"/>
        <v>4</v>
      </c>
      <c r="AD149" s="3">
        <f t="shared" si="13"/>
        <v>12131</v>
      </c>
      <c r="AE149" s="3">
        <f t="shared" si="14"/>
        <v>1</v>
      </c>
      <c r="AF149" s="3">
        <f t="shared" si="15"/>
        <v>797608672</v>
      </c>
      <c r="AG149" s="3">
        <f t="shared" si="16"/>
        <v>3</v>
      </c>
      <c r="AH149" s="3">
        <f t="shared" si="17"/>
        <v>754536</v>
      </c>
      <c r="AI149" s="3">
        <f t="shared" si="18"/>
        <v>3</v>
      </c>
      <c r="AJ149" s="3">
        <f t="shared" si="19"/>
        <v>16690</v>
      </c>
    </row>
    <row r="150">
      <c r="C150" s="6" t="s">
        <v>150</v>
      </c>
      <c r="D150" s="3">
        <f t="shared" si="1"/>
        <v>1</v>
      </c>
      <c r="E150" s="3" t="str">
        <f>IFERROR(__xludf.DUMMYFUNCTION("REGEXEXTRACT(C150,""[^ ]* [^ ]*"")"),"drab red")</f>
        <v>drab red</v>
      </c>
      <c r="F150" s="3" t="str">
        <f>IFERROR(__xludf.DUMMYFUNCTION("MID(REGEXEXTRACT(C150,""contain.*$""),9,300)"),"3 dotted teal bags, 2 striped purple bags.")</f>
        <v>3 dotted teal bags, 2 striped purple bags.</v>
      </c>
      <c r="G150" s="3" t="str">
        <f>IFERROR(__xludf.DUMMYFUNCTION("INDEX(SPLIT($F150,"",""),COLUMN()-6)"),"3 dotted teal bags")</f>
        <v>3 dotted teal bags</v>
      </c>
      <c r="H150" s="3" t="str">
        <f>IFERROR(__xludf.DUMMYFUNCTION("MID(INDEX(SPLIT($F150,"",""),COLUMN()-6),2,300)"),"2 striped purple bags.")</f>
        <v>2 striped purple bags.</v>
      </c>
      <c r="I150" s="3" t="str">
        <f>IFERROR(__xludf.DUMMYFUNCTION("MID(INDEX(SPLIT($F150,"",""),COLUMN()-6),2,300)"),"#REF!")</f>
        <v>#REF!</v>
      </c>
      <c r="J150" s="3" t="str">
        <f>IFERROR(__xludf.DUMMYFUNCTION("MID(INDEX(SPLIT($F150,"",""),COLUMN()-6),2,300)"),"#REF!")</f>
        <v>#REF!</v>
      </c>
      <c r="K150" s="3">
        <f>IFERROR(__xludf.DUMMYFUNCTION("INDEX(SPLIT(G150,"" ""),1)"),3.0)</f>
        <v>3</v>
      </c>
      <c r="L150" s="3" t="str">
        <f>IFERROR(__xludf.DUMMYFUNCTION("REGEXEXTRACT(G150,"" [^ ]* [^ ]* "")")," dotted teal ")</f>
        <v> dotted teal </v>
      </c>
      <c r="M150" s="3">
        <f>IFERROR(__xludf.DUMMYFUNCTION("INDEX(SPLIT(H150,"" ""),1)"),2.0)</f>
        <v>2</v>
      </c>
      <c r="N150" s="3" t="str">
        <f>IFERROR(__xludf.DUMMYFUNCTION("MID(REGEXEXTRACT(H150,"" [^ ]* [^ ]*""),2,300)"),"striped purple")</f>
        <v>striped purple</v>
      </c>
      <c r="O150" s="3" t="str">
        <f>IFERROR(__xludf.DUMMYFUNCTION("INDEX(SPLIT(I150,"" ""),1)"),"#REF!")</f>
        <v>#REF!</v>
      </c>
      <c r="P150" s="3" t="str">
        <f>IFERROR(__xludf.DUMMYFUNCTION("MID(REGEXEXTRACT(I150,"" [^ ]* [^ ]*""),2,300)"),"#REF!")</f>
        <v>#REF!</v>
      </c>
      <c r="Q150" s="3" t="str">
        <f>IFERROR(__xludf.DUMMYFUNCTION("INDEX(SPLIT(J150,"" ""),1)"),"#REF!")</f>
        <v>#REF!</v>
      </c>
      <c r="R150" s="3" t="str">
        <f>IFERROR(__xludf.DUMMYFUNCTION("MID(REGEXEXTRACT(J150,"" [^ ]* [^ ]*""),2,300)"),"#REF!")</f>
        <v>#REF!</v>
      </c>
      <c r="S150" s="3">
        <f t="shared" si="2"/>
        <v>3</v>
      </c>
      <c r="T150" s="3" t="str">
        <f t="shared" si="3"/>
        <v>dotted teal</v>
      </c>
      <c r="U150" s="3">
        <f t="shared" si="4"/>
        <v>2</v>
      </c>
      <c r="V150" s="3" t="str">
        <f t="shared" si="5"/>
        <v>striped purple</v>
      </c>
      <c r="W150" s="3" t="str">
        <f t="shared" si="6"/>
        <v/>
      </c>
      <c r="X150" s="3" t="str">
        <f t="shared" si="7"/>
        <v/>
      </c>
      <c r="Y150" s="3" t="str">
        <f t="shared" si="8"/>
        <v/>
      </c>
      <c r="Z150" s="3" t="str">
        <f t="shared" si="9"/>
        <v/>
      </c>
      <c r="AA150" s="13">
        <f t="shared" si="10"/>
        <v>2585902199</v>
      </c>
      <c r="AB150" s="3">
        <f t="shared" si="11"/>
        <v>2585902198</v>
      </c>
      <c r="AC150" s="3">
        <f t="shared" si="12"/>
        <v>3</v>
      </c>
      <c r="AD150" s="3">
        <f t="shared" si="13"/>
        <v>797530850</v>
      </c>
      <c r="AE150" s="3">
        <f t="shared" si="14"/>
        <v>2</v>
      </c>
      <c r="AF150" s="3">
        <f t="shared" si="15"/>
        <v>96654824</v>
      </c>
      <c r="AG150" s="3" t="str">
        <f t="shared" si="16"/>
        <v/>
      </c>
      <c r="AH150" s="3">
        <f t="shared" si="17"/>
        <v>0</v>
      </c>
      <c r="AI150" s="3" t="str">
        <f t="shared" si="18"/>
        <v/>
      </c>
      <c r="AJ150" s="3">
        <f t="shared" si="19"/>
        <v>0</v>
      </c>
    </row>
    <row r="151">
      <c r="C151" s="6" t="s">
        <v>151</v>
      </c>
      <c r="D151" s="3">
        <f t="shared" si="1"/>
        <v>2</v>
      </c>
      <c r="E151" s="3" t="str">
        <f>IFERROR(__xludf.DUMMYFUNCTION("REGEXEXTRACT(C151,""[^ ]* [^ ]*"")"),"muted teal")</f>
        <v>muted teal</v>
      </c>
      <c r="F151" s="3" t="str">
        <f>IFERROR(__xludf.DUMMYFUNCTION("MID(REGEXEXTRACT(C151,""contain.*$""),9,300)"),"3 dark violet bags, 4 plaid chartreuse bags, 2 pale crimson bags.")</f>
        <v>3 dark violet bags, 4 plaid chartreuse bags, 2 pale crimson bags.</v>
      </c>
      <c r="G151" s="3" t="str">
        <f>IFERROR(__xludf.DUMMYFUNCTION("INDEX(SPLIT($F151,"",""),COLUMN()-6)"),"3 dark violet bags")</f>
        <v>3 dark violet bags</v>
      </c>
      <c r="H151" s="3" t="str">
        <f>IFERROR(__xludf.DUMMYFUNCTION("MID(INDEX(SPLIT($F151,"",""),COLUMN()-6),2,300)"),"4 plaid chartreuse bags")</f>
        <v>4 plaid chartreuse bags</v>
      </c>
      <c r="I151" s="3" t="str">
        <f>IFERROR(__xludf.DUMMYFUNCTION("MID(INDEX(SPLIT($F151,"",""),COLUMN()-6),2,300)"),"2 pale crimson bags.")</f>
        <v>2 pale crimson bags.</v>
      </c>
      <c r="J151" s="3" t="str">
        <f>IFERROR(__xludf.DUMMYFUNCTION("MID(INDEX(SPLIT($F151,"",""),COLUMN()-6),2,300)"),"#REF!")</f>
        <v>#REF!</v>
      </c>
      <c r="K151" s="3">
        <f>IFERROR(__xludf.DUMMYFUNCTION("INDEX(SPLIT(G151,"" ""),1)"),3.0)</f>
        <v>3</v>
      </c>
      <c r="L151" s="3" t="str">
        <f>IFERROR(__xludf.DUMMYFUNCTION("REGEXEXTRACT(G151,"" [^ ]* [^ ]* "")")," dark violet ")</f>
        <v> dark violet </v>
      </c>
      <c r="M151" s="3">
        <f>IFERROR(__xludf.DUMMYFUNCTION("INDEX(SPLIT(H151,"" ""),1)"),4.0)</f>
        <v>4</v>
      </c>
      <c r="N151" s="3" t="str">
        <f>IFERROR(__xludf.DUMMYFUNCTION("MID(REGEXEXTRACT(H151,"" [^ ]* [^ ]*""),2,300)"),"plaid chartreuse")</f>
        <v>plaid chartreuse</v>
      </c>
      <c r="O151" s="3">
        <f>IFERROR(__xludf.DUMMYFUNCTION("INDEX(SPLIT(I151,"" ""),1)"),2.0)</f>
        <v>2</v>
      </c>
      <c r="P151" s="3" t="str">
        <f>IFERROR(__xludf.DUMMYFUNCTION("MID(REGEXEXTRACT(I151,"" [^ ]* [^ ]*""),2,300)"),"pale crimson")</f>
        <v>pale crimson</v>
      </c>
      <c r="Q151" s="3" t="str">
        <f>IFERROR(__xludf.DUMMYFUNCTION("INDEX(SPLIT(J151,"" ""),1)"),"#REF!")</f>
        <v>#REF!</v>
      </c>
      <c r="R151" s="3" t="str">
        <f>IFERROR(__xludf.DUMMYFUNCTION("MID(REGEXEXTRACT(J151,"" [^ ]* [^ ]*""),2,300)"),"#REF!")</f>
        <v>#REF!</v>
      </c>
      <c r="S151" s="3">
        <f t="shared" si="2"/>
        <v>3</v>
      </c>
      <c r="T151" s="3" t="str">
        <f t="shared" si="3"/>
        <v>dark violet</v>
      </c>
      <c r="U151" s="3">
        <f t="shared" si="4"/>
        <v>4</v>
      </c>
      <c r="V151" s="3" t="str">
        <f t="shared" si="5"/>
        <v>plaid chartreuse</v>
      </c>
      <c r="W151" s="3">
        <f t="shared" si="6"/>
        <v>2</v>
      </c>
      <c r="X151" s="3" t="str">
        <f t="shared" si="7"/>
        <v>pale crimson</v>
      </c>
      <c r="Y151" s="3" t="str">
        <f t="shared" si="8"/>
        <v/>
      </c>
      <c r="Z151" s="3" t="str">
        <f t="shared" si="9"/>
        <v/>
      </c>
      <c r="AA151" s="13">
        <f t="shared" si="10"/>
        <v>1745357666</v>
      </c>
      <c r="AB151" s="3">
        <f t="shared" si="11"/>
        <v>1745357665</v>
      </c>
      <c r="AC151" s="3">
        <f t="shared" si="12"/>
        <v>3</v>
      </c>
      <c r="AD151" s="3">
        <f t="shared" si="13"/>
        <v>508749</v>
      </c>
      <c r="AE151" s="3">
        <f t="shared" si="14"/>
        <v>4</v>
      </c>
      <c r="AF151" s="3">
        <f t="shared" si="15"/>
        <v>199699352</v>
      </c>
      <c r="AG151" s="3">
        <f t="shared" si="16"/>
        <v>2</v>
      </c>
      <c r="AH151" s="3">
        <f t="shared" si="17"/>
        <v>472517005</v>
      </c>
      <c r="AI151" s="3" t="str">
        <f t="shared" si="18"/>
        <v/>
      </c>
      <c r="AJ151" s="3">
        <f t="shared" si="19"/>
        <v>0</v>
      </c>
    </row>
    <row r="152">
      <c r="C152" s="6" t="s">
        <v>152</v>
      </c>
      <c r="D152" s="3">
        <f t="shared" si="1"/>
        <v>0</v>
      </c>
      <c r="E152" s="3" t="str">
        <f>IFERROR(__xludf.DUMMYFUNCTION("REGEXEXTRACT(C152,""[^ ]* [^ ]*"")"),"wavy red")</f>
        <v>wavy red</v>
      </c>
      <c r="F152" s="3" t="str">
        <f>IFERROR(__xludf.DUMMYFUNCTION("MID(REGEXEXTRACT(C152,""contain.*$""),9,300)"),"2 clear crimson bags.")</f>
        <v>2 clear crimson bags.</v>
      </c>
      <c r="G152" s="3" t="str">
        <f>IFERROR(__xludf.DUMMYFUNCTION("INDEX(SPLIT($F152,"",""),COLUMN()-6)"),"2 clear crimson bags.")</f>
        <v>2 clear crimson bags.</v>
      </c>
      <c r="H152" s="3" t="str">
        <f>IFERROR(__xludf.DUMMYFUNCTION("MID(INDEX(SPLIT($F152,"",""),COLUMN()-6),2,300)"),"#REF!")</f>
        <v>#REF!</v>
      </c>
      <c r="I152" s="3" t="str">
        <f>IFERROR(__xludf.DUMMYFUNCTION("MID(INDEX(SPLIT($F152,"",""),COLUMN()-6),2,300)"),"#REF!")</f>
        <v>#REF!</v>
      </c>
      <c r="J152" s="3" t="str">
        <f>IFERROR(__xludf.DUMMYFUNCTION("MID(INDEX(SPLIT($F152,"",""),COLUMN()-6),2,300)"),"#REF!")</f>
        <v>#REF!</v>
      </c>
      <c r="K152" s="3">
        <f>IFERROR(__xludf.DUMMYFUNCTION("INDEX(SPLIT(G152,"" ""),1)"),2.0)</f>
        <v>2</v>
      </c>
      <c r="L152" s="3" t="str">
        <f>IFERROR(__xludf.DUMMYFUNCTION("REGEXEXTRACT(G152,"" [^ ]* [^ ]* "")")," clear crimson ")</f>
        <v> clear crimson </v>
      </c>
      <c r="M152" s="3" t="str">
        <f>IFERROR(__xludf.DUMMYFUNCTION("INDEX(SPLIT(H152,"" ""),1)"),"#REF!")</f>
        <v>#REF!</v>
      </c>
      <c r="N152" s="3" t="str">
        <f>IFERROR(__xludf.DUMMYFUNCTION("MID(REGEXEXTRACT(H152,"" [^ ]* [^ ]*""),2,300)"),"#REF!")</f>
        <v>#REF!</v>
      </c>
      <c r="O152" s="3" t="str">
        <f>IFERROR(__xludf.DUMMYFUNCTION("INDEX(SPLIT(I152,"" ""),1)"),"#REF!")</f>
        <v>#REF!</v>
      </c>
      <c r="P152" s="3" t="str">
        <f>IFERROR(__xludf.DUMMYFUNCTION("MID(REGEXEXTRACT(I152,"" [^ ]* [^ ]*""),2,300)"),"#REF!")</f>
        <v>#REF!</v>
      </c>
      <c r="Q152" s="3" t="str">
        <f>IFERROR(__xludf.DUMMYFUNCTION("INDEX(SPLIT(J152,"" ""),1)"),"#REF!")</f>
        <v>#REF!</v>
      </c>
      <c r="R152" s="3" t="str">
        <f>IFERROR(__xludf.DUMMYFUNCTION("MID(REGEXEXTRACT(J152,"" [^ ]* [^ ]*""),2,300)"),"#REF!")</f>
        <v>#REF!</v>
      </c>
      <c r="S152" s="3">
        <f t="shared" si="2"/>
        <v>2</v>
      </c>
      <c r="T152" s="3" t="str">
        <f t="shared" si="3"/>
        <v>clear crimson</v>
      </c>
      <c r="U152" s="3" t="str">
        <f t="shared" si="4"/>
        <v/>
      </c>
      <c r="V152" s="3" t="str">
        <f t="shared" si="5"/>
        <v/>
      </c>
      <c r="W152" s="3" t="str">
        <f t="shared" si="6"/>
        <v/>
      </c>
      <c r="X152" s="3" t="str">
        <f t="shared" si="7"/>
        <v/>
      </c>
      <c r="Y152" s="3" t="str">
        <f t="shared" si="8"/>
        <v/>
      </c>
      <c r="Z152" s="3" t="str">
        <f t="shared" si="9"/>
        <v/>
      </c>
      <c r="AA152" s="13">
        <f t="shared" si="10"/>
        <v>50680267</v>
      </c>
      <c r="AB152" s="3">
        <f t="shared" si="11"/>
        <v>50680266</v>
      </c>
      <c r="AC152" s="3">
        <f t="shared" si="12"/>
        <v>2</v>
      </c>
      <c r="AD152" s="3">
        <f t="shared" si="13"/>
        <v>25340133</v>
      </c>
      <c r="AE152" s="3" t="str">
        <f t="shared" si="14"/>
        <v/>
      </c>
      <c r="AF152" s="3">
        <f t="shared" si="15"/>
        <v>0</v>
      </c>
      <c r="AG152" s="3" t="str">
        <f t="shared" si="16"/>
        <v/>
      </c>
      <c r="AH152" s="3">
        <f t="shared" si="17"/>
        <v>0</v>
      </c>
      <c r="AI152" s="3" t="str">
        <f t="shared" si="18"/>
        <v/>
      </c>
      <c r="AJ152" s="3">
        <f t="shared" si="19"/>
        <v>0</v>
      </c>
    </row>
    <row r="153">
      <c r="C153" s="6" t="s">
        <v>153</v>
      </c>
      <c r="D153" s="3">
        <f t="shared" si="1"/>
        <v>0</v>
      </c>
      <c r="E153" s="3" t="str">
        <f>IFERROR(__xludf.DUMMYFUNCTION("REGEXEXTRACT(C153,""[^ ]* [^ ]*"")"),"striped olive")</f>
        <v>striped olive</v>
      </c>
      <c r="F153" s="3" t="str">
        <f>IFERROR(__xludf.DUMMYFUNCTION("MID(REGEXEXTRACT(C153,""contain.*$""),9,300)"),"2 mirrored lavender bags.")</f>
        <v>2 mirrored lavender bags.</v>
      </c>
      <c r="G153" s="3" t="str">
        <f>IFERROR(__xludf.DUMMYFUNCTION("INDEX(SPLIT($F153,"",""),COLUMN()-6)"),"2 mirrored lavender bags.")</f>
        <v>2 mirrored lavender bags.</v>
      </c>
      <c r="H153" s="3" t="str">
        <f>IFERROR(__xludf.DUMMYFUNCTION("MID(INDEX(SPLIT($F153,"",""),COLUMN()-6),2,300)"),"#REF!")</f>
        <v>#REF!</v>
      </c>
      <c r="I153" s="3" t="str">
        <f>IFERROR(__xludf.DUMMYFUNCTION("MID(INDEX(SPLIT($F153,"",""),COLUMN()-6),2,300)"),"#REF!")</f>
        <v>#REF!</v>
      </c>
      <c r="J153" s="3" t="str">
        <f>IFERROR(__xludf.DUMMYFUNCTION("MID(INDEX(SPLIT($F153,"",""),COLUMN()-6),2,300)"),"#REF!")</f>
        <v>#REF!</v>
      </c>
      <c r="K153" s="3">
        <f>IFERROR(__xludf.DUMMYFUNCTION("INDEX(SPLIT(G153,"" ""),1)"),2.0)</f>
        <v>2</v>
      </c>
      <c r="L153" s="3" t="str">
        <f>IFERROR(__xludf.DUMMYFUNCTION("REGEXEXTRACT(G153,"" [^ ]* [^ ]* "")")," mirrored lavender ")</f>
        <v> mirrored lavender </v>
      </c>
      <c r="M153" s="3" t="str">
        <f>IFERROR(__xludf.DUMMYFUNCTION("INDEX(SPLIT(H153,"" ""),1)"),"#REF!")</f>
        <v>#REF!</v>
      </c>
      <c r="N153" s="3" t="str">
        <f>IFERROR(__xludf.DUMMYFUNCTION("MID(REGEXEXTRACT(H153,"" [^ ]* [^ ]*""),2,300)"),"#REF!")</f>
        <v>#REF!</v>
      </c>
      <c r="O153" s="3" t="str">
        <f>IFERROR(__xludf.DUMMYFUNCTION("INDEX(SPLIT(I153,"" ""),1)"),"#REF!")</f>
        <v>#REF!</v>
      </c>
      <c r="P153" s="3" t="str">
        <f>IFERROR(__xludf.DUMMYFUNCTION("MID(REGEXEXTRACT(I153,"" [^ ]* [^ ]*""),2,300)"),"#REF!")</f>
        <v>#REF!</v>
      </c>
      <c r="Q153" s="3" t="str">
        <f>IFERROR(__xludf.DUMMYFUNCTION("INDEX(SPLIT(J153,"" ""),1)"),"#REF!")</f>
        <v>#REF!</v>
      </c>
      <c r="R153" s="3" t="str">
        <f>IFERROR(__xludf.DUMMYFUNCTION("MID(REGEXEXTRACT(J153,"" [^ ]* [^ ]*""),2,300)"),"#REF!")</f>
        <v>#REF!</v>
      </c>
      <c r="S153" s="3">
        <f t="shared" si="2"/>
        <v>2</v>
      </c>
      <c r="T153" s="3" t="str">
        <f t="shared" si="3"/>
        <v>mirrored lavender</v>
      </c>
      <c r="U153" s="3" t="str">
        <f t="shared" si="4"/>
        <v/>
      </c>
      <c r="V153" s="3" t="str">
        <f t="shared" si="5"/>
        <v/>
      </c>
      <c r="W153" s="3" t="str">
        <f t="shared" si="6"/>
        <v/>
      </c>
      <c r="X153" s="3" t="str">
        <f t="shared" si="7"/>
        <v/>
      </c>
      <c r="Y153" s="3" t="str">
        <f t="shared" si="8"/>
        <v/>
      </c>
      <c r="Z153" s="3" t="str">
        <f t="shared" si="9"/>
        <v/>
      </c>
      <c r="AA153" s="13">
        <f t="shared" si="10"/>
        <v>11127</v>
      </c>
      <c r="AB153" s="3">
        <f t="shared" si="11"/>
        <v>11126</v>
      </c>
      <c r="AC153" s="3">
        <f t="shared" si="12"/>
        <v>2</v>
      </c>
      <c r="AD153" s="3">
        <f t="shared" si="13"/>
        <v>5563</v>
      </c>
      <c r="AE153" s="3" t="str">
        <f t="shared" si="14"/>
        <v/>
      </c>
      <c r="AF153" s="3">
        <f t="shared" si="15"/>
        <v>0</v>
      </c>
      <c r="AG153" s="3" t="str">
        <f t="shared" si="16"/>
        <v/>
      </c>
      <c r="AH153" s="3">
        <f t="shared" si="17"/>
        <v>0</v>
      </c>
      <c r="AI153" s="3" t="str">
        <f t="shared" si="18"/>
        <v/>
      </c>
      <c r="AJ153" s="3">
        <f t="shared" si="19"/>
        <v>0</v>
      </c>
    </row>
    <row r="154">
      <c r="C154" s="6" t="s">
        <v>154</v>
      </c>
      <c r="D154" s="3">
        <f t="shared" si="1"/>
        <v>2</v>
      </c>
      <c r="E154" s="3" t="str">
        <f>IFERROR(__xludf.DUMMYFUNCTION("REGEXEXTRACT(C154,""[^ ]* [^ ]*"")"),"dull teal")</f>
        <v>dull teal</v>
      </c>
      <c r="F154" s="3" t="str">
        <f>IFERROR(__xludf.DUMMYFUNCTION("MID(REGEXEXTRACT(C154,""contain.*$""),9,300)"),"4 pale teal bags, 5 pale violet bags, 2 drab white bags.")</f>
        <v>4 pale teal bags, 5 pale violet bags, 2 drab white bags.</v>
      </c>
      <c r="G154" s="3" t="str">
        <f>IFERROR(__xludf.DUMMYFUNCTION("INDEX(SPLIT($F154,"",""),COLUMN()-6)"),"4 pale teal bags")</f>
        <v>4 pale teal bags</v>
      </c>
      <c r="H154" s="3" t="str">
        <f>IFERROR(__xludf.DUMMYFUNCTION("MID(INDEX(SPLIT($F154,"",""),COLUMN()-6),2,300)"),"5 pale violet bags")</f>
        <v>5 pale violet bags</v>
      </c>
      <c r="I154" s="3" t="str">
        <f>IFERROR(__xludf.DUMMYFUNCTION("MID(INDEX(SPLIT($F154,"",""),COLUMN()-6),2,300)"),"2 drab white bags.")</f>
        <v>2 drab white bags.</v>
      </c>
      <c r="J154" s="3" t="str">
        <f>IFERROR(__xludf.DUMMYFUNCTION("MID(INDEX(SPLIT($F154,"",""),COLUMN()-6),2,300)"),"#REF!")</f>
        <v>#REF!</v>
      </c>
      <c r="K154" s="3">
        <f>IFERROR(__xludf.DUMMYFUNCTION("INDEX(SPLIT(G154,"" ""),1)"),4.0)</f>
        <v>4</v>
      </c>
      <c r="L154" s="3" t="str">
        <f>IFERROR(__xludf.DUMMYFUNCTION("REGEXEXTRACT(G154,"" [^ ]* [^ ]* "")")," pale teal ")</f>
        <v> pale teal </v>
      </c>
      <c r="M154" s="3">
        <f>IFERROR(__xludf.DUMMYFUNCTION("INDEX(SPLIT(H154,"" ""),1)"),5.0)</f>
        <v>5</v>
      </c>
      <c r="N154" s="3" t="str">
        <f>IFERROR(__xludf.DUMMYFUNCTION("MID(REGEXEXTRACT(H154,"" [^ ]* [^ ]*""),2,300)"),"pale violet")</f>
        <v>pale violet</v>
      </c>
      <c r="O154" s="3">
        <f>IFERROR(__xludf.DUMMYFUNCTION("INDEX(SPLIT(I154,"" ""),1)"),2.0)</f>
        <v>2</v>
      </c>
      <c r="P154" s="3" t="str">
        <f>IFERROR(__xludf.DUMMYFUNCTION("MID(REGEXEXTRACT(I154,"" [^ ]* [^ ]*""),2,300)"),"drab white")</f>
        <v>drab white</v>
      </c>
      <c r="Q154" s="3" t="str">
        <f>IFERROR(__xludf.DUMMYFUNCTION("INDEX(SPLIT(J154,"" ""),1)"),"#REF!")</f>
        <v>#REF!</v>
      </c>
      <c r="R154" s="3" t="str">
        <f>IFERROR(__xludf.DUMMYFUNCTION("MID(REGEXEXTRACT(J154,"" [^ ]* [^ ]*""),2,300)"),"#REF!")</f>
        <v>#REF!</v>
      </c>
      <c r="S154" s="3">
        <f t="shared" si="2"/>
        <v>4</v>
      </c>
      <c r="T154" s="3" t="str">
        <f t="shared" si="3"/>
        <v>pale teal</v>
      </c>
      <c r="U154" s="3">
        <f t="shared" si="4"/>
        <v>5</v>
      </c>
      <c r="V154" s="3" t="str">
        <f t="shared" si="5"/>
        <v>pale violet</v>
      </c>
      <c r="W154" s="3">
        <f t="shared" si="6"/>
        <v>2</v>
      </c>
      <c r="X154" s="3" t="str">
        <f t="shared" si="7"/>
        <v>drab white</v>
      </c>
      <c r="Y154" s="3" t="str">
        <f t="shared" si="8"/>
        <v/>
      </c>
      <c r="Z154" s="3" t="str">
        <f t="shared" si="9"/>
        <v/>
      </c>
      <c r="AA154" s="13">
        <f t="shared" si="10"/>
        <v>6184519899</v>
      </c>
      <c r="AB154" s="3">
        <f t="shared" si="11"/>
        <v>6184519898</v>
      </c>
      <c r="AC154" s="3">
        <f t="shared" si="12"/>
        <v>4</v>
      </c>
      <c r="AD154" s="3">
        <f t="shared" si="13"/>
        <v>314592019</v>
      </c>
      <c r="AE154" s="3">
        <f t="shared" si="14"/>
        <v>5</v>
      </c>
      <c r="AF154" s="3">
        <f t="shared" si="15"/>
        <v>985224380</v>
      </c>
      <c r="AG154" s="3">
        <f t="shared" si="16"/>
        <v>2</v>
      </c>
      <c r="AH154" s="3">
        <f t="shared" si="17"/>
        <v>14961</v>
      </c>
      <c r="AI154" s="3" t="str">
        <f t="shared" si="18"/>
        <v/>
      </c>
      <c r="AJ154" s="3">
        <f t="shared" si="19"/>
        <v>0</v>
      </c>
    </row>
    <row r="155">
      <c r="C155" s="6" t="s">
        <v>155</v>
      </c>
      <c r="D155" s="3">
        <f t="shared" si="1"/>
        <v>1</v>
      </c>
      <c r="E155" s="3" t="str">
        <f>IFERROR(__xludf.DUMMYFUNCTION("REGEXEXTRACT(C155,""[^ ]* [^ ]*"")"),"light black")</f>
        <v>light black</v>
      </c>
      <c r="F155" s="3" t="str">
        <f>IFERROR(__xludf.DUMMYFUNCTION("MID(REGEXEXTRACT(C155,""contain.*$""),9,300)"),"1 dark red bag, 2 plaid tan bags.")</f>
        <v>1 dark red bag, 2 plaid tan bags.</v>
      </c>
      <c r="G155" s="3" t="str">
        <f>IFERROR(__xludf.DUMMYFUNCTION("INDEX(SPLIT($F155,"",""),COLUMN()-6)"),"1 dark red bag")</f>
        <v>1 dark red bag</v>
      </c>
      <c r="H155" s="3" t="str">
        <f>IFERROR(__xludf.DUMMYFUNCTION("MID(INDEX(SPLIT($F155,"",""),COLUMN()-6),2,300)"),"2 plaid tan bags.")</f>
        <v>2 plaid tan bags.</v>
      </c>
      <c r="I155" s="3" t="str">
        <f>IFERROR(__xludf.DUMMYFUNCTION("MID(INDEX(SPLIT($F155,"",""),COLUMN()-6),2,300)"),"#REF!")</f>
        <v>#REF!</v>
      </c>
      <c r="J155" s="3" t="str">
        <f>IFERROR(__xludf.DUMMYFUNCTION("MID(INDEX(SPLIT($F155,"",""),COLUMN()-6),2,300)"),"#REF!")</f>
        <v>#REF!</v>
      </c>
      <c r="K155" s="3">
        <f>IFERROR(__xludf.DUMMYFUNCTION("INDEX(SPLIT(G155,"" ""),1)"),1.0)</f>
        <v>1</v>
      </c>
      <c r="L155" s="3" t="str">
        <f>IFERROR(__xludf.DUMMYFUNCTION("REGEXEXTRACT(G155,"" [^ ]* [^ ]* "")")," dark red ")</f>
        <v> dark red </v>
      </c>
      <c r="M155" s="3">
        <f>IFERROR(__xludf.DUMMYFUNCTION("INDEX(SPLIT(H155,"" ""),1)"),2.0)</f>
        <v>2</v>
      </c>
      <c r="N155" s="3" t="str">
        <f>IFERROR(__xludf.DUMMYFUNCTION("MID(REGEXEXTRACT(H155,"" [^ ]* [^ ]*""),2,300)"),"plaid tan")</f>
        <v>plaid tan</v>
      </c>
      <c r="O155" s="3" t="str">
        <f>IFERROR(__xludf.DUMMYFUNCTION("INDEX(SPLIT(I155,"" ""),1)"),"#REF!")</f>
        <v>#REF!</v>
      </c>
      <c r="P155" s="3" t="str">
        <f>IFERROR(__xludf.DUMMYFUNCTION("MID(REGEXEXTRACT(I155,"" [^ ]* [^ ]*""),2,300)"),"#REF!")</f>
        <v>#REF!</v>
      </c>
      <c r="Q155" s="3" t="str">
        <f>IFERROR(__xludf.DUMMYFUNCTION("INDEX(SPLIT(J155,"" ""),1)"),"#REF!")</f>
        <v>#REF!</v>
      </c>
      <c r="R155" s="3" t="str">
        <f>IFERROR(__xludf.DUMMYFUNCTION("MID(REGEXEXTRACT(J155,"" [^ ]* [^ ]*""),2,300)"),"#REF!")</f>
        <v>#REF!</v>
      </c>
      <c r="S155" s="3">
        <f t="shared" si="2"/>
        <v>1</v>
      </c>
      <c r="T155" s="3" t="str">
        <f t="shared" si="3"/>
        <v>dark red</v>
      </c>
      <c r="U155" s="3">
        <f t="shared" si="4"/>
        <v>2</v>
      </c>
      <c r="V155" s="3" t="str">
        <f t="shared" si="5"/>
        <v>plaid tan</v>
      </c>
      <c r="W155" s="3" t="str">
        <f t="shared" si="6"/>
        <v/>
      </c>
      <c r="X155" s="3" t="str">
        <f t="shared" si="7"/>
        <v/>
      </c>
      <c r="Y155" s="3" t="str">
        <f t="shared" si="8"/>
        <v/>
      </c>
      <c r="Z155" s="3" t="str">
        <f t="shared" si="9"/>
        <v/>
      </c>
      <c r="AA155" s="13">
        <f t="shared" si="10"/>
        <v>132149</v>
      </c>
      <c r="AB155" s="3">
        <f t="shared" si="11"/>
        <v>132148</v>
      </c>
      <c r="AC155" s="3">
        <f t="shared" si="12"/>
        <v>1</v>
      </c>
      <c r="AD155" s="3">
        <f t="shared" si="13"/>
        <v>44592</v>
      </c>
      <c r="AE155" s="3">
        <f t="shared" si="14"/>
        <v>2</v>
      </c>
      <c r="AF155" s="3">
        <f t="shared" si="15"/>
        <v>43778</v>
      </c>
      <c r="AG155" s="3" t="str">
        <f t="shared" si="16"/>
        <v/>
      </c>
      <c r="AH155" s="3">
        <f t="shared" si="17"/>
        <v>0</v>
      </c>
      <c r="AI155" s="3" t="str">
        <f t="shared" si="18"/>
        <v/>
      </c>
      <c r="AJ155" s="3">
        <f t="shared" si="19"/>
        <v>0</v>
      </c>
    </row>
    <row r="156">
      <c r="C156" s="6" t="s">
        <v>156</v>
      </c>
      <c r="D156" s="3">
        <f t="shared" si="1"/>
        <v>0</v>
      </c>
      <c r="E156" s="3" t="str">
        <f>IFERROR(__xludf.DUMMYFUNCTION("REGEXEXTRACT(C156,""[^ ]* [^ ]*"")"),"clear orange")</f>
        <v>clear orange</v>
      </c>
      <c r="F156" s="3" t="str">
        <f>IFERROR(__xludf.DUMMYFUNCTION("MID(REGEXEXTRACT(C156,""contain.*$""),9,300)"),"5 bright cyan bags.")</f>
        <v>5 bright cyan bags.</v>
      </c>
      <c r="G156" s="3" t="str">
        <f>IFERROR(__xludf.DUMMYFUNCTION("INDEX(SPLIT($F156,"",""),COLUMN()-6)"),"5 bright cyan bags.")</f>
        <v>5 bright cyan bags.</v>
      </c>
      <c r="H156" s="3" t="str">
        <f>IFERROR(__xludf.DUMMYFUNCTION("MID(INDEX(SPLIT($F156,"",""),COLUMN()-6),2,300)"),"#REF!")</f>
        <v>#REF!</v>
      </c>
      <c r="I156" s="3" t="str">
        <f>IFERROR(__xludf.DUMMYFUNCTION("MID(INDEX(SPLIT($F156,"",""),COLUMN()-6),2,300)"),"#REF!")</f>
        <v>#REF!</v>
      </c>
      <c r="J156" s="3" t="str">
        <f>IFERROR(__xludf.DUMMYFUNCTION("MID(INDEX(SPLIT($F156,"",""),COLUMN()-6),2,300)"),"#REF!")</f>
        <v>#REF!</v>
      </c>
      <c r="K156" s="3">
        <f>IFERROR(__xludf.DUMMYFUNCTION("INDEX(SPLIT(G156,"" ""),1)"),5.0)</f>
        <v>5</v>
      </c>
      <c r="L156" s="3" t="str">
        <f>IFERROR(__xludf.DUMMYFUNCTION("REGEXEXTRACT(G156,"" [^ ]* [^ ]* "")")," bright cyan ")</f>
        <v> bright cyan </v>
      </c>
      <c r="M156" s="3" t="str">
        <f>IFERROR(__xludf.DUMMYFUNCTION("INDEX(SPLIT(H156,"" ""),1)"),"#REF!")</f>
        <v>#REF!</v>
      </c>
      <c r="N156" s="3" t="str">
        <f>IFERROR(__xludf.DUMMYFUNCTION("MID(REGEXEXTRACT(H156,"" [^ ]* [^ ]*""),2,300)"),"#REF!")</f>
        <v>#REF!</v>
      </c>
      <c r="O156" s="3" t="str">
        <f>IFERROR(__xludf.DUMMYFUNCTION("INDEX(SPLIT(I156,"" ""),1)"),"#REF!")</f>
        <v>#REF!</v>
      </c>
      <c r="P156" s="3" t="str">
        <f>IFERROR(__xludf.DUMMYFUNCTION("MID(REGEXEXTRACT(I156,"" [^ ]* [^ ]*""),2,300)"),"#REF!")</f>
        <v>#REF!</v>
      </c>
      <c r="Q156" s="3" t="str">
        <f>IFERROR(__xludf.DUMMYFUNCTION("INDEX(SPLIT(J156,"" ""),1)"),"#REF!")</f>
        <v>#REF!</v>
      </c>
      <c r="R156" s="3" t="str">
        <f>IFERROR(__xludf.DUMMYFUNCTION("MID(REGEXEXTRACT(J156,"" [^ ]* [^ ]*""),2,300)"),"#REF!")</f>
        <v>#REF!</v>
      </c>
      <c r="S156" s="3">
        <f t="shared" si="2"/>
        <v>5</v>
      </c>
      <c r="T156" s="3" t="str">
        <f t="shared" si="3"/>
        <v>bright cyan</v>
      </c>
      <c r="U156" s="3" t="str">
        <f t="shared" si="4"/>
        <v/>
      </c>
      <c r="V156" s="3" t="str">
        <f t="shared" si="5"/>
        <v/>
      </c>
      <c r="W156" s="3" t="str">
        <f t="shared" si="6"/>
        <v/>
      </c>
      <c r="X156" s="3" t="str">
        <f t="shared" si="7"/>
        <v/>
      </c>
      <c r="Y156" s="3" t="str">
        <f t="shared" si="8"/>
        <v/>
      </c>
      <c r="Z156" s="3" t="str">
        <f t="shared" si="9"/>
        <v/>
      </c>
      <c r="AA156" s="13">
        <f t="shared" si="10"/>
        <v>2656</v>
      </c>
      <c r="AB156" s="3">
        <f t="shared" si="11"/>
        <v>2655</v>
      </c>
      <c r="AC156" s="3">
        <f t="shared" si="12"/>
        <v>5</v>
      </c>
      <c r="AD156" s="3">
        <f t="shared" si="13"/>
        <v>531</v>
      </c>
      <c r="AE156" s="3" t="str">
        <f t="shared" si="14"/>
        <v/>
      </c>
      <c r="AF156" s="3">
        <f t="shared" si="15"/>
        <v>0</v>
      </c>
      <c r="AG156" s="3" t="str">
        <f t="shared" si="16"/>
        <v/>
      </c>
      <c r="AH156" s="3">
        <f t="shared" si="17"/>
        <v>0</v>
      </c>
      <c r="AI156" s="3" t="str">
        <f t="shared" si="18"/>
        <v/>
      </c>
      <c r="AJ156" s="3">
        <f t="shared" si="19"/>
        <v>0</v>
      </c>
    </row>
    <row r="157">
      <c r="C157" s="6" t="s">
        <v>157</v>
      </c>
      <c r="D157" s="3">
        <f t="shared" si="1"/>
        <v>0</v>
      </c>
      <c r="E157" s="3" t="str">
        <f>IFERROR(__xludf.DUMMYFUNCTION("REGEXEXTRACT(C157,""[^ ]* [^ ]*"")"),"pale yellow")</f>
        <v>pale yellow</v>
      </c>
      <c r="F157" s="3" t="str">
        <f>IFERROR(__xludf.DUMMYFUNCTION("MID(REGEXEXTRACT(C157,""contain.*$""),9,300)"),"2 bright lavender bags.")</f>
        <v>2 bright lavender bags.</v>
      </c>
      <c r="G157" s="3" t="str">
        <f>IFERROR(__xludf.DUMMYFUNCTION("INDEX(SPLIT($F157,"",""),COLUMN()-6)"),"2 bright lavender bags.")</f>
        <v>2 bright lavender bags.</v>
      </c>
      <c r="H157" s="3" t="str">
        <f>IFERROR(__xludf.DUMMYFUNCTION("MID(INDEX(SPLIT($F157,"",""),COLUMN()-6),2,300)"),"#REF!")</f>
        <v>#REF!</v>
      </c>
      <c r="I157" s="3" t="str">
        <f>IFERROR(__xludf.DUMMYFUNCTION("MID(INDEX(SPLIT($F157,"",""),COLUMN()-6),2,300)"),"#REF!")</f>
        <v>#REF!</v>
      </c>
      <c r="J157" s="3" t="str">
        <f>IFERROR(__xludf.DUMMYFUNCTION("MID(INDEX(SPLIT($F157,"",""),COLUMN()-6),2,300)"),"#REF!")</f>
        <v>#REF!</v>
      </c>
      <c r="K157" s="3">
        <f>IFERROR(__xludf.DUMMYFUNCTION("INDEX(SPLIT(G157,"" ""),1)"),2.0)</f>
        <v>2</v>
      </c>
      <c r="L157" s="3" t="str">
        <f>IFERROR(__xludf.DUMMYFUNCTION("REGEXEXTRACT(G157,"" [^ ]* [^ ]* "")")," bright lavender ")</f>
        <v> bright lavender </v>
      </c>
      <c r="M157" s="3" t="str">
        <f>IFERROR(__xludf.DUMMYFUNCTION("INDEX(SPLIT(H157,"" ""),1)"),"#REF!")</f>
        <v>#REF!</v>
      </c>
      <c r="N157" s="3" t="str">
        <f>IFERROR(__xludf.DUMMYFUNCTION("MID(REGEXEXTRACT(H157,"" [^ ]* [^ ]*""),2,300)"),"#REF!")</f>
        <v>#REF!</v>
      </c>
      <c r="O157" s="3" t="str">
        <f>IFERROR(__xludf.DUMMYFUNCTION("INDEX(SPLIT(I157,"" ""),1)"),"#REF!")</f>
        <v>#REF!</v>
      </c>
      <c r="P157" s="3" t="str">
        <f>IFERROR(__xludf.DUMMYFUNCTION("MID(REGEXEXTRACT(I157,"" [^ ]* [^ ]*""),2,300)"),"#REF!")</f>
        <v>#REF!</v>
      </c>
      <c r="Q157" s="3" t="str">
        <f>IFERROR(__xludf.DUMMYFUNCTION("INDEX(SPLIT(J157,"" ""),1)"),"#REF!")</f>
        <v>#REF!</v>
      </c>
      <c r="R157" s="3" t="str">
        <f>IFERROR(__xludf.DUMMYFUNCTION("MID(REGEXEXTRACT(J157,"" [^ ]* [^ ]*""),2,300)"),"#REF!")</f>
        <v>#REF!</v>
      </c>
      <c r="S157" s="3">
        <f t="shared" si="2"/>
        <v>2</v>
      </c>
      <c r="T157" s="3" t="str">
        <f t="shared" si="3"/>
        <v>bright lavender</v>
      </c>
      <c r="U157" s="3" t="str">
        <f t="shared" si="4"/>
        <v/>
      </c>
      <c r="V157" s="3" t="str">
        <f t="shared" si="5"/>
        <v/>
      </c>
      <c r="W157" s="3" t="str">
        <f t="shared" si="6"/>
        <v/>
      </c>
      <c r="X157" s="3" t="str">
        <f t="shared" si="7"/>
        <v/>
      </c>
      <c r="Y157" s="3" t="str">
        <f t="shared" si="8"/>
        <v/>
      </c>
      <c r="Z157" s="3" t="str">
        <f t="shared" si="9"/>
        <v/>
      </c>
      <c r="AA157" s="13">
        <f t="shared" si="10"/>
        <v>329</v>
      </c>
      <c r="AB157" s="3">
        <f t="shared" si="11"/>
        <v>328</v>
      </c>
      <c r="AC157" s="3">
        <f t="shared" si="12"/>
        <v>2</v>
      </c>
      <c r="AD157" s="3">
        <f t="shared" si="13"/>
        <v>164</v>
      </c>
      <c r="AE157" s="3" t="str">
        <f t="shared" si="14"/>
        <v/>
      </c>
      <c r="AF157" s="3">
        <f t="shared" si="15"/>
        <v>0</v>
      </c>
      <c r="AG157" s="3" t="str">
        <f t="shared" si="16"/>
        <v/>
      </c>
      <c r="AH157" s="3">
        <f t="shared" si="17"/>
        <v>0</v>
      </c>
      <c r="AI157" s="3" t="str">
        <f t="shared" si="18"/>
        <v/>
      </c>
      <c r="AJ157" s="3">
        <f t="shared" si="19"/>
        <v>0</v>
      </c>
    </row>
    <row r="158">
      <c r="C158" s="6" t="s">
        <v>158</v>
      </c>
      <c r="D158" s="3">
        <f t="shared" si="1"/>
        <v>0</v>
      </c>
      <c r="E158" s="3" t="str">
        <f>IFERROR(__xludf.DUMMYFUNCTION("REGEXEXTRACT(C158,""[^ ]* [^ ]*"")"),"posh cyan")</f>
        <v>posh cyan</v>
      </c>
      <c r="F158" s="3" t="str">
        <f>IFERROR(__xludf.DUMMYFUNCTION("MID(REGEXEXTRACT(C158,""contain.*$""),9,300)"),"4 clear coral bags.")</f>
        <v>4 clear coral bags.</v>
      </c>
      <c r="G158" s="3" t="str">
        <f>IFERROR(__xludf.DUMMYFUNCTION("INDEX(SPLIT($F158,"",""),COLUMN()-6)"),"4 clear coral bags.")</f>
        <v>4 clear coral bags.</v>
      </c>
      <c r="H158" s="3" t="str">
        <f>IFERROR(__xludf.DUMMYFUNCTION("MID(INDEX(SPLIT($F158,"",""),COLUMN()-6),2,300)"),"#REF!")</f>
        <v>#REF!</v>
      </c>
      <c r="I158" s="3" t="str">
        <f>IFERROR(__xludf.DUMMYFUNCTION("MID(INDEX(SPLIT($F158,"",""),COLUMN()-6),2,300)"),"#REF!")</f>
        <v>#REF!</v>
      </c>
      <c r="J158" s="3" t="str">
        <f>IFERROR(__xludf.DUMMYFUNCTION("MID(INDEX(SPLIT($F158,"",""),COLUMN()-6),2,300)"),"#REF!")</f>
        <v>#REF!</v>
      </c>
      <c r="K158" s="3">
        <f>IFERROR(__xludf.DUMMYFUNCTION("INDEX(SPLIT(G158,"" ""),1)"),4.0)</f>
        <v>4</v>
      </c>
      <c r="L158" s="3" t="str">
        <f>IFERROR(__xludf.DUMMYFUNCTION("REGEXEXTRACT(G158,"" [^ ]* [^ ]* "")")," clear coral ")</f>
        <v> clear coral </v>
      </c>
      <c r="M158" s="3" t="str">
        <f>IFERROR(__xludf.DUMMYFUNCTION("INDEX(SPLIT(H158,"" ""),1)"),"#REF!")</f>
        <v>#REF!</v>
      </c>
      <c r="N158" s="3" t="str">
        <f>IFERROR(__xludf.DUMMYFUNCTION("MID(REGEXEXTRACT(H158,"" [^ ]* [^ ]*""),2,300)"),"#REF!")</f>
        <v>#REF!</v>
      </c>
      <c r="O158" s="3" t="str">
        <f>IFERROR(__xludf.DUMMYFUNCTION("INDEX(SPLIT(I158,"" ""),1)"),"#REF!")</f>
        <v>#REF!</v>
      </c>
      <c r="P158" s="3" t="str">
        <f>IFERROR(__xludf.DUMMYFUNCTION("MID(REGEXEXTRACT(I158,"" [^ ]* [^ ]*""),2,300)"),"#REF!")</f>
        <v>#REF!</v>
      </c>
      <c r="Q158" s="3" t="str">
        <f>IFERROR(__xludf.DUMMYFUNCTION("INDEX(SPLIT(J158,"" ""),1)"),"#REF!")</f>
        <v>#REF!</v>
      </c>
      <c r="R158" s="3" t="str">
        <f>IFERROR(__xludf.DUMMYFUNCTION("MID(REGEXEXTRACT(J158,"" [^ ]* [^ ]*""),2,300)"),"#REF!")</f>
        <v>#REF!</v>
      </c>
      <c r="S158" s="3">
        <f t="shared" si="2"/>
        <v>4</v>
      </c>
      <c r="T158" s="3" t="str">
        <f t="shared" si="3"/>
        <v>clear coral</v>
      </c>
      <c r="U158" s="3" t="str">
        <f t="shared" si="4"/>
        <v/>
      </c>
      <c r="V158" s="3" t="str">
        <f t="shared" si="5"/>
        <v/>
      </c>
      <c r="W158" s="3" t="str">
        <f t="shared" si="6"/>
        <v/>
      </c>
      <c r="X158" s="3" t="str">
        <f t="shared" si="7"/>
        <v/>
      </c>
      <c r="Y158" s="3" t="str">
        <f t="shared" si="8"/>
        <v/>
      </c>
      <c r="Z158" s="3" t="str">
        <f t="shared" si="9"/>
        <v/>
      </c>
      <c r="AA158" s="13">
        <f t="shared" si="10"/>
        <v>5</v>
      </c>
      <c r="AB158" s="3">
        <f t="shared" si="11"/>
        <v>4</v>
      </c>
      <c r="AC158" s="3">
        <f t="shared" si="12"/>
        <v>4</v>
      </c>
      <c r="AD158" s="3">
        <f t="shared" si="13"/>
        <v>1</v>
      </c>
      <c r="AE158" s="3" t="str">
        <f t="shared" si="14"/>
        <v/>
      </c>
      <c r="AF158" s="3">
        <f t="shared" si="15"/>
        <v>0</v>
      </c>
      <c r="AG158" s="3" t="str">
        <f t="shared" si="16"/>
        <v/>
      </c>
      <c r="AH158" s="3">
        <f t="shared" si="17"/>
        <v>0</v>
      </c>
      <c r="AI158" s="3" t="str">
        <f t="shared" si="18"/>
        <v/>
      </c>
      <c r="AJ158" s="3">
        <f t="shared" si="19"/>
        <v>0</v>
      </c>
    </row>
    <row r="159">
      <c r="C159" s="6" t="s">
        <v>159</v>
      </c>
      <c r="D159" s="3">
        <f t="shared" si="1"/>
        <v>3</v>
      </c>
      <c r="E159" s="3" t="str">
        <f>IFERROR(__xludf.DUMMYFUNCTION("REGEXEXTRACT(C159,""[^ ]* [^ ]*"")"),"drab tomato")</f>
        <v>drab tomato</v>
      </c>
      <c r="F159" s="3" t="str">
        <f>IFERROR(__xludf.DUMMYFUNCTION("MID(REGEXEXTRACT(C159,""contain.*$""),9,300)"),"4 vibrant blue bags, 5 faded beige bags, 3 clear coral bags, 2 mirrored white bags.")</f>
        <v>4 vibrant blue bags, 5 faded beige bags, 3 clear coral bags, 2 mirrored white bags.</v>
      </c>
      <c r="G159" s="3" t="str">
        <f>IFERROR(__xludf.DUMMYFUNCTION("INDEX(SPLIT($F159,"",""),COLUMN()-6)"),"4 vibrant blue bags")</f>
        <v>4 vibrant blue bags</v>
      </c>
      <c r="H159" s="3" t="str">
        <f>IFERROR(__xludf.DUMMYFUNCTION("MID(INDEX(SPLIT($F159,"",""),COLUMN()-6),2,300)"),"5 faded beige bags")</f>
        <v>5 faded beige bags</v>
      </c>
      <c r="I159" s="3" t="str">
        <f>IFERROR(__xludf.DUMMYFUNCTION("MID(INDEX(SPLIT($F159,"",""),COLUMN()-6),2,300)"),"3 clear coral bags")</f>
        <v>3 clear coral bags</v>
      </c>
      <c r="J159" s="3" t="str">
        <f>IFERROR(__xludf.DUMMYFUNCTION("MID(INDEX(SPLIT($F159,"",""),COLUMN()-6),2,300)"),"2 mirrored white bags.")</f>
        <v>2 mirrored white bags.</v>
      </c>
      <c r="K159" s="3">
        <f>IFERROR(__xludf.DUMMYFUNCTION("INDEX(SPLIT(G159,"" ""),1)"),4.0)</f>
        <v>4</v>
      </c>
      <c r="L159" s="3" t="str">
        <f>IFERROR(__xludf.DUMMYFUNCTION("REGEXEXTRACT(G159,"" [^ ]* [^ ]* "")")," vibrant blue ")</f>
        <v> vibrant blue </v>
      </c>
      <c r="M159" s="3">
        <f>IFERROR(__xludf.DUMMYFUNCTION("INDEX(SPLIT(H159,"" ""),1)"),5.0)</f>
        <v>5</v>
      </c>
      <c r="N159" s="3" t="str">
        <f>IFERROR(__xludf.DUMMYFUNCTION("MID(REGEXEXTRACT(H159,"" [^ ]* [^ ]*""),2,300)"),"faded beige")</f>
        <v>faded beige</v>
      </c>
      <c r="O159" s="3">
        <f>IFERROR(__xludf.DUMMYFUNCTION("INDEX(SPLIT(I159,"" ""),1)"),3.0)</f>
        <v>3</v>
      </c>
      <c r="P159" s="3" t="str">
        <f>IFERROR(__xludf.DUMMYFUNCTION("MID(REGEXEXTRACT(I159,"" [^ ]* [^ ]*""),2,300)"),"clear coral")</f>
        <v>clear coral</v>
      </c>
      <c r="Q159" s="3">
        <f>IFERROR(__xludf.DUMMYFUNCTION("INDEX(SPLIT(J159,"" ""),1)"),2.0)</f>
        <v>2</v>
      </c>
      <c r="R159" s="3" t="str">
        <f>IFERROR(__xludf.DUMMYFUNCTION("MID(REGEXEXTRACT(J159,"" [^ ]* [^ ]*""),2,300)"),"mirrored white")</f>
        <v>mirrored white</v>
      </c>
      <c r="S159" s="3">
        <f t="shared" si="2"/>
        <v>4</v>
      </c>
      <c r="T159" s="3" t="str">
        <f t="shared" si="3"/>
        <v>vibrant blue</v>
      </c>
      <c r="U159" s="3">
        <f t="shared" si="4"/>
        <v>5</v>
      </c>
      <c r="V159" s="3" t="str">
        <f t="shared" si="5"/>
        <v>faded beige</v>
      </c>
      <c r="W159" s="3">
        <f t="shared" si="6"/>
        <v>3</v>
      </c>
      <c r="X159" s="3" t="str">
        <f t="shared" si="7"/>
        <v>clear coral</v>
      </c>
      <c r="Y159" s="3">
        <f t="shared" si="8"/>
        <v>2</v>
      </c>
      <c r="Z159" s="3" t="str">
        <f t="shared" si="9"/>
        <v>mirrored white</v>
      </c>
      <c r="AA159" s="13">
        <f t="shared" si="10"/>
        <v>38687</v>
      </c>
      <c r="AB159" s="3">
        <f t="shared" si="11"/>
        <v>38686</v>
      </c>
      <c r="AC159" s="3">
        <f t="shared" si="12"/>
        <v>4</v>
      </c>
      <c r="AD159" s="3">
        <f t="shared" si="13"/>
        <v>1545</v>
      </c>
      <c r="AE159" s="3">
        <f t="shared" si="14"/>
        <v>5</v>
      </c>
      <c r="AF159" s="3">
        <f t="shared" si="15"/>
        <v>6373</v>
      </c>
      <c r="AG159" s="3">
        <f t="shared" si="16"/>
        <v>3</v>
      </c>
      <c r="AH159" s="3">
        <f t="shared" si="17"/>
        <v>1</v>
      </c>
      <c r="AI159" s="3">
        <f t="shared" si="18"/>
        <v>2</v>
      </c>
      <c r="AJ159" s="3">
        <f t="shared" si="19"/>
        <v>319</v>
      </c>
    </row>
    <row r="160">
      <c r="C160" s="6" t="s">
        <v>160</v>
      </c>
      <c r="D160" s="3">
        <f t="shared" si="1"/>
        <v>0</v>
      </c>
      <c r="E160" s="3" t="str">
        <f>IFERROR(__xludf.DUMMYFUNCTION("REGEXEXTRACT(C160,""[^ ]* [^ ]*"")"),"pale orange")</f>
        <v>pale orange</v>
      </c>
      <c r="F160" s="3" t="str">
        <f>IFERROR(__xludf.DUMMYFUNCTION("MID(REGEXEXTRACT(C160,""contain.*$""),9,300)"),"2 light aqua bags.")</f>
        <v>2 light aqua bags.</v>
      </c>
      <c r="G160" s="3" t="str">
        <f>IFERROR(__xludf.DUMMYFUNCTION("INDEX(SPLIT($F160,"",""),COLUMN()-6)"),"2 light aqua bags.")</f>
        <v>2 light aqua bags.</v>
      </c>
      <c r="H160" s="3" t="str">
        <f>IFERROR(__xludf.DUMMYFUNCTION("MID(INDEX(SPLIT($F160,"",""),COLUMN()-6),2,300)"),"#REF!")</f>
        <v>#REF!</v>
      </c>
      <c r="I160" s="3" t="str">
        <f>IFERROR(__xludf.DUMMYFUNCTION("MID(INDEX(SPLIT($F160,"",""),COLUMN()-6),2,300)"),"#REF!")</f>
        <v>#REF!</v>
      </c>
      <c r="J160" s="3" t="str">
        <f>IFERROR(__xludf.DUMMYFUNCTION("MID(INDEX(SPLIT($F160,"",""),COLUMN()-6),2,300)"),"#REF!")</f>
        <v>#REF!</v>
      </c>
      <c r="K160" s="3">
        <f>IFERROR(__xludf.DUMMYFUNCTION("INDEX(SPLIT(G160,"" ""),1)"),2.0)</f>
        <v>2</v>
      </c>
      <c r="L160" s="3" t="str">
        <f>IFERROR(__xludf.DUMMYFUNCTION("REGEXEXTRACT(G160,"" [^ ]* [^ ]* "")")," light aqua ")</f>
        <v> light aqua </v>
      </c>
      <c r="M160" s="3" t="str">
        <f>IFERROR(__xludf.DUMMYFUNCTION("INDEX(SPLIT(H160,"" ""),1)"),"#REF!")</f>
        <v>#REF!</v>
      </c>
      <c r="N160" s="3" t="str">
        <f>IFERROR(__xludf.DUMMYFUNCTION("MID(REGEXEXTRACT(H160,"" [^ ]* [^ ]*""),2,300)"),"#REF!")</f>
        <v>#REF!</v>
      </c>
      <c r="O160" s="3" t="str">
        <f>IFERROR(__xludf.DUMMYFUNCTION("INDEX(SPLIT(I160,"" ""),1)"),"#REF!")</f>
        <v>#REF!</v>
      </c>
      <c r="P160" s="3" t="str">
        <f>IFERROR(__xludf.DUMMYFUNCTION("MID(REGEXEXTRACT(I160,"" [^ ]* [^ ]*""),2,300)"),"#REF!")</f>
        <v>#REF!</v>
      </c>
      <c r="Q160" s="3" t="str">
        <f>IFERROR(__xludf.DUMMYFUNCTION("INDEX(SPLIT(J160,"" ""),1)"),"#REF!")</f>
        <v>#REF!</v>
      </c>
      <c r="R160" s="3" t="str">
        <f>IFERROR(__xludf.DUMMYFUNCTION("MID(REGEXEXTRACT(J160,"" [^ ]* [^ ]*""),2,300)"),"#REF!")</f>
        <v>#REF!</v>
      </c>
      <c r="S160" s="3">
        <f t="shared" si="2"/>
        <v>2</v>
      </c>
      <c r="T160" s="3" t="str">
        <f t="shared" si="3"/>
        <v>light aqua</v>
      </c>
      <c r="U160" s="3" t="str">
        <f t="shared" si="4"/>
        <v/>
      </c>
      <c r="V160" s="3" t="str">
        <f t="shared" si="5"/>
        <v/>
      </c>
      <c r="W160" s="3" t="str">
        <f t="shared" si="6"/>
        <v/>
      </c>
      <c r="X160" s="3" t="str">
        <f t="shared" si="7"/>
        <v/>
      </c>
      <c r="Y160" s="3" t="str">
        <f t="shared" si="8"/>
        <v/>
      </c>
      <c r="Z160" s="3" t="str">
        <f t="shared" si="9"/>
        <v/>
      </c>
      <c r="AA160" s="13">
        <f t="shared" si="10"/>
        <v>360510907</v>
      </c>
      <c r="AB160" s="3">
        <f t="shared" si="11"/>
        <v>360510906</v>
      </c>
      <c r="AC160" s="3">
        <f t="shared" si="12"/>
        <v>2</v>
      </c>
      <c r="AD160" s="3">
        <f t="shared" si="13"/>
        <v>180255453</v>
      </c>
      <c r="AE160" s="3" t="str">
        <f t="shared" si="14"/>
        <v/>
      </c>
      <c r="AF160" s="3">
        <f t="shared" si="15"/>
        <v>0</v>
      </c>
      <c r="AG160" s="3" t="str">
        <f t="shared" si="16"/>
        <v/>
      </c>
      <c r="AH160" s="3">
        <f t="shared" si="17"/>
        <v>0</v>
      </c>
      <c r="AI160" s="3" t="str">
        <f t="shared" si="18"/>
        <v/>
      </c>
      <c r="AJ160" s="3">
        <f t="shared" si="19"/>
        <v>0</v>
      </c>
    </row>
    <row r="161">
      <c r="C161" s="6" t="s">
        <v>161</v>
      </c>
      <c r="D161" s="3">
        <f t="shared" si="1"/>
        <v>2</v>
      </c>
      <c r="E161" s="3" t="str">
        <f>IFERROR(__xludf.DUMMYFUNCTION("REGEXEXTRACT(C161,""[^ ]* [^ ]*"")"),"dull tomato")</f>
        <v>dull tomato</v>
      </c>
      <c r="F161" s="3" t="str">
        <f>IFERROR(__xludf.DUMMYFUNCTION("MID(REGEXEXTRACT(C161,""contain.*$""),9,300)"),"5 plaid aqua bags, 2 posh magenta bags, 3 vibrant aqua bags.")</f>
        <v>5 plaid aqua bags, 2 posh magenta bags, 3 vibrant aqua bags.</v>
      </c>
      <c r="G161" s="3" t="str">
        <f>IFERROR(__xludf.DUMMYFUNCTION("INDEX(SPLIT($F161,"",""),COLUMN()-6)"),"5 plaid aqua bags")</f>
        <v>5 plaid aqua bags</v>
      </c>
      <c r="H161" s="3" t="str">
        <f>IFERROR(__xludf.DUMMYFUNCTION("MID(INDEX(SPLIT($F161,"",""),COLUMN()-6),2,300)"),"2 posh magenta bags")</f>
        <v>2 posh magenta bags</v>
      </c>
      <c r="I161" s="3" t="str">
        <f>IFERROR(__xludf.DUMMYFUNCTION("MID(INDEX(SPLIT($F161,"",""),COLUMN()-6),2,300)"),"3 vibrant aqua bags.")</f>
        <v>3 vibrant aqua bags.</v>
      </c>
      <c r="J161" s="3" t="str">
        <f>IFERROR(__xludf.DUMMYFUNCTION("MID(INDEX(SPLIT($F161,"",""),COLUMN()-6),2,300)"),"#REF!")</f>
        <v>#REF!</v>
      </c>
      <c r="K161" s="3">
        <f>IFERROR(__xludf.DUMMYFUNCTION("INDEX(SPLIT(G161,"" ""),1)"),5.0)</f>
        <v>5</v>
      </c>
      <c r="L161" s="3" t="str">
        <f>IFERROR(__xludf.DUMMYFUNCTION("REGEXEXTRACT(G161,"" [^ ]* [^ ]* "")")," plaid aqua ")</f>
        <v> plaid aqua </v>
      </c>
      <c r="M161" s="3">
        <f>IFERROR(__xludf.DUMMYFUNCTION("INDEX(SPLIT(H161,"" ""),1)"),2.0)</f>
        <v>2</v>
      </c>
      <c r="N161" s="3" t="str">
        <f>IFERROR(__xludf.DUMMYFUNCTION("MID(REGEXEXTRACT(H161,"" [^ ]* [^ ]*""),2,300)"),"posh magenta")</f>
        <v>posh magenta</v>
      </c>
      <c r="O161" s="3">
        <f>IFERROR(__xludf.DUMMYFUNCTION("INDEX(SPLIT(I161,"" ""),1)"),3.0)</f>
        <v>3</v>
      </c>
      <c r="P161" s="3" t="str">
        <f>IFERROR(__xludf.DUMMYFUNCTION("MID(REGEXEXTRACT(I161,"" [^ ]* [^ ]*""),2,300)"),"vibrant aqua")</f>
        <v>vibrant aqua</v>
      </c>
      <c r="Q161" s="3" t="str">
        <f>IFERROR(__xludf.DUMMYFUNCTION("INDEX(SPLIT(J161,"" ""),1)"),"#REF!")</f>
        <v>#REF!</v>
      </c>
      <c r="R161" s="3" t="str">
        <f>IFERROR(__xludf.DUMMYFUNCTION("MID(REGEXEXTRACT(J161,"" [^ ]* [^ ]*""),2,300)"),"#REF!")</f>
        <v>#REF!</v>
      </c>
      <c r="S161" s="3">
        <f t="shared" si="2"/>
        <v>5</v>
      </c>
      <c r="T161" s="3" t="str">
        <f t="shared" si="3"/>
        <v>plaid aqua</v>
      </c>
      <c r="U161" s="3">
        <f t="shared" si="4"/>
        <v>2</v>
      </c>
      <c r="V161" s="3" t="str">
        <f t="shared" si="5"/>
        <v>posh magenta</v>
      </c>
      <c r="W161" s="3">
        <f t="shared" si="6"/>
        <v>3</v>
      </c>
      <c r="X161" s="3" t="str">
        <f t="shared" si="7"/>
        <v>vibrant aqua</v>
      </c>
      <c r="Y161" s="3" t="str">
        <f t="shared" si="8"/>
        <v/>
      </c>
      <c r="Z161" s="3" t="str">
        <f t="shared" si="9"/>
        <v/>
      </c>
      <c r="AA161" s="13">
        <f t="shared" si="10"/>
        <v>11</v>
      </c>
      <c r="AB161" s="3">
        <f t="shared" si="11"/>
        <v>10</v>
      </c>
      <c r="AC161" s="3">
        <f t="shared" si="12"/>
        <v>5</v>
      </c>
      <c r="AD161" s="3">
        <f t="shared" si="13"/>
        <v>1</v>
      </c>
      <c r="AE161" s="3">
        <f t="shared" si="14"/>
        <v>2</v>
      </c>
      <c r="AF161" s="3">
        <f t="shared" si="15"/>
        <v>1</v>
      </c>
      <c r="AG161" s="3">
        <f t="shared" si="16"/>
        <v>3</v>
      </c>
      <c r="AH161" s="3">
        <f t="shared" si="17"/>
        <v>1</v>
      </c>
      <c r="AI161" s="3" t="str">
        <f t="shared" si="18"/>
        <v/>
      </c>
      <c r="AJ161" s="3">
        <f t="shared" si="19"/>
        <v>0</v>
      </c>
    </row>
    <row r="162">
      <c r="C162" s="6" t="s">
        <v>162</v>
      </c>
      <c r="D162" s="3">
        <f t="shared" si="1"/>
        <v>1</v>
      </c>
      <c r="E162" s="3" t="str">
        <f>IFERROR(__xludf.DUMMYFUNCTION("REGEXEXTRACT(C162,""[^ ]* [^ ]*"")"),"pale turquoise")</f>
        <v>pale turquoise</v>
      </c>
      <c r="F162" s="3" t="str">
        <f>IFERROR(__xludf.DUMMYFUNCTION("MID(REGEXEXTRACT(C162,""contain.*$""),9,300)"),"1 pale coral bag, 3 dim teal bags.")</f>
        <v>1 pale coral bag, 3 dim teal bags.</v>
      </c>
      <c r="G162" s="3" t="str">
        <f>IFERROR(__xludf.DUMMYFUNCTION("INDEX(SPLIT($F162,"",""),COLUMN()-6)"),"1 pale coral bag")</f>
        <v>1 pale coral bag</v>
      </c>
      <c r="H162" s="3" t="str">
        <f>IFERROR(__xludf.DUMMYFUNCTION("MID(INDEX(SPLIT($F162,"",""),COLUMN()-6),2,300)"),"3 dim teal bags.")</f>
        <v>3 dim teal bags.</v>
      </c>
      <c r="I162" s="3" t="str">
        <f>IFERROR(__xludf.DUMMYFUNCTION("MID(INDEX(SPLIT($F162,"",""),COLUMN()-6),2,300)"),"#REF!")</f>
        <v>#REF!</v>
      </c>
      <c r="J162" s="3" t="str">
        <f>IFERROR(__xludf.DUMMYFUNCTION("MID(INDEX(SPLIT($F162,"",""),COLUMN()-6),2,300)"),"#REF!")</f>
        <v>#REF!</v>
      </c>
      <c r="K162" s="3">
        <f>IFERROR(__xludf.DUMMYFUNCTION("INDEX(SPLIT(G162,"" ""),1)"),1.0)</f>
        <v>1</v>
      </c>
      <c r="L162" s="3" t="str">
        <f>IFERROR(__xludf.DUMMYFUNCTION("REGEXEXTRACT(G162,"" [^ ]* [^ ]* "")")," pale coral ")</f>
        <v> pale coral </v>
      </c>
      <c r="M162" s="3">
        <f>IFERROR(__xludf.DUMMYFUNCTION("INDEX(SPLIT(H162,"" ""),1)"),3.0)</f>
        <v>3</v>
      </c>
      <c r="N162" s="3" t="str">
        <f>IFERROR(__xludf.DUMMYFUNCTION("MID(REGEXEXTRACT(H162,"" [^ ]* [^ ]*""),2,300)"),"dim teal")</f>
        <v>dim teal</v>
      </c>
      <c r="O162" s="3" t="str">
        <f>IFERROR(__xludf.DUMMYFUNCTION("INDEX(SPLIT(I162,"" ""),1)"),"#REF!")</f>
        <v>#REF!</v>
      </c>
      <c r="P162" s="3" t="str">
        <f>IFERROR(__xludf.DUMMYFUNCTION("MID(REGEXEXTRACT(I162,"" [^ ]* [^ ]*""),2,300)"),"#REF!")</f>
        <v>#REF!</v>
      </c>
      <c r="Q162" s="3" t="str">
        <f>IFERROR(__xludf.DUMMYFUNCTION("INDEX(SPLIT(J162,"" ""),1)"),"#REF!")</f>
        <v>#REF!</v>
      </c>
      <c r="R162" s="3" t="str">
        <f>IFERROR(__xludf.DUMMYFUNCTION("MID(REGEXEXTRACT(J162,"" [^ ]* [^ ]*""),2,300)"),"#REF!")</f>
        <v>#REF!</v>
      </c>
      <c r="S162" s="3">
        <f t="shared" si="2"/>
        <v>1</v>
      </c>
      <c r="T162" s="3" t="str">
        <f t="shared" si="3"/>
        <v>pale coral</v>
      </c>
      <c r="U162" s="3">
        <f t="shared" si="4"/>
        <v>3</v>
      </c>
      <c r="V162" s="3" t="str">
        <f t="shared" si="5"/>
        <v>dim teal</v>
      </c>
      <c r="W162" s="3" t="str">
        <f t="shared" si="6"/>
        <v/>
      </c>
      <c r="X162" s="3" t="str">
        <f t="shared" si="7"/>
        <v/>
      </c>
      <c r="Y162" s="3" t="str">
        <f t="shared" si="8"/>
        <v/>
      </c>
      <c r="Z162" s="3" t="str">
        <f t="shared" si="9"/>
        <v/>
      </c>
      <c r="AA162" s="13">
        <f t="shared" si="10"/>
        <v>187357169</v>
      </c>
      <c r="AB162" s="3">
        <f t="shared" si="11"/>
        <v>187357168</v>
      </c>
      <c r="AC162" s="3">
        <f t="shared" si="12"/>
        <v>1</v>
      </c>
      <c r="AD162" s="3">
        <f t="shared" si="13"/>
        <v>79927</v>
      </c>
      <c r="AE162" s="3">
        <f t="shared" si="14"/>
        <v>3</v>
      </c>
      <c r="AF162" s="3">
        <f t="shared" si="15"/>
        <v>62425747</v>
      </c>
      <c r="AG162" s="3" t="str">
        <f t="shared" si="16"/>
        <v/>
      </c>
      <c r="AH162" s="3">
        <f t="shared" si="17"/>
        <v>0</v>
      </c>
      <c r="AI162" s="3" t="str">
        <f t="shared" si="18"/>
        <v/>
      </c>
      <c r="AJ162" s="3">
        <f t="shared" si="19"/>
        <v>0</v>
      </c>
    </row>
    <row r="163">
      <c r="C163" s="6" t="s">
        <v>163</v>
      </c>
      <c r="D163" s="3">
        <f t="shared" si="1"/>
        <v>0</v>
      </c>
      <c r="E163" s="3" t="str">
        <f>IFERROR(__xludf.DUMMYFUNCTION("REGEXEXTRACT(C163,""[^ ]* [^ ]*"")"),"plaid maroon")</f>
        <v>plaid maroon</v>
      </c>
      <c r="F163" s="3" t="str">
        <f>IFERROR(__xludf.DUMMYFUNCTION("MID(REGEXEXTRACT(C163,""contain.*$""),9,300)"),"5 posh maroon bags.")</f>
        <v>5 posh maroon bags.</v>
      </c>
      <c r="G163" s="3" t="str">
        <f>IFERROR(__xludf.DUMMYFUNCTION("INDEX(SPLIT($F163,"",""),COLUMN()-6)"),"5 posh maroon bags.")</f>
        <v>5 posh maroon bags.</v>
      </c>
      <c r="H163" s="3" t="str">
        <f>IFERROR(__xludf.DUMMYFUNCTION("MID(INDEX(SPLIT($F163,"",""),COLUMN()-6),2,300)"),"#REF!")</f>
        <v>#REF!</v>
      </c>
      <c r="I163" s="3" t="str">
        <f>IFERROR(__xludf.DUMMYFUNCTION("MID(INDEX(SPLIT($F163,"",""),COLUMN()-6),2,300)"),"#REF!")</f>
        <v>#REF!</v>
      </c>
      <c r="J163" s="3" t="str">
        <f>IFERROR(__xludf.DUMMYFUNCTION("MID(INDEX(SPLIT($F163,"",""),COLUMN()-6),2,300)"),"#REF!")</f>
        <v>#REF!</v>
      </c>
      <c r="K163" s="3">
        <f>IFERROR(__xludf.DUMMYFUNCTION("INDEX(SPLIT(G163,"" ""),1)"),5.0)</f>
        <v>5</v>
      </c>
      <c r="L163" s="3" t="str">
        <f>IFERROR(__xludf.DUMMYFUNCTION("REGEXEXTRACT(G163,"" [^ ]* [^ ]* "")")," posh maroon ")</f>
        <v> posh maroon </v>
      </c>
      <c r="M163" s="3" t="str">
        <f>IFERROR(__xludf.DUMMYFUNCTION("INDEX(SPLIT(H163,"" ""),1)"),"#REF!")</f>
        <v>#REF!</v>
      </c>
      <c r="N163" s="3" t="str">
        <f>IFERROR(__xludf.DUMMYFUNCTION("MID(REGEXEXTRACT(H163,"" [^ ]* [^ ]*""),2,300)"),"#REF!")</f>
        <v>#REF!</v>
      </c>
      <c r="O163" s="3" t="str">
        <f>IFERROR(__xludf.DUMMYFUNCTION("INDEX(SPLIT(I163,"" ""),1)"),"#REF!")</f>
        <v>#REF!</v>
      </c>
      <c r="P163" s="3" t="str">
        <f>IFERROR(__xludf.DUMMYFUNCTION("MID(REGEXEXTRACT(I163,"" [^ ]* [^ ]*""),2,300)"),"#REF!")</f>
        <v>#REF!</v>
      </c>
      <c r="Q163" s="3" t="str">
        <f>IFERROR(__xludf.DUMMYFUNCTION("INDEX(SPLIT(J163,"" ""),1)"),"#REF!")</f>
        <v>#REF!</v>
      </c>
      <c r="R163" s="3" t="str">
        <f>IFERROR(__xludf.DUMMYFUNCTION("MID(REGEXEXTRACT(J163,"" [^ ]* [^ ]*""),2,300)"),"#REF!")</f>
        <v>#REF!</v>
      </c>
      <c r="S163" s="3">
        <f t="shared" si="2"/>
        <v>5</v>
      </c>
      <c r="T163" s="3" t="str">
        <f t="shared" si="3"/>
        <v>posh maroon</v>
      </c>
      <c r="U163" s="3" t="str">
        <f t="shared" si="4"/>
        <v/>
      </c>
      <c r="V163" s="3" t="str">
        <f t="shared" si="5"/>
        <v/>
      </c>
      <c r="W163" s="3" t="str">
        <f t="shared" si="6"/>
        <v/>
      </c>
      <c r="X163" s="3" t="str">
        <f t="shared" si="7"/>
        <v/>
      </c>
      <c r="Y163" s="3" t="str">
        <f t="shared" si="8"/>
        <v/>
      </c>
      <c r="Z163" s="3" t="str">
        <f t="shared" si="9"/>
        <v/>
      </c>
      <c r="AA163" s="13">
        <f t="shared" si="10"/>
        <v>134688116</v>
      </c>
      <c r="AB163" s="3">
        <f t="shared" si="11"/>
        <v>134688115</v>
      </c>
      <c r="AC163" s="3">
        <f t="shared" si="12"/>
        <v>5</v>
      </c>
      <c r="AD163" s="3">
        <f t="shared" si="13"/>
        <v>26937623</v>
      </c>
      <c r="AE163" s="3" t="str">
        <f t="shared" si="14"/>
        <v/>
      </c>
      <c r="AF163" s="3">
        <f t="shared" si="15"/>
        <v>0</v>
      </c>
      <c r="AG163" s="3" t="str">
        <f t="shared" si="16"/>
        <v/>
      </c>
      <c r="AH163" s="3">
        <f t="shared" si="17"/>
        <v>0</v>
      </c>
      <c r="AI163" s="3" t="str">
        <f t="shared" si="18"/>
        <v/>
      </c>
      <c r="AJ163" s="3">
        <f t="shared" si="19"/>
        <v>0</v>
      </c>
    </row>
    <row r="164">
      <c r="C164" s="6" t="s">
        <v>164</v>
      </c>
      <c r="D164" s="3">
        <f t="shared" si="1"/>
        <v>0</v>
      </c>
      <c r="E164" s="3" t="str">
        <f>IFERROR(__xludf.DUMMYFUNCTION("REGEXEXTRACT(C164,""[^ ]* [^ ]*"")"),"vibrant beige")</f>
        <v>vibrant beige</v>
      </c>
      <c r="F164" s="3" t="str">
        <f>IFERROR(__xludf.DUMMYFUNCTION("MID(REGEXEXTRACT(C164,""contain.*$""),9,300)"),"5 dull coral bags.")</f>
        <v>5 dull coral bags.</v>
      </c>
      <c r="G164" s="3" t="str">
        <f>IFERROR(__xludf.DUMMYFUNCTION("INDEX(SPLIT($F164,"",""),COLUMN()-6)"),"5 dull coral bags.")</f>
        <v>5 dull coral bags.</v>
      </c>
      <c r="H164" s="3" t="str">
        <f>IFERROR(__xludf.DUMMYFUNCTION("MID(INDEX(SPLIT($F164,"",""),COLUMN()-6),2,300)"),"#REF!")</f>
        <v>#REF!</v>
      </c>
      <c r="I164" s="3" t="str">
        <f>IFERROR(__xludf.DUMMYFUNCTION("MID(INDEX(SPLIT($F164,"",""),COLUMN()-6),2,300)"),"#REF!")</f>
        <v>#REF!</v>
      </c>
      <c r="J164" s="3" t="str">
        <f>IFERROR(__xludf.DUMMYFUNCTION("MID(INDEX(SPLIT($F164,"",""),COLUMN()-6),2,300)"),"#REF!")</f>
        <v>#REF!</v>
      </c>
      <c r="K164" s="3">
        <f>IFERROR(__xludf.DUMMYFUNCTION("INDEX(SPLIT(G164,"" ""),1)"),5.0)</f>
        <v>5</v>
      </c>
      <c r="L164" s="3" t="str">
        <f>IFERROR(__xludf.DUMMYFUNCTION("REGEXEXTRACT(G164,"" [^ ]* [^ ]* "")")," dull coral ")</f>
        <v> dull coral </v>
      </c>
      <c r="M164" s="3" t="str">
        <f>IFERROR(__xludf.DUMMYFUNCTION("INDEX(SPLIT(H164,"" ""),1)"),"#REF!")</f>
        <v>#REF!</v>
      </c>
      <c r="N164" s="3" t="str">
        <f>IFERROR(__xludf.DUMMYFUNCTION("MID(REGEXEXTRACT(H164,"" [^ ]* [^ ]*""),2,300)"),"#REF!")</f>
        <v>#REF!</v>
      </c>
      <c r="O164" s="3" t="str">
        <f>IFERROR(__xludf.DUMMYFUNCTION("INDEX(SPLIT(I164,"" ""),1)"),"#REF!")</f>
        <v>#REF!</v>
      </c>
      <c r="P164" s="3" t="str">
        <f>IFERROR(__xludf.DUMMYFUNCTION("MID(REGEXEXTRACT(I164,"" [^ ]* [^ ]*""),2,300)"),"#REF!")</f>
        <v>#REF!</v>
      </c>
      <c r="Q164" s="3" t="str">
        <f>IFERROR(__xludf.DUMMYFUNCTION("INDEX(SPLIT(J164,"" ""),1)"),"#REF!")</f>
        <v>#REF!</v>
      </c>
      <c r="R164" s="3" t="str">
        <f>IFERROR(__xludf.DUMMYFUNCTION("MID(REGEXEXTRACT(J164,"" [^ ]* [^ ]*""),2,300)"),"#REF!")</f>
        <v>#REF!</v>
      </c>
      <c r="S164" s="3">
        <f t="shared" si="2"/>
        <v>5</v>
      </c>
      <c r="T164" s="3" t="str">
        <f t="shared" si="3"/>
        <v>dull coral</v>
      </c>
      <c r="U164" s="3" t="str">
        <f t="shared" si="4"/>
        <v/>
      </c>
      <c r="V164" s="3" t="str">
        <f t="shared" si="5"/>
        <v/>
      </c>
      <c r="W164" s="3" t="str">
        <f t="shared" si="6"/>
        <v/>
      </c>
      <c r="X164" s="3" t="str">
        <f t="shared" si="7"/>
        <v/>
      </c>
      <c r="Y164" s="3" t="str">
        <f t="shared" si="8"/>
        <v/>
      </c>
      <c r="Z164" s="3" t="str">
        <f t="shared" si="9"/>
        <v/>
      </c>
      <c r="AA164" s="13">
        <f t="shared" si="10"/>
        <v>4621</v>
      </c>
      <c r="AB164" s="3">
        <f t="shared" si="11"/>
        <v>4620</v>
      </c>
      <c r="AC164" s="3">
        <f t="shared" si="12"/>
        <v>5</v>
      </c>
      <c r="AD164" s="3">
        <f t="shared" si="13"/>
        <v>924</v>
      </c>
      <c r="AE164" s="3" t="str">
        <f t="shared" si="14"/>
        <v/>
      </c>
      <c r="AF164" s="3">
        <f t="shared" si="15"/>
        <v>0</v>
      </c>
      <c r="AG164" s="3" t="str">
        <f t="shared" si="16"/>
        <v/>
      </c>
      <c r="AH164" s="3">
        <f t="shared" si="17"/>
        <v>0</v>
      </c>
      <c r="AI164" s="3" t="str">
        <f t="shared" si="18"/>
        <v/>
      </c>
      <c r="AJ164" s="3">
        <f t="shared" si="19"/>
        <v>0</v>
      </c>
    </row>
    <row r="165">
      <c r="C165" s="6" t="s">
        <v>165</v>
      </c>
      <c r="D165" s="3">
        <f t="shared" si="1"/>
        <v>2</v>
      </c>
      <c r="E165" s="3" t="str">
        <f>IFERROR(__xludf.DUMMYFUNCTION("REGEXEXTRACT(C165,""[^ ]* [^ ]*"")"),"bright purple")</f>
        <v>bright purple</v>
      </c>
      <c r="F165" s="3" t="str">
        <f>IFERROR(__xludf.DUMMYFUNCTION("MID(REGEXEXTRACT(C165,""contain.*$""),9,300)"),"2 vibrant salmon bags, 5 dotted purple bags, 5 clear silver bags.")</f>
        <v>2 vibrant salmon bags, 5 dotted purple bags, 5 clear silver bags.</v>
      </c>
      <c r="G165" s="3" t="str">
        <f>IFERROR(__xludf.DUMMYFUNCTION("INDEX(SPLIT($F165,"",""),COLUMN()-6)"),"2 vibrant salmon bags")</f>
        <v>2 vibrant salmon bags</v>
      </c>
      <c r="H165" s="3" t="str">
        <f>IFERROR(__xludf.DUMMYFUNCTION("MID(INDEX(SPLIT($F165,"",""),COLUMN()-6),2,300)"),"5 dotted purple bags")</f>
        <v>5 dotted purple bags</v>
      </c>
      <c r="I165" s="3" t="str">
        <f>IFERROR(__xludf.DUMMYFUNCTION("MID(INDEX(SPLIT($F165,"",""),COLUMN()-6),2,300)"),"5 clear silver bags.")</f>
        <v>5 clear silver bags.</v>
      </c>
      <c r="J165" s="3" t="str">
        <f>IFERROR(__xludf.DUMMYFUNCTION("MID(INDEX(SPLIT($F165,"",""),COLUMN()-6),2,300)"),"#REF!")</f>
        <v>#REF!</v>
      </c>
      <c r="K165" s="3">
        <f>IFERROR(__xludf.DUMMYFUNCTION("INDEX(SPLIT(G165,"" ""),1)"),2.0)</f>
        <v>2</v>
      </c>
      <c r="L165" s="3" t="str">
        <f>IFERROR(__xludf.DUMMYFUNCTION("REGEXEXTRACT(G165,"" [^ ]* [^ ]* "")")," vibrant salmon ")</f>
        <v> vibrant salmon </v>
      </c>
      <c r="M165" s="3">
        <f>IFERROR(__xludf.DUMMYFUNCTION("INDEX(SPLIT(H165,"" ""),1)"),5.0)</f>
        <v>5</v>
      </c>
      <c r="N165" s="3" t="str">
        <f>IFERROR(__xludf.DUMMYFUNCTION("MID(REGEXEXTRACT(H165,"" [^ ]* [^ ]*""),2,300)"),"dotted purple")</f>
        <v>dotted purple</v>
      </c>
      <c r="O165" s="3">
        <f>IFERROR(__xludf.DUMMYFUNCTION("INDEX(SPLIT(I165,"" ""),1)"),5.0)</f>
        <v>5</v>
      </c>
      <c r="P165" s="3" t="str">
        <f>IFERROR(__xludf.DUMMYFUNCTION("MID(REGEXEXTRACT(I165,"" [^ ]* [^ ]*""),2,300)"),"clear silver")</f>
        <v>clear silver</v>
      </c>
      <c r="Q165" s="3" t="str">
        <f>IFERROR(__xludf.DUMMYFUNCTION("INDEX(SPLIT(J165,"" ""),1)"),"#REF!")</f>
        <v>#REF!</v>
      </c>
      <c r="R165" s="3" t="str">
        <f>IFERROR(__xludf.DUMMYFUNCTION("MID(REGEXEXTRACT(J165,"" [^ ]* [^ ]*""),2,300)"),"#REF!")</f>
        <v>#REF!</v>
      </c>
      <c r="S165" s="3">
        <f t="shared" si="2"/>
        <v>2</v>
      </c>
      <c r="T165" s="3" t="str">
        <f t="shared" si="3"/>
        <v>vibrant salmon</v>
      </c>
      <c r="U165" s="3">
        <f t="shared" si="4"/>
        <v>5</v>
      </c>
      <c r="V165" s="3" t="str">
        <f t="shared" si="5"/>
        <v>dotted purple</v>
      </c>
      <c r="W165" s="3">
        <f t="shared" si="6"/>
        <v>5</v>
      </c>
      <c r="X165" s="3" t="str">
        <f t="shared" si="7"/>
        <v>clear silver</v>
      </c>
      <c r="Y165" s="3" t="str">
        <f t="shared" si="8"/>
        <v/>
      </c>
      <c r="Z165" s="3" t="str">
        <f t="shared" si="9"/>
        <v/>
      </c>
      <c r="AA165" s="13">
        <f t="shared" si="10"/>
        <v>6441642</v>
      </c>
      <c r="AB165" s="3">
        <f t="shared" si="11"/>
        <v>6441641</v>
      </c>
      <c r="AC165" s="3">
        <f t="shared" si="12"/>
        <v>2</v>
      </c>
      <c r="AD165" s="3">
        <f t="shared" si="13"/>
        <v>3172113</v>
      </c>
      <c r="AE165" s="3">
        <f t="shared" si="14"/>
        <v>5</v>
      </c>
      <c r="AF165" s="3">
        <f t="shared" si="15"/>
        <v>19266</v>
      </c>
      <c r="AG165" s="3">
        <f t="shared" si="16"/>
        <v>5</v>
      </c>
      <c r="AH165" s="3">
        <f t="shared" si="17"/>
        <v>217</v>
      </c>
      <c r="AI165" s="3" t="str">
        <f t="shared" si="18"/>
        <v/>
      </c>
      <c r="AJ165" s="3">
        <f t="shared" si="19"/>
        <v>0</v>
      </c>
    </row>
    <row r="166">
      <c r="C166" s="6" t="s">
        <v>166</v>
      </c>
      <c r="D166" s="3">
        <f t="shared" si="1"/>
        <v>2</v>
      </c>
      <c r="E166" s="3" t="str">
        <f>IFERROR(__xludf.DUMMYFUNCTION("REGEXEXTRACT(C166,""[^ ]* [^ ]*"")"),"dull coral")</f>
        <v>dull coral</v>
      </c>
      <c r="F166" s="3" t="str">
        <f>IFERROR(__xludf.DUMMYFUNCTION("MID(REGEXEXTRACT(C166,""contain.*$""),9,300)"),"4 vibrant aqua bags, 3 dotted brown bags, 4 shiny coral bags.")</f>
        <v>4 vibrant aqua bags, 3 dotted brown bags, 4 shiny coral bags.</v>
      </c>
      <c r="G166" s="3" t="str">
        <f>IFERROR(__xludf.DUMMYFUNCTION("INDEX(SPLIT($F166,"",""),COLUMN()-6)"),"4 vibrant aqua bags")</f>
        <v>4 vibrant aqua bags</v>
      </c>
      <c r="H166" s="3" t="str">
        <f>IFERROR(__xludf.DUMMYFUNCTION("MID(INDEX(SPLIT($F166,"",""),COLUMN()-6),2,300)"),"3 dotted brown bags")</f>
        <v>3 dotted brown bags</v>
      </c>
      <c r="I166" s="3" t="str">
        <f>IFERROR(__xludf.DUMMYFUNCTION("MID(INDEX(SPLIT($F166,"",""),COLUMN()-6),2,300)"),"4 shiny coral bags.")</f>
        <v>4 shiny coral bags.</v>
      </c>
      <c r="J166" s="3" t="str">
        <f>IFERROR(__xludf.DUMMYFUNCTION("MID(INDEX(SPLIT($F166,"",""),COLUMN()-6),2,300)"),"#REF!")</f>
        <v>#REF!</v>
      </c>
      <c r="K166" s="3">
        <f>IFERROR(__xludf.DUMMYFUNCTION("INDEX(SPLIT(G166,"" ""),1)"),4.0)</f>
        <v>4</v>
      </c>
      <c r="L166" s="3" t="str">
        <f>IFERROR(__xludf.DUMMYFUNCTION("REGEXEXTRACT(G166,"" [^ ]* [^ ]* "")")," vibrant aqua ")</f>
        <v> vibrant aqua </v>
      </c>
      <c r="M166" s="3">
        <f>IFERROR(__xludf.DUMMYFUNCTION("INDEX(SPLIT(H166,"" ""),1)"),3.0)</f>
        <v>3</v>
      </c>
      <c r="N166" s="3" t="str">
        <f>IFERROR(__xludf.DUMMYFUNCTION("MID(REGEXEXTRACT(H166,"" [^ ]* [^ ]*""),2,300)"),"dotted brown")</f>
        <v>dotted brown</v>
      </c>
      <c r="O166" s="3">
        <f>IFERROR(__xludf.DUMMYFUNCTION("INDEX(SPLIT(I166,"" ""),1)"),4.0)</f>
        <v>4</v>
      </c>
      <c r="P166" s="3" t="str">
        <f>IFERROR(__xludf.DUMMYFUNCTION("MID(REGEXEXTRACT(I166,"" [^ ]* [^ ]*""),2,300)"),"shiny coral")</f>
        <v>shiny coral</v>
      </c>
      <c r="Q166" s="3" t="str">
        <f>IFERROR(__xludf.DUMMYFUNCTION("INDEX(SPLIT(J166,"" ""),1)"),"#REF!")</f>
        <v>#REF!</v>
      </c>
      <c r="R166" s="3" t="str">
        <f>IFERROR(__xludf.DUMMYFUNCTION("MID(REGEXEXTRACT(J166,"" [^ ]* [^ ]*""),2,300)"),"#REF!")</f>
        <v>#REF!</v>
      </c>
      <c r="S166" s="3">
        <f t="shared" si="2"/>
        <v>4</v>
      </c>
      <c r="T166" s="3" t="str">
        <f t="shared" si="3"/>
        <v>vibrant aqua</v>
      </c>
      <c r="U166" s="3">
        <f t="shared" si="4"/>
        <v>3</v>
      </c>
      <c r="V166" s="3" t="str">
        <f t="shared" si="5"/>
        <v>dotted brown</v>
      </c>
      <c r="W166" s="3">
        <f t="shared" si="6"/>
        <v>4</v>
      </c>
      <c r="X166" s="3" t="str">
        <f t="shared" si="7"/>
        <v>shiny coral</v>
      </c>
      <c r="Y166" s="3" t="str">
        <f t="shared" si="8"/>
        <v/>
      </c>
      <c r="Z166" s="3" t="str">
        <f t="shared" si="9"/>
        <v/>
      </c>
      <c r="AA166" s="13">
        <f t="shared" si="10"/>
        <v>924</v>
      </c>
      <c r="AB166" s="3">
        <f t="shared" si="11"/>
        <v>923</v>
      </c>
      <c r="AC166" s="3">
        <f t="shared" si="12"/>
        <v>4</v>
      </c>
      <c r="AD166" s="3">
        <f t="shared" si="13"/>
        <v>1</v>
      </c>
      <c r="AE166" s="3">
        <f t="shared" si="14"/>
        <v>3</v>
      </c>
      <c r="AF166" s="3">
        <f t="shared" si="15"/>
        <v>305</v>
      </c>
      <c r="AG166" s="3">
        <f t="shared" si="16"/>
        <v>4</v>
      </c>
      <c r="AH166" s="3">
        <f t="shared" si="17"/>
        <v>1</v>
      </c>
      <c r="AI166" s="3" t="str">
        <f t="shared" si="18"/>
        <v/>
      </c>
      <c r="AJ166" s="3">
        <f t="shared" si="19"/>
        <v>0</v>
      </c>
    </row>
    <row r="167">
      <c r="C167" s="6" t="s">
        <v>167</v>
      </c>
      <c r="D167" s="3">
        <f t="shared" si="1"/>
        <v>0</v>
      </c>
      <c r="E167" s="3" t="str">
        <f>IFERROR(__xludf.DUMMYFUNCTION("REGEXEXTRACT(C167,""[^ ]* [^ ]*"")"),"drab gray")</f>
        <v>drab gray</v>
      </c>
      <c r="F167" s="3" t="str">
        <f>IFERROR(__xludf.DUMMYFUNCTION("MID(REGEXEXTRACT(C167,""contain.*$""),9,300)"),"4 vibrant lavender bags.")</f>
        <v>4 vibrant lavender bags.</v>
      </c>
      <c r="G167" s="3" t="str">
        <f>IFERROR(__xludf.DUMMYFUNCTION("INDEX(SPLIT($F167,"",""),COLUMN()-6)"),"4 vibrant lavender bags.")</f>
        <v>4 vibrant lavender bags.</v>
      </c>
      <c r="H167" s="3" t="str">
        <f>IFERROR(__xludf.DUMMYFUNCTION("MID(INDEX(SPLIT($F167,"",""),COLUMN()-6),2,300)"),"#REF!")</f>
        <v>#REF!</v>
      </c>
      <c r="I167" s="3" t="str">
        <f>IFERROR(__xludf.DUMMYFUNCTION("MID(INDEX(SPLIT($F167,"",""),COLUMN()-6),2,300)"),"#REF!")</f>
        <v>#REF!</v>
      </c>
      <c r="J167" s="3" t="str">
        <f>IFERROR(__xludf.DUMMYFUNCTION("MID(INDEX(SPLIT($F167,"",""),COLUMN()-6),2,300)"),"#REF!")</f>
        <v>#REF!</v>
      </c>
      <c r="K167" s="3">
        <f>IFERROR(__xludf.DUMMYFUNCTION("INDEX(SPLIT(G167,"" ""),1)"),4.0)</f>
        <v>4</v>
      </c>
      <c r="L167" s="3" t="str">
        <f>IFERROR(__xludf.DUMMYFUNCTION("REGEXEXTRACT(G167,"" [^ ]* [^ ]* "")")," vibrant lavender ")</f>
        <v> vibrant lavender </v>
      </c>
      <c r="M167" s="3" t="str">
        <f>IFERROR(__xludf.DUMMYFUNCTION("INDEX(SPLIT(H167,"" ""),1)"),"#REF!")</f>
        <v>#REF!</v>
      </c>
      <c r="N167" s="3" t="str">
        <f>IFERROR(__xludf.DUMMYFUNCTION("MID(REGEXEXTRACT(H167,"" [^ ]* [^ ]*""),2,300)"),"#REF!")</f>
        <v>#REF!</v>
      </c>
      <c r="O167" s="3" t="str">
        <f>IFERROR(__xludf.DUMMYFUNCTION("INDEX(SPLIT(I167,"" ""),1)"),"#REF!")</f>
        <v>#REF!</v>
      </c>
      <c r="P167" s="3" t="str">
        <f>IFERROR(__xludf.DUMMYFUNCTION("MID(REGEXEXTRACT(I167,"" [^ ]* [^ ]*""),2,300)"),"#REF!")</f>
        <v>#REF!</v>
      </c>
      <c r="Q167" s="3" t="str">
        <f>IFERROR(__xludf.DUMMYFUNCTION("INDEX(SPLIT(J167,"" ""),1)"),"#REF!")</f>
        <v>#REF!</v>
      </c>
      <c r="R167" s="3" t="str">
        <f>IFERROR(__xludf.DUMMYFUNCTION("MID(REGEXEXTRACT(J167,"" [^ ]* [^ ]*""),2,300)"),"#REF!")</f>
        <v>#REF!</v>
      </c>
      <c r="S167" s="3">
        <f t="shared" si="2"/>
        <v>4</v>
      </c>
      <c r="T167" s="3" t="str">
        <f t="shared" si="3"/>
        <v>vibrant lavender</v>
      </c>
      <c r="U167" s="3" t="str">
        <f t="shared" si="4"/>
        <v/>
      </c>
      <c r="V167" s="3" t="str">
        <f t="shared" si="5"/>
        <v/>
      </c>
      <c r="W167" s="3" t="str">
        <f t="shared" si="6"/>
        <v/>
      </c>
      <c r="X167" s="3" t="str">
        <f t="shared" si="7"/>
        <v/>
      </c>
      <c r="Y167" s="3" t="str">
        <f t="shared" si="8"/>
        <v/>
      </c>
      <c r="Z167" s="3" t="str">
        <f t="shared" si="9"/>
        <v/>
      </c>
      <c r="AA167" s="13">
        <f t="shared" si="10"/>
        <v>2783489</v>
      </c>
      <c r="AB167" s="3">
        <f t="shared" si="11"/>
        <v>2783488</v>
      </c>
      <c r="AC167" s="3">
        <f t="shared" si="12"/>
        <v>4</v>
      </c>
      <c r="AD167" s="3">
        <f t="shared" si="13"/>
        <v>695872</v>
      </c>
      <c r="AE167" s="3" t="str">
        <f t="shared" si="14"/>
        <v/>
      </c>
      <c r="AF167" s="3">
        <f t="shared" si="15"/>
        <v>0</v>
      </c>
      <c r="AG167" s="3" t="str">
        <f t="shared" si="16"/>
        <v/>
      </c>
      <c r="AH167" s="3">
        <f t="shared" si="17"/>
        <v>0</v>
      </c>
      <c r="AI167" s="3" t="str">
        <f t="shared" si="18"/>
        <v/>
      </c>
      <c r="AJ167" s="3">
        <f t="shared" si="19"/>
        <v>0</v>
      </c>
    </row>
    <row r="168">
      <c r="C168" s="6" t="s">
        <v>168</v>
      </c>
      <c r="D168" s="3">
        <f t="shared" si="1"/>
        <v>3</v>
      </c>
      <c r="E168" s="3" t="str">
        <f>IFERROR(__xludf.DUMMYFUNCTION("REGEXEXTRACT(C168,""[^ ]* [^ ]*"")"),"dull lavender")</f>
        <v>dull lavender</v>
      </c>
      <c r="F168" s="3" t="str">
        <f>IFERROR(__xludf.DUMMYFUNCTION("MID(REGEXEXTRACT(C168,""contain.*$""),9,300)"),"3 vibrant lavender bags, 1 posh red bag, 4 drab tan bags, 3 light purple bags.")</f>
        <v>3 vibrant lavender bags, 1 posh red bag, 4 drab tan bags, 3 light purple bags.</v>
      </c>
      <c r="G168" s="3" t="str">
        <f>IFERROR(__xludf.DUMMYFUNCTION("INDEX(SPLIT($F168,"",""),COLUMN()-6)"),"3 vibrant lavender bags")</f>
        <v>3 vibrant lavender bags</v>
      </c>
      <c r="H168" s="3" t="str">
        <f>IFERROR(__xludf.DUMMYFUNCTION("MID(INDEX(SPLIT($F168,"",""),COLUMN()-6),2,300)"),"1 posh red bag")</f>
        <v>1 posh red bag</v>
      </c>
      <c r="I168" s="3" t="str">
        <f>IFERROR(__xludf.DUMMYFUNCTION("MID(INDEX(SPLIT($F168,"",""),COLUMN()-6),2,300)"),"4 drab tan bags")</f>
        <v>4 drab tan bags</v>
      </c>
      <c r="J168" s="3" t="str">
        <f>IFERROR(__xludf.DUMMYFUNCTION("MID(INDEX(SPLIT($F168,"",""),COLUMN()-6),2,300)"),"3 light purple bags.")</f>
        <v>3 light purple bags.</v>
      </c>
      <c r="K168" s="3">
        <f>IFERROR(__xludf.DUMMYFUNCTION("INDEX(SPLIT(G168,"" ""),1)"),3.0)</f>
        <v>3</v>
      </c>
      <c r="L168" s="3" t="str">
        <f>IFERROR(__xludf.DUMMYFUNCTION("REGEXEXTRACT(G168,"" [^ ]* [^ ]* "")")," vibrant lavender ")</f>
        <v> vibrant lavender </v>
      </c>
      <c r="M168" s="3">
        <f>IFERROR(__xludf.DUMMYFUNCTION("INDEX(SPLIT(H168,"" ""),1)"),1.0)</f>
        <v>1</v>
      </c>
      <c r="N168" s="3" t="str">
        <f>IFERROR(__xludf.DUMMYFUNCTION("MID(REGEXEXTRACT(H168,"" [^ ]* [^ ]*""),2,300)"),"posh red")</f>
        <v>posh red</v>
      </c>
      <c r="O168" s="3">
        <f>IFERROR(__xludf.DUMMYFUNCTION("INDEX(SPLIT(I168,"" ""),1)"),4.0)</f>
        <v>4</v>
      </c>
      <c r="P168" s="3" t="str">
        <f>IFERROR(__xludf.DUMMYFUNCTION("MID(REGEXEXTRACT(I168,"" [^ ]* [^ ]*""),2,300)"),"drab tan")</f>
        <v>drab tan</v>
      </c>
      <c r="Q168" s="3">
        <f>IFERROR(__xludf.DUMMYFUNCTION("INDEX(SPLIT(J168,"" ""),1)"),3.0)</f>
        <v>3</v>
      </c>
      <c r="R168" s="3" t="str">
        <f>IFERROR(__xludf.DUMMYFUNCTION("MID(REGEXEXTRACT(J168,"" [^ ]* [^ ]*""),2,300)"),"light purple")</f>
        <v>light purple</v>
      </c>
      <c r="S168" s="3">
        <f t="shared" si="2"/>
        <v>3</v>
      </c>
      <c r="T168" s="3" t="str">
        <f t="shared" si="3"/>
        <v>vibrant lavender</v>
      </c>
      <c r="U168" s="3">
        <f t="shared" si="4"/>
        <v>1</v>
      </c>
      <c r="V168" s="3" t="str">
        <f t="shared" si="5"/>
        <v>posh red</v>
      </c>
      <c r="W168" s="3">
        <f t="shared" si="6"/>
        <v>4</v>
      </c>
      <c r="X168" s="3" t="str">
        <f t="shared" si="7"/>
        <v>drab tan</v>
      </c>
      <c r="Y168" s="3">
        <f t="shared" si="8"/>
        <v>3</v>
      </c>
      <c r="Z168" s="3" t="str">
        <f t="shared" si="9"/>
        <v>light purple</v>
      </c>
      <c r="AA168" s="13">
        <f t="shared" si="10"/>
        <v>17050595</v>
      </c>
      <c r="AB168" s="3">
        <f t="shared" si="11"/>
        <v>17050594</v>
      </c>
      <c r="AC168" s="3">
        <f t="shared" si="12"/>
        <v>3</v>
      </c>
      <c r="AD168" s="3">
        <f t="shared" si="13"/>
        <v>695872</v>
      </c>
      <c r="AE168" s="3">
        <f t="shared" si="14"/>
        <v>1</v>
      </c>
      <c r="AF168" s="3">
        <f t="shared" si="15"/>
        <v>367934</v>
      </c>
      <c r="AG168" s="3">
        <f t="shared" si="16"/>
        <v>4</v>
      </c>
      <c r="AH168" s="3">
        <f t="shared" si="17"/>
        <v>3591437</v>
      </c>
      <c r="AI168" s="3">
        <f t="shared" si="18"/>
        <v>3</v>
      </c>
      <c r="AJ168" s="3">
        <f t="shared" si="19"/>
        <v>76432</v>
      </c>
    </row>
    <row r="169">
      <c r="C169" s="6" t="s">
        <v>169</v>
      </c>
      <c r="D169" s="3">
        <f t="shared" si="1"/>
        <v>0</v>
      </c>
      <c r="E169" s="3" t="str">
        <f>IFERROR(__xludf.DUMMYFUNCTION("REGEXEXTRACT(C169,""[^ ]* [^ ]*"")"),"striped maroon")</f>
        <v>striped maroon</v>
      </c>
      <c r="F169" s="3" t="str">
        <f>IFERROR(__xludf.DUMMYFUNCTION("MID(REGEXEXTRACT(C169,""contain.*$""),9,300)"),"3 bright silver bags.")</f>
        <v>3 bright silver bags.</v>
      </c>
      <c r="G169" s="3" t="str">
        <f>IFERROR(__xludf.DUMMYFUNCTION("INDEX(SPLIT($F169,"",""),COLUMN()-6)"),"3 bright silver bags.")</f>
        <v>3 bright silver bags.</v>
      </c>
      <c r="H169" s="3" t="str">
        <f>IFERROR(__xludf.DUMMYFUNCTION("MID(INDEX(SPLIT($F169,"",""),COLUMN()-6),2,300)"),"#REF!")</f>
        <v>#REF!</v>
      </c>
      <c r="I169" s="3" t="str">
        <f>IFERROR(__xludf.DUMMYFUNCTION("MID(INDEX(SPLIT($F169,"",""),COLUMN()-6),2,300)"),"#REF!")</f>
        <v>#REF!</v>
      </c>
      <c r="J169" s="3" t="str">
        <f>IFERROR(__xludf.DUMMYFUNCTION("MID(INDEX(SPLIT($F169,"",""),COLUMN()-6),2,300)"),"#REF!")</f>
        <v>#REF!</v>
      </c>
      <c r="K169" s="3">
        <f>IFERROR(__xludf.DUMMYFUNCTION("INDEX(SPLIT(G169,"" ""),1)"),3.0)</f>
        <v>3</v>
      </c>
      <c r="L169" s="3" t="str">
        <f>IFERROR(__xludf.DUMMYFUNCTION("REGEXEXTRACT(G169,"" [^ ]* [^ ]* "")")," bright silver ")</f>
        <v> bright silver </v>
      </c>
      <c r="M169" s="3" t="str">
        <f>IFERROR(__xludf.DUMMYFUNCTION("INDEX(SPLIT(H169,"" ""),1)"),"#REF!")</f>
        <v>#REF!</v>
      </c>
      <c r="N169" s="3" t="str">
        <f>IFERROR(__xludf.DUMMYFUNCTION("MID(REGEXEXTRACT(H169,"" [^ ]* [^ ]*""),2,300)"),"#REF!")</f>
        <v>#REF!</v>
      </c>
      <c r="O169" s="3" t="str">
        <f>IFERROR(__xludf.DUMMYFUNCTION("INDEX(SPLIT(I169,"" ""),1)"),"#REF!")</f>
        <v>#REF!</v>
      </c>
      <c r="P169" s="3" t="str">
        <f>IFERROR(__xludf.DUMMYFUNCTION("MID(REGEXEXTRACT(I169,"" [^ ]* [^ ]*""),2,300)"),"#REF!")</f>
        <v>#REF!</v>
      </c>
      <c r="Q169" s="3" t="str">
        <f>IFERROR(__xludf.DUMMYFUNCTION("INDEX(SPLIT(J169,"" ""),1)"),"#REF!")</f>
        <v>#REF!</v>
      </c>
      <c r="R169" s="3" t="str">
        <f>IFERROR(__xludf.DUMMYFUNCTION("MID(REGEXEXTRACT(J169,"" [^ ]* [^ ]*""),2,300)"),"#REF!")</f>
        <v>#REF!</v>
      </c>
      <c r="S169" s="3">
        <f t="shared" si="2"/>
        <v>3</v>
      </c>
      <c r="T169" s="3" t="str">
        <f t="shared" si="3"/>
        <v>bright silver</v>
      </c>
      <c r="U169" s="3" t="str">
        <f t="shared" si="4"/>
        <v/>
      </c>
      <c r="V169" s="3" t="str">
        <f t="shared" si="5"/>
        <v/>
      </c>
      <c r="W169" s="3" t="str">
        <f t="shared" si="6"/>
        <v/>
      </c>
      <c r="X169" s="3" t="str">
        <f t="shared" si="7"/>
        <v/>
      </c>
      <c r="Y169" s="3" t="str">
        <f t="shared" si="8"/>
        <v/>
      </c>
      <c r="Z169" s="3" t="str">
        <f t="shared" si="9"/>
        <v/>
      </c>
      <c r="AA169" s="13">
        <f t="shared" si="10"/>
        <v>124</v>
      </c>
      <c r="AB169" s="3">
        <f t="shared" si="11"/>
        <v>123</v>
      </c>
      <c r="AC169" s="3">
        <f t="shared" si="12"/>
        <v>3</v>
      </c>
      <c r="AD169" s="3">
        <f t="shared" si="13"/>
        <v>41</v>
      </c>
      <c r="AE169" s="3" t="str">
        <f t="shared" si="14"/>
        <v/>
      </c>
      <c r="AF169" s="3">
        <f t="shared" si="15"/>
        <v>0</v>
      </c>
      <c r="AG169" s="3" t="str">
        <f t="shared" si="16"/>
        <v/>
      </c>
      <c r="AH169" s="3">
        <f t="shared" si="17"/>
        <v>0</v>
      </c>
      <c r="AI169" s="3" t="str">
        <f t="shared" si="18"/>
        <v/>
      </c>
      <c r="AJ169" s="3">
        <f t="shared" si="19"/>
        <v>0</v>
      </c>
    </row>
    <row r="170">
      <c r="C170" s="6" t="s">
        <v>170</v>
      </c>
      <c r="D170" s="3">
        <f t="shared" si="1"/>
        <v>2</v>
      </c>
      <c r="E170" s="3" t="str">
        <f>IFERROR(__xludf.DUMMYFUNCTION("REGEXEXTRACT(C170,""[^ ]* [^ ]*"")"),"mirrored silver")</f>
        <v>mirrored silver</v>
      </c>
      <c r="F170" s="3" t="str">
        <f>IFERROR(__xludf.DUMMYFUNCTION("MID(REGEXEXTRACT(C170,""contain.*$""),9,300)"),"5 clear blue bags, 3 posh magenta bags, 2 bright brown bags.")</f>
        <v>5 clear blue bags, 3 posh magenta bags, 2 bright brown bags.</v>
      </c>
      <c r="G170" s="3" t="str">
        <f>IFERROR(__xludf.DUMMYFUNCTION("INDEX(SPLIT($F170,"",""),COLUMN()-6)"),"5 clear blue bags")</f>
        <v>5 clear blue bags</v>
      </c>
      <c r="H170" s="3" t="str">
        <f>IFERROR(__xludf.DUMMYFUNCTION("MID(INDEX(SPLIT($F170,"",""),COLUMN()-6),2,300)"),"3 posh magenta bags")</f>
        <v>3 posh magenta bags</v>
      </c>
      <c r="I170" s="3" t="str">
        <f>IFERROR(__xludf.DUMMYFUNCTION("MID(INDEX(SPLIT($F170,"",""),COLUMN()-6),2,300)"),"2 bright brown bags.")</f>
        <v>2 bright brown bags.</v>
      </c>
      <c r="J170" s="3" t="str">
        <f>IFERROR(__xludf.DUMMYFUNCTION("MID(INDEX(SPLIT($F170,"",""),COLUMN()-6),2,300)"),"#REF!")</f>
        <v>#REF!</v>
      </c>
      <c r="K170" s="3">
        <f>IFERROR(__xludf.DUMMYFUNCTION("INDEX(SPLIT(G170,"" ""),1)"),5.0)</f>
        <v>5</v>
      </c>
      <c r="L170" s="3" t="str">
        <f>IFERROR(__xludf.DUMMYFUNCTION("REGEXEXTRACT(G170,"" [^ ]* [^ ]* "")")," clear blue ")</f>
        <v> clear blue </v>
      </c>
      <c r="M170" s="3">
        <f>IFERROR(__xludf.DUMMYFUNCTION("INDEX(SPLIT(H170,"" ""),1)"),3.0)</f>
        <v>3</v>
      </c>
      <c r="N170" s="3" t="str">
        <f>IFERROR(__xludf.DUMMYFUNCTION("MID(REGEXEXTRACT(H170,"" [^ ]* [^ ]*""),2,300)"),"posh magenta")</f>
        <v>posh magenta</v>
      </c>
      <c r="O170" s="3">
        <f>IFERROR(__xludf.DUMMYFUNCTION("INDEX(SPLIT(I170,"" ""),1)"),2.0)</f>
        <v>2</v>
      </c>
      <c r="P170" s="3" t="str">
        <f>IFERROR(__xludf.DUMMYFUNCTION("MID(REGEXEXTRACT(I170,"" [^ ]* [^ ]*""),2,300)"),"bright brown")</f>
        <v>bright brown</v>
      </c>
      <c r="Q170" s="3" t="str">
        <f>IFERROR(__xludf.DUMMYFUNCTION("INDEX(SPLIT(J170,"" ""),1)"),"#REF!")</f>
        <v>#REF!</v>
      </c>
      <c r="R170" s="3" t="str">
        <f>IFERROR(__xludf.DUMMYFUNCTION("MID(REGEXEXTRACT(J170,"" [^ ]* [^ ]*""),2,300)"),"#REF!")</f>
        <v>#REF!</v>
      </c>
      <c r="S170" s="3">
        <f t="shared" si="2"/>
        <v>5</v>
      </c>
      <c r="T170" s="3" t="str">
        <f t="shared" si="3"/>
        <v>clear blue</v>
      </c>
      <c r="U170" s="3">
        <f t="shared" si="4"/>
        <v>3</v>
      </c>
      <c r="V170" s="3" t="str">
        <f t="shared" si="5"/>
        <v>posh magenta</v>
      </c>
      <c r="W170" s="3">
        <f t="shared" si="6"/>
        <v>2</v>
      </c>
      <c r="X170" s="3" t="str">
        <f t="shared" si="7"/>
        <v>bright brown</v>
      </c>
      <c r="Y170" s="3" t="str">
        <f t="shared" si="8"/>
        <v/>
      </c>
      <c r="Z170" s="3" t="str">
        <f t="shared" si="9"/>
        <v/>
      </c>
      <c r="AA170" s="13">
        <f t="shared" si="10"/>
        <v>386</v>
      </c>
      <c r="AB170" s="3">
        <f t="shared" si="11"/>
        <v>385</v>
      </c>
      <c r="AC170" s="3">
        <f t="shared" si="12"/>
        <v>5</v>
      </c>
      <c r="AD170" s="3">
        <f t="shared" si="13"/>
        <v>76</v>
      </c>
      <c r="AE170" s="3">
        <f t="shared" si="14"/>
        <v>3</v>
      </c>
      <c r="AF170" s="3">
        <f t="shared" si="15"/>
        <v>1</v>
      </c>
      <c r="AG170" s="3">
        <f t="shared" si="16"/>
        <v>2</v>
      </c>
      <c r="AH170" s="3">
        <f t="shared" si="17"/>
        <v>1</v>
      </c>
      <c r="AI170" s="3" t="str">
        <f t="shared" si="18"/>
        <v/>
      </c>
      <c r="AJ170" s="3">
        <f t="shared" si="19"/>
        <v>0</v>
      </c>
    </row>
    <row r="171">
      <c r="C171" s="6" t="s">
        <v>171</v>
      </c>
      <c r="D171" s="3">
        <f t="shared" si="1"/>
        <v>0</v>
      </c>
      <c r="E171" s="3" t="str">
        <f>IFERROR(__xludf.DUMMYFUNCTION("REGEXEXTRACT(C171,""[^ ]* [^ ]*"")"),"faded yellow")</f>
        <v>faded yellow</v>
      </c>
      <c r="F171" s="3" t="str">
        <f>IFERROR(__xludf.DUMMYFUNCTION("MID(REGEXEXTRACT(C171,""contain.*$""),9,300)"),"2 muted maroon bags.")</f>
        <v>2 muted maroon bags.</v>
      </c>
      <c r="G171" s="3" t="str">
        <f>IFERROR(__xludf.DUMMYFUNCTION("INDEX(SPLIT($F171,"",""),COLUMN()-6)"),"2 muted maroon bags.")</f>
        <v>2 muted maroon bags.</v>
      </c>
      <c r="H171" s="3" t="str">
        <f>IFERROR(__xludf.DUMMYFUNCTION("MID(INDEX(SPLIT($F171,"",""),COLUMN()-6),2,300)"),"#REF!")</f>
        <v>#REF!</v>
      </c>
      <c r="I171" s="3" t="str">
        <f>IFERROR(__xludf.DUMMYFUNCTION("MID(INDEX(SPLIT($F171,"",""),COLUMN()-6),2,300)"),"#REF!")</f>
        <v>#REF!</v>
      </c>
      <c r="J171" s="3" t="str">
        <f>IFERROR(__xludf.DUMMYFUNCTION("MID(INDEX(SPLIT($F171,"",""),COLUMN()-6),2,300)"),"#REF!")</f>
        <v>#REF!</v>
      </c>
      <c r="K171" s="3">
        <f>IFERROR(__xludf.DUMMYFUNCTION("INDEX(SPLIT(G171,"" ""),1)"),2.0)</f>
        <v>2</v>
      </c>
      <c r="L171" s="3" t="str">
        <f>IFERROR(__xludf.DUMMYFUNCTION("REGEXEXTRACT(G171,"" [^ ]* [^ ]* "")")," muted maroon ")</f>
        <v> muted maroon </v>
      </c>
      <c r="M171" s="3" t="str">
        <f>IFERROR(__xludf.DUMMYFUNCTION("INDEX(SPLIT(H171,"" ""),1)"),"#REF!")</f>
        <v>#REF!</v>
      </c>
      <c r="N171" s="3" t="str">
        <f>IFERROR(__xludf.DUMMYFUNCTION("MID(REGEXEXTRACT(H171,"" [^ ]* [^ ]*""),2,300)"),"#REF!")</f>
        <v>#REF!</v>
      </c>
      <c r="O171" s="3" t="str">
        <f>IFERROR(__xludf.DUMMYFUNCTION("INDEX(SPLIT(I171,"" ""),1)"),"#REF!")</f>
        <v>#REF!</v>
      </c>
      <c r="P171" s="3" t="str">
        <f>IFERROR(__xludf.DUMMYFUNCTION("MID(REGEXEXTRACT(I171,"" [^ ]* [^ ]*""),2,300)"),"#REF!")</f>
        <v>#REF!</v>
      </c>
      <c r="Q171" s="3" t="str">
        <f>IFERROR(__xludf.DUMMYFUNCTION("INDEX(SPLIT(J171,"" ""),1)"),"#REF!")</f>
        <v>#REF!</v>
      </c>
      <c r="R171" s="3" t="str">
        <f>IFERROR(__xludf.DUMMYFUNCTION("MID(REGEXEXTRACT(J171,"" [^ ]* [^ ]*""),2,300)"),"#REF!")</f>
        <v>#REF!</v>
      </c>
      <c r="S171" s="3">
        <f t="shared" si="2"/>
        <v>2</v>
      </c>
      <c r="T171" s="3" t="str">
        <f t="shared" si="3"/>
        <v>muted maroon</v>
      </c>
      <c r="U171" s="3" t="str">
        <f t="shared" si="4"/>
        <v/>
      </c>
      <c r="V171" s="3" t="str">
        <f t="shared" si="5"/>
        <v/>
      </c>
      <c r="W171" s="3" t="str">
        <f t="shared" si="6"/>
        <v/>
      </c>
      <c r="X171" s="3" t="str">
        <f t="shared" si="7"/>
        <v/>
      </c>
      <c r="Y171" s="3" t="str">
        <f t="shared" si="8"/>
        <v/>
      </c>
      <c r="Z171" s="3" t="str">
        <f t="shared" si="9"/>
        <v/>
      </c>
      <c r="AA171" s="13">
        <f t="shared" si="10"/>
        <v>50963</v>
      </c>
      <c r="AB171" s="3">
        <f t="shared" si="11"/>
        <v>50962</v>
      </c>
      <c r="AC171" s="3">
        <f t="shared" si="12"/>
        <v>2</v>
      </c>
      <c r="AD171" s="3">
        <f t="shared" si="13"/>
        <v>25481</v>
      </c>
      <c r="AE171" s="3" t="str">
        <f t="shared" si="14"/>
        <v/>
      </c>
      <c r="AF171" s="3">
        <f t="shared" si="15"/>
        <v>0</v>
      </c>
      <c r="AG171" s="3" t="str">
        <f t="shared" si="16"/>
        <v/>
      </c>
      <c r="AH171" s="3">
        <f t="shared" si="17"/>
        <v>0</v>
      </c>
      <c r="AI171" s="3" t="str">
        <f t="shared" si="18"/>
        <v/>
      </c>
      <c r="AJ171" s="3">
        <f t="shared" si="19"/>
        <v>0</v>
      </c>
    </row>
    <row r="172">
      <c r="C172" s="6" t="s">
        <v>172</v>
      </c>
      <c r="D172" s="3">
        <f t="shared" si="1"/>
        <v>2</v>
      </c>
      <c r="E172" s="3" t="str">
        <f>IFERROR(__xludf.DUMMYFUNCTION("REGEXEXTRACT(C172,""[^ ]* [^ ]*"")"),"striped purple")</f>
        <v>striped purple</v>
      </c>
      <c r="F172" s="3" t="str">
        <f>IFERROR(__xludf.DUMMYFUNCTION("MID(REGEXEXTRACT(C172,""contain.*$""),9,300)"),"2 dotted yellow bags, 1 clear cyan bag, 2 dark teal bags.")</f>
        <v>2 dotted yellow bags, 1 clear cyan bag, 2 dark teal bags.</v>
      </c>
      <c r="G172" s="3" t="str">
        <f>IFERROR(__xludf.DUMMYFUNCTION("INDEX(SPLIT($F172,"",""),COLUMN()-6)"),"2 dotted yellow bags")</f>
        <v>2 dotted yellow bags</v>
      </c>
      <c r="H172" s="3" t="str">
        <f>IFERROR(__xludf.DUMMYFUNCTION("MID(INDEX(SPLIT($F172,"",""),COLUMN()-6),2,300)"),"1 clear cyan bag")</f>
        <v>1 clear cyan bag</v>
      </c>
      <c r="I172" s="3" t="str">
        <f>IFERROR(__xludf.DUMMYFUNCTION("MID(INDEX(SPLIT($F172,"",""),COLUMN()-6),2,300)"),"2 dark teal bags.")</f>
        <v>2 dark teal bags.</v>
      </c>
      <c r="J172" s="3" t="str">
        <f>IFERROR(__xludf.DUMMYFUNCTION("MID(INDEX(SPLIT($F172,"",""),COLUMN()-6),2,300)"),"#REF!")</f>
        <v>#REF!</v>
      </c>
      <c r="K172" s="3">
        <f>IFERROR(__xludf.DUMMYFUNCTION("INDEX(SPLIT(G172,"" ""),1)"),2.0)</f>
        <v>2</v>
      </c>
      <c r="L172" s="3" t="str">
        <f>IFERROR(__xludf.DUMMYFUNCTION("REGEXEXTRACT(G172,"" [^ ]* [^ ]* "")")," dotted yellow ")</f>
        <v> dotted yellow </v>
      </c>
      <c r="M172" s="3">
        <f>IFERROR(__xludf.DUMMYFUNCTION("INDEX(SPLIT(H172,"" ""),1)"),1.0)</f>
        <v>1</v>
      </c>
      <c r="N172" s="3" t="str">
        <f>IFERROR(__xludf.DUMMYFUNCTION("MID(REGEXEXTRACT(H172,"" [^ ]* [^ ]*""),2,300)"),"clear cyan")</f>
        <v>clear cyan</v>
      </c>
      <c r="O172" s="3">
        <f>IFERROR(__xludf.DUMMYFUNCTION("INDEX(SPLIT(I172,"" ""),1)"),2.0)</f>
        <v>2</v>
      </c>
      <c r="P172" s="3" t="str">
        <f>IFERROR(__xludf.DUMMYFUNCTION("MID(REGEXEXTRACT(I172,"" [^ ]* [^ ]*""),2,300)"),"dark teal")</f>
        <v>dark teal</v>
      </c>
      <c r="Q172" s="3" t="str">
        <f>IFERROR(__xludf.DUMMYFUNCTION("INDEX(SPLIT(J172,"" ""),1)"),"#REF!")</f>
        <v>#REF!</v>
      </c>
      <c r="R172" s="3" t="str">
        <f>IFERROR(__xludf.DUMMYFUNCTION("MID(REGEXEXTRACT(J172,"" [^ ]* [^ ]*""),2,300)"),"#REF!")</f>
        <v>#REF!</v>
      </c>
      <c r="S172" s="3">
        <f t="shared" si="2"/>
        <v>2</v>
      </c>
      <c r="T172" s="3" t="str">
        <f t="shared" si="3"/>
        <v>dotted yellow</v>
      </c>
      <c r="U172" s="3">
        <f t="shared" si="4"/>
        <v>1</v>
      </c>
      <c r="V172" s="3" t="str">
        <f t="shared" si="5"/>
        <v>clear cyan</v>
      </c>
      <c r="W172" s="3">
        <f t="shared" si="6"/>
        <v>2</v>
      </c>
      <c r="X172" s="3" t="str">
        <f t="shared" si="7"/>
        <v>dark teal</v>
      </c>
      <c r="Y172" s="3" t="str">
        <f t="shared" si="8"/>
        <v/>
      </c>
      <c r="Z172" s="3" t="str">
        <f t="shared" si="9"/>
        <v/>
      </c>
      <c r="AA172" s="13">
        <f t="shared" si="10"/>
        <v>96654824</v>
      </c>
      <c r="AB172" s="3">
        <f t="shared" si="11"/>
        <v>96654823</v>
      </c>
      <c r="AC172" s="3">
        <f t="shared" si="12"/>
        <v>2</v>
      </c>
      <c r="AD172" s="3">
        <f t="shared" si="13"/>
        <v>47862843</v>
      </c>
      <c r="AE172" s="3">
        <f t="shared" si="14"/>
        <v>1</v>
      </c>
      <c r="AF172" s="3">
        <f t="shared" si="15"/>
        <v>899055</v>
      </c>
      <c r="AG172" s="3">
        <f t="shared" si="16"/>
        <v>2</v>
      </c>
      <c r="AH172" s="3">
        <f t="shared" si="17"/>
        <v>15041</v>
      </c>
      <c r="AI172" s="3" t="str">
        <f t="shared" si="18"/>
        <v/>
      </c>
      <c r="AJ172" s="3">
        <f t="shared" si="19"/>
        <v>0</v>
      </c>
    </row>
    <row r="173">
      <c r="C173" s="6" t="s">
        <v>173</v>
      </c>
      <c r="D173" s="3">
        <f t="shared" si="1"/>
        <v>2</v>
      </c>
      <c r="E173" s="3" t="str">
        <f>IFERROR(__xludf.DUMMYFUNCTION("REGEXEXTRACT(C173,""[^ ]* [^ ]*"")"),"clear gray")</f>
        <v>clear gray</v>
      </c>
      <c r="F173" s="3" t="str">
        <f>IFERROR(__xludf.DUMMYFUNCTION("MID(REGEXEXTRACT(C173,""contain.*$""),9,300)"),"5 dim black bags, 1 faded green bag, 5 muted crimson bags.")</f>
        <v>5 dim black bags, 1 faded green bag, 5 muted crimson bags.</v>
      </c>
      <c r="G173" s="3" t="str">
        <f>IFERROR(__xludf.DUMMYFUNCTION("INDEX(SPLIT($F173,"",""),COLUMN()-6)"),"5 dim black bags")</f>
        <v>5 dim black bags</v>
      </c>
      <c r="H173" s="3" t="str">
        <f>IFERROR(__xludf.DUMMYFUNCTION("MID(INDEX(SPLIT($F173,"",""),COLUMN()-6),2,300)"),"1 faded green bag")</f>
        <v>1 faded green bag</v>
      </c>
      <c r="I173" s="3" t="str">
        <f>IFERROR(__xludf.DUMMYFUNCTION("MID(INDEX(SPLIT($F173,"",""),COLUMN()-6),2,300)"),"5 muted crimson bags.")</f>
        <v>5 muted crimson bags.</v>
      </c>
      <c r="J173" s="3" t="str">
        <f>IFERROR(__xludf.DUMMYFUNCTION("MID(INDEX(SPLIT($F173,"",""),COLUMN()-6),2,300)"),"#REF!")</f>
        <v>#REF!</v>
      </c>
      <c r="K173" s="3">
        <f>IFERROR(__xludf.DUMMYFUNCTION("INDEX(SPLIT(G173,"" ""),1)"),5.0)</f>
        <v>5</v>
      </c>
      <c r="L173" s="3" t="str">
        <f>IFERROR(__xludf.DUMMYFUNCTION("REGEXEXTRACT(G173,"" [^ ]* [^ ]* "")")," dim black ")</f>
        <v> dim black </v>
      </c>
      <c r="M173" s="3">
        <f>IFERROR(__xludf.DUMMYFUNCTION("INDEX(SPLIT(H173,"" ""),1)"),1.0)</f>
        <v>1</v>
      </c>
      <c r="N173" s="3" t="str">
        <f>IFERROR(__xludf.DUMMYFUNCTION("MID(REGEXEXTRACT(H173,"" [^ ]* [^ ]*""),2,300)"),"faded green")</f>
        <v>faded green</v>
      </c>
      <c r="O173" s="3">
        <f>IFERROR(__xludf.DUMMYFUNCTION("INDEX(SPLIT(I173,"" ""),1)"),5.0)</f>
        <v>5</v>
      </c>
      <c r="P173" s="3" t="str">
        <f>IFERROR(__xludf.DUMMYFUNCTION("MID(REGEXEXTRACT(I173,"" [^ ]* [^ ]*""),2,300)"),"muted crimson")</f>
        <v>muted crimson</v>
      </c>
      <c r="Q173" s="3" t="str">
        <f>IFERROR(__xludf.DUMMYFUNCTION("INDEX(SPLIT(J173,"" ""),1)"),"#REF!")</f>
        <v>#REF!</v>
      </c>
      <c r="R173" s="3" t="str">
        <f>IFERROR(__xludf.DUMMYFUNCTION("MID(REGEXEXTRACT(J173,"" [^ ]* [^ ]*""),2,300)"),"#REF!")</f>
        <v>#REF!</v>
      </c>
      <c r="S173" s="3">
        <f t="shared" si="2"/>
        <v>5</v>
      </c>
      <c r="T173" s="3" t="str">
        <f t="shared" si="3"/>
        <v>dim black</v>
      </c>
      <c r="U173" s="3">
        <f t="shared" si="4"/>
        <v>1</v>
      </c>
      <c r="V173" s="3" t="str">
        <f t="shared" si="5"/>
        <v>faded green</v>
      </c>
      <c r="W173" s="3">
        <f t="shared" si="6"/>
        <v>5</v>
      </c>
      <c r="X173" s="3" t="str">
        <f t="shared" si="7"/>
        <v>muted crimson</v>
      </c>
      <c r="Y173" s="3" t="str">
        <f t="shared" si="8"/>
        <v/>
      </c>
      <c r="Z173" s="3" t="str">
        <f t="shared" si="9"/>
        <v/>
      </c>
      <c r="AA173" s="13">
        <f t="shared" si="10"/>
        <v>594104</v>
      </c>
      <c r="AB173" s="3">
        <f t="shared" si="11"/>
        <v>594103</v>
      </c>
      <c r="AC173" s="3">
        <f t="shared" si="12"/>
        <v>5</v>
      </c>
      <c r="AD173" s="3">
        <f t="shared" si="13"/>
        <v>117480</v>
      </c>
      <c r="AE173" s="3">
        <f t="shared" si="14"/>
        <v>1</v>
      </c>
      <c r="AF173" s="3">
        <f t="shared" si="15"/>
        <v>3598</v>
      </c>
      <c r="AG173" s="3">
        <f t="shared" si="16"/>
        <v>5</v>
      </c>
      <c r="AH173" s="3">
        <f t="shared" si="17"/>
        <v>621</v>
      </c>
      <c r="AI173" s="3" t="str">
        <f t="shared" si="18"/>
        <v/>
      </c>
      <c r="AJ173" s="3">
        <f t="shared" si="19"/>
        <v>0</v>
      </c>
    </row>
    <row r="174">
      <c r="C174" s="6" t="s">
        <v>174</v>
      </c>
      <c r="D174" s="3">
        <f t="shared" si="1"/>
        <v>2</v>
      </c>
      <c r="E174" s="3" t="str">
        <f>IFERROR(__xludf.DUMMYFUNCTION("REGEXEXTRACT(C174,""[^ ]* [^ ]*"")"),"plaid cyan")</f>
        <v>plaid cyan</v>
      </c>
      <c r="F174" s="3" t="str">
        <f>IFERROR(__xludf.DUMMYFUNCTION("MID(REGEXEXTRACT(C174,""contain.*$""),9,300)"),"2 dark teal bags, 1 pale lime bag, 1 wavy beige bag.")</f>
        <v>2 dark teal bags, 1 pale lime bag, 1 wavy beige bag.</v>
      </c>
      <c r="G174" s="3" t="str">
        <f>IFERROR(__xludf.DUMMYFUNCTION("INDEX(SPLIT($F174,"",""),COLUMN()-6)"),"2 dark teal bags")</f>
        <v>2 dark teal bags</v>
      </c>
      <c r="H174" s="3" t="str">
        <f>IFERROR(__xludf.DUMMYFUNCTION("MID(INDEX(SPLIT($F174,"",""),COLUMN()-6),2,300)"),"1 pale lime bag")</f>
        <v>1 pale lime bag</v>
      </c>
      <c r="I174" s="3" t="str">
        <f>IFERROR(__xludf.DUMMYFUNCTION("MID(INDEX(SPLIT($F174,"",""),COLUMN()-6),2,300)"),"1 wavy beige bag.")</f>
        <v>1 wavy beige bag.</v>
      </c>
      <c r="J174" s="3" t="str">
        <f>IFERROR(__xludf.DUMMYFUNCTION("MID(INDEX(SPLIT($F174,"",""),COLUMN()-6),2,300)"),"#REF!")</f>
        <v>#REF!</v>
      </c>
      <c r="K174" s="3">
        <f>IFERROR(__xludf.DUMMYFUNCTION("INDEX(SPLIT(G174,"" ""),1)"),2.0)</f>
        <v>2</v>
      </c>
      <c r="L174" s="3" t="str">
        <f>IFERROR(__xludf.DUMMYFUNCTION("REGEXEXTRACT(G174,"" [^ ]* [^ ]* "")")," dark teal ")</f>
        <v> dark teal </v>
      </c>
      <c r="M174" s="3">
        <f>IFERROR(__xludf.DUMMYFUNCTION("INDEX(SPLIT(H174,"" ""),1)"),1.0)</f>
        <v>1</v>
      </c>
      <c r="N174" s="3" t="str">
        <f>IFERROR(__xludf.DUMMYFUNCTION("MID(REGEXEXTRACT(H174,"" [^ ]* [^ ]*""),2,300)"),"pale lime")</f>
        <v>pale lime</v>
      </c>
      <c r="O174" s="3">
        <f>IFERROR(__xludf.DUMMYFUNCTION("INDEX(SPLIT(I174,"" ""),1)"),1.0)</f>
        <v>1</v>
      </c>
      <c r="P174" s="3" t="str">
        <f>IFERROR(__xludf.DUMMYFUNCTION("MID(REGEXEXTRACT(I174,"" [^ ]* [^ ]*""),2,300)"),"wavy beige")</f>
        <v>wavy beige</v>
      </c>
      <c r="Q174" s="3" t="str">
        <f>IFERROR(__xludf.DUMMYFUNCTION("INDEX(SPLIT(J174,"" ""),1)"),"#REF!")</f>
        <v>#REF!</v>
      </c>
      <c r="R174" s="3" t="str">
        <f>IFERROR(__xludf.DUMMYFUNCTION("MID(REGEXEXTRACT(J174,"" [^ ]* [^ ]*""),2,300)"),"#REF!")</f>
        <v>#REF!</v>
      </c>
      <c r="S174" s="3">
        <f t="shared" si="2"/>
        <v>2</v>
      </c>
      <c r="T174" s="3" t="str">
        <f t="shared" si="3"/>
        <v>dark teal</v>
      </c>
      <c r="U174" s="3">
        <f t="shared" si="4"/>
        <v>1</v>
      </c>
      <c r="V174" s="3" t="str">
        <f t="shared" si="5"/>
        <v>pale lime</v>
      </c>
      <c r="W174" s="3">
        <f t="shared" si="6"/>
        <v>1</v>
      </c>
      <c r="X174" s="3" t="str">
        <f t="shared" si="7"/>
        <v>wavy beige</v>
      </c>
      <c r="Y174" s="3" t="str">
        <f t="shared" si="8"/>
        <v/>
      </c>
      <c r="Z174" s="3" t="str">
        <f t="shared" si="9"/>
        <v/>
      </c>
      <c r="AA174" s="13">
        <f t="shared" si="10"/>
        <v>80294</v>
      </c>
      <c r="AB174" s="3">
        <f t="shared" si="11"/>
        <v>80293</v>
      </c>
      <c r="AC174" s="3">
        <f t="shared" si="12"/>
        <v>2</v>
      </c>
      <c r="AD174" s="3">
        <f t="shared" si="13"/>
        <v>15041</v>
      </c>
      <c r="AE174" s="3">
        <f t="shared" si="14"/>
        <v>1</v>
      </c>
      <c r="AF174" s="3">
        <f t="shared" si="15"/>
        <v>5333</v>
      </c>
      <c r="AG174" s="3">
        <f t="shared" si="16"/>
        <v>1</v>
      </c>
      <c r="AH174" s="3">
        <f t="shared" si="17"/>
        <v>44878</v>
      </c>
      <c r="AI174" s="3" t="str">
        <f t="shared" si="18"/>
        <v/>
      </c>
      <c r="AJ174" s="3">
        <f t="shared" si="19"/>
        <v>0</v>
      </c>
    </row>
    <row r="175">
      <c r="C175" s="6" t="s">
        <v>175</v>
      </c>
      <c r="D175" s="3">
        <f t="shared" si="1"/>
        <v>1</v>
      </c>
      <c r="E175" s="3" t="str">
        <f>IFERROR(__xludf.DUMMYFUNCTION("REGEXEXTRACT(C175,""[^ ]* [^ ]*"")"),"bright orange")</f>
        <v>bright orange</v>
      </c>
      <c r="F175" s="3" t="str">
        <f>IFERROR(__xludf.DUMMYFUNCTION("MID(REGEXEXTRACT(C175,""contain.*$""),9,300)"),"5 mirrored brown bags, 2 dotted gold bags.")</f>
        <v>5 mirrored brown bags, 2 dotted gold bags.</v>
      </c>
      <c r="G175" s="3" t="str">
        <f>IFERROR(__xludf.DUMMYFUNCTION("INDEX(SPLIT($F175,"",""),COLUMN()-6)"),"5 mirrored brown bags")</f>
        <v>5 mirrored brown bags</v>
      </c>
      <c r="H175" s="3" t="str">
        <f>IFERROR(__xludf.DUMMYFUNCTION("MID(INDEX(SPLIT($F175,"",""),COLUMN()-6),2,300)"),"2 dotted gold bags.")</f>
        <v>2 dotted gold bags.</v>
      </c>
      <c r="I175" s="3" t="str">
        <f>IFERROR(__xludf.DUMMYFUNCTION("MID(INDEX(SPLIT($F175,"",""),COLUMN()-6),2,300)"),"#REF!")</f>
        <v>#REF!</v>
      </c>
      <c r="J175" s="3" t="str">
        <f>IFERROR(__xludf.DUMMYFUNCTION("MID(INDEX(SPLIT($F175,"",""),COLUMN()-6),2,300)"),"#REF!")</f>
        <v>#REF!</v>
      </c>
      <c r="K175" s="3">
        <f>IFERROR(__xludf.DUMMYFUNCTION("INDEX(SPLIT(G175,"" ""),1)"),5.0)</f>
        <v>5</v>
      </c>
      <c r="L175" s="3" t="str">
        <f>IFERROR(__xludf.DUMMYFUNCTION("REGEXEXTRACT(G175,"" [^ ]* [^ ]* "")")," mirrored brown ")</f>
        <v> mirrored brown </v>
      </c>
      <c r="M175" s="3">
        <f>IFERROR(__xludf.DUMMYFUNCTION("INDEX(SPLIT(H175,"" ""),1)"),2.0)</f>
        <v>2</v>
      </c>
      <c r="N175" s="3" t="str">
        <f>IFERROR(__xludf.DUMMYFUNCTION("MID(REGEXEXTRACT(H175,"" [^ ]* [^ ]*""),2,300)"),"dotted gold")</f>
        <v>dotted gold</v>
      </c>
      <c r="O175" s="3" t="str">
        <f>IFERROR(__xludf.DUMMYFUNCTION("INDEX(SPLIT(I175,"" ""),1)"),"#REF!")</f>
        <v>#REF!</v>
      </c>
      <c r="P175" s="3" t="str">
        <f>IFERROR(__xludf.DUMMYFUNCTION("MID(REGEXEXTRACT(I175,"" [^ ]* [^ ]*""),2,300)"),"#REF!")</f>
        <v>#REF!</v>
      </c>
      <c r="Q175" s="3" t="str">
        <f>IFERROR(__xludf.DUMMYFUNCTION("INDEX(SPLIT(J175,"" ""),1)"),"#REF!")</f>
        <v>#REF!</v>
      </c>
      <c r="R175" s="3" t="str">
        <f>IFERROR(__xludf.DUMMYFUNCTION("MID(REGEXEXTRACT(J175,"" [^ ]* [^ ]*""),2,300)"),"#REF!")</f>
        <v>#REF!</v>
      </c>
      <c r="S175" s="3">
        <f t="shared" si="2"/>
        <v>5</v>
      </c>
      <c r="T175" s="3" t="str">
        <f t="shared" si="3"/>
        <v>mirrored brown</v>
      </c>
      <c r="U175" s="3">
        <f t="shared" si="4"/>
        <v>2</v>
      </c>
      <c r="V175" s="3" t="str">
        <f t="shared" si="5"/>
        <v>dotted gold</v>
      </c>
      <c r="W175" s="3" t="str">
        <f t="shared" si="6"/>
        <v/>
      </c>
      <c r="X175" s="3" t="str">
        <f t="shared" si="7"/>
        <v/>
      </c>
      <c r="Y175" s="3" t="str">
        <f t="shared" si="8"/>
        <v/>
      </c>
      <c r="Z175" s="3" t="str">
        <f t="shared" si="9"/>
        <v/>
      </c>
      <c r="AA175" s="13">
        <f t="shared" si="10"/>
        <v>2666</v>
      </c>
      <c r="AB175" s="3">
        <f t="shared" si="11"/>
        <v>2665</v>
      </c>
      <c r="AC175" s="3">
        <f t="shared" si="12"/>
        <v>5</v>
      </c>
      <c r="AD175" s="3">
        <f t="shared" si="13"/>
        <v>529</v>
      </c>
      <c r="AE175" s="3">
        <f t="shared" si="14"/>
        <v>2</v>
      </c>
      <c r="AF175" s="3">
        <f t="shared" si="15"/>
        <v>10</v>
      </c>
      <c r="AG175" s="3" t="str">
        <f t="shared" si="16"/>
        <v/>
      </c>
      <c r="AH175" s="3">
        <f t="shared" si="17"/>
        <v>0</v>
      </c>
      <c r="AI175" s="3" t="str">
        <f t="shared" si="18"/>
        <v/>
      </c>
      <c r="AJ175" s="3">
        <f t="shared" si="19"/>
        <v>0</v>
      </c>
    </row>
    <row r="176">
      <c r="C176" s="6" t="s">
        <v>176</v>
      </c>
      <c r="D176" s="3">
        <f t="shared" si="1"/>
        <v>1</v>
      </c>
      <c r="E176" s="3" t="str">
        <f>IFERROR(__xludf.DUMMYFUNCTION("REGEXEXTRACT(C176,""[^ ]* [^ ]*"")"),"dotted turquoise")</f>
        <v>dotted turquoise</v>
      </c>
      <c r="F176" s="3" t="str">
        <f>IFERROR(__xludf.DUMMYFUNCTION("MID(REGEXEXTRACT(C176,""contain.*$""),9,300)"),"3 plaid gray bags, 3 clear chartreuse bags.")</f>
        <v>3 plaid gray bags, 3 clear chartreuse bags.</v>
      </c>
      <c r="G176" s="3" t="str">
        <f>IFERROR(__xludf.DUMMYFUNCTION("INDEX(SPLIT($F176,"",""),COLUMN()-6)"),"3 plaid gray bags")</f>
        <v>3 plaid gray bags</v>
      </c>
      <c r="H176" s="3" t="str">
        <f>IFERROR(__xludf.DUMMYFUNCTION("MID(INDEX(SPLIT($F176,"",""),COLUMN()-6),2,300)"),"3 clear chartreuse bags.")</f>
        <v>3 clear chartreuse bags.</v>
      </c>
      <c r="I176" s="3" t="str">
        <f>IFERROR(__xludf.DUMMYFUNCTION("MID(INDEX(SPLIT($F176,"",""),COLUMN()-6),2,300)"),"#REF!")</f>
        <v>#REF!</v>
      </c>
      <c r="J176" s="3" t="str">
        <f>IFERROR(__xludf.DUMMYFUNCTION("MID(INDEX(SPLIT($F176,"",""),COLUMN()-6),2,300)"),"#REF!")</f>
        <v>#REF!</v>
      </c>
      <c r="K176" s="3">
        <f>IFERROR(__xludf.DUMMYFUNCTION("INDEX(SPLIT(G176,"" ""),1)"),3.0)</f>
        <v>3</v>
      </c>
      <c r="L176" s="3" t="str">
        <f>IFERROR(__xludf.DUMMYFUNCTION("REGEXEXTRACT(G176,"" [^ ]* [^ ]* "")")," plaid gray ")</f>
        <v> plaid gray </v>
      </c>
      <c r="M176" s="3">
        <f>IFERROR(__xludf.DUMMYFUNCTION("INDEX(SPLIT(H176,"" ""),1)"),3.0)</f>
        <v>3</v>
      </c>
      <c r="N176" s="3" t="str">
        <f>IFERROR(__xludf.DUMMYFUNCTION("MID(REGEXEXTRACT(H176,"" [^ ]* [^ ]*""),2,300)"),"clear chartreuse")</f>
        <v>clear chartreuse</v>
      </c>
      <c r="O176" s="3" t="str">
        <f>IFERROR(__xludf.DUMMYFUNCTION("INDEX(SPLIT(I176,"" ""),1)"),"#REF!")</f>
        <v>#REF!</v>
      </c>
      <c r="P176" s="3" t="str">
        <f>IFERROR(__xludf.DUMMYFUNCTION("MID(REGEXEXTRACT(I176,"" [^ ]* [^ ]*""),2,300)"),"#REF!")</f>
        <v>#REF!</v>
      </c>
      <c r="Q176" s="3" t="str">
        <f>IFERROR(__xludf.DUMMYFUNCTION("INDEX(SPLIT(J176,"" ""),1)"),"#REF!")</f>
        <v>#REF!</v>
      </c>
      <c r="R176" s="3" t="str">
        <f>IFERROR(__xludf.DUMMYFUNCTION("MID(REGEXEXTRACT(J176,"" [^ ]* [^ ]*""),2,300)"),"#REF!")</f>
        <v>#REF!</v>
      </c>
      <c r="S176" s="3">
        <f t="shared" si="2"/>
        <v>3</v>
      </c>
      <c r="T176" s="3" t="str">
        <f t="shared" si="3"/>
        <v>plaid gray</v>
      </c>
      <c r="U176" s="3">
        <f t="shared" si="4"/>
        <v>3</v>
      </c>
      <c r="V176" s="3" t="str">
        <f t="shared" si="5"/>
        <v>clear chartreuse</v>
      </c>
      <c r="W176" s="3" t="str">
        <f t="shared" si="6"/>
        <v/>
      </c>
      <c r="X176" s="3" t="str">
        <f t="shared" si="7"/>
        <v/>
      </c>
      <c r="Y176" s="3" t="str">
        <f t="shared" si="8"/>
        <v/>
      </c>
      <c r="Z176" s="3" t="str">
        <f t="shared" si="9"/>
        <v/>
      </c>
      <c r="AA176" s="13">
        <f t="shared" si="10"/>
        <v>156976195</v>
      </c>
      <c r="AB176" s="3">
        <f t="shared" si="11"/>
        <v>156976194</v>
      </c>
      <c r="AC176" s="3">
        <f t="shared" si="12"/>
        <v>3</v>
      </c>
      <c r="AD176" s="3">
        <f t="shared" si="13"/>
        <v>54</v>
      </c>
      <c r="AE176" s="3">
        <f t="shared" si="14"/>
        <v>3</v>
      </c>
      <c r="AF176" s="3">
        <f t="shared" si="15"/>
        <v>52325344</v>
      </c>
      <c r="AG176" s="3" t="str">
        <f t="shared" si="16"/>
        <v/>
      </c>
      <c r="AH176" s="3">
        <f t="shared" si="17"/>
        <v>0</v>
      </c>
      <c r="AI176" s="3" t="str">
        <f t="shared" si="18"/>
        <v/>
      </c>
      <c r="AJ176" s="3">
        <f t="shared" si="19"/>
        <v>0</v>
      </c>
    </row>
    <row r="177">
      <c r="C177" s="6" t="s">
        <v>177</v>
      </c>
      <c r="D177" s="3">
        <f t="shared" si="1"/>
        <v>3</v>
      </c>
      <c r="E177" s="3" t="str">
        <f>IFERROR(__xludf.DUMMYFUNCTION("REGEXEXTRACT(C177,""[^ ]* [^ ]*"")"),"vibrant turquoise")</f>
        <v>vibrant turquoise</v>
      </c>
      <c r="F177" s="3" t="str">
        <f>IFERROR(__xludf.DUMMYFUNCTION("MID(REGEXEXTRACT(C177,""contain.*$""),9,300)"),"1 muted brown bag, 3 dim purple bags, 1 posh gray bag, 5 pale bronze bags.")</f>
        <v>1 muted brown bag, 3 dim purple bags, 1 posh gray bag, 5 pale bronze bags.</v>
      </c>
      <c r="G177" s="3" t="str">
        <f>IFERROR(__xludf.DUMMYFUNCTION("INDEX(SPLIT($F177,"",""),COLUMN()-6)"),"1 muted brown bag")</f>
        <v>1 muted brown bag</v>
      </c>
      <c r="H177" s="3" t="str">
        <f>IFERROR(__xludf.DUMMYFUNCTION("MID(INDEX(SPLIT($F177,"",""),COLUMN()-6),2,300)"),"3 dim purple bags")</f>
        <v>3 dim purple bags</v>
      </c>
      <c r="I177" s="3" t="str">
        <f>IFERROR(__xludf.DUMMYFUNCTION("MID(INDEX(SPLIT($F177,"",""),COLUMN()-6),2,300)"),"1 posh gray bag")</f>
        <v>1 posh gray bag</v>
      </c>
      <c r="J177" s="3" t="str">
        <f>IFERROR(__xludf.DUMMYFUNCTION("MID(INDEX(SPLIT($F177,"",""),COLUMN()-6),2,300)"),"5 pale bronze bags.")</f>
        <v>5 pale bronze bags.</v>
      </c>
      <c r="K177" s="3">
        <f>IFERROR(__xludf.DUMMYFUNCTION("INDEX(SPLIT(G177,"" ""),1)"),1.0)</f>
        <v>1</v>
      </c>
      <c r="L177" s="3" t="str">
        <f>IFERROR(__xludf.DUMMYFUNCTION("REGEXEXTRACT(G177,"" [^ ]* [^ ]* "")")," muted brown ")</f>
        <v> muted brown </v>
      </c>
      <c r="M177" s="3">
        <f>IFERROR(__xludf.DUMMYFUNCTION("INDEX(SPLIT(H177,"" ""),1)"),3.0)</f>
        <v>3</v>
      </c>
      <c r="N177" s="3" t="str">
        <f>IFERROR(__xludf.DUMMYFUNCTION("MID(REGEXEXTRACT(H177,"" [^ ]* [^ ]*""),2,300)"),"dim purple")</f>
        <v>dim purple</v>
      </c>
      <c r="O177" s="3">
        <f>IFERROR(__xludf.DUMMYFUNCTION("INDEX(SPLIT(I177,"" ""),1)"),1.0)</f>
        <v>1</v>
      </c>
      <c r="P177" s="3" t="str">
        <f>IFERROR(__xludf.DUMMYFUNCTION("MID(REGEXEXTRACT(I177,"" [^ ]* [^ ]*""),2,300)"),"posh gray")</f>
        <v>posh gray</v>
      </c>
      <c r="Q177" s="3">
        <f>IFERROR(__xludf.DUMMYFUNCTION("INDEX(SPLIT(J177,"" ""),1)"),5.0)</f>
        <v>5</v>
      </c>
      <c r="R177" s="3" t="str">
        <f>IFERROR(__xludf.DUMMYFUNCTION("MID(REGEXEXTRACT(J177,"" [^ ]* [^ ]*""),2,300)"),"pale bronze")</f>
        <v>pale bronze</v>
      </c>
      <c r="S177" s="3">
        <f t="shared" si="2"/>
        <v>1</v>
      </c>
      <c r="T177" s="3" t="str">
        <f t="shared" si="3"/>
        <v>muted brown</v>
      </c>
      <c r="U177" s="3">
        <f t="shared" si="4"/>
        <v>3</v>
      </c>
      <c r="V177" s="3" t="str">
        <f t="shared" si="5"/>
        <v>dim purple</v>
      </c>
      <c r="W177" s="3">
        <f t="shared" si="6"/>
        <v>1</v>
      </c>
      <c r="X177" s="3" t="str">
        <f t="shared" si="7"/>
        <v>posh gray</v>
      </c>
      <c r="Y177" s="3">
        <f t="shared" si="8"/>
        <v>5</v>
      </c>
      <c r="Z177" s="3" t="str">
        <f t="shared" si="9"/>
        <v>pale bronze</v>
      </c>
      <c r="AA177" s="13">
        <f t="shared" si="10"/>
        <v>4105879</v>
      </c>
      <c r="AB177" s="3">
        <f t="shared" si="11"/>
        <v>4105878</v>
      </c>
      <c r="AC177" s="3">
        <f t="shared" si="12"/>
        <v>1</v>
      </c>
      <c r="AD177" s="3">
        <f t="shared" si="13"/>
        <v>591080</v>
      </c>
      <c r="AE177" s="3">
        <f t="shared" si="14"/>
        <v>3</v>
      </c>
      <c r="AF177" s="3">
        <f t="shared" si="15"/>
        <v>1160117</v>
      </c>
      <c r="AG177" s="3">
        <f t="shared" si="16"/>
        <v>1</v>
      </c>
      <c r="AH177" s="3">
        <f t="shared" si="17"/>
        <v>25477</v>
      </c>
      <c r="AI177" s="3">
        <f t="shared" si="18"/>
        <v>5</v>
      </c>
      <c r="AJ177" s="3">
        <f t="shared" si="19"/>
        <v>1794</v>
      </c>
    </row>
    <row r="178">
      <c r="C178" s="6" t="s">
        <v>178</v>
      </c>
      <c r="D178" s="3">
        <f t="shared" si="1"/>
        <v>0</v>
      </c>
      <c r="E178" s="3" t="str">
        <f>IFERROR(__xludf.DUMMYFUNCTION("REGEXEXTRACT(C178,""[^ ]* [^ ]*"")"),"striped lime")</f>
        <v>striped lime</v>
      </c>
      <c r="F178" s="3" t="str">
        <f>IFERROR(__xludf.DUMMYFUNCTION("MID(REGEXEXTRACT(C178,""contain.*$""),9,300)"),"1 shiny gold bag.")</f>
        <v>1 shiny gold bag.</v>
      </c>
      <c r="G178" s="3" t="str">
        <f>IFERROR(__xludf.DUMMYFUNCTION("INDEX(SPLIT($F178,"",""),COLUMN()-6)"),"1 shiny gold bag.")</f>
        <v>1 shiny gold bag.</v>
      </c>
      <c r="H178" s="3" t="str">
        <f>IFERROR(__xludf.DUMMYFUNCTION("MID(INDEX(SPLIT($F178,"",""),COLUMN()-6),2,300)"),"#REF!")</f>
        <v>#REF!</v>
      </c>
      <c r="I178" s="3" t="str">
        <f>IFERROR(__xludf.DUMMYFUNCTION("MID(INDEX(SPLIT($F178,"",""),COLUMN()-6),2,300)"),"#REF!")</f>
        <v>#REF!</v>
      </c>
      <c r="J178" s="3" t="str">
        <f>IFERROR(__xludf.DUMMYFUNCTION("MID(INDEX(SPLIT($F178,"",""),COLUMN()-6),2,300)"),"#REF!")</f>
        <v>#REF!</v>
      </c>
      <c r="K178" s="3">
        <f>IFERROR(__xludf.DUMMYFUNCTION("INDEX(SPLIT(G178,"" ""),1)"),1.0)</f>
        <v>1</v>
      </c>
      <c r="L178" s="3" t="str">
        <f>IFERROR(__xludf.DUMMYFUNCTION("REGEXEXTRACT(G178,"" [^ ]* [^ ]* "")")," shiny gold ")</f>
        <v> shiny gold </v>
      </c>
      <c r="M178" s="3" t="str">
        <f>IFERROR(__xludf.DUMMYFUNCTION("INDEX(SPLIT(H178,"" ""),1)"),"#REF!")</f>
        <v>#REF!</v>
      </c>
      <c r="N178" s="3" t="str">
        <f>IFERROR(__xludf.DUMMYFUNCTION("MID(REGEXEXTRACT(H178,"" [^ ]* [^ ]*""),2,300)"),"#REF!")</f>
        <v>#REF!</v>
      </c>
      <c r="O178" s="3" t="str">
        <f>IFERROR(__xludf.DUMMYFUNCTION("INDEX(SPLIT(I178,"" ""),1)"),"#REF!")</f>
        <v>#REF!</v>
      </c>
      <c r="P178" s="3" t="str">
        <f>IFERROR(__xludf.DUMMYFUNCTION("MID(REGEXEXTRACT(I178,"" [^ ]* [^ ]*""),2,300)"),"#REF!")</f>
        <v>#REF!</v>
      </c>
      <c r="Q178" s="3" t="str">
        <f>IFERROR(__xludf.DUMMYFUNCTION("INDEX(SPLIT(J178,"" ""),1)"),"#REF!")</f>
        <v>#REF!</v>
      </c>
      <c r="R178" s="3" t="str">
        <f>IFERROR(__xludf.DUMMYFUNCTION("MID(REGEXEXTRACT(J178,"" [^ ]* [^ ]*""),2,300)"),"#REF!")</f>
        <v>#REF!</v>
      </c>
      <c r="S178" s="3">
        <f t="shared" si="2"/>
        <v>1</v>
      </c>
      <c r="T178" s="3" t="str">
        <f t="shared" si="3"/>
        <v>shiny gold</v>
      </c>
      <c r="U178" s="3" t="str">
        <f t="shared" si="4"/>
        <v/>
      </c>
      <c r="V178" s="3" t="str">
        <f t="shared" si="5"/>
        <v/>
      </c>
      <c r="W178" s="3" t="str">
        <f t="shared" si="6"/>
        <v/>
      </c>
      <c r="X178" s="3" t="str">
        <f t="shared" si="7"/>
        <v/>
      </c>
      <c r="Y178" s="3" t="str">
        <f t="shared" si="8"/>
        <v/>
      </c>
      <c r="Z178" s="3" t="str">
        <f t="shared" si="9"/>
        <v/>
      </c>
      <c r="AA178" s="13">
        <f t="shared" si="10"/>
        <v>12130</v>
      </c>
      <c r="AB178" s="3">
        <f t="shared" si="11"/>
        <v>12129</v>
      </c>
      <c r="AC178" s="3">
        <f t="shared" si="12"/>
        <v>1</v>
      </c>
      <c r="AD178" s="3">
        <f t="shared" si="13"/>
        <v>12129</v>
      </c>
      <c r="AE178" s="3" t="str">
        <f t="shared" si="14"/>
        <v/>
      </c>
      <c r="AF178" s="3">
        <f t="shared" si="15"/>
        <v>0</v>
      </c>
      <c r="AG178" s="3" t="str">
        <f t="shared" si="16"/>
        <v/>
      </c>
      <c r="AH178" s="3">
        <f t="shared" si="17"/>
        <v>0</v>
      </c>
      <c r="AI178" s="3" t="str">
        <f t="shared" si="18"/>
        <v/>
      </c>
      <c r="AJ178" s="3">
        <f t="shared" si="19"/>
        <v>0</v>
      </c>
    </row>
    <row r="179">
      <c r="C179" s="6" t="s">
        <v>179</v>
      </c>
      <c r="D179" s="3">
        <f t="shared" si="1"/>
        <v>1</v>
      </c>
      <c r="E179" s="3" t="str">
        <f>IFERROR(__xludf.DUMMYFUNCTION("REGEXEXTRACT(C179,""[^ ]* [^ ]*"")"),"light violet")</f>
        <v>light violet</v>
      </c>
      <c r="F179" s="3" t="str">
        <f>IFERROR(__xludf.DUMMYFUNCTION("MID(REGEXEXTRACT(C179,""contain.*$""),9,300)"),"4 mirrored purple bags, 5 clear blue bags.")</f>
        <v>4 mirrored purple bags, 5 clear blue bags.</v>
      </c>
      <c r="G179" s="3" t="str">
        <f>IFERROR(__xludf.DUMMYFUNCTION("INDEX(SPLIT($F179,"",""),COLUMN()-6)"),"4 mirrored purple bags")</f>
        <v>4 mirrored purple bags</v>
      </c>
      <c r="H179" s="3" t="str">
        <f>IFERROR(__xludf.DUMMYFUNCTION("MID(INDEX(SPLIT($F179,"",""),COLUMN()-6),2,300)"),"5 clear blue bags.")</f>
        <v>5 clear blue bags.</v>
      </c>
      <c r="I179" s="3" t="str">
        <f>IFERROR(__xludf.DUMMYFUNCTION("MID(INDEX(SPLIT($F179,"",""),COLUMN()-6),2,300)"),"#REF!")</f>
        <v>#REF!</v>
      </c>
      <c r="J179" s="3" t="str">
        <f>IFERROR(__xludf.DUMMYFUNCTION("MID(INDEX(SPLIT($F179,"",""),COLUMN()-6),2,300)"),"#REF!")</f>
        <v>#REF!</v>
      </c>
      <c r="K179" s="3">
        <f>IFERROR(__xludf.DUMMYFUNCTION("INDEX(SPLIT(G179,"" ""),1)"),4.0)</f>
        <v>4</v>
      </c>
      <c r="L179" s="3" t="str">
        <f>IFERROR(__xludf.DUMMYFUNCTION("REGEXEXTRACT(G179,"" [^ ]* [^ ]* "")")," mirrored purple ")</f>
        <v> mirrored purple </v>
      </c>
      <c r="M179" s="3">
        <f>IFERROR(__xludf.DUMMYFUNCTION("INDEX(SPLIT(H179,"" ""),1)"),5.0)</f>
        <v>5</v>
      </c>
      <c r="N179" s="3" t="str">
        <f>IFERROR(__xludf.DUMMYFUNCTION("MID(REGEXEXTRACT(H179,"" [^ ]* [^ ]*""),2,300)"),"clear blue")</f>
        <v>clear blue</v>
      </c>
      <c r="O179" s="3" t="str">
        <f>IFERROR(__xludf.DUMMYFUNCTION("INDEX(SPLIT(I179,"" ""),1)"),"#REF!")</f>
        <v>#REF!</v>
      </c>
      <c r="P179" s="3" t="str">
        <f>IFERROR(__xludf.DUMMYFUNCTION("MID(REGEXEXTRACT(I179,"" [^ ]* [^ ]*""),2,300)"),"#REF!")</f>
        <v>#REF!</v>
      </c>
      <c r="Q179" s="3" t="str">
        <f>IFERROR(__xludf.DUMMYFUNCTION("INDEX(SPLIT(J179,"" ""),1)"),"#REF!")</f>
        <v>#REF!</v>
      </c>
      <c r="R179" s="3" t="str">
        <f>IFERROR(__xludf.DUMMYFUNCTION("MID(REGEXEXTRACT(J179,"" [^ ]* [^ ]*""),2,300)"),"#REF!")</f>
        <v>#REF!</v>
      </c>
      <c r="S179" s="3">
        <f t="shared" si="2"/>
        <v>4</v>
      </c>
      <c r="T179" s="3" t="str">
        <f t="shared" si="3"/>
        <v>mirrored purple</v>
      </c>
      <c r="U179" s="3">
        <f t="shared" si="4"/>
        <v>5</v>
      </c>
      <c r="V179" s="3" t="str">
        <f t="shared" si="5"/>
        <v>clear blue</v>
      </c>
      <c r="W179" s="3" t="str">
        <f t="shared" si="6"/>
        <v/>
      </c>
      <c r="X179" s="3" t="str">
        <f t="shared" si="7"/>
        <v/>
      </c>
      <c r="Y179" s="3" t="str">
        <f t="shared" si="8"/>
        <v/>
      </c>
      <c r="Z179" s="3" t="str">
        <f t="shared" si="9"/>
        <v/>
      </c>
      <c r="AA179" s="13">
        <f t="shared" si="10"/>
        <v>188174045</v>
      </c>
      <c r="AB179" s="3">
        <f t="shared" si="11"/>
        <v>188174044</v>
      </c>
      <c r="AC179" s="3">
        <f t="shared" si="12"/>
        <v>4</v>
      </c>
      <c r="AD179" s="3">
        <f t="shared" si="13"/>
        <v>47043416</v>
      </c>
      <c r="AE179" s="3">
        <f t="shared" si="14"/>
        <v>5</v>
      </c>
      <c r="AF179" s="3">
        <f t="shared" si="15"/>
        <v>76</v>
      </c>
      <c r="AG179" s="3" t="str">
        <f t="shared" si="16"/>
        <v/>
      </c>
      <c r="AH179" s="3">
        <f t="shared" si="17"/>
        <v>0</v>
      </c>
      <c r="AI179" s="3" t="str">
        <f t="shared" si="18"/>
        <v/>
      </c>
      <c r="AJ179" s="3">
        <f t="shared" si="19"/>
        <v>0</v>
      </c>
    </row>
    <row r="180">
      <c r="C180" s="6" t="s">
        <v>180</v>
      </c>
      <c r="D180" s="3">
        <f t="shared" si="1"/>
        <v>3</v>
      </c>
      <c r="E180" s="3" t="str">
        <f>IFERROR(__xludf.DUMMYFUNCTION("REGEXEXTRACT(C180,""[^ ]* [^ ]*"")"),"striped orange")</f>
        <v>striped orange</v>
      </c>
      <c r="F180" s="3" t="str">
        <f>IFERROR(__xludf.DUMMYFUNCTION("MID(REGEXEXTRACT(C180,""contain.*$""),9,300)"),"3 light gold bags, 3 light olive bags, 3 muted crimson bags, 2 pale cyan bags.")</f>
        <v>3 light gold bags, 3 light olive bags, 3 muted crimson bags, 2 pale cyan bags.</v>
      </c>
      <c r="G180" s="3" t="str">
        <f>IFERROR(__xludf.DUMMYFUNCTION("INDEX(SPLIT($F180,"",""),COLUMN()-6)"),"3 light gold bags")</f>
        <v>3 light gold bags</v>
      </c>
      <c r="H180" s="3" t="str">
        <f>IFERROR(__xludf.DUMMYFUNCTION("MID(INDEX(SPLIT($F180,"",""),COLUMN()-6),2,300)"),"3 light olive bags")</f>
        <v>3 light olive bags</v>
      </c>
      <c r="I180" s="3" t="str">
        <f>IFERROR(__xludf.DUMMYFUNCTION("MID(INDEX(SPLIT($F180,"",""),COLUMN()-6),2,300)"),"3 muted crimson bags")</f>
        <v>3 muted crimson bags</v>
      </c>
      <c r="J180" s="3" t="str">
        <f>IFERROR(__xludf.DUMMYFUNCTION("MID(INDEX(SPLIT($F180,"",""),COLUMN()-6),2,300)"),"2 pale cyan bags.")</f>
        <v>2 pale cyan bags.</v>
      </c>
      <c r="K180" s="3">
        <f>IFERROR(__xludf.DUMMYFUNCTION("INDEX(SPLIT(G180,"" ""),1)"),3.0)</f>
        <v>3</v>
      </c>
      <c r="L180" s="3" t="str">
        <f>IFERROR(__xludf.DUMMYFUNCTION("REGEXEXTRACT(G180,"" [^ ]* [^ ]* "")")," light gold ")</f>
        <v> light gold </v>
      </c>
      <c r="M180" s="3">
        <f>IFERROR(__xludf.DUMMYFUNCTION("INDEX(SPLIT(H180,"" ""),1)"),3.0)</f>
        <v>3</v>
      </c>
      <c r="N180" s="3" t="str">
        <f>IFERROR(__xludf.DUMMYFUNCTION("MID(REGEXEXTRACT(H180,"" [^ ]* [^ ]*""),2,300)"),"light olive")</f>
        <v>light olive</v>
      </c>
      <c r="O180" s="3">
        <f>IFERROR(__xludf.DUMMYFUNCTION("INDEX(SPLIT(I180,"" ""),1)"),3.0)</f>
        <v>3</v>
      </c>
      <c r="P180" s="3" t="str">
        <f>IFERROR(__xludf.DUMMYFUNCTION("MID(REGEXEXTRACT(I180,"" [^ ]* [^ ]*""),2,300)"),"muted crimson")</f>
        <v>muted crimson</v>
      </c>
      <c r="Q180" s="3">
        <f>IFERROR(__xludf.DUMMYFUNCTION("INDEX(SPLIT(J180,"" ""),1)"),2.0)</f>
        <v>2</v>
      </c>
      <c r="R180" s="3" t="str">
        <f>IFERROR(__xludf.DUMMYFUNCTION("MID(REGEXEXTRACT(J180,"" [^ ]* [^ ]*""),2,300)"),"pale cyan")</f>
        <v>pale cyan</v>
      </c>
      <c r="S180" s="3">
        <f t="shared" si="2"/>
        <v>3</v>
      </c>
      <c r="T180" s="3" t="str">
        <f t="shared" si="3"/>
        <v>light gold</v>
      </c>
      <c r="U180" s="3">
        <f t="shared" si="4"/>
        <v>3</v>
      </c>
      <c r="V180" s="3" t="str">
        <f t="shared" si="5"/>
        <v>light olive</v>
      </c>
      <c r="W180" s="3">
        <f t="shared" si="6"/>
        <v>3</v>
      </c>
      <c r="X180" s="3" t="str">
        <f t="shared" si="7"/>
        <v>muted crimson</v>
      </c>
      <c r="Y180" s="3">
        <f t="shared" si="8"/>
        <v>2</v>
      </c>
      <c r="Z180" s="3" t="str">
        <f t="shared" si="9"/>
        <v>pale cyan</v>
      </c>
      <c r="AA180" s="13">
        <f t="shared" si="10"/>
        <v>485371005</v>
      </c>
      <c r="AB180" s="3">
        <f t="shared" si="11"/>
        <v>485371004</v>
      </c>
      <c r="AC180" s="3">
        <f t="shared" si="12"/>
        <v>3</v>
      </c>
      <c r="AD180" s="3">
        <f t="shared" si="13"/>
        <v>112904201</v>
      </c>
      <c r="AE180" s="3">
        <f t="shared" si="14"/>
        <v>3</v>
      </c>
      <c r="AF180" s="3">
        <f t="shared" si="15"/>
        <v>12655590</v>
      </c>
      <c r="AG180" s="3">
        <f t="shared" si="16"/>
        <v>3</v>
      </c>
      <c r="AH180" s="3">
        <f t="shared" si="17"/>
        <v>621</v>
      </c>
      <c r="AI180" s="3">
        <f t="shared" si="18"/>
        <v>2</v>
      </c>
      <c r="AJ180" s="3">
        <f t="shared" si="19"/>
        <v>54344884</v>
      </c>
    </row>
    <row r="181">
      <c r="C181" s="6" t="s">
        <v>181</v>
      </c>
      <c r="D181" s="3">
        <f t="shared" si="1"/>
        <v>1</v>
      </c>
      <c r="E181" s="3" t="str">
        <f>IFERROR(__xludf.DUMMYFUNCTION("REGEXEXTRACT(C181,""[^ ]* [^ ]*"")"),"drab turquoise")</f>
        <v>drab turquoise</v>
      </c>
      <c r="F181" s="3" t="str">
        <f>IFERROR(__xludf.DUMMYFUNCTION("MID(REGEXEXTRACT(C181,""contain.*$""),9,300)"),"3 dim magenta bags, 4 pale black bags.")</f>
        <v>3 dim magenta bags, 4 pale black bags.</v>
      </c>
      <c r="G181" s="3" t="str">
        <f>IFERROR(__xludf.DUMMYFUNCTION("INDEX(SPLIT($F181,"",""),COLUMN()-6)"),"3 dim magenta bags")</f>
        <v>3 dim magenta bags</v>
      </c>
      <c r="H181" s="3" t="str">
        <f>IFERROR(__xludf.DUMMYFUNCTION("MID(INDEX(SPLIT($F181,"",""),COLUMN()-6),2,300)"),"4 pale black bags.")</f>
        <v>4 pale black bags.</v>
      </c>
      <c r="I181" s="3" t="str">
        <f>IFERROR(__xludf.DUMMYFUNCTION("MID(INDEX(SPLIT($F181,"",""),COLUMN()-6),2,300)"),"#REF!")</f>
        <v>#REF!</v>
      </c>
      <c r="J181" s="3" t="str">
        <f>IFERROR(__xludf.DUMMYFUNCTION("MID(INDEX(SPLIT($F181,"",""),COLUMN()-6),2,300)"),"#REF!")</f>
        <v>#REF!</v>
      </c>
      <c r="K181" s="3">
        <f>IFERROR(__xludf.DUMMYFUNCTION("INDEX(SPLIT(G181,"" ""),1)"),3.0)</f>
        <v>3</v>
      </c>
      <c r="L181" s="3" t="str">
        <f>IFERROR(__xludf.DUMMYFUNCTION("REGEXEXTRACT(G181,"" [^ ]* [^ ]* "")")," dim magenta ")</f>
        <v> dim magenta </v>
      </c>
      <c r="M181" s="3">
        <f>IFERROR(__xludf.DUMMYFUNCTION("INDEX(SPLIT(H181,"" ""),1)"),4.0)</f>
        <v>4</v>
      </c>
      <c r="N181" s="3" t="str">
        <f>IFERROR(__xludf.DUMMYFUNCTION("MID(REGEXEXTRACT(H181,"" [^ ]* [^ ]*""),2,300)"),"pale black")</f>
        <v>pale black</v>
      </c>
      <c r="O181" s="3" t="str">
        <f>IFERROR(__xludf.DUMMYFUNCTION("INDEX(SPLIT(I181,"" ""),1)"),"#REF!")</f>
        <v>#REF!</v>
      </c>
      <c r="P181" s="3" t="str">
        <f>IFERROR(__xludf.DUMMYFUNCTION("MID(REGEXEXTRACT(I181,"" [^ ]* [^ ]*""),2,300)"),"#REF!")</f>
        <v>#REF!</v>
      </c>
      <c r="Q181" s="3" t="str">
        <f>IFERROR(__xludf.DUMMYFUNCTION("INDEX(SPLIT(J181,"" ""),1)"),"#REF!")</f>
        <v>#REF!</v>
      </c>
      <c r="R181" s="3" t="str">
        <f>IFERROR(__xludf.DUMMYFUNCTION("MID(REGEXEXTRACT(J181,"" [^ ]* [^ ]*""),2,300)"),"#REF!")</f>
        <v>#REF!</v>
      </c>
      <c r="S181" s="3">
        <f t="shared" si="2"/>
        <v>3</v>
      </c>
      <c r="T181" s="3" t="str">
        <f t="shared" si="3"/>
        <v>dim magenta</v>
      </c>
      <c r="U181" s="3">
        <f t="shared" si="4"/>
        <v>4</v>
      </c>
      <c r="V181" s="3" t="str">
        <f t="shared" si="5"/>
        <v>pale black</v>
      </c>
      <c r="W181" s="3" t="str">
        <f t="shared" si="6"/>
        <v/>
      </c>
      <c r="X181" s="3" t="str">
        <f t="shared" si="7"/>
        <v/>
      </c>
      <c r="Y181" s="3" t="str">
        <f t="shared" si="8"/>
        <v/>
      </c>
      <c r="Z181" s="3" t="str">
        <f t="shared" si="9"/>
        <v/>
      </c>
      <c r="AA181" s="13">
        <f t="shared" si="10"/>
        <v>6667815</v>
      </c>
      <c r="AB181" s="3">
        <f t="shared" si="11"/>
        <v>6667814</v>
      </c>
      <c r="AC181" s="3">
        <f t="shared" si="12"/>
        <v>3</v>
      </c>
      <c r="AD181" s="3">
        <f t="shared" si="13"/>
        <v>2222594</v>
      </c>
      <c r="AE181" s="3">
        <f t="shared" si="14"/>
        <v>4</v>
      </c>
      <c r="AF181" s="3">
        <f t="shared" si="15"/>
        <v>8</v>
      </c>
      <c r="AG181" s="3" t="str">
        <f t="shared" si="16"/>
        <v/>
      </c>
      <c r="AH181" s="3">
        <f t="shared" si="17"/>
        <v>0</v>
      </c>
      <c r="AI181" s="3" t="str">
        <f t="shared" si="18"/>
        <v/>
      </c>
      <c r="AJ181" s="3">
        <f t="shared" si="19"/>
        <v>0</v>
      </c>
    </row>
    <row r="182">
      <c r="C182" s="6" t="s">
        <v>182</v>
      </c>
      <c r="D182" s="3">
        <f t="shared" si="1"/>
        <v>1</v>
      </c>
      <c r="E182" s="3" t="str">
        <f>IFERROR(__xludf.DUMMYFUNCTION("REGEXEXTRACT(C182,""[^ ]* [^ ]*"")"),"pale salmon")</f>
        <v>pale salmon</v>
      </c>
      <c r="F182" s="3" t="str">
        <f>IFERROR(__xludf.DUMMYFUNCTION("MID(REGEXEXTRACT(C182,""contain.*$""),9,300)"),"2 mirrored cyan bags, 4 vibrant blue bags.")</f>
        <v>2 mirrored cyan bags, 4 vibrant blue bags.</v>
      </c>
      <c r="G182" s="3" t="str">
        <f>IFERROR(__xludf.DUMMYFUNCTION("INDEX(SPLIT($F182,"",""),COLUMN()-6)"),"2 mirrored cyan bags")</f>
        <v>2 mirrored cyan bags</v>
      </c>
      <c r="H182" s="3" t="str">
        <f>IFERROR(__xludf.DUMMYFUNCTION("MID(INDEX(SPLIT($F182,"",""),COLUMN()-6),2,300)"),"4 vibrant blue bags.")</f>
        <v>4 vibrant blue bags.</v>
      </c>
      <c r="I182" s="3" t="str">
        <f>IFERROR(__xludf.DUMMYFUNCTION("MID(INDEX(SPLIT($F182,"",""),COLUMN()-6),2,300)"),"#REF!")</f>
        <v>#REF!</v>
      </c>
      <c r="J182" s="3" t="str">
        <f>IFERROR(__xludf.DUMMYFUNCTION("MID(INDEX(SPLIT($F182,"",""),COLUMN()-6),2,300)"),"#REF!")</f>
        <v>#REF!</v>
      </c>
      <c r="K182" s="3">
        <f>IFERROR(__xludf.DUMMYFUNCTION("INDEX(SPLIT(G182,"" ""),1)"),2.0)</f>
        <v>2</v>
      </c>
      <c r="L182" s="3" t="str">
        <f>IFERROR(__xludf.DUMMYFUNCTION("REGEXEXTRACT(G182,"" [^ ]* [^ ]* "")")," mirrored cyan ")</f>
        <v> mirrored cyan </v>
      </c>
      <c r="M182" s="3">
        <f>IFERROR(__xludf.DUMMYFUNCTION("INDEX(SPLIT(H182,"" ""),1)"),4.0)</f>
        <v>4</v>
      </c>
      <c r="N182" s="3" t="str">
        <f>IFERROR(__xludf.DUMMYFUNCTION("MID(REGEXEXTRACT(H182,"" [^ ]* [^ ]*""),2,300)"),"vibrant blue")</f>
        <v>vibrant blue</v>
      </c>
      <c r="O182" s="3" t="str">
        <f>IFERROR(__xludf.DUMMYFUNCTION("INDEX(SPLIT(I182,"" ""),1)"),"#REF!")</f>
        <v>#REF!</v>
      </c>
      <c r="P182" s="3" t="str">
        <f>IFERROR(__xludf.DUMMYFUNCTION("MID(REGEXEXTRACT(I182,"" [^ ]* [^ ]*""),2,300)"),"#REF!")</f>
        <v>#REF!</v>
      </c>
      <c r="Q182" s="3" t="str">
        <f>IFERROR(__xludf.DUMMYFUNCTION("INDEX(SPLIT(J182,"" ""),1)"),"#REF!")</f>
        <v>#REF!</v>
      </c>
      <c r="R182" s="3" t="str">
        <f>IFERROR(__xludf.DUMMYFUNCTION("MID(REGEXEXTRACT(J182,"" [^ ]* [^ ]*""),2,300)"),"#REF!")</f>
        <v>#REF!</v>
      </c>
      <c r="S182" s="3">
        <f t="shared" si="2"/>
        <v>2</v>
      </c>
      <c r="T182" s="3" t="str">
        <f t="shared" si="3"/>
        <v>mirrored cyan</v>
      </c>
      <c r="U182" s="3">
        <f t="shared" si="4"/>
        <v>4</v>
      </c>
      <c r="V182" s="3" t="str">
        <f t="shared" si="5"/>
        <v>vibrant blue</v>
      </c>
      <c r="W182" s="3" t="str">
        <f t="shared" si="6"/>
        <v/>
      </c>
      <c r="X182" s="3" t="str">
        <f t="shared" si="7"/>
        <v/>
      </c>
      <c r="Y182" s="3" t="str">
        <f t="shared" si="8"/>
        <v/>
      </c>
      <c r="Z182" s="3" t="str">
        <f t="shared" si="9"/>
        <v/>
      </c>
      <c r="AA182" s="13">
        <f t="shared" si="10"/>
        <v>9889</v>
      </c>
      <c r="AB182" s="3">
        <f t="shared" si="11"/>
        <v>9888</v>
      </c>
      <c r="AC182" s="3">
        <f t="shared" si="12"/>
        <v>2</v>
      </c>
      <c r="AD182" s="3">
        <f t="shared" si="13"/>
        <v>1854</v>
      </c>
      <c r="AE182" s="3">
        <f t="shared" si="14"/>
        <v>4</v>
      </c>
      <c r="AF182" s="3">
        <f t="shared" si="15"/>
        <v>1545</v>
      </c>
      <c r="AG182" s="3" t="str">
        <f t="shared" si="16"/>
        <v/>
      </c>
      <c r="AH182" s="3">
        <f t="shared" si="17"/>
        <v>0</v>
      </c>
      <c r="AI182" s="3" t="str">
        <f t="shared" si="18"/>
        <v/>
      </c>
      <c r="AJ182" s="3">
        <f t="shared" si="19"/>
        <v>0</v>
      </c>
    </row>
    <row r="183">
      <c r="C183" s="6" t="s">
        <v>183</v>
      </c>
      <c r="D183" s="3">
        <f t="shared" si="1"/>
        <v>2</v>
      </c>
      <c r="E183" s="3" t="str">
        <f>IFERROR(__xludf.DUMMYFUNCTION("REGEXEXTRACT(C183,""[^ ]* [^ ]*"")"),"shiny yellow")</f>
        <v>shiny yellow</v>
      </c>
      <c r="F183" s="3" t="str">
        <f>IFERROR(__xludf.DUMMYFUNCTION("MID(REGEXEXTRACT(C183,""contain.*$""),9,300)"),"5 vibrant tomato bags, 3 muted salmon bags, 5 wavy tomato bags.")</f>
        <v>5 vibrant tomato bags, 3 muted salmon bags, 5 wavy tomato bags.</v>
      </c>
      <c r="G183" s="3" t="str">
        <f>IFERROR(__xludf.DUMMYFUNCTION("INDEX(SPLIT($F183,"",""),COLUMN()-6)"),"5 vibrant tomato bags")</f>
        <v>5 vibrant tomato bags</v>
      </c>
      <c r="H183" s="3" t="str">
        <f>IFERROR(__xludf.DUMMYFUNCTION("MID(INDEX(SPLIT($F183,"",""),COLUMN()-6),2,300)"),"3 muted salmon bags")</f>
        <v>3 muted salmon bags</v>
      </c>
      <c r="I183" s="3" t="str">
        <f>IFERROR(__xludf.DUMMYFUNCTION("MID(INDEX(SPLIT($F183,"",""),COLUMN()-6),2,300)"),"5 wavy tomato bags.")</f>
        <v>5 wavy tomato bags.</v>
      </c>
      <c r="J183" s="3" t="str">
        <f>IFERROR(__xludf.DUMMYFUNCTION("MID(INDEX(SPLIT($F183,"",""),COLUMN()-6),2,300)"),"#REF!")</f>
        <v>#REF!</v>
      </c>
      <c r="K183" s="3">
        <f>IFERROR(__xludf.DUMMYFUNCTION("INDEX(SPLIT(G183,"" ""),1)"),5.0)</f>
        <v>5</v>
      </c>
      <c r="L183" s="3" t="str">
        <f>IFERROR(__xludf.DUMMYFUNCTION("REGEXEXTRACT(G183,"" [^ ]* [^ ]* "")")," vibrant tomato ")</f>
        <v> vibrant tomato </v>
      </c>
      <c r="M183" s="3">
        <f>IFERROR(__xludf.DUMMYFUNCTION("INDEX(SPLIT(H183,"" ""),1)"),3.0)</f>
        <v>3</v>
      </c>
      <c r="N183" s="3" t="str">
        <f>IFERROR(__xludf.DUMMYFUNCTION("MID(REGEXEXTRACT(H183,"" [^ ]* [^ ]*""),2,300)"),"muted salmon")</f>
        <v>muted salmon</v>
      </c>
      <c r="O183" s="3">
        <f>IFERROR(__xludf.DUMMYFUNCTION("INDEX(SPLIT(I183,"" ""),1)"),5.0)</f>
        <v>5</v>
      </c>
      <c r="P183" s="3" t="str">
        <f>IFERROR(__xludf.DUMMYFUNCTION("MID(REGEXEXTRACT(I183,"" [^ ]* [^ ]*""),2,300)"),"wavy tomato")</f>
        <v>wavy tomato</v>
      </c>
      <c r="Q183" s="3" t="str">
        <f>IFERROR(__xludf.DUMMYFUNCTION("INDEX(SPLIT(J183,"" ""),1)"),"#REF!")</f>
        <v>#REF!</v>
      </c>
      <c r="R183" s="3" t="str">
        <f>IFERROR(__xludf.DUMMYFUNCTION("MID(REGEXEXTRACT(J183,"" [^ ]* [^ ]*""),2,300)"),"#REF!")</f>
        <v>#REF!</v>
      </c>
      <c r="S183" s="3">
        <f t="shared" si="2"/>
        <v>5</v>
      </c>
      <c r="T183" s="3" t="str">
        <f t="shared" si="3"/>
        <v>vibrant tomato</v>
      </c>
      <c r="U183" s="3">
        <f t="shared" si="4"/>
        <v>3</v>
      </c>
      <c r="V183" s="3" t="str">
        <f t="shared" si="5"/>
        <v>muted salmon</v>
      </c>
      <c r="W183" s="3">
        <f t="shared" si="6"/>
        <v>5</v>
      </c>
      <c r="X183" s="3" t="str">
        <f t="shared" si="7"/>
        <v>wavy tomato</v>
      </c>
      <c r="Y183" s="3" t="str">
        <f t="shared" si="8"/>
        <v/>
      </c>
      <c r="Z183" s="3" t="str">
        <f t="shared" si="9"/>
        <v/>
      </c>
      <c r="AA183" s="13">
        <f t="shared" si="10"/>
        <v>2036627</v>
      </c>
      <c r="AB183" s="3">
        <f t="shared" si="11"/>
        <v>2036626</v>
      </c>
      <c r="AC183" s="3">
        <f t="shared" si="12"/>
        <v>5</v>
      </c>
      <c r="AD183" s="3">
        <f t="shared" si="13"/>
        <v>405253</v>
      </c>
      <c r="AE183" s="3">
        <f t="shared" si="14"/>
        <v>3</v>
      </c>
      <c r="AF183" s="3">
        <f t="shared" si="15"/>
        <v>3012</v>
      </c>
      <c r="AG183" s="3">
        <f t="shared" si="16"/>
        <v>5</v>
      </c>
      <c r="AH183" s="3">
        <f t="shared" si="17"/>
        <v>265</v>
      </c>
      <c r="AI183" s="3" t="str">
        <f t="shared" si="18"/>
        <v/>
      </c>
      <c r="AJ183" s="3">
        <f t="shared" si="19"/>
        <v>0</v>
      </c>
    </row>
    <row r="184">
      <c r="C184" s="6" t="s">
        <v>184</v>
      </c>
      <c r="D184" s="3">
        <f t="shared" si="1"/>
        <v>3</v>
      </c>
      <c r="E184" s="3" t="str">
        <f>IFERROR(__xludf.DUMMYFUNCTION("REGEXEXTRACT(C184,""[^ ]* [^ ]*"")"),"plaid lime")</f>
        <v>plaid lime</v>
      </c>
      <c r="F184" s="3" t="str">
        <f>IFERROR(__xludf.DUMMYFUNCTION("MID(REGEXEXTRACT(C184,""contain.*$""),9,300)"),"2 pale yellow bags, 2 shiny red bags, 3 muted crimson bags, 4 dull green bags.")</f>
        <v>2 pale yellow bags, 2 shiny red bags, 3 muted crimson bags, 4 dull green bags.</v>
      </c>
      <c r="G184" s="3" t="str">
        <f>IFERROR(__xludf.DUMMYFUNCTION("INDEX(SPLIT($F184,"",""),COLUMN()-6)"),"2 pale yellow bags")</f>
        <v>2 pale yellow bags</v>
      </c>
      <c r="H184" s="3" t="str">
        <f>IFERROR(__xludf.DUMMYFUNCTION("MID(INDEX(SPLIT($F184,"",""),COLUMN()-6),2,300)"),"2 shiny red bags")</f>
        <v>2 shiny red bags</v>
      </c>
      <c r="I184" s="3" t="str">
        <f>IFERROR(__xludf.DUMMYFUNCTION("MID(INDEX(SPLIT($F184,"",""),COLUMN()-6),2,300)"),"3 muted crimson bags")</f>
        <v>3 muted crimson bags</v>
      </c>
      <c r="J184" s="3" t="str">
        <f>IFERROR(__xludf.DUMMYFUNCTION("MID(INDEX(SPLIT($F184,"",""),COLUMN()-6),2,300)"),"4 dull green bags.")</f>
        <v>4 dull green bags.</v>
      </c>
      <c r="K184" s="3">
        <f>IFERROR(__xludf.DUMMYFUNCTION("INDEX(SPLIT(G184,"" ""),1)"),2.0)</f>
        <v>2</v>
      </c>
      <c r="L184" s="3" t="str">
        <f>IFERROR(__xludf.DUMMYFUNCTION("REGEXEXTRACT(G184,"" [^ ]* [^ ]* "")")," pale yellow ")</f>
        <v> pale yellow </v>
      </c>
      <c r="M184" s="3">
        <f>IFERROR(__xludf.DUMMYFUNCTION("INDEX(SPLIT(H184,"" ""),1)"),2.0)</f>
        <v>2</v>
      </c>
      <c r="N184" s="3" t="str">
        <f>IFERROR(__xludf.DUMMYFUNCTION("MID(REGEXEXTRACT(H184,"" [^ ]* [^ ]*""),2,300)"),"shiny red")</f>
        <v>shiny red</v>
      </c>
      <c r="O184" s="3">
        <f>IFERROR(__xludf.DUMMYFUNCTION("INDEX(SPLIT(I184,"" ""),1)"),3.0)</f>
        <v>3</v>
      </c>
      <c r="P184" s="3" t="str">
        <f>IFERROR(__xludf.DUMMYFUNCTION("MID(REGEXEXTRACT(I184,"" [^ ]* [^ ]*""),2,300)"),"muted crimson")</f>
        <v>muted crimson</v>
      </c>
      <c r="Q184" s="3">
        <f>IFERROR(__xludf.DUMMYFUNCTION("INDEX(SPLIT(J184,"" ""),1)"),4.0)</f>
        <v>4</v>
      </c>
      <c r="R184" s="3" t="str">
        <f>IFERROR(__xludf.DUMMYFUNCTION("MID(REGEXEXTRACT(J184,"" [^ ]* [^ ]*""),2,300)"),"dull green")</f>
        <v>dull green</v>
      </c>
      <c r="S184" s="3">
        <f t="shared" si="2"/>
        <v>2</v>
      </c>
      <c r="T184" s="3" t="str">
        <f t="shared" si="3"/>
        <v>pale yellow</v>
      </c>
      <c r="U184" s="3">
        <f t="shared" si="4"/>
        <v>2</v>
      </c>
      <c r="V184" s="3" t="str">
        <f t="shared" si="5"/>
        <v>shiny red</v>
      </c>
      <c r="W184" s="3">
        <f t="shared" si="6"/>
        <v>3</v>
      </c>
      <c r="X184" s="3" t="str">
        <f t="shared" si="7"/>
        <v>muted crimson</v>
      </c>
      <c r="Y184" s="3">
        <f t="shared" si="8"/>
        <v>4</v>
      </c>
      <c r="Z184" s="3" t="str">
        <f t="shared" si="9"/>
        <v>dull green</v>
      </c>
      <c r="AA184" s="13">
        <f t="shared" si="10"/>
        <v>5215422</v>
      </c>
      <c r="AB184" s="3">
        <f t="shared" si="11"/>
        <v>5215421</v>
      </c>
      <c r="AC184" s="3">
        <f t="shared" si="12"/>
        <v>2</v>
      </c>
      <c r="AD184" s="3">
        <f t="shared" si="13"/>
        <v>329</v>
      </c>
      <c r="AE184" s="3">
        <f t="shared" si="14"/>
        <v>2</v>
      </c>
      <c r="AF184" s="3">
        <f t="shared" si="15"/>
        <v>461698</v>
      </c>
      <c r="AG184" s="3">
        <f t="shared" si="16"/>
        <v>3</v>
      </c>
      <c r="AH184" s="3">
        <f t="shared" si="17"/>
        <v>621</v>
      </c>
      <c r="AI184" s="3">
        <f t="shared" si="18"/>
        <v>4</v>
      </c>
      <c r="AJ184" s="3">
        <f t="shared" si="19"/>
        <v>1072376</v>
      </c>
    </row>
    <row r="185">
      <c r="C185" s="6" t="s">
        <v>185</v>
      </c>
      <c r="D185" s="3">
        <f t="shared" si="1"/>
        <v>3</v>
      </c>
      <c r="E185" s="3" t="str">
        <f>IFERROR(__xludf.DUMMYFUNCTION("REGEXEXTRACT(C185,""[^ ]* [^ ]*"")"),"muted cyan")</f>
        <v>muted cyan</v>
      </c>
      <c r="F185" s="3" t="str">
        <f>IFERROR(__xludf.DUMMYFUNCTION("MID(REGEXEXTRACT(C185,""contain.*$""),9,300)"),"4 bright green bags, 5 striped bronze bags, 1 vibrant lavender bag, 4 posh violet bags.")</f>
        <v>4 bright green bags, 5 striped bronze bags, 1 vibrant lavender bag, 4 posh violet bags.</v>
      </c>
      <c r="G185" s="3" t="str">
        <f>IFERROR(__xludf.DUMMYFUNCTION("INDEX(SPLIT($F185,"",""),COLUMN()-6)"),"4 bright green bags")</f>
        <v>4 bright green bags</v>
      </c>
      <c r="H185" s="3" t="str">
        <f>IFERROR(__xludf.DUMMYFUNCTION("MID(INDEX(SPLIT($F185,"",""),COLUMN()-6),2,300)"),"5 striped bronze bags")</f>
        <v>5 striped bronze bags</v>
      </c>
      <c r="I185" s="3" t="str">
        <f>IFERROR(__xludf.DUMMYFUNCTION("MID(INDEX(SPLIT($F185,"",""),COLUMN()-6),2,300)"),"1 vibrant lavender bag")</f>
        <v>1 vibrant lavender bag</v>
      </c>
      <c r="J185" s="3" t="str">
        <f>IFERROR(__xludf.DUMMYFUNCTION("MID(INDEX(SPLIT($F185,"",""),COLUMN()-6),2,300)"),"4 posh violet bags.")</f>
        <v>4 posh violet bags.</v>
      </c>
      <c r="K185" s="3">
        <f>IFERROR(__xludf.DUMMYFUNCTION("INDEX(SPLIT(G185,"" ""),1)"),4.0)</f>
        <v>4</v>
      </c>
      <c r="L185" s="3" t="str">
        <f>IFERROR(__xludf.DUMMYFUNCTION("REGEXEXTRACT(G185,"" [^ ]* [^ ]* "")")," bright green ")</f>
        <v> bright green </v>
      </c>
      <c r="M185" s="3">
        <f>IFERROR(__xludf.DUMMYFUNCTION("INDEX(SPLIT(H185,"" ""),1)"),5.0)</f>
        <v>5</v>
      </c>
      <c r="N185" s="3" t="str">
        <f>IFERROR(__xludf.DUMMYFUNCTION("MID(REGEXEXTRACT(H185,"" [^ ]* [^ ]*""),2,300)"),"striped bronze")</f>
        <v>striped bronze</v>
      </c>
      <c r="O185" s="3">
        <f>IFERROR(__xludf.DUMMYFUNCTION("INDEX(SPLIT(I185,"" ""),1)"),1.0)</f>
        <v>1</v>
      </c>
      <c r="P185" s="3" t="str">
        <f>IFERROR(__xludf.DUMMYFUNCTION("MID(REGEXEXTRACT(I185,"" [^ ]* [^ ]*""),2,300)"),"vibrant lavender")</f>
        <v>vibrant lavender</v>
      </c>
      <c r="Q185" s="3">
        <f>IFERROR(__xludf.DUMMYFUNCTION("INDEX(SPLIT(J185,"" ""),1)"),4.0)</f>
        <v>4</v>
      </c>
      <c r="R185" s="3" t="str">
        <f>IFERROR(__xludf.DUMMYFUNCTION("MID(REGEXEXTRACT(J185,"" [^ ]* [^ ]*""),2,300)"),"posh violet")</f>
        <v>posh violet</v>
      </c>
      <c r="S185" s="3">
        <f t="shared" si="2"/>
        <v>4</v>
      </c>
      <c r="T185" s="3" t="str">
        <f t="shared" si="3"/>
        <v>bright green</v>
      </c>
      <c r="U185" s="3">
        <f t="shared" si="4"/>
        <v>5</v>
      </c>
      <c r="V185" s="3" t="str">
        <f t="shared" si="5"/>
        <v>striped bronze</v>
      </c>
      <c r="W185" s="3">
        <f t="shared" si="6"/>
        <v>1</v>
      </c>
      <c r="X185" s="3" t="str">
        <f t="shared" si="7"/>
        <v>vibrant lavender</v>
      </c>
      <c r="Y185" s="3">
        <f t="shared" si="8"/>
        <v>4</v>
      </c>
      <c r="Z185" s="3" t="str">
        <f t="shared" si="9"/>
        <v>posh violet</v>
      </c>
      <c r="AA185" s="13">
        <f t="shared" si="10"/>
        <v>522328398</v>
      </c>
      <c r="AB185" s="3">
        <f t="shared" si="11"/>
        <v>522328397</v>
      </c>
      <c r="AC185" s="3">
        <f t="shared" si="12"/>
        <v>4</v>
      </c>
      <c r="AD185" s="3">
        <f t="shared" si="13"/>
        <v>134494</v>
      </c>
      <c r="AE185" s="3">
        <f t="shared" si="14"/>
        <v>5</v>
      </c>
      <c r="AF185" s="3">
        <f t="shared" si="15"/>
        <v>3362673</v>
      </c>
      <c r="AG185" s="3">
        <f t="shared" si="16"/>
        <v>1</v>
      </c>
      <c r="AH185" s="3">
        <f t="shared" si="17"/>
        <v>695872</v>
      </c>
      <c r="AI185" s="3">
        <f t="shared" si="18"/>
        <v>4</v>
      </c>
      <c r="AJ185" s="3">
        <f t="shared" si="19"/>
        <v>126070296</v>
      </c>
    </row>
    <row r="186">
      <c r="C186" s="6" t="s">
        <v>186</v>
      </c>
      <c r="D186" s="3">
        <f t="shared" si="1"/>
        <v>3</v>
      </c>
      <c r="E186" s="3" t="str">
        <f>IFERROR(__xludf.DUMMYFUNCTION("REGEXEXTRACT(C186,""[^ ]* [^ ]*"")"),"dull cyan")</f>
        <v>dull cyan</v>
      </c>
      <c r="F186" s="3" t="str">
        <f>IFERROR(__xludf.DUMMYFUNCTION("MID(REGEXEXTRACT(C186,""contain.*$""),9,300)"),"5 dark lavender bags, 5 drab green bags, 1 bright crimson bag, 4 mirrored silver bags.")</f>
        <v>5 dark lavender bags, 5 drab green bags, 1 bright crimson bag, 4 mirrored silver bags.</v>
      </c>
      <c r="G186" s="3" t="str">
        <f>IFERROR(__xludf.DUMMYFUNCTION("INDEX(SPLIT($F186,"",""),COLUMN()-6)"),"5 dark lavender bags")</f>
        <v>5 dark lavender bags</v>
      </c>
      <c r="H186" s="3" t="str">
        <f>IFERROR(__xludf.DUMMYFUNCTION("MID(INDEX(SPLIT($F186,"",""),COLUMN()-6),2,300)"),"5 drab green bags")</f>
        <v>5 drab green bags</v>
      </c>
      <c r="I186" s="3" t="str">
        <f>IFERROR(__xludf.DUMMYFUNCTION("MID(INDEX(SPLIT($F186,"",""),COLUMN()-6),2,300)"),"1 bright crimson bag")</f>
        <v>1 bright crimson bag</v>
      </c>
      <c r="J186" s="3" t="str">
        <f>IFERROR(__xludf.DUMMYFUNCTION("MID(INDEX(SPLIT($F186,"",""),COLUMN()-6),2,300)"),"4 mirrored silver bags.")</f>
        <v>4 mirrored silver bags.</v>
      </c>
      <c r="K186" s="3">
        <f>IFERROR(__xludf.DUMMYFUNCTION("INDEX(SPLIT(G186,"" ""),1)"),5.0)</f>
        <v>5</v>
      </c>
      <c r="L186" s="3" t="str">
        <f>IFERROR(__xludf.DUMMYFUNCTION("REGEXEXTRACT(G186,"" [^ ]* [^ ]* "")")," dark lavender ")</f>
        <v> dark lavender </v>
      </c>
      <c r="M186" s="3">
        <f>IFERROR(__xludf.DUMMYFUNCTION("INDEX(SPLIT(H186,"" ""),1)"),5.0)</f>
        <v>5</v>
      </c>
      <c r="N186" s="3" t="str">
        <f>IFERROR(__xludf.DUMMYFUNCTION("MID(REGEXEXTRACT(H186,"" [^ ]* [^ ]*""),2,300)"),"drab green")</f>
        <v>drab green</v>
      </c>
      <c r="O186" s="3">
        <f>IFERROR(__xludf.DUMMYFUNCTION("INDEX(SPLIT(I186,"" ""),1)"),1.0)</f>
        <v>1</v>
      </c>
      <c r="P186" s="3" t="str">
        <f>IFERROR(__xludf.DUMMYFUNCTION("MID(REGEXEXTRACT(I186,"" [^ ]* [^ ]*""),2,300)"),"bright crimson")</f>
        <v>bright crimson</v>
      </c>
      <c r="Q186" s="3">
        <f>IFERROR(__xludf.DUMMYFUNCTION("INDEX(SPLIT(J186,"" ""),1)"),4.0)</f>
        <v>4</v>
      </c>
      <c r="R186" s="3" t="str">
        <f>IFERROR(__xludf.DUMMYFUNCTION("MID(REGEXEXTRACT(J186,"" [^ ]* [^ ]*""),2,300)"),"mirrored silver")</f>
        <v>mirrored silver</v>
      </c>
      <c r="S186" s="3">
        <f t="shared" si="2"/>
        <v>5</v>
      </c>
      <c r="T186" s="3" t="str">
        <f t="shared" si="3"/>
        <v>dark lavender</v>
      </c>
      <c r="U186" s="3">
        <f t="shared" si="4"/>
        <v>5</v>
      </c>
      <c r="V186" s="3" t="str">
        <f t="shared" si="5"/>
        <v>drab green</v>
      </c>
      <c r="W186" s="3">
        <f t="shared" si="6"/>
        <v>1</v>
      </c>
      <c r="X186" s="3" t="str">
        <f t="shared" si="7"/>
        <v>bright crimson</v>
      </c>
      <c r="Y186" s="3">
        <f t="shared" si="8"/>
        <v>4</v>
      </c>
      <c r="Z186" s="3" t="str">
        <f t="shared" si="9"/>
        <v>mirrored silver</v>
      </c>
      <c r="AA186" s="13">
        <f t="shared" si="10"/>
        <v>3008</v>
      </c>
      <c r="AB186" s="3">
        <f t="shared" si="11"/>
        <v>3007</v>
      </c>
      <c r="AC186" s="3">
        <f t="shared" si="12"/>
        <v>5</v>
      </c>
      <c r="AD186" s="3">
        <f t="shared" si="13"/>
        <v>133</v>
      </c>
      <c r="AE186" s="3">
        <f t="shared" si="14"/>
        <v>5</v>
      </c>
      <c r="AF186" s="3">
        <f t="shared" si="15"/>
        <v>5</v>
      </c>
      <c r="AG186" s="3">
        <f t="shared" si="16"/>
        <v>1</v>
      </c>
      <c r="AH186" s="3">
        <f t="shared" si="17"/>
        <v>773</v>
      </c>
      <c r="AI186" s="3">
        <f t="shared" si="18"/>
        <v>4</v>
      </c>
      <c r="AJ186" s="3">
        <f t="shared" si="19"/>
        <v>386</v>
      </c>
    </row>
    <row r="187">
      <c r="C187" s="6" t="s">
        <v>187</v>
      </c>
      <c r="D187" s="3">
        <f t="shared" si="1"/>
        <v>0</v>
      </c>
      <c r="E187" s="3" t="str">
        <f>IFERROR(__xludf.DUMMYFUNCTION("REGEXEXTRACT(C187,""[^ ]* [^ ]*"")"),"pale beige")</f>
        <v>pale beige</v>
      </c>
      <c r="F187" s="3" t="str">
        <f>IFERROR(__xludf.DUMMYFUNCTION("MID(REGEXEXTRACT(C187,""contain.*$""),9,300)"),"3 posh coral bags.")</f>
        <v>3 posh coral bags.</v>
      </c>
      <c r="G187" s="3" t="str">
        <f>IFERROR(__xludf.DUMMYFUNCTION("INDEX(SPLIT($F187,"",""),COLUMN()-6)"),"3 posh coral bags.")</f>
        <v>3 posh coral bags.</v>
      </c>
      <c r="H187" s="3" t="str">
        <f>IFERROR(__xludf.DUMMYFUNCTION("MID(INDEX(SPLIT($F187,"",""),COLUMN()-6),2,300)"),"#REF!")</f>
        <v>#REF!</v>
      </c>
      <c r="I187" s="3" t="str">
        <f>IFERROR(__xludf.DUMMYFUNCTION("MID(INDEX(SPLIT($F187,"",""),COLUMN()-6),2,300)"),"#REF!")</f>
        <v>#REF!</v>
      </c>
      <c r="J187" s="3" t="str">
        <f>IFERROR(__xludf.DUMMYFUNCTION("MID(INDEX(SPLIT($F187,"",""),COLUMN()-6),2,300)"),"#REF!")</f>
        <v>#REF!</v>
      </c>
      <c r="K187" s="3">
        <f>IFERROR(__xludf.DUMMYFUNCTION("INDEX(SPLIT(G187,"" ""),1)"),3.0)</f>
        <v>3</v>
      </c>
      <c r="L187" s="3" t="str">
        <f>IFERROR(__xludf.DUMMYFUNCTION("REGEXEXTRACT(G187,"" [^ ]* [^ ]* "")")," posh coral ")</f>
        <v> posh coral </v>
      </c>
      <c r="M187" s="3" t="str">
        <f>IFERROR(__xludf.DUMMYFUNCTION("INDEX(SPLIT(H187,"" ""),1)"),"#REF!")</f>
        <v>#REF!</v>
      </c>
      <c r="N187" s="3" t="str">
        <f>IFERROR(__xludf.DUMMYFUNCTION("MID(REGEXEXTRACT(H187,"" [^ ]* [^ ]*""),2,300)"),"#REF!")</f>
        <v>#REF!</v>
      </c>
      <c r="O187" s="3" t="str">
        <f>IFERROR(__xludf.DUMMYFUNCTION("INDEX(SPLIT(I187,"" ""),1)"),"#REF!")</f>
        <v>#REF!</v>
      </c>
      <c r="P187" s="3" t="str">
        <f>IFERROR(__xludf.DUMMYFUNCTION("MID(REGEXEXTRACT(I187,"" [^ ]* [^ ]*""),2,300)"),"#REF!")</f>
        <v>#REF!</v>
      </c>
      <c r="Q187" s="3" t="str">
        <f>IFERROR(__xludf.DUMMYFUNCTION("INDEX(SPLIT(J187,"" ""),1)"),"#REF!")</f>
        <v>#REF!</v>
      </c>
      <c r="R187" s="3" t="str">
        <f>IFERROR(__xludf.DUMMYFUNCTION("MID(REGEXEXTRACT(J187,"" [^ ]* [^ ]*""),2,300)"),"#REF!")</f>
        <v>#REF!</v>
      </c>
      <c r="S187" s="3">
        <f t="shared" si="2"/>
        <v>3</v>
      </c>
      <c r="T187" s="3" t="str">
        <f t="shared" si="3"/>
        <v>posh coral</v>
      </c>
      <c r="U187" s="3" t="str">
        <f t="shared" si="4"/>
        <v/>
      </c>
      <c r="V187" s="3" t="str">
        <f t="shared" si="5"/>
        <v/>
      </c>
      <c r="W187" s="3" t="str">
        <f t="shared" si="6"/>
        <v/>
      </c>
      <c r="X187" s="3" t="str">
        <f t="shared" si="7"/>
        <v/>
      </c>
      <c r="Y187" s="3" t="str">
        <f t="shared" si="8"/>
        <v/>
      </c>
      <c r="Z187" s="3" t="str">
        <f t="shared" si="9"/>
        <v/>
      </c>
      <c r="AA187" s="13">
        <f t="shared" si="10"/>
        <v>4</v>
      </c>
      <c r="AB187" s="3">
        <f t="shared" si="11"/>
        <v>3</v>
      </c>
      <c r="AC187" s="3">
        <f t="shared" si="12"/>
        <v>3</v>
      </c>
      <c r="AD187" s="3">
        <f t="shared" si="13"/>
        <v>1</v>
      </c>
      <c r="AE187" s="3" t="str">
        <f t="shared" si="14"/>
        <v/>
      </c>
      <c r="AF187" s="3">
        <f t="shared" si="15"/>
        <v>0</v>
      </c>
      <c r="AG187" s="3" t="str">
        <f t="shared" si="16"/>
        <v/>
      </c>
      <c r="AH187" s="3">
        <f t="shared" si="17"/>
        <v>0</v>
      </c>
      <c r="AI187" s="3" t="str">
        <f t="shared" si="18"/>
        <v/>
      </c>
      <c r="AJ187" s="3">
        <f t="shared" si="19"/>
        <v>0</v>
      </c>
    </row>
    <row r="188">
      <c r="C188" s="6" t="s">
        <v>188</v>
      </c>
      <c r="D188" s="3">
        <f t="shared" si="1"/>
        <v>0</v>
      </c>
      <c r="E188" s="3" t="str">
        <f>IFERROR(__xludf.DUMMYFUNCTION("REGEXEXTRACT(C188,""[^ ]* [^ ]*"")"),"shiny chartreuse")</f>
        <v>shiny chartreuse</v>
      </c>
      <c r="F188" s="3" t="str">
        <f>IFERROR(__xludf.DUMMYFUNCTION("MID(REGEXEXTRACT(C188,""contain.*$""),9,300)"),"4 mirrored silver bags.")</f>
        <v>4 mirrored silver bags.</v>
      </c>
      <c r="G188" s="3" t="str">
        <f>IFERROR(__xludf.DUMMYFUNCTION("INDEX(SPLIT($F188,"",""),COLUMN()-6)"),"4 mirrored silver bags.")</f>
        <v>4 mirrored silver bags.</v>
      </c>
      <c r="H188" s="3" t="str">
        <f>IFERROR(__xludf.DUMMYFUNCTION("MID(INDEX(SPLIT($F188,"",""),COLUMN()-6),2,300)"),"#REF!")</f>
        <v>#REF!</v>
      </c>
      <c r="I188" s="3" t="str">
        <f>IFERROR(__xludf.DUMMYFUNCTION("MID(INDEX(SPLIT($F188,"",""),COLUMN()-6),2,300)"),"#REF!")</f>
        <v>#REF!</v>
      </c>
      <c r="J188" s="3" t="str">
        <f>IFERROR(__xludf.DUMMYFUNCTION("MID(INDEX(SPLIT($F188,"",""),COLUMN()-6),2,300)"),"#REF!")</f>
        <v>#REF!</v>
      </c>
      <c r="K188" s="3">
        <f>IFERROR(__xludf.DUMMYFUNCTION("INDEX(SPLIT(G188,"" ""),1)"),4.0)</f>
        <v>4</v>
      </c>
      <c r="L188" s="3" t="str">
        <f>IFERROR(__xludf.DUMMYFUNCTION("REGEXEXTRACT(G188,"" [^ ]* [^ ]* "")")," mirrored silver ")</f>
        <v> mirrored silver </v>
      </c>
      <c r="M188" s="3" t="str">
        <f>IFERROR(__xludf.DUMMYFUNCTION("INDEX(SPLIT(H188,"" ""),1)"),"#REF!")</f>
        <v>#REF!</v>
      </c>
      <c r="N188" s="3" t="str">
        <f>IFERROR(__xludf.DUMMYFUNCTION("MID(REGEXEXTRACT(H188,"" [^ ]* [^ ]*""),2,300)"),"#REF!")</f>
        <v>#REF!</v>
      </c>
      <c r="O188" s="3" t="str">
        <f>IFERROR(__xludf.DUMMYFUNCTION("INDEX(SPLIT(I188,"" ""),1)"),"#REF!")</f>
        <v>#REF!</v>
      </c>
      <c r="P188" s="3" t="str">
        <f>IFERROR(__xludf.DUMMYFUNCTION("MID(REGEXEXTRACT(I188,"" [^ ]* [^ ]*""),2,300)"),"#REF!")</f>
        <v>#REF!</v>
      </c>
      <c r="Q188" s="3" t="str">
        <f>IFERROR(__xludf.DUMMYFUNCTION("INDEX(SPLIT(J188,"" ""),1)"),"#REF!")</f>
        <v>#REF!</v>
      </c>
      <c r="R188" s="3" t="str">
        <f>IFERROR(__xludf.DUMMYFUNCTION("MID(REGEXEXTRACT(J188,"" [^ ]* [^ ]*""),2,300)"),"#REF!")</f>
        <v>#REF!</v>
      </c>
      <c r="S188" s="3">
        <f t="shared" si="2"/>
        <v>4</v>
      </c>
      <c r="T188" s="3" t="str">
        <f t="shared" si="3"/>
        <v>mirrored silver</v>
      </c>
      <c r="U188" s="3" t="str">
        <f t="shared" si="4"/>
        <v/>
      </c>
      <c r="V188" s="3" t="str">
        <f t="shared" si="5"/>
        <v/>
      </c>
      <c r="W188" s="3" t="str">
        <f t="shared" si="6"/>
        <v/>
      </c>
      <c r="X188" s="3" t="str">
        <f t="shared" si="7"/>
        <v/>
      </c>
      <c r="Y188" s="3" t="str">
        <f t="shared" si="8"/>
        <v/>
      </c>
      <c r="Z188" s="3" t="str">
        <f t="shared" si="9"/>
        <v/>
      </c>
      <c r="AA188" s="13">
        <f t="shared" si="10"/>
        <v>1545</v>
      </c>
      <c r="AB188" s="3">
        <f t="shared" si="11"/>
        <v>1544</v>
      </c>
      <c r="AC188" s="3">
        <f t="shared" si="12"/>
        <v>4</v>
      </c>
      <c r="AD188" s="3">
        <f t="shared" si="13"/>
        <v>386</v>
      </c>
      <c r="AE188" s="3" t="str">
        <f t="shared" si="14"/>
        <v/>
      </c>
      <c r="AF188" s="3">
        <f t="shared" si="15"/>
        <v>0</v>
      </c>
      <c r="AG188" s="3" t="str">
        <f t="shared" si="16"/>
        <v/>
      </c>
      <c r="AH188" s="3">
        <f t="shared" si="17"/>
        <v>0</v>
      </c>
      <c r="AI188" s="3" t="str">
        <f t="shared" si="18"/>
        <v/>
      </c>
      <c r="AJ188" s="3">
        <f t="shared" si="19"/>
        <v>0</v>
      </c>
    </row>
    <row r="189">
      <c r="C189" s="6" t="s">
        <v>189</v>
      </c>
      <c r="D189" s="3">
        <f t="shared" si="1"/>
        <v>2</v>
      </c>
      <c r="E189" s="3" t="str">
        <f>IFERROR(__xludf.DUMMYFUNCTION("REGEXEXTRACT(C189,""[^ ]* [^ ]*"")"),"dark silver")</f>
        <v>dark silver</v>
      </c>
      <c r="F189" s="3" t="str">
        <f>IFERROR(__xludf.DUMMYFUNCTION("MID(REGEXEXTRACT(C189,""contain.*$""),9,300)"),"2 dull turquoise bags, 1 muted maroon bag, 5 vibrant magenta bags.")</f>
        <v>2 dull turquoise bags, 1 muted maroon bag, 5 vibrant magenta bags.</v>
      </c>
      <c r="G189" s="3" t="str">
        <f>IFERROR(__xludf.DUMMYFUNCTION("INDEX(SPLIT($F189,"",""),COLUMN()-6)"),"2 dull turquoise bags")</f>
        <v>2 dull turquoise bags</v>
      </c>
      <c r="H189" s="3" t="str">
        <f>IFERROR(__xludf.DUMMYFUNCTION("MID(INDEX(SPLIT($F189,"",""),COLUMN()-6),2,300)"),"1 muted maroon bag")</f>
        <v>1 muted maroon bag</v>
      </c>
      <c r="I189" s="3" t="str">
        <f>IFERROR(__xludf.DUMMYFUNCTION("MID(INDEX(SPLIT($F189,"",""),COLUMN()-6),2,300)"),"5 vibrant magenta bags.")</f>
        <v>5 vibrant magenta bags.</v>
      </c>
      <c r="J189" s="3" t="str">
        <f>IFERROR(__xludf.DUMMYFUNCTION("MID(INDEX(SPLIT($F189,"",""),COLUMN()-6),2,300)"),"#REF!")</f>
        <v>#REF!</v>
      </c>
      <c r="K189" s="3">
        <f>IFERROR(__xludf.DUMMYFUNCTION("INDEX(SPLIT(G189,"" ""),1)"),2.0)</f>
        <v>2</v>
      </c>
      <c r="L189" s="3" t="str">
        <f>IFERROR(__xludf.DUMMYFUNCTION("REGEXEXTRACT(G189,"" [^ ]* [^ ]* "")")," dull turquoise ")</f>
        <v> dull turquoise </v>
      </c>
      <c r="M189" s="3">
        <f>IFERROR(__xludf.DUMMYFUNCTION("INDEX(SPLIT(H189,"" ""),1)"),1.0)</f>
        <v>1</v>
      </c>
      <c r="N189" s="3" t="str">
        <f>IFERROR(__xludf.DUMMYFUNCTION("MID(REGEXEXTRACT(H189,"" [^ ]* [^ ]*""),2,300)"),"muted maroon")</f>
        <v>muted maroon</v>
      </c>
      <c r="O189" s="3">
        <f>IFERROR(__xludf.DUMMYFUNCTION("INDEX(SPLIT(I189,"" ""),1)"),5.0)</f>
        <v>5</v>
      </c>
      <c r="P189" s="3" t="str">
        <f>IFERROR(__xludf.DUMMYFUNCTION("MID(REGEXEXTRACT(I189,"" [^ ]* [^ ]*""),2,300)"),"vibrant magenta")</f>
        <v>vibrant magenta</v>
      </c>
      <c r="Q189" s="3" t="str">
        <f>IFERROR(__xludf.DUMMYFUNCTION("INDEX(SPLIT(J189,"" ""),1)"),"#REF!")</f>
        <v>#REF!</v>
      </c>
      <c r="R189" s="3" t="str">
        <f>IFERROR(__xludf.DUMMYFUNCTION("MID(REGEXEXTRACT(J189,"" [^ ]* [^ ]*""),2,300)"),"#REF!")</f>
        <v>#REF!</v>
      </c>
      <c r="S189" s="3">
        <f t="shared" si="2"/>
        <v>2</v>
      </c>
      <c r="T189" s="3" t="str">
        <f t="shared" si="3"/>
        <v>dull turquoise</v>
      </c>
      <c r="U189" s="3">
        <f t="shared" si="4"/>
        <v>1</v>
      </c>
      <c r="V189" s="3" t="str">
        <f t="shared" si="5"/>
        <v>muted maroon</v>
      </c>
      <c r="W189" s="3">
        <f t="shared" si="6"/>
        <v>5</v>
      </c>
      <c r="X189" s="3" t="str">
        <f t="shared" si="7"/>
        <v>vibrant magenta</v>
      </c>
      <c r="Y189" s="3" t="str">
        <f t="shared" si="8"/>
        <v/>
      </c>
      <c r="Z189" s="3" t="str">
        <f t="shared" si="9"/>
        <v/>
      </c>
      <c r="AA189" s="13">
        <f t="shared" si="10"/>
        <v>1015059570</v>
      </c>
      <c r="AB189" s="3">
        <f t="shared" si="11"/>
        <v>1015059569</v>
      </c>
      <c r="AC189" s="3">
        <f t="shared" si="12"/>
        <v>2</v>
      </c>
      <c r="AD189" s="3">
        <f t="shared" si="13"/>
        <v>346469</v>
      </c>
      <c r="AE189" s="3">
        <f t="shared" si="14"/>
        <v>1</v>
      </c>
      <c r="AF189" s="3">
        <f t="shared" si="15"/>
        <v>25481</v>
      </c>
      <c r="AG189" s="3">
        <f t="shared" si="16"/>
        <v>5</v>
      </c>
      <c r="AH189" s="3">
        <f t="shared" si="17"/>
        <v>202868230</v>
      </c>
      <c r="AI189" s="3" t="str">
        <f t="shared" si="18"/>
        <v/>
      </c>
      <c r="AJ189" s="3">
        <f t="shared" si="19"/>
        <v>0</v>
      </c>
    </row>
    <row r="190">
      <c r="C190" s="6" t="s">
        <v>190</v>
      </c>
      <c r="D190" s="3">
        <f t="shared" si="1"/>
        <v>0</v>
      </c>
      <c r="E190" s="3" t="str">
        <f>IFERROR(__xludf.DUMMYFUNCTION("REGEXEXTRACT(C190,""[^ ]* [^ ]*"")"),"mirrored violet")</f>
        <v>mirrored violet</v>
      </c>
      <c r="F190" s="3" t="str">
        <f>IFERROR(__xludf.DUMMYFUNCTION("MID(REGEXEXTRACT(C190,""contain.*$""),9,300)"),"4 dark brown bags.")</f>
        <v>4 dark brown bags.</v>
      </c>
      <c r="G190" s="3" t="str">
        <f>IFERROR(__xludf.DUMMYFUNCTION("INDEX(SPLIT($F190,"",""),COLUMN()-6)"),"4 dark brown bags.")</f>
        <v>4 dark brown bags.</v>
      </c>
      <c r="H190" s="3" t="str">
        <f>IFERROR(__xludf.DUMMYFUNCTION("MID(INDEX(SPLIT($F190,"",""),COLUMN()-6),2,300)"),"#REF!")</f>
        <v>#REF!</v>
      </c>
      <c r="I190" s="3" t="str">
        <f>IFERROR(__xludf.DUMMYFUNCTION("MID(INDEX(SPLIT($F190,"",""),COLUMN()-6),2,300)"),"#REF!")</f>
        <v>#REF!</v>
      </c>
      <c r="J190" s="3" t="str">
        <f>IFERROR(__xludf.DUMMYFUNCTION("MID(INDEX(SPLIT($F190,"",""),COLUMN()-6),2,300)"),"#REF!")</f>
        <v>#REF!</v>
      </c>
      <c r="K190" s="3">
        <f>IFERROR(__xludf.DUMMYFUNCTION("INDEX(SPLIT(G190,"" ""),1)"),4.0)</f>
        <v>4</v>
      </c>
      <c r="L190" s="3" t="str">
        <f>IFERROR(__xludf.DUMMYFUNCTION("REGEXEXTRACT(G190,"" [^ ]* [^ ]* "")")," dark brown ")</f>
        <v> dark brown </v>
      </c>
      <c r="M190" s="3" t="str">
        <f>IFERROR(__xludf.DUMMYFUNCTION("INDEX(SPLIT(H190,"" ""),1)"),"#REF!")</f>
        <v>#REF!</v>
      </c>
      <c r="N190" s="3" t="str">
        <f>IFERROR(__xludf.DUMMYFUNCTION("MID(REGEXEXTRACT(H190,"" [^ ]* [^ ]*""),2,300)"),"#REF!")</f>
        <v>#REF!</v>
      </c>
      <c r="O190" s="3" t="str">
        <f>IFERROR(__xludf.DUMMYFUNCTION("INDEX(SPLIT(I190,"" ""),1)"),"#REF!")</f>
        <v>#REF!</v>
      </c>
      <c r="P190" s="3" t="str">
        <f>IFERROR(__xludf.DUMMYFUNCTION("MID(REGEXEXTRACT(I190,"" [^ ]* [^ ]*""),2,300)"),"#REF!")</f>
        <v>#REF!</v>
      </c>
      <c r="Q190" s="3" t="str">
        <f>IFERROR(__xludf.DUMMYFUNCTION("INDEX(SPLIT(J190,"" ""),1)"),"#REF!")</f>
        <v>#REF!</v>
      </c>
      <c r="R190" s="3" t="str">
        <f>IFERROR(__xludf.DUMMYFUNCTION("MID(REGEXEXTRACT(J190,"" [^ ]* [^ ]*""),2,300)"),"#REF!")</f>
        <v>#REF!</v>
      </c>
      <c r="S190" s="3">
        <f t="shared" si="2"/>
        <v>4</v>
      </c>
      <c r="T190" s="3" t="str">
        <f t="shared" si="3"/>
        <v>dark brown</v>
      </c>
      <c r="U190" s="3" t="str">
        <f t="shared" si="4"/>
        <v/>
      </c>
      <c r="V190" s="3" t="str">
        <f t="shared" si="5"/>
        <v/>
      </c>
      <c r="W190" s="3" t="str">
        <f t="shared" si="6"/>
        <v/>
      </c>
      <c r="X190" s="3" t="str">
        <f t="shared" si="7"/>
        <v/>
      </c>
      <c r="Y190" s="3" t="str">
        <f t="shared" si="8"/>
        <v/>
      </c>
      <c r="Z190" s="3" t="str">
        <f t="shared" si="9"/>
        <v/>
      </c>
      <c r="AA190" s="13">
        <f t="shared" si="10"/>
        <v>538277</v>
      </c>
      <c r="AB190" s="3">
        <f t="shared" si="11"/>
        <v>538276</v>
      </c>
      <c r="AC190" s="3">
        <f t="shared" si="12"/>
        <v>4</v>
      </c>
      <c r="AD190" s="3">
        <f t="shared" si="13"/>
        <v>134569</v>
      </c>
      <c r="AE190" s="3" t="str">
        <f t="shared" si="14"/>
        <v/>
      </c>
      <c r="AF190" s="3">
        <f t="shared" si="15"/>
        <v>0</v>
      </c>
      <c r="AG190" s="3" t="str">
        <f t="shared" si="16"/>
        <v/>
      </c>
      <c r="AH190" s="3">
        <f t="shared" si="17"/>
        <v>0</v>
      </c>
      <c r="AI190" s="3" t="str">
        <f t="shared" si="18"/>
        <v/>
      </c>
      <c r="AJ190" s="3">
        <f t="shared" si="19"/>
        <v>0</v>
      </c>
    </row>
    <row r="191">
      <c r="C191" s="6" t="s">
        <v>191</v>
      </c>
      <c r="D191" s="3">
        <f t="shared" si="1"/>
        <v>3</v>
      </c>
      <c r="E191" s="3" t="str">
        <f>IFERROR(__xludf.DUMMYFUNCTION("REGEXEXTRACT(C191,""[^ ]* [^ ]*"")"),"clear aqua")</f>
        <v>clear aqua</v>
      </c>
      <c r="F191" s="3" t="str">
        <f>IFERROR(__xludf.DUMMYFUNCTION("MID(REGEXEXTRACT(C191,""contain.*$""),9,300)"),"2 striped beige bags, 1 dotted indigo bag, 5 faded violet bags, 5 vibrant violet bags.")</f>
        <v>2 striped beige bags, 1 dotted indigo bag, 5 faded violet bags, 5 vibrant violet bags.</v>
      </c>
      <c r="G191" s="3" t="str">
        <f>IFERROR(__xludf.DUMMYFUNCTION("INDEX(SPLIT($F191,"",""),COLUMN()-6)"),"2 striped beige bags")</f>
        <v>2 striped beige bags</v>
      </c>
      <c r="H191" s="3" t="str">
        <f>IFERROR(__xludf.DUMMYFUNCTION("MID(INDEX(SPLIT($F191,"",""),COLUMN()-6),2,300)"),"1 dotted indigo bag")</f>
        <v>1 dotted indigo bag</v>
      </c>
      <c r="I191" s="3" t="str">
        <f>IFERROR(__xludf.DUMMYFUNCTION("MID(INDEX(SPLIT($F191,"",""),COLUMN()-6),2,300)"),"5 faded violet bags")</f>
        <v>5 faded violet bags</v>
      </c>
      <c r="J191" s="3" t="str">
        <f>IFERROR(__xludf.DUMMYFUNCTION("MID(INDEX(SPLIT($F191,"",""),COLUMN()-6),2,300)"),"5 vibrant violet bags.")</f>
        <v>5 vibrant violet bags.</v>
      </c>
      <c r="K191" s="3">
        <f>IFERROR(__xludf.DUMMYFUNCTION("INDEX(SPLIT(G191,"" ""),1)"),2.0)</f>
        <v>2</v>
      </c>
      <c r="L191" s="3" t="str">
        <f>IFERROR(__xludf.DUMMYFUNCTION("REGEXEXTRACT(G191,"" [^ ]* [^ ]* "")")," striped beige ")</f>
        <v> striped beige </v>
      </c>
      <c r="M191" s="3">
        <f>IFERROR(__xludf.DUMMYFUNCTION("INDEX(SPLIT(H191,"" ""),1)"),1.0)</f>
        <v>1</v>
      </c>
      <c r="N191" s="3" t="str">
        <f>IFERROR(__xludf.DUMMYFUNCTION("MID(REGEXEXTRACT(H191,"" [^ ]* [^ ]*""),2,300)"),"dotted indigo")</f>
        <v>dotted indigo</v>
      </c>
      <c r="O191" s="3">
        <f>IFERROR(__xludf.DUMMYFUNCTION("INDEX(SPLIT(I191,"" ""),1)"),5.0)</f>
        <v>5</v>
      </c>
      <c r="P191" s="3" t="str">
        <f>IFERROR(__xludf.DUMMYFUNCTION("MID(REGEXEXTRACT(I191,"" [^ ]* [^ ]*""),2,300)"),"faded violet")</f>
        <v>faded violet</v>
      </c>
      <c r="Q191" s="3">
        <f>IFERROR(__xludf.DUMMYFUNCTION("INDEX(SPLIT(J191,"" ""),1)"),5.0)</f>
        <v>5</v>
      </c>
      <c r="R191" s="3" t="str">
        <f>IFERROR(__xludf.DUMMYFUNCTION("MID(REGEXEXTRACT(J191,"" [^ ]* [^ ]*""),2,300)"),"vibrant violet")</f>
        <v>vibrant violet</v>
      </c>
      <c r="S191" s="3">
        <f t="shared" si="2"/>
        <v>2</v>
      </c>
      <c r="T191" s="3" t="str">
        <f t="shared" si="3"/>
        <v>striped beige</v>
      </c>
      <c r="U191" s="3">
        <f t="shared" si="4"/>
        <v>1</v>
      </c>
      <c r="V191" s="3" t="str">
        <f t="shared" si="5"/>
        <v>dotted indigo</v>
      </c>
      <c r="W191" s="3">
        <f t="shared" si="6"/>
        <v>5</v>
      </c>
      <c r="X191" s="3" t="str">
        <f t="shared" si="7"/>
        <v>faded violet</v>
      </c>
      <c r="Y191" s="3">
        <f t="shared" si="8"/>
        <v>5</v>
      </c>
      <c r="Z191" s="3" t="str">
        <f t="shared" si="9"/>
        <v>vibrant violet</v>
      </c>
      <c r="AA191" s="13">
        <f t="shared" si="10"/>
        <v>4216861532</v>
      </c>
      <c r="AB191" s="3">
        <f t="shared" si="11"/>
        <v>4216861531</v>
      </c>
      <c r="AC191" s="3">
        <f t="shared" si="12"/>
        <v>2</v>
      </c>
      <c r="AD191" s="3">
        <f t="shared" si="13"/>
        <v>1728590198</v>
      </c>
      <c r="AE191" s="3">
        <f t="shared" si="14"/>
        <v>1</v>
      </c>
      <c r="AF191" s="3">
        <f t="shared" si="15"/>
        <v>745224695</v>
      </c>
      <c r="AG191" s="3">
        <f t="shared" si="16"/>
        <v>5</v>
      </c>
      <c r="AH191" s="3">
        <f t="shared" si="17"/>
        <v>115573</v>
      </c>
      <c r="AI191" s="3">
        <f t="shared" si="18"/>
        <v>5</v>
      </c>
      <c r="AJ191" s="3">
        <f t="shared" si="19"/>
        <v>2775715</v>
      </c>
    </row>
    <row r="192">
      <c r="C192" s="6" t="s">
        <v>192</v>
      </c>
      <c r="D192" s="3">
        <f t="shared" si="1"/>
        <v>1</v>
      </c>
      <c r="E192" s="3" t="str">
        <f>IFERROR(__xludf.DUMMYFUNCTION("REGEXEXTRACT(C192,""[^ ]* [^ ]*"")"),"plaid teal")</f>
        <v>plaid teal</v>
      </c>
      <c r="F192" s="3" t="str">
        <f>IFERROR(__xludf.DUMMYFUNCTION("MID(REGEXEXTRACT(C192,""contain.*$""),9,300)"),"3 mirrored lavender bags, 4 posh gray bags.")</f>
        <v>3 mirrored lavender bags, 4 posh gray bags.</v>
      </c>
      <c r="G192" s="3" t="str">
        <f>IFERROR(__xludf.DUMMYFUNCTION("INDEX(SPLIT($F192,"",""),COLUMN()-6)"),"3 mirrored lavender bags")</f>
        <v>3 mirrored lavender bags</v>
      </c>
      <c r="H192" s="3" t="str">
        <f>IFERROR(__xludf.DUMMYFUNCTION("MID(INDEX(SPLIT($F192,"",""),COLUMN()-6),2,300)"),"4 posh gray bags.")</f>
        <v>4 posh gray bags.</v>
      </c>
      <c r="I192" s="3" t="str">
        <f>IFERROR(__xludf.DUMMYFUNCTION("MID(INDEX(SPLIT($F192,"",""),COLUMN()-6),2,300)"),"#REF!")</f>
        <v>#REF!</v>
      </c>
      <c r="J192" s="3" t="str">
        <f>IFERROR(__xludf.DUMMYFUNCTION("MID(INDEX(SPLIT($F192,"",""),COLUMN()-6),2,300)"),"#REF!")</f>
        <v>#REF!</v>
      </c>
      <c r="K192" s="3">
        <f>IFERROR(__xludf.DUMMYFUNCTION("INDEX(SPLIT(G192,"" ""),1)"),3.0)</f>
        <v>3</v>
      </c>
      <c r="L192" s="3" t="str">
        <f>IFERROR(__xludf.DUMMYFUNCTION("REGEXEXTRACT(G192,"" [^ ]* [^ ]* "")")," mirrored lavender ")</f>
        <v> mirrored lavender </v>
      </c>
      <c r="M192" s="3">
        <f>IFERROR(__xludf.DUMMYFUNCTION("INDEX(SPLIT(H192,"" ""),1)"),4.0)</f>
        <v>4</v>
      </c>
      <c r="N192" s="3" t="str">
        <f>IFERROR(__xludf.DUMMYFUNCTION("MID(REGEXEXTRACT(H192,"" [^ ]* [^ ]*""),2,300)"),"posh gray")</f>
        <v>posh gray</v>
      </c>
      <c r="O192" s="3" t="str">
        <f>IFERROR(__xludf.DUMMYFUNCTION("INDEX(SPLIT(I192,"" ""),1)"),"#REF!")</f>
        <v>#REF!</v>
      </c>
      <c r="P192" s="3" t="str">
        <f>IFERROR(__xludf.DUMMYFUNCTION("MID(REGEXEXTRACT(I192,"" [^ ]* [^ ]*""),2,300)"),"#REF!")</f>
        <v>#REF!</v>
      </c>
      <c r="Q192" s="3" t="str">
        <f>IFERROR(__xludf.DUMMYFUNCTION("INDEX(SPLIT(J192,"" ""),1)"),"#REF!")</f>
        <v>#REF!</v>
      </c>
      <c r="R192" s="3" t="str">
        <f>IFERROR(__xludf.DUMMYFUNCTION("MID(REGEXEXTRACT(J192,"" [^ ]* [^ ]*""),2,300)"),"#REF!")</f>
        <v>#REF!</v>
      </c>
      <c r="S192" s="3">
        <f t="shared" si="2"/>
        <v>3</v>
      </c>
      <c r="T192" s="3" t="str">
        <f t="shared" si="3"/>
        <v>mirrored lavender</v>
      </c>
      <c r="U192" s="3">
        <f t="shared" si="4"/>
        <v>4</v>
      </c>
      <c r="V192" s="3" t="str">
        <f t="shared" si="5"/>
        <v>posh gray</v>
      </c>
      <c r="W192" s="3" t="str">
        <f t="shared" si="6"/>
        <v/>
      </c>
      <c r="X192" s="3" t="str">
        <f t="shared" si="7"/>
        <v/>
      </c>
      <c r="Y192" s="3" t="str">
        <f t="shared" si="8"/>
        <v/>
      </c>
      <c r="Z192" s="3" t="str">
        <f t="shared" si="9"/>
        <v/>
      </c>
      <c r="AA192" s="13">
        <f t="shared" si="10"/>
        <v>118598</v>
      </c>
      <c r="AB192" s="3">
        <f t="shared" si="11"/>
        <v>118597</v>
      </c>
      <c r="AC192" s="3">
        <f t="shared" si="12"/>
        <v>3</v>
      </c>
      <c r="AD192" s="3">
        <f t="shared" si="13"/>
        <v>5563</v>
      </c>
      <c r="AE192" s="3">
        <f t="shared" si="14"/>
        <v>4</v>
      </c>
      <c r="AF192" s="3">
        <f t="shared" si="15"/>
        <v>25477</v>
      </c>
      <c r="AG192" s="3" t="str">
        <f t="shared" si="16"/>
        <v/>
      </c>
      <c r="AH192" s="3">
        <f t="shared" si="17"/>
        <v>0</v>
      </c>
      <c r="AI192" s="3" t="str">
        <f t="shared" si="18"/>
        <v/>
      </c>
      <c r="AJ192" s="3">
        <f t="shared" si="19"/>
        <v>0</v>
      </c>
    </row>
    <row r="193">
      <c r="C193" s="6" t="s">
        <v>193</v>
      </c>
      <c r="D193" s="3">
        <f t="shared" si="1"/>
        <v>2</v>
      </c>
      <c r="E193" s="3" t="str">
        <f>IFERROR(__xludf.DUMMYFUNCTION("REGEXEXTRACT(C193,""[^ ]* [^ ]*"")"),"wavy olive")</f>
        <v>wavy olive</v>
      </c>
      <c r="F193" s="3" t="str">
        <f>IFERROR(__xludf.DUMMYFUNCTION("MID(REGEXEXTRACT(C193,""contain.*$""),9,300)"),"3 dull blue bags, 5 bright salmon bags, 5 shiny purple bags.")</f>
        <v>3 dull blue bags, 5 bright salmon bags, 5 shiny purple bags.</v>
      </c>
      <c r="G193" s="3" t="str">
        <f>IFERROR(__xludf.DUMMYFUNCTION("INDEX(SPLIT($F193,"",""),COLUMN()-6)"),"3 dull blue bags")</f>
        <v>3 dull blue bags</v>
      </c>
      <c r="H193" s="3" t="str">
        <f>IFERROR(__xludf.DUMMYFUNCTION("MID(INDEX(SPLIT($F193,"",""),COLUMN()-6),2,300)"),"5 bright salmon bags")</f>
        <v>5 bright salmon bags</v>
      </c>
      <c r="I193" s="3" t="str">
        <f>IFERROR(__xludf.DUMMYFUNCTION("MID(INDEX(SPLIT($F193,"",""),COLUMN()-6),2,300)"),"5 shiny purple bags.")</f>
        <v>5 shiny purple bags.</v>
      </c>
      <c r="J193" s="3" t="str">
        <f>IFERROR(__xludf.DUMMYFUNCTION("MID(INDEX(SPLIT($F193,"",""),COLUMN()-6),2,300)"),"#REF!")</f>
        <v>#REF!</v>
      </c>
      <c r="K193" s="3">
        <f>IFERROR(__xludf.DUMMYFUNCTION("INDEX(SPLIT(G193,"" ""),1)"),3.0)</f>
        <v>3</v>
      </c>
      <c r="L193" s="3" t="str">
        <f>IFERROR(__xludf.DUMMYFUNCTION("REGEXEXTRACT(G193,"" [^ ]* [^ ]* "")")," dull blue ")</f>
        <v> dull blue </v>
      </c>
      <c r="M193" s="3">
        <f>IFERROR(__xludf.DUMMYFUNCTION("INDEX(SPLIT(H193,"" ""),1)"),5.0)</f>
        <v>5</v>
      </c>
      <c r="N193" s="3" t="str">
        <f>IFERROR(__xludf.DUMMYFUNCTION("MID(REGEXEXTRACT(H193,"" [^ ]* [^ ]*""),2,300)"),"bright salmon")</f>
        <v>bright salmon</v>
      </c>
      <c r="O193" s="3">
        <f>IFERROR(__xludf.DUMMYFUNCTION("INDEX(SPLIT(I193,"" ""),1)"),5.0)</f>
        <v>5</v>
      </c>
      <c r="P193" s="3" t="str">
        <f>IFERROR(__xludf.DUMMYFUNCTION("MID(REGEXEXTRACT(I193,"" [^ ]* [^ ]*""),2,300)"),"shiny purple")</f>
        <v>shiny purple</v>
      </c>
      <c r="Q193" s="3" t="str">
        <f>IFERROR(__xludf.DUMMYFUNCTION("INDEX(SPLIT(J193,"" ""),1)"),"#REF!")</f>
        <v>#REF!</v>
      </c>
      <c r="R193" s="3" t="str">
        <f>IFERROR(__xludf.DUMMYFUNCTION("MID(REGEXEXTRACT(J193,"" [^ ]* [^ ]*""),2,300)"),"#REF!")</f>
        <v>#REF!</v>
      </c>
      <c r="S193" s="3">
        <f t="shared" si="2"/>
        <v>3</v>
      </c>
      <c r="T193" s="3" t="str">
        <f t="shared" si="3"/>
        <v>dull blue</v>
      </c>
      <c r="U193" s="3">
        <f t="shared" si="4"/>
        <v>5</v>
      </c>
      <c r="V193" s="3" t="str">
        <f t="shared" si="5"/>
        <v>bright salmon</v>
      </c>
      <c r="W193" s="3">
        <f t="shared" si="6"/>
        <v>5</v>
      </c>
      <c r="X193" s="3" t="str">
        <f t="shared" si="7"/>
        <v>shiny purple</v>
      </c>
      <c r="Y193" s="3" t="str">
        <f t="shared" si="8"/>
        <v/>
      </c>
      <c r="Z193" s="3" t="str">
        <f t="shared" si="9"/>
        <v/>
      </c>
      <c r="AA193" s="13">
        <f t="shared" si="10"/>
        <v>43868443</v>
      </c>
      <c r="AB193" s="3">
        <f t="shared" si="11"/>
        <v>43868442</v>
      </c>
      <c r="AC193" s="3">
        <f t="shared" si="12"/>
        <v>3</v>
      </c>
      <c r="AD193" s="3">
        <f t="shared" si="13"/>
        <v>229339</v>
      </c>
      <c r="AE193" s="3">
        <f t="shared" si="14"/>
        <v>5</v>
      </c>
      <c r="AF193" s="3">
        <f t="shared" si="15"/>
        <v>367933</v>
      </c>
      <c r="AG193" s="3">
        <f t="shared" si="16"/>
        <v>5</v>
      </c>
      <c r="AH193" s="3">
        <f t="shared" si="17"/>
        <v>8268152</v>
      </c>
      <c r="AI193" s="3" t="str">
        <f t="shared" si="18"/>
        <v/>
      </c>
      <c r="AJ193" s="3">
        <f t="shared" si="19"/>
        <v>0</v>
      </c>
    </row>
    <row r="194">
      <c r="C194" s="6" t="s">
        <v>194</v>
      </c>
      <c r="D194" s="3">
        <f t="shared" si="1"/>
        <v>3</v>
      </c>
      <c r="E194" s="3" t="str">
        <f>IFERROR(__xludf.DUMMYFUNCTION("REGEXEXTRACT(C194,""[^ ]* [^ ]*"")"),"pale lavender")</f>
        <v>pale lavender</v>
      </c>
      <c r="F194" s="3" t="str">
        <f>IFERROR(__xludf.DUMMYFUNCTION("MID(REGEXEXTRACT(C194,""contain.*$""),9,300)"),"4 light purple bags, 2 dotted gray bags, 2 pale plum bags, 3 shiny silver bags.")</f>
        <v>4 light purple bags, 2 dotted gray bags, 2 pale plum bags, 3 shiny silver bags.</v>
      </c>
      <c r="G194" s="3" t="str">
        <f>IFERROR(__xludf.DUMMYFUNCTION("INDEX(SPLIT($F194,"",""),COLUMN()-6)"),"4 light purple bags")</f>
        <v>4 light purple bags</v>
      </c>
      <c r="H194" s="3" t="str">
        <f>IFERROR(__xludf.DUMMYFUNCTION("MID(INDEX(SPLIT($F194,"",""),COLUMN()-6),2,300)"),"2 dotted gray bags")</f>
        <v>2 dotted gray bags</v>
      </c>
      <c r="I194" s="3" t="str">
        <f>IFERROR(__xludf.DUMMYFUNCTION("MID(INDEX(SPLIT($F194,"",""),COLUMN()-6),2,300)"),"2 pale plum bags")</f>
        <v>2 pale plum bags</v>
      </c>
      <c r="J194" s="3" t="str">
        <f>IFERROR(__xludf.DUMMYFUNCTION("MID(INDEX(SPLIT($F194,"",""),COLUMN()-6),2,300)"),"3 shiny silver bags.")</f>
        <v>3 shiny silver bags.</v>
      </c>
      <c r="K194" s="3">
        <f>IFERROR(__xludf.DUMMYFUNCTION("INDEX(SPLIT(G194,"" ""),1)"),4.0)</f>
        <v>4</v>
      </c>
      <c r="L194" s="3" t="str">
        <f>IFERROR(__xludf.DUMMYFUNCTION("REGEXEXTRACT(G194,"" [^ ]* [^ ]* "")")," light purple ")</f>
        <v> light purple </v>
      </c>
      <c r="M194" s="3">
        <f>IFERROR(__xludf.DUMMYFUNCTION("INDEX(SPLIT(H194,"" ""),1)"),2.0)</f>
        <v>2</v>
      </c>
      <c r="N194" s="3" t="str">
        <f>IFERROR(__xludf.DUMMYFUNCTION("MID(REGEXEXTRACT(H194,"" [^ ]* [^ ]*""),2,300)"),"dotted gray")</f>
        <v>dotted gray</v>
      </c>
      <c r="O194" s="3">
        <f>IFERROR(__xludf.DUMMYFUNCTION("INDEX(SPLIT(I194,"" ""),1)"),2.0)</f>
        <v>2</v>
      </c>
      <c r="P194" s="3" t="str">
        <f>IFERROR(__xludf.DUMMYFUNCTION("MID(REGEXEXTRACT(I194,"" [^ ]* [^ ]*""),2,300)"),"pale plum")</f>
        <v>pale plum</v>
      </c>
      <c r="Q194" s="3">
        <f>IFERROR(__xludf.DUMMYFUNCTION("INDEX(SPLIT(J194,"" ""),1)"),3.0)</f>
        <v>3</v>
      </c>
      <c r="R194" s="3" t="str">
        <f>IFERROR(__xludf.DUMMYFUNCTION("MID(REGEXEXTRACT(J194,"" [^ ]* [^ ]*""),2,300)"),"shiny silver")</f>
        <v>shiny silver</v>
      </c>
      <c r="S194" s="3">
        <f t="shared" si="2"/>
        <v>4</v>
      </c>
      <c r="T194" s="3" t="str">
        <f t="shared" si="3"/>
        <v>light purple</v>
      </c>
      <c r="U194" s="3">
        <f t="shared" si="4"/>
        <v>2</v>
      </c>
      <c r="V194" s="3" t="str">
        <f t="shared" si="5"/>
        <v>dotted gray</v>
      </c>
      <c r="W194" s="3">
        <f t="shared" si="6"/>
        <v>2</v>
      </c>
      <c r="X194" s="3" t="str">
        <f t="shared" si="7"/>
        <v>pale plum</v>
      </c>
      <c r="Y194" s="3">
        <f t="shared" si="8"/>
        <v>3</v>
      </c>
      <c r="Z194" s="3" t="str">
        <f t="shared" si="9"/>
        <v>shiny silver</v>
      </c>
      <c r="AA194" s="13">
        <f t="shared" si="10"/>
        <v>692117082</v>
      </c>
      <c r="AB194" s="3">
        <f t="shared" si="11"/>
        <v>692117081</v>
      </c>
      <c r="AC194" s="3">
        <f t="shared" si="12"/>
        <v>4</v>
      </c>
      <c r="AD194" s="3">
        <f t="shared" si="13"/>
        <v>76432</v>
      </c>
      <c r="AE194" s="3">
        <f t="shared" si="14"/>
        <v>2</v>
      </c>
      <c r="AF194" s="3">
        <f t="shared" si="15"/>
        <v>953436</v>
      </c>
      <c r="AG194" s="3">
        <f t="shared" si="16"/>
        <v>2</v>
      </c>
      <c r="AH194" s="3">
        <f t="shared" si="17"/>
        <v>344908190</v>
      </c>
      <c r="AI194" s="3">
        <f t="shared" si="18"/>
        <v>3</v>
      </c>
      <c r="AJ194" s="3">
        <f t="shared" si="19"/>
        <v>29367</v>
      </c>
    </row>
    <row r="195">
      <c r="C195" s="6" t="s">
        <v>195</v>
      </c>
      <c r="D195" s="3">
        <f t="shared" si="1"/>
        <v>3</v>
      </c>
      <c r="E195" s="3" t="str">
        <f>IFERROR(__xludf.DUMMYFUNCTION("REGEXEXTRACT(C195,""[^ ]* [^ ]*"")"),"shiny blue")</f>
        <v>shiny blue</v>
      </c>
      <c r="F195" s="3" t="str">
        <f>IFERROR(__xludf.DUMMYFUNCTION("MID(REGEXEXTRACT(C195,""contain.*$""),9,300)"),"2 vibrant white bags, 3 light gold bags, 3 mirrored lavender bags, 1 drab plum bag.")</f>
        <v>2 vibrant white bags, 3 light gold bags, 3 mirrored lavender bags, 1 drab plum bag.</v>
      </c>
      <c r="G195" s="3" t="str">
        <f>IFERROR(__xludf.DUMMYFUNCTION("INDEX(SPLIT($F195,"",""),COLUMN()-6)"),"2 vibrant white bags")</f>
        <v>2 vibrant white bags</v>
      </c>
      <c r="H195" s="3" t="str">
        <f>IFERROR(__xludf.DUMMYFUNCTION("MID(INDEX(SPLIT($F195,"",""),COLUMN()-6),2,300)"),"3 light gold bags")</f>
        <v>3 light gold bags</v>
      </c>
      <c r="I195" s="3" t="str">
        <f>IFERROR(__xludf.DUMMYFUNCTION("MID(INDEX(SPLIT($F195,"",""),COLUMN()-6),2,300)"),"3 mirrored lavender bags")</f>
        <v>3 mirrored lavender bags</v>
      </c>
      <c r="J195" s="3" t="str">
        <f>IFERROR(__xludf.DUMMYFUNCTION("MID(INDEX(SPLIT($F195,"",""),COLUMN()-6),2,300)"),"1 drab plum bag.")</f>
        <v>1 drab plum bag.</v>
      </c>
      <c r="K195" s="3">
        <f>IFERROR(__xludf.DUMMYFUNCTION("INDEX(SPLIT(G195,"" ""),1)"),2.0)</f>
        <v>2</v>
      </c>
      <c r="L195" s="3" t="str">
        <f>IFERROR(__xludf.DUMMYFUNCTION("REGEXEXTRACT(G195,"" [^ ]* [^ ]* "")")," vibrant white ")</f>
        <v> vibrant white </v>
      </c>
      <c r="M195" s="3">
        <f>IFERROR(__xludf.DUMMYFUNCTION("INDEX(SPLIT(H195,"" ""),1)"),3.0)</f>
        <v>3</v>
      </c>
      <c r="N195" s="3" t="str">
        <f>IFERROR(__xludf.DUMMYFUNCTION("MID(REGEXEXTRACT(H195,"" [^ ]* [^ ]*""),2,300)"),"light gold")</f>
        <v>light gold</v>
      </c>
      <c r="O195" s="3">
        <f>IFERROR(__xludf.DUMMYFUNCTION("INDEX(SPLIT(I195,"" ""),1)"),3.0)</f>
        <v>3</v>
      </c>
      <c r="P195" s="3" t="str">
        <f>IFERROR(__xludf.DUMMYFUNCTION("MID(REGEXEXTRACT(I195,"" [^ ]* [^ ]*""),2,300)"),"mirrored lavender")</f>
        <v>mirrored lavender</v>
      </c>
      <c r="Q195" s="3">
        <f>IFERROR(__xludf.DUMMYFUNCTION("INDEX(SPLIT(J195,"" ""),1)"),1.0)</f>
        <v>1</v>
      </c>
      <c r="R195" s="3" t="str">
        <f>IFERROR(__xludf.DUMMYFUNCTION("MID(REGEXEXTRACT(J195,"" [^ ]* [^ ]*""),2,300)"),"drab plum")</f>
        <v>drab plum</v>
      </c>
      <c r="S195" s="3">
        <f t="shared" si="2"/>
        <v>2</v>
      </c>
      <c r="T195" s="3" t="str">
        <f t="shared" si="3"/>
        <v>vibrant white</v>
      </c>
      <c r="U195" s="3">
        <f t="shared" si="4"/>
        <v>3</v>
      </c>
      <c r="V195" s="3" t="str">
        <f t="shared" si="5"/>
        <v>light gold</v>
      </c>
      <c r="W195" s="3">
        <f t="shared" si="6"/>
        <v>3</v>
      </c>
      <c r="X195" s="3" t="str">
        <f t="shared" si="7"/>
        <v>mirrored lavender</v>
      </c>
      <c r="Y195" s="3">
        <f t="shared" si="8"/>
        <v>1</v>
      </c>
      <c r="Z195" s="3" t="str">
        <f t="shared" si="9"/>
        <v>drab plum</v>
      </c>
      <c r="AA195" s="13">
        <f t="shared" si="10"/>
        <v>361232457</v>
      </c>
      <c r="AB195" s="3">
        <f t="shared" si="11"/>
        <v>361232456</v>
      </c>
      <c r="AC195" s="3">
        <f t="shared" si="12"/>
        <v>2</v>
      </c>
      <c r="AD195" s="3">
        <f t="shared" si="13"/>
        <v>1249859</v>
      </c>
      <c r="AE195" s="3">
        <f t="shared" si="14"/>
        <v>3</v>
      </c>
      <c r="AF195" s="3">
        <f t="shared" si="15"/>
        <v>112904201</v>
      </c>
      <c r="AG195" s="3">
        <f t="shared" si="16"/>
        <v>3</v>
      </c>
      <c r="AH195" s="3">
        <f t="shared" si="17"/>
        <v>5563</v>
      </c>
      <c r="AI195" s="3">
        <f t="shared" si="18"/>
        <v>1</v>
      </c>
      <c r="AJ195" s="3">
        <f t="shared" si="19"/>
        <v>20003446</v>
      </c>
    </row>
    <row r="196">
      <c r="C196" s="6" t="s">
        <v>196</v>
      </c>
      <c r="D196" s="3">
        <f t="shared" si="1"/>
        <v>2</v>
      </c>
      <c r="E196" s="3" t="str">
        <f>IFERROR(__xludf.DUMMYFUNCTION("REGEXEXTRACT(C196,""[^ ]* [^ ]*"")"),"light coral")</f>
        <v>light coral</v>
      </c>
      <c r="F196" s="3" t="str">
        <f>IFERROR(__xludf.DUMMYFUNCTION("MID(REGEXEXTRACT(C196,""contain.*$""),9,300)"),"4 light teal bags, 1 striped chartreuse bag, 5 dotted chartreuse bags.")</f>
        <v>4 light teal bags, 1 striped chartreuse bag, 5 dotted chartreuse bags.</v>
      </c>
      <c r="G196" s="3" t="str">
        <f>IFERROR(__xludf.DUMMYFUNCTION("INDEX(SPLIT($F196,"",""),COLUMN()-6)"),"4 light teal bags")</f>
        <v>4 light teal bags</v>
      </c>
      <c r="H196" s="3" t="str">
        <f>IFERROR(__xludf.DUMMYFUNCTION("MID(INDEX(SPLIT($F196,"",""),COLUMN()-6),2,300)"),"1 striped chartreuse bag")</f>
        <v>1 striped chartreuse bag</v>
      </c>
      <c r="I196" s="3" t="str">
        <f>IFERROR(__xludf.DUMMYFUNCTION("MID(INDEX(SPLIT($F196,"",""),COLUMN()-6),2,300)"),"5 dotted chartreuse bags.")</f>
        <v>5 dotted chartreuse bags.</v>
      </c>
      <c r="J196" s="3" t="str">
        <f>IFERROR(__xludf.DUMMYFUNCTION("MID(INDEX(SPLIT($F196,"",""),COLUMN()-6),2,300)"),"#REF!")</f>
        <v>#REF!</v>
      </c>
      <c r="K196" s="3">
        <f>IFERROR(__xludf.DUMMYFUNCTION("INDEX(SPLIT(G196,"" ""),1)"),4.0)</f>
        <v>4</v>
      </c>
      <c r="L196" s="3" t="str">
        <f>IFERROR(__xludf.DUMMYFUNCTION("REGEXEXTRACT(G196,"" [^ ]* [^ ]* "")")," light teal ")</f>
        <v> light teal </v>
      </c>
      <c r="M196" s="3">
        <f>IFERROR(__xludf.DUMMYFUNCTION("INDEX(SPLIT(H196,"" ""),1)"),1.0)</f>
        <v>1</v>
      </c>
      <c r="N196" s="3" t="str">
        <f>IFERROR(__xludf.DUMMYFUNCTION("MID(REGEXEXTRACT(H196,"" [^ ]* [^ ]*""),2,300)"),"striped chartreuse")</f>
        <v>striped chartreuse</v>
      </c>
      <c r="O196" s="3">
        <f>IFERROR(__xludf.DUMMYFUNCTION("INDEX(SPLIT(I196,"" ""),1)"),5.0)</f>
        <v>5</v>
      </c>
      <c r="P196" s="3" t="str">
        <f>IFERROR(__xludf.DUMMYFUNCTION("MID(REGEXEXTRACT(I196,"" [^ ]* [^ ]*""),2,300)"),"dotted chartreuse")</f>
        <v>dotted chartreuse</v>
      </c>
      <c r="Q196" s="3" t="str">
        <f>IFERROR(__xludf.DUMMYFUNCTION("INDEX(SPLIT(J196,"" ""),1)"),"#REF!")</f>
        <v>#REF!</v>
      </c>
      <c r="R196" s="3" t="str">
        <f>IFERROR(__xludf.DUMMYFUNCTION("MID(REGEXEXTRACT(J196,"" [^ ]* [^ ]*""),2,300)"),"#REF!")</f>
        <v>#REF!</v>
      </c>
      <c r="S196" s="3">
        <f t="shared" si="2"/>
        <v>4</v>
      </c>
      <c r="T196" s="3" t="str">
        <f t="shared" si="3"/>
        <v>light teal</v>
      </c>
      <c r="U196" s="3">
        <f t="shared" si="4"/>
        <v>1</v>
      </c>
      <c r="V196" s="3" t="str">
        <f t="shared" si="5"/>
        <v>striped chartreuse</v>
      </c>
      <c r="W196" s="3">
        <f t="shared" si="6"/>
        <v>5</v>
      </c>
      <c r="X196" s="3" t="str">
        <f t="shared" si="7"/>
        <v>dotted chartreuse</v>
      </c>
      <c r="Y196" s="3" t="str">
        <f t="shared" si="8"/>
        <v/>
      </c>
      <c r="Z196" s="3" t="str">
        <f t="shared" si="9"/>
        <v/>
      </c>
      <c r="AA196" s="13">
        <f t="shared" si="10"/>
        <v>557816</v>
      </c>
      <c r="AB196" s="3">
        <f t="shared" si="11"/>
        <v>557815</v>
      </c>
      <c r="AC196" s="3">
        <f t="shared" si="12"/>
        <v>4</v>
      </c>
      <c r="AD196" s="3">
        <f t="shared" si="13"/>
        <v>48488</v>
      </c>
      <c r="AE196" s="3">
        <f t="shared" si="14"/>
        <v>1</v>
      </c>
      <c r="AF196" s="3">
        <f t="shared" si="15"/>
        <v>4053</v>
      </c>
      <c r="AG196" s="3">
        <f t="shared" si="16"/>
        <v>5</v>
      </c>
      <c r="AH196" s="3">
        <f t="shared" si="17"/>
        <v>71962</v>
      </c>
      <c r="AI196" s="3" t="str">
        <f t="shared" si="18"/>
        <v/>
      </c>
      <c r="AJ196" s="3">
        <f t="shared" si="19"/>
        <v>0</v>
      </c>
    </row>
    <row r="197">
      <c r="C197" s="6" t="s">
        <v>197</v>
      </c>
      <c r="D197" s="3">
        <f t="shared" si="1"/>
        <v>3</v>
      </c>
      <c r="E197" s="3" t="str">
        <f>IFERROR(__xludf.DUMMYFUNCTION("REGEXEXTRACT(C197,""[^ ]* [^ ]*"")"),"pale brown")</f>
        <v>pale brown</v>
      </c>
      <c r="F197" s="3" t="str">
        <f>IFERROR(__xludf.DUMMYFUNCTION("MID(REGEXEXTRACT(C197,""contain.*$""),9,300)"),"2 dim gold bags, 2 clear turquoise bags, 3 bright cyan bags, 4 clear maroon bags.")</f>
        <v>2 dim gold bags, 2 clear turquoise bags, 3 bright cyan bags, 4 clear maroon bags.</v>
      </c>
      <c r="G197" s="3" t="str">
        <f>IFERROR(__xludf.DUMMYFUNCTION("INDEX(SPLIT($F197,"",""),COLUMN()-6)"),"2 dim gold bags")</f>
        <v>2 dim gold bags</v>
      </c>
      <c r="H197" s="3" t="str">
        <f>IFERROR(__xludf.DUMMYFUNCTION("MID(INDEX(SPLIT($F197,"",""),COLUMN()-6),2,300)"),"2 clear turquoise bags")</f>
        <v>2 clear turquoise bags</v>
      </c>
      <c r="I197" s="3" t="str">
        <f>IFERROR(__xludf.DUMMYFUNCTION("MID(INDEX(SPLIT($F197,"",""),COLUMN()-6),2,300)"),"3 bright cyan bags")</f>
        <v>3 bright cyan bags</v>
      </c>
      <c r="J197" s="3" t="str">
        <f>IFERROR(__xludf.DUMMYFUNCTION("MID(INDEX(SPLIT($F197,"",""),COLUMN()-6),2,300)"),"4 clear maroon bags.")</f>
        <v>4 clear maroon bags.</v>
      </c>
      <c r="K197" s="3">
        <f>IFERROR(__xludf.DUMMYFUNCTION("INDEX(SPLIT(G197,"" ""),1)"),2.0)</f>
        <v>2</v>
      </c>
      <c r="L197" s="3" t="str">
        <f>IFERROR(__xludf.DUMMYFUNCTION("REGEXEXTRACT(G197,"" [^ ]* [^ ]* "")")," dim gold ")</f>
        <v> dim gold </v>
      </c>
      <c r="M197" s="3">
        <f>IFERROR(__xludf.DUMMYFUNCTION("INDEX(SPLIT(H197,"" ""),1)"),2.0)</f>
        <v>2</v>
      </c>
      <c r="N197" s="3" t="str">
        <f>IFERROR(__xludf.DUMMYFUNCTION("MID(REGEXEXTRACT(H197,"" [^ ]* [^ ]*""),2,300)"),"clear turquoise")</f>
        <v>clear turquoise</v>
      </c>
      <c r="O197" s="3">
        <f>IFERROR(__xludf.DUMMYFUNCTION("INDEX(SPLIT(I197,"" ""),1)"),3.0)</f>
        <v>3</v>
      </c>
      <c r="P197" s="3" t="str">
        <f>IFERROR(__xludf.DUMMYFUNCTION("MID(REGEXEXTRACT(I197,"" [^ ]* [^ ]*""),2,300)"),"bright cyan")</f>
        <v>bright cyan</v>
      </c>
      <c r="Q197" s="3">
        <f>IFERROR(__xludf.DUMMYFUNCTION("INDEX(SPLIT(J197,"" ""),1)"),4.0)</f>
        <v>4</v>
      </c>
      <c r="R197" s="3" t="str">
        <f>IFERROR(__xludf.DUMMYFUNCTION("MID(REGEXEXTRACT(J197,"" [^ ]* [^ ]*""),2,300)"),"clear maroon")</f>
        <v>clear maroon</v>
      </c>
      <c r="S197" s="3">
        <f t="shared" si="2"/>
        <v>2</v>
      </c>
      <c r="T197" s="3" t="str">
        <f t="shared" si="3"/>
        <v>dim gold</v>
      </c>
      <c r="U197" s="3">
        <f t="shared" si="4"/>
        <v>2</v>
      </c>
      <c r="V197" s="3" t="str">
        <f t="shared" si="5"/>
        <v>clear turquoise</v>
      </c>
      <c r="W197" s="3">
        <f t="shared" si="6"/>
        <v>3</v>
      </c>
      <c r="X197" s="3" t="str">
        <f t="shared" si="7"/>
        <v>bright cyan</v>
      </c>
      <c r="Y197" s="3">
        <f t="shared" si="8"/>
        <v>4</v>
      </c>
      <c r="Z197" s="3" t="str">
        <f t="shared" si="9"/>
        <v>clear maroon</v>
      </c>
      <c r="AA197" s="13">
        <f t="shared" si="10"/>
        <v>944486316</v>
      </c>
      <c r="AB197" s="3">
        <f t="shared" si="11"/>
        <v>944486315</v>
      </c>
      <c r="AC197" s="3">
        <f t="shared" si="12"/>
        <v>2</v>
      </c>
      <c r="AD197" s="3">
        <f t="shared" si="13"/>
        <v>149536384</v>
      </c>
      <c r="AE197" s="3">
        <f t="shared" si="14"/>
        <v>2</v>
      </c>
      <c r="AF197" s="3">
        <f t="shared" si="15"/>
        <v>269888361</v>
      </c>
      <c r="AG197" s="3">
        <f t="shared" si="16"/>
        <v>3</v>
      </c>
      <c r="AH197" s="3">
        <f t="shared" si="17"/>
        <v>531</v>
      </c>
      <c r="AI197" s="3">
        <f t="shared" si="18"/>
        <v>4</v>
      </c>
      <c r="AJ197" s="3">
        <f t="shared" si="19"/>
        <v>26408808</v>
      </c>
    </row>
    <row r="198">
      <c r="C198" s="6" t="s">
        <v>198</v>
      </c>
      <c r="D198" s="3">
        <f t="shared" si="1"/>
        <v>1</v>
      </c>
      <c r="E198" s="3" t="str">
        <f>IFERROR(__xludf.DUMMYFUNCTION("REGEXEXTRACT(C198,""[^ ]* [^ ]*"")"),"vibrant tomato")</f>
        <v>vibrant tomato</v>
      </c>
      <c r="F198" s="3" t="str">
        <f>IFERROR(__xludf.DUMMYFUNCTION("MID(REGEXEXTRACT(C198,""contain.*$""),9,300)"),"3 dark brown bags, 1 vibrant blue bag.")</f>
        <v>3 dark brown bags, 1 vibrant blue bag.</v>
      </c>
      <c r="G198" s="3" t="str">
        <f>IFERROR(__xludf.DUMMYFUNCTION("INDEX(SPLIT($F198,"",""),COLUMN()-6)"),"3 dark brown bags")</f>
        <v>3 dark brown bags</v>
      </c>
      <c r="H198" s="3" t="str">
        <f>IFERROR(__xludf.DUMMYFUNCTION("MID(INDEX(SPLIT($F198,"",""),COLUMN()-6),2,300)"),"1 vibrant blue bag.")</f>
        <v>1 vibrant blue bag.</v>
      </c>
      <c r="I198" s="3" t="str">
        <f>IFERROR(__xludf.DUMMYFUNCTION("MID(INDEX(SPLIT($F198,"",""),COLUMN()-6),2,300)"),"#REF!")</f>
        <v>#REF!</v>
      </c>
      <c r="J198" s="3" t="str">
        <f>IFERROR(__xludf.DUMMYFUNCTION("MID(INDEX(SPLIT($F198,"",""),COLUMN()-6),2,300)"),"#REF!")</f>
        <v>#REF!</v>
      </c>
      <c r="K198" s="3">
        <f>IFERROR(__xludf.DUMMYFUNCTION("INDEX(SPLIT(G198,"" ""),1)"),3.0)</f>
        <v>3</v>
      </c>
      <c r="L198" s="3" t="str">
        <f>IFERROR(__xludf.DUMMYFUNCTION("REGEXEXTRACT(G198,"" [^ ]* [^ ]* "")")," dark brown ")</f>
        <v> dark brown </v>
      </c>
      <c r="M198" s="3">
        <f>IFERROR(__xludf.DUMMYFUNCTION("INDEX(SPLIT(H198,"" ""),1)"),1.0)</f>
        <v>1</v>
      </c>
      <c r="N198" s="3" t="str">
        <f>IFERROR(__xludf.DUMMYFUNCTION("MID(REGEXEXTRACT(H198,"" [^ ]* [^ ]*""),2,300)"),"vibrant blue")</f>
        <v>vibrant blue</v>
      </c>
      <c r="O198" s="3" t="str">
        <f>IFERROR(__xludf.DUMMYFUNCTION("INDEX(SPLIT(I198,"" ""),1)"),"#REF!")</f>
        <v>#REF!</v>
      </c>
      <c r="P198" s="3" t="str">
        <f>IFERROR(__xludf.DUMMYFUNCTION("MID(REGEXEXTRACT(I198,"" [^ ]* [^ ]*""),2,300)"),"#REF!")</f>
        <v>#REF!</v>
      </c>
      <c r="Q198" s="3" t="str">
        <f>IFERROR(__xludf.DUMMYFUNCTION("INDEX(SPLIT(J198,"" ""),1)"),"#REF!")</f>
        <v>#REF!</v>
      </c>
      <c r="R198" s="3" t="str">
        <f>IFERROR(__xludf.DUMMYFUNCTION("MID(REGEXEXTRACT(J198,"" [^ ]* [^ ]*""),2,300)"),"#REF!")</f>
        <v>#REF!</v>
      </c>
      <c r="S198" s="3">
        <f t="shared" si="2"/>
        <v>3</v>
      </c>
      <c r="T198" s="3" t="str">
        <f t="shared" si="3"/>
        <v>dark brown</v>
      </c>
      <c r="U198" s="3">
        <f t="shared" si="4"/>
        <v>1</v>
      </c>
      <c r="V198" s="3" t="str">
        <f t="shared" si="5"/>
        <v>vibrant blue</v>
      </c>
      <c r="W198" s="3" t="str">
        <f t="shared" si="6"/>
        <v/>
      </c>
      <c r="X198" s="3" t="str">
        <f t="shared" si="7"/>
        <v/>
      </c>
      <c r="Y198" s="3" t="str">
        <f t="shared" si="8"/>
        <v/>
      </c>
      <c r="Z198" s="3" t="str">
        <f t="shared" si="9"/>
        <v/>
      </c>
      <c r="AA198" s="13">
        <f t="shared" si="10"/>
        <v>405253</v>
      </c>
      <c r="AB198" s="3">
        <f t="shared" si="11"/>
        <v>405252</v>
      </c>
      <c r="AC198" s="3">
        <f t="shared" si="12"/>
        <v>3</v>
      </c>
      <c r="AD198" s="3">
        <f t="shared" si="13"/>
        <v>134569</v>
      </c>
      <c r="AE198" s="3">
        <f t="shared" si="14"/>
        <v>1</v>
      </c>
      <c r="AF198" s="3">
        <f t="shared" si="15"/>
        <v>1545</v>
      </c>
      <c r="AG198" s="3" t="str">
        <f t="shared" si="16"/>
        <v/>
      </c>
      <c r="AH198" s="3">
        <f t="shared" si="17"/>
        <v>0</v>
      </c>
      <c r="AI198" s="3" t="str">
        <f t="shared" si="18"/>
        <v/>
      </c>
      <c r="AJ198" s="3">
        <f t="shared" si="19"/>
        <v>0</v>
      </c>
    </row>
    <row r="199">
      <c r="C199" s="6" t="s">
        <v>199</v>
      </c>
      <c r="D199" s="3">
        <f t="shared" si="1"/>
        <v>1</v>
      </c>
      <c r="E199" s="3" t="str">
        <f>IFERROR(__xludf.DUMMYFUNCTION("REGEXEXTRACT(C199,""[^ ]* [^ ]*"")"),"dull olive")</f>
        <v>dull olive</v>
      </c>
      <c r="F199" s="3" t="str">
        <f>IFERROR(__xludf.DUMMYFUNCTION("MID(REGEXEXTRACT(C199,""contain.*$""),9,300)"),"5 mirrored yellow bags, 2 shiny cyan bags.")</f>
        <v>5 mirrored yellow bags, 2 shiny cyan bags.</v>
      </c>
      <c r="G199" s="3" t="str">
        <f>IFERROR(__xludf.DUMMYFUNCTION("INDEX(SPLIT($F199,"",""),COLUMN()-6)"),"5 mirrored yellow bags")</f>
        <v>5 mirrored yellow bags</v>
      </c>
      <c r="H199" s="3" t="str">
        <f>IFERROR(__xludf.DUMMYFUNCTION("MID(INDEX(SPLIT($F199,"",""),COLUMN()-6),2,300)"),"2 shiny cyan bags.")</f>
        <v>2 shiny cyan bags.</v>
      </c>
      <c r="I199" s="3" t="str">
        <f>IFERROR(__xludf.DUMMYFUNCTION("MID(INDEX(SPLIT($F199,"",""),COLUMN()-6),2,300)"),"#REF!")</f>
        <v>#REF!</v>
      </c>
      <c r="J199" s="3" t="str">
        <f>IFERROR(__xludf.DUMMYFUNCTION("MID(INDEX(SPLIT($F199,"",""),COLUMN()-6),2,300)"),"#REF!")</f>
        <v>#REF!</v>
      </c>
      <c r="K199" s="3">
        <f>IFERROR(__xludf.DUMMYFUNCTION("INDEX(SPLIT(G199,"" ""),1)"),5.0)</f>
        <v>5</v>
      </c>
      <c r="L199" s="3" t="str">
        <f>IFERROR(__xludf.DUMMYFUNCTION("REGEXEXTRACT(G199,"" [^ ]* [^ ]* "")")," mirrored yellow ")</f>
        <v> mirrored yellow </v>
      </c>
      <c r="M199" s="3">
        <f>IFERROR(__xludf.DUMMYFUNCTION("INDEX(SPLIT(H199,"" ""),1)"),2.0)</f>
        <v>2</v>
      </c>
      <c r="N199" s="3" t="str">
        <f>IFERROR(__xludf.DUMMYFUNCTION("MID(REGEXEXTRACT(H199,"" [^ ]* [^ ]*""),2,300)"),"shiny cyan")</f>
        <v>shiny cyan</v>
      </c>
      <c r="O199" s="3" t="str">
        <f>IFERROR(__xludf.DUMMYFUNCTION("INDEX(SPLIT(I199,"" ""),1)"),"#REF!")</f>
        <v>#REF!</v>
      </c>
      <c r="P199" s="3" t="str">
        <f>IFERROR(__xludf.DUMMYFUNCTION("MID(REGEXEXTRACT(I199,"" [^ ]* [^ ]*""),2,300)"),"#REF!")</f>
        <v>#REF!</v>
      </c>
      <c r="Q199" s="3" t="str">
        <f>IFERROR(__xludf.DUMMYFUNCTION("INDEX(SPLIT(J199,"" ""),1)"),"#REF!")</f>
        <v>#REF!</v>
      </c>
      <c r="R199" s="3" t="str">
        <f>IFERROR(__xludf.DUMMYFUNCTION("MID(REGEXEXTRACT(J199,"" [^ ]* [^ ]*""),2,300)"),"#REF!")</f>
        <v>#REF!</v>
      </c>
      <c r="S199" s="3">
        <f t="shared" si="2"/>
        <v>5</v>
      </c>
      <c r="T199" s="3" t="str">
        <f t="shared" si="3"/>
        <v>mirrored yellow</v>
      </c>
      <c r="U199" s="3">
        <f t="shared" si="4"/>
        <v>2</v>
      </c>
      <c r="V199" s="3" t="str">
        <f t="shared" si="5"/>
        <v>shiny cyan</v>
      </c>
      <c r="W199" s="3" t="str">
        <f t="shared" si="6"/>
        <v/>
      </c>
      <c r="X199" s="3" t="str">
        <f t="shared" si="7"/>
        <v/>
      </c>
      <c r="Y199" s="3" t="str">
        <f t="shared" si="8"/>
        <v/>
      </c>
      <c r="Z199" s="3" t="str">
        <f t="shared" si="9"/>
        <v/>
      </c>
      <c r="AA199" s="13">
        <f t="shared" si="10"/>
        <v>262509449</v>
      </c>
      <c r="AB199" s="3">
        <f t="shared" si="11"/>
        <v>262509448</v>
      </c>
      <c r="AC199" s="3">
        <f t="shared" si="12"/>
        <v>5</v>
      </c>
      <c r="AD199" s="3">
        <f t="shared" si="13"/>
        <v>52501888</v>
      </c>
      <c r="AE199" s="3">
        <f t="shared" si="14"/>
        <v>2</v>
      </c>
      <c r="AF199" s="3">
        <f t="shared" si="15"/>
        <v>4</v>
      </c>
      <c r="AG199" s="3" t="str">
        <f t="shared" si="16"/>
        <v/>
      </c>
      <c r="AH199" s="3">
        <f t="shared" si="17"/>
        <v>0</v>
      </c>
      <c r="AI199" s="3" t="str">
        <f t="shared" si="18"/>
        <v/>
      </c>
      <c r="AJ199" s="3">
        <f t="shared" si="19"/>
        <v>0</v>
      </c>
    </row>
    <row r="200">
      <c r="C200" s="6" t="s">
        <v>200</v>
      </c>
      <c r="D200" s="3">
        <f t="shared" si="1"/>
        <v>3</v>
      </c>
      <c r="E200" s="3" t="str">
        <f>IFERROR(__xludf.DUMMYFUNCTION("REGEXEXTRACT(C200,""[^ ]* [^ ]*"")"),"light chartreuse")</f>
        <v>light chartreuse</v>
      </c>
      <c r="F200" s="3" t="str">
        <f>IFERROR(__xludf.DUMMYFUNCTION("MID(REGEXEXTRACT(C200,""contain.*$""),9,300)"),"2 dull aqua bags, 4 dull brown bags, 1 clear fuchsia bag, 4 bright yellow bags.")</f>
        <v>2 dull aqua bags, 4 dull brown bags, 1 clear fuchsia bag, 4 bright yellow bags.</v>
      </c>
      <c r="G200" s="3" t="str">
        <f>IFERROR(__xludf.DUMMYFUNCTION("INDEX(SPLIT($F200,"",""),COLUMN()-6)"),"2 dull aqua bags")</f>
        <v>2 dull aqua bags</v>
      </c>
      <c r="H200" s="3" t="str">
        <f>IFERROR(__xludf.DUMMYFUNCTION("MID(INDEX(SPLIT($F200,"",""),COLUMN()-6),2,300)"),"4 dull brown bags")</f>
        <v>4 dull brown bags</v>
      </c>
      <c r="I200" s="3" t="str">
        <f>IFERROR(__xludf.DUMMYFUNCTION("MID(INDEX(SPLIT($F200,"",""),COLUMN()-6),2,300)"),"1 clear fuchsia bag")</f>
        <v>1 clear fuchsia bag</v>
      </c>
      <c r="J200" s="3" t="str">
        <f>IFERROR(__xludf.DUMMYFUNCTION("MID(INDEX(SPLIT($F200,"",""),COLUMN()-6),2,300)"),"4 bright yellow bags.")</f>
        <v>4 bright yellow bags.</v>
      </c>
      <c r="K200" s="3">
        <f>IFERROR(__xludf.DUMMYFUNCTION("INDEX(SPLIT(G200,"" ""),1)"),2.0)</f>
        <v>2</v>
      </c>
      <c r="L200" s="3" t="str">
        <f>IFERROR(__xludf.DUMMYFUNCTION("REGEXEXTRACT(G200,"" [^ ]* [^ ]* "")")," dull aqua ")</f>
        <v> dull aqua </v>
      </c>
      <c r="M200" s="3">
        <f>IFERROR(__xludf.DUMMYFUNCTION("INDEX(SPLIT(H200,"" ""),1)"),4.0)</f>
        <v>4</v>
      </c>
      <c r="N200" s="3" t="str">
        <f>IFERROR(__xludf.DUMMYFUNCTION("MID(REGEXEXTRACT(H200,"" [^ ]* [^ ]*""),2,300)"),"dull brown")</f>
        <v>dull brown</v>
      </c>
      <c r="O200" s="3">
        <f>IFERROR(__xludf.DUMMYFUNCTION("INDEX(SPLIT(I200,"" ""),1)"),1.0)</f>
        <v>1</v>
      </c>
      <c r="P200" s="3" t="str">
        <f>IFERROR(__xludf.DUMMYFUNCTION("MID(REGEXEXTRACT(I200,"" [^ ]* [^ ]*""),2,300)"),"clear fuchsia")</f>
        <v>clear fuchsia</v>
      </c>
      <c r="Q200" s="3">
        <f>IFERROR(__xludf.DUMMYFUNCTION("INDEX(SPLIT(J200,"" ""),1)"),4.0)</f>
        <v>4</v>
      </c>
      <c r="R200" s="3" t="str">
        <f>IFERROR(__xludf.DUMMYFUNCTION("MID(REGEXEXTRACT(J200,"" [^ ]* [^ ]*""),2,300)"),"bright yellow")</f>
        <v>bright yellow</v>
      </c>
      <c r="S200" s="3">
        <f t="shared" si="2"/>
        <v>2</v>
      </c>
      <c r="T200" s="3" t="str">
        <f t="shared" si="3"/>
        <v>dull aqua</v>
      </c>
      <c r="U200" s="3">
        <f t="shared" si="4"/>
        <v>4</v>
      </c>
      <c r="V200" s="3" t="str">
        <f t="shared" si="5"/>
        <v>dull brown</v>
      </c>
      <c r="W200" s="3">
        <f t="shared" si="6"/>
        <v>1</v>
      </c>
      <c r="X200" s="3" t="str">
        <f t="shared" si="7"/>
        <v>clear fuchsia</v>
      </c>
      <c r="Y200" s="3">
        <f t="shared" si="8"/>
        <v>4</v>
      </c>
      <c r="Z200" s="3" t="str">
        <f t="shared" si="9"/>
        <v>bright yellow</v>
      </c>
      <c r="AA200" s="13">
        <f t="shared" si="10"/>
        <v>82641219</v>
      </c>
      <c r="AB200" s="3">
        <f t="shared" si="11"/>
        <v>82641218</v>
      </c>
      <c r="AC200" s="3">
        <f t="shared" si="12"/>
        <v>2</v>
      </c>
      <c r="AD200" s="3">
        <f t="shared" si="13"/>
        <v>12033257</v>
      </c>
      <c r="AE200" s="3">
        <f t="shared" si="14"/>
        <v>4</v>
      </c>
      <c r="AF200" s="3">
        <f t="shared" si="15"/>
        <v>8325969</v>
      </c>
      <c r="AG200" s="3">
        <f t="shared" si="16"/>
        <v>1</v>
      </c>
      <c r="AH200" s="3">
        <f t="shared" si="17"/>
        <v>19368</v>
      </c>
      <c r="AI200" s="3">
        <f t="shared" si="18"/>
        <v>4</v>
      </c>
      <c r="AJ200" s="3">
        <f t="shared" si="19"/>
        <v>6312865</v>
      </c>
    </row>
    <row r="201">
      <c r="C201" s="6" t="s">
        <v>201</v>
      </c>
      <c r="D201" s="3">
        <f t="shared" si="1"/>
        <v>1</v>
      </c>
      <c r="E201" s="3" t="str">
        <f>IFERROR(__xludf.DUMMYFUNCTION("REGEXEXTRACT(C201,""[^ ]* [^ ]*"")"),"posh gray")</f>
        <v>posh gray</v>
      </c>
      <c r="F201" s="3" t="str">
        <f>IFERROR(__xludf.DUMMYFUNCTION("MID(REGEXEXTRACT(C201,""contain.*$""),9,300)"),"4 posh green bags, 1 mirrored gray bag.")</f>
        <v>4 posh green bags, 1 mirrored gray bag.</v>
      </c>
      <c r="G201" s="3" t="str">
        <f>IFERROR(__xludf.DUMMYFUNCTION("INDEX(SPLIT($F201,"",""),COLUMN()-6)"),"4 posh green bags")</f>
        <v>4 posh green bags</v>
      </c>
      <c r="H201" s="3" t="str">
        <f>IFERROR(__xludf.DUMMYFUNCTION("MID(INDEX(SPLIT($F201,"",""),COLUMN()-6),2,300)"),"1 mirrored gray bag.")</f>
        <v>1 mirrored gray bag.</v>
      </c>
      <c r="I201" s="3" t="str">
        <f>IFERROR(__xludf.DUMMYFUNCTION("MID(INDEX(SPLIT($F201,"",""),COLUMN()-6),2,300)"),"#REF!")</f>
        <v>#REF!</v>
      </c>
      <c r="J201" s="3" t="str">
        <f>IFERROR(__xludf.DUMMYFUNCTION("MID(INDEX(SPLIT($F201,"",""),COLUMN()-6),2,300)"),"#REF!")</f>
        <v>#REF!</v>
      </c>
      <c r="K201" s="3">
        <f>IFERROR(__xludf.DUMMYFUNCTION("INDEX(SPLIT(G201,"" ""),1)"),4.0)</f>
        <v>4</v>
      </c>
      <c r="L201" s="3" t="str">
        <f>IFERROR(__xludf.DUMMYFUNCTION("REGEXEXTRACT(G201,"" [^ ]* [^ ]* "")")," posh green ")</f>
        <v> posh green </v>
      </c>
      <c r="M201" s="3">
        <f>IFERROR(__xludf.DUMMYFUNCTION("INDEX(SPLIT(H201,"" ""),1)"),1.0)</f>
        <v>1</v>
      </c>
      <c r="N201" s="3" t="str">
        <f>IFERROR(__xludf.DUMMYFUNCTION("MID(REGEXEXTRACT(H201,"" [^ ]* [^ ]*""),2,300)"),"mirrored gray")</f>
        <v>mirrored gray</v>
      </c>
      <c r="O201" s="3" t="str">
        <f>IFERROR(__xludf.DUMMYFUNCTION("INDEX(SPLIT(I201,"" ""),1)"),"#REF!")</f>
        <v>#REF!</v>
      </c>
      <c r="P201" s="3" t="str">
        <f>IFERROR(__xludf.DUMMYFUNCTION("MID(REGEXEXTRACT(I201,"" [^ ]* [^ ]*""),2,300)"),"#REF!")</f>
        <v>#REF!</v>
      </c>
      <c r="Q201" s="3" t="str">
        <f>IFERROR(__xludf.DUMMYFUNCTION("INDEX(SPLIT(J201,"" ""),1)"),"#REF!")</f>
        <v>#REF!</v>
      </c>
      <c r="R201" s="3" t="str">
        <f>IFERROR(__xludf.DUMMYFUNCTION("MID(REGEXEXTRACT(J201,"" [^ ]* [^ ]*""),2,300)"),"#REF!")</f>
        <v>#REF!</v>
      </c>
      <c r="S201" s="3">
        <f t="shared" si="2"/>
        <v>4</v>
      </c>
      <c r="T201" s="3" t="str">
        <f t="shared" si="3"/>
        <v>posh green</v>
      </c>
      <c r="U201" s="3">
        <f t="shared" si="4"/>
        <v>1</v>
      </c>
      <c r="V201" s="3" t="str">
        <f t="shared" si="5"/>
        <v>mirrored gray</v>
      </c>
      <c r="W201" s="3" t="str">
        <f t="shared" si="6"/>
        <v/>
      </c>
      <c r="X201" s="3" t="str">
        <f t="shared" si="7"/>
        <v/>
      </c>
      <c r="Y201" s="3" t="str">
        <f t="shared" si="8"/>
        <v/>
      </c>
      <c r="Z201" s="3" t="str">
        <f t="shared" si="9"/>
        <v/>
      </c>
      <c r="AA201" s="13">
        <f t="shared" si="10"/>
        <v>25477</v>
      </c>
      <c r="AB201" s="3">
        <f t="shared" si="11"/>
        <v>25476</v>
      </c>
      <c r="AC201" s="3">
        <f t="shared" si="12"/>
        <v>4</v>
      </c>
      <c r="AD201" s="3">
        <f t="shared" si="13"/>
        <v>6367</v>
      </c>
      <c r="AE201" s="3">
        <f t="shared" si="14"/>
        <v>1</v>
      </c>
      <c r="AF201" s="3">
        <f t="shared" si="15"/>
        <v>8</v>
      </c>
      <c r="AG201" s="3" t="str">
        <f t="shared" si="16"/>
        <v/>
      </c>
      <c r="AH201" s="3">
        <f t="shared" si="17"/>
        <v>0</v>
      </c>
      <c r="AI201" s="3" t="str">
        <f t="shared" si="18"/>
        <v/>
      </c>
      <c r="AJ201" s="3">
        <f t="shared" si="19"/>
        <v>0</v>
      </c>
    </row>
    <row r="202">
      <c r="C202" s="6" t="s">
        <v>202</v>
      </c>
      <c r="D202" s="3">
        <f t="shared" si="1"/>
        <v>0</v>
      </c>
      <c r="E202" s="3" t="str">
        <f>IFERROR(__xludf.DUMMYFUNCTION("REGEXEXTRACT(C202,""[^ ]* [^ ]*"")"),"bright yellow")</f>
        <v>bright yellow</v>
      </c>
      <c r="F202" s="3" t="str">
        <f>IFERROR(__xludf.DUMMYFUNCTION("MID(REGEXEXTRACT(C202,""contain.*$""),9,300)"),"4 pale aqua bags.")</f>
        <v>4 pale aqua bags.</v>
      </c>
      <c r="G202" s="3" t="str">
        <f>IFERROR(__xludf.DUMMYFUNCTION("INDEX(SPLIT($F202,"",""),COLUMN()-6)"),"4 pale aqua bags.")</f>
        <v>4 pale aqua bags.</v>
      </c>
      <c r="H202" s="3" t="str">
        <f>IFERROR(__xludf.DUMMYFUNCTION("MID(INDEX(SPLIT($F202,"",""),COLUMN()-6),2,300)"),"#REF!")</f>
        <v>#REF!</v>
      </c>
      <c r="I202" s="3" t="str">
        <f>IFERROR(__xludf.DUMMYFUNCTION("MID(INDEX(SPLIT($F202,"",""),COLUMN()-6),2,300)"),"#REF!")</f>
        <v>#REF!</v>
      </c>
      <c r="J202" s="3" t="str">
        <f>IFERROR(__xludf.DUMMYFUNCTION("MID(INDEX(SPLIT($F202,"",""),COLUMN()-6),2,300)"),"#REF!")</f>
        <v>#REF!</v>
      </c>
      <c r="K202" s="3">
        <f>IFERROR(__xludf.DUMMYFUNCTION("INDEX(SPLIT(G202,"" ""),1)"),4.0)</f>
        <v>4</v>
      </c>
      <c r="L202" s="3" t="str">
        <f>IFERROR(__xludf.DUMMYFUNCTION("REGEXEXTRACT(G202,"" [^ ]* [^ ]* "")")," pale aqua ")</f>
        <v> pale aqua </v>
      </c>
      <c r="M202" s="3" t="str">
        <f>IFERROR(__xludf.DUMMYFUNCTION("INDEX(SPLIT(H202,"" ""),1)"),"#REF!")</f>
        <v>#REF!</v>
      </c>
      <c r="N202" s="3" t="str">
        <f>IFERROR(__xludf.DUMMYFUNCTION("MID(REGEXEXTRACT(H202,"" [^ ]* [^ ]*""),2,300)"),"#REF!")</f>
        <v>#REF!</v>
      </c>
      <c r="O202" s="3" t="str">
        <f>IFERROR(__xludf.DUMMYFUNCTION("INDEX(SPLIT(I202,"" ""),1)"),"#REF!")</f>
        <v>#REF!</v>
      </c>
      <c r="P202" s="3" t="str">
        <f>IFERROR(__xludf.DUMMYFUNCTION("MID(REGEXEXTRACT(I202,"" [^ ]* [^ ]*""),2,300)"),"#REF!")</f>
        <v>#REF!</v>
      </c>
      <c r="Q202" s="3" t="str">
        <f>IFERROR(__xludf.DUMMYFUNCTION("INDEX(SPLIT(J202,"" ""),1)"),"#REF!")</f>
        <v>#REF!</v>
      </c>
      <c r="R202" s="3" t="str">
        <f>IFERROR(__xludf.DUMMYFUNCTION("MID(REGEXEXTRACT(J202,"" [^ ]* [^ ]*""),2,300)"),"#REF!")</f>
        <v>#REF!</v>
      </c>
      <c r="S202" s="3">
        <f t="shared" si="2"/>
        <v>4</v>
      </c>
      <c r="T202" s="3" t="str">
        <f t="shared" si="3"/>
        <v>pale aqua</v>
      </c>
      <c r="U202" s="3" t="str">
        <f t="shared" si="4"/>
        <v/>
      </c>
      <c r="V202" s="3" t="str">
        <f t="shared" si="5"/>
        <v/>
      </c>
      <c r="W202" s="3" t="str">
        <f t="shared" si="6"/>
        <v/>
      </c>
      <c r="X202" s="3" t="str">
        <f t="shared" si="7"/>
        <v/>
      </c>
      <c r="Y202" s="3" t="str">
        <f t="shared" si="8"/>
        <v/>
      </c>
      <c r="Z202" s="3" t="str">
        <f t="shared" si="9"/>
        <v/>
      </c>
      <c r="AA202" s="13">
        <f t="shared" si="10"/>
        <v>6312865</v>
      </c>
      <c r="AB202" s="3">
        <f t="shared" si="11"/>
        <v>6312864</v>
      </c>
      <c r="AC202" s="3">
        <f t="shared" si="12"/>
        <v>4</v>
      </c>
      <c r="AD202" s="3">
        <f t="shared" si="13"/>
        <v>1578216</v>
      </c>
      <c r="AE202" s="3" t="str">
        <f t="shared" si="14"/>
        <v/>
      </c>
      <c r="AF202" s="3">
        <f t="shared" si="15"/>
        <v>0</v>
      </c>
      <c r="AG202" s="3" t="str">
        <f t="shared" si="16"/>
        <v/>
      </c>
      <c r="AH202" s="3">
        <f t="shared" si="17"/>
        <v>0</v>
      </c>
      <c r="AI202" s="3" t="str">
        <f t="shared" si="18"/>
        <v/>
      </c>
      <c r="AJ202" s="3">
        <f t="shared" si="19"/>
        <v>0</v>
      </c>
    </row>
    <row r="203">
      <c r="C203" s="6" t="s">
        <v>203</v>
      </c>
      <c r="D203" s="3">
        <f t="shared" si="1"/>
        <v>1</v>
      </c>
      <c r="E203" s="3" t="str">
        <f>IFERROR(__xludf.DUMMYFUNCTION("REGEXEXTRACT(C203,""[^ ]* [^ ]*"")"),"bright gold")</f>
        <v>bright gold</v>
      </c>
      <c r="F203" s="3" t="str">
        <f>IFERROR(__xludf.DUMMYFUNCTION("MID(REGEXEXTRACT(C203,""contain.*$""),9,300)"),"3 pale indigo bags, 3 dull crimson bags.")</f>
        <v>3 pale indigo bags, 3 dull crimson bags.</v>
      </c>
      <c r="G203" s="3" t="str">
        <f>IFERROR(__xludf.DUMMYFUNCTION("INDEX(SPLIT($F203,"",""),COLUMN()-6)"),"3 pale indigo bags")</f>
        <v>3 pale indigo bags</v>
      </c>
      <c r="H203" s="3" t="str">
        <f>IFERROR(__xludf.DUMMYFUNCTION("MID(INDEX(SPLIT($F203,"",""),COLUMN()-6),2,300)"),"3 dull crimson bags.")</f>
        <v>3 dull crimson bags.</v>
      </c>
      <c r="I203" s="3" t="str">
        <f>IFERROR(__xludf.DUMMYFUNCTION("MID(INDEX(SPLIT($F203,"",""),COLUMN()-6),2,300)"),"#REF!")</f>
        <v>#REF!</v>
      </c>
      <c r="J203" s="3" t="str">
        <f>IFERROR(__xludf.DUMMYFUNCTION("MID(INDEX(SPLIT($F203,"",""),COLUMN()-6),2,300)"),"#REF!")</f>
        <v>#REF!</v>
      </c>
      <c r="K203" s="3">
        <f>IFERROR(__xludf.DUMMYFUNCTION("INDEX(SPLIT(G203,"" ""),1)"),3.0)</f>
        <v>3</v>
      </c>
      <c r="L203" s="3" t="str">
        <f>IFERROR(__xludf.DUMMYFUNCTION("REGEXEXTRACT(G203,"" [^ ]* [^ ]* "")")," pale indigo ")</f>
        <v> pale indigo </v>
      </c>
      <c r="M203" s="3">
        <f>IFERROR(__xludf.DUMMYFUNCTION("INDEX(SPLIT(H203,"" ""),1)"),3.0)</f>
        <v>3</v>
      </c>
      <c r="N203" s="3" t="str">
        <f>IFERROR(__xludf.DUMMYFUNCTION("MID(REGEXEXTRACT(H203,"" [^ ]* [^ ]*""),2,300)"),"dull crimson")</f>
        <v>dull crimson</v>
      </c>
      <c r="O203" s="3" t="str">
        <f>IFERROR(__xludf.DUMMYFUNCTION("INDEX(SPLIT(I203,"" ""),1)"),"#REF!")</f>
        <v>#REF!</v>
      </c>
      <c r="P203" s="3" t="str">
        <f>IFERROR(__xludf.DUMMYFUNCTION("MID(REGEXEXTRACT(I203,"" [^ ]* [^ ]*""),2,300)"),"#REF!")</f>
        <v>#REF!</v>
      </c>
      <c r="Q203" s="3" t="str">
        <f>IFERROR(__xludf.DUMMYFUNCTION("INDEX(SPLIT(J203,"" ""),1)"),"#REF!")</f>
        <v>#REF!</v>
      </c>
      <c r="R203" s="3" t="str">
        <f>IFERROR(__xludf.DUMMYFUNCTION("MID(REGEXEXTRACT(J203,"" [^ ]* [^ ]*""),2,300)"),"#REF!")</f>
        <v>#REF!</v>
      </c>
      <c r="S203" s="3">
        <f t="shared" si="2"/>
        <v>3</v>
      </c>
      <c r="T203" s="3" t="str">
        <f t="shared" si="3"/>
        <v>pale indigo</v>
      </c>
      <c r="U203" s="3">
        <f t="shared" si="4"/>
        <v>3</v>
      </c>
      <c r="V203" s="3" t="str">
        <f t="shared" si="5"/>
        <v>dull crimson</v>
      </c>
      <c r="W203" s="3" t="str">
        <f t="shared" si="6"/>
        <v/>
      </c>
      <c r="X203" s="3" t="str">
        <f t="shared" si="7"/>
        <v/>
      </c>
      <c r="Y203" s="3" t="str">
        <f t="shared" si="8"/>
        <v/>
      </c>
      <c r="Z203" s="3" t="str">
        <f t="shared" si="9"/>
        <v/>
      </c>
      <c r="AA203" s="13">
        <f t="shared" si="10"/>
        <v>442840048</v>
      </c>
      <c r="AB203" s="3">
        <f t="shared" si="11"/>
        <v>442840047</v>
      </c>
      <c r="AC203" s="3">
        <f t="shared" si="12"/>
        <v>3</v>
      </c>
      <c r="AD203" s="3">
        <f t="shared" si="13"/>
        <v>93823002</v>
      </c>
      <c r="AE203" s="3">
        <f t="shared" si="14"/>
        <v>3</v>
      </c>
      <c r="AF203" s="3">
        <f t="shared" si="15"/>
        <v>53790347</v>
      </c>
      <c r="AG203" s="3" t="str">
        <f t="shared" si="16"/>
        <v/>
      </c>
      <c r="AH203" s="3">
        <f t="shared" si="17"/>
        <v>0</v>
      </c>
      <c r="AI203" s="3" t="str">
        <f t="shared" si="18"/>
        <v/>
      </c>
      <c r="AJ203" s="3">
        <f t="shared" si="19"/>
        <v>0</v>
      </c>
    </row>
    <row r="204">
      <c r="C204" s="6" t="s">
        <v>204</v>
      </c>
      <c r="D204" s="3">
        <f t="shared" si="1"/>
        <v>3</v>
      </c>
      <c r="E204" s="3" t="str">
        <f>IFERROR(__xludf.DUMMYFUNCTION("REGEXEXTRACT(C204,""[^ ]* [^ ]*"")"),"dotted red")</f>
        <v>dotted red</v>
      </c>
      <c r="F204" s="3" t="str">
        <f>IFERROR(__xludf.DUMMYFUNCTION("MID(REGEXEXTRACT(C204,""contain.*$""),9,300)"),"4 pale turquoise bags, 4 muted blue bags, 1 bright bronze bag, 2 light blue bags.")</f>
        <v>4 pale turquoise bags, 4 muted blue bags, 1 bright bronze bag, 2 light blue bags.</v>
      </c>
      <c r="G204" s="3" t="str">
        <f>IFERROR(__xludf.DUMMYFUNCTION("INDEX(SPLIT($F204,"",""),COLUMN()-6)"),"4 pale turquoise bags")</f>
        <v>4 pale turquoise bags</v>
      </c>
      <c r="H204" s="3" t="str">
        <f>IFERROR(__xludf.DUMMYFUNCTION("MID(INDEX(SPLIT($F204,"",""),COLUMN()-6),2,300)"),"4 muted blue bags")</f>
        <v>4 muted blue bags</v>
      </c>
      <c r="I204" s="3" t="str">
        <f>IFERROR(__xludf.DUMMYFUNCTION("MID(INDEX(SPLIT($F204,"",""),COLUMN()-6),2,300)"),"1 bright bronze bag")</f>
        <v>1 bright bronze bag</v>
      </c>
      <c r="J204" s="3" t="str">
        <f>IFERROR(__xludf.DUMMYFUNCTION("MID(INDEX(SPLIT($F204,"",""),COLUMN()-6),2,300)"),"2 light blue bags.")</f>
        <v>2 light blue bags.</v>
      </c>
      <c r="K204" s="3">
        <f>IFERROR(__xludf.DUMMYFUNCTION("INDEX(SPLIT(G204,"" ""),1)"),4.0)</f>
        <v>4</v>
      </c>
      <c r="L204" s="3" t="str">
        <f>IFERROR(__xludf.DUMMYFUNCTION("REGEXEXTRACT(G204,"" [^ ]* [^ ]* "")")," pale turquoise ")</f>
        <v> pale turquoise </v>
      </c>
      <c r="M204" s="3">
        <f>IFERROR(__xludf.DUMMYFUNCTION("INDEX(SPLIT(H204,"" ""),1)"),4.0)</f>
        <v>4</v>
      </c>
      <c r="N204" s="3" t="str">
        <f>IFERROR(__xludf.DUMMYFUNCTION("MID(REGEXEXTRACT(H204,"" [^ ]* [^ ]*""),2,300)"),"muted blue")</f>
        <v>muted blue</v>
      </c>
      <c r="O204" s="3">
        <f>IFERROR(__xludf.DUMMYFUNCTION("INDEX(SPLIT(I204,"" ""),1)"),1.0)</f>
        <v>1</v>
      </c>
      <c r="P204" s="3" t="str">
        <f>IFERROR(__xludf.DUMMYFUNCTION("MID(REGEXEXTRACT(I204,"" [^ ]* [^ ]*""),2,300)"),"bright bronze")</f>
        <v>bright bronze</v>
      </c>
      <c r="Q204" s="3">
        <f>IFERROR(__xludf.DUMMYFUNCTION("INDEX(SPLIT(J204,"" ""),1)"),2.0)</f>
        <v>2</v>
      </c>
      <c r="R204" s="3" t="str">
        <f>IFERROR(__xludf.DUMMYFUNCTION("MID(REGEXEXTRACT(J204,"" [^ ]* [^ ]*""),2,300)"),"light blue")</f>
        <v>light blue</v>
      </c>
      <c r="S204" s="3">
        <f t="shared" si="2"/>
        <v>4</v>
      </c>
      <c r="T204" s="3" t="str">
        <f t="shared" si="3"/>
        <v>pale turquoise</v>
      </c>
      <c r="U204" s="3">
        <f t="shared" si="4"/>
        <v>4</v>
      </c>
      <c r="V204" s="3" t="str">
        <f t="shared" si="5"/>
        <v>muted blue</v>
      </c>
      <c r="W204" s="3">
        <f t="shared" si="6"/>
        <v>1</v>
      </c>
      <c r="X204" s="3" t="str">
        <f t="shared" si="7"/>
        <v>bright bronze</v>
      </c>
      <c r="Y204" s="3">
        <f t="shared" si="8"/>
        <v>2</v>
      </c>
      <c r="Z204" s="3" t="str">
        <f t="shared" si="9"/>
        <v>light blue</v>
      </c>
      <c r="AA204" s="13">
        <f t="shared" si="10"/>
        <v>1244051275</v>
      </c>
      <c r="AB204" s="3">
        <f t="shared" si="11"/>
        <v>1244051274</v>
      </c>
      <c r="AC204" s="3">
        <f t="shared" si="12"/>
        <v>4</v>
      </c>
      <c r="AD204" s="3">
        <f t="shared" si="13"/>
        <v>187357169</v>
      </c>
      <c r="AE204" s="3">
        <f t="shared" si="14"/>
        <v>4</v>
      </c>
      <c r="AF204" s="3">
        <f t="shared" si="15"/>
        <v>3381607</v>
      </c>
      <c r="AG204" s="3">
        <f t="shared" si="16"/>
        <v>1</v>
      </c>
      <c r="AH204" s="3">
        <f t="shared" si="17"/>
        <v>9540014</v>
      </c>
      <c r="AI204" s="3">
        <f t="shared" si="18"/>
        <v>2</v>
      </c>
      <c r="AJ204" s="3">
        <f t="shared" si="19"/>
        <v>235778078</v>
      </c>
    </row>
    <row r="205">
      <c r="C205" s="6" t="s">
        <v>205</v>
      </c>
      <c r="D205" s="3">
        <f t="shared" si="1"/>
        <v>0</v>
      </c>
      <c r="E205" s="3" t="str">
        <f>IFERROR(__xludf.DUMMYFUNCTION("REGEXEXTRACT(C205,""[^ ]* [^ ]*"")"),"clear brown")</f>
        <v>clear brown</v>
      </c>
      <c r="F205" s="3" t="str">
        <f>IFERROR(__xludf.DUMMYFUNCTION("MID(REGEXEXTRACT(C205,""contain.*$""),9,300)"),"1 mirrored yellow bag.")</f>
        <v>1 mirrored yellow bag.</v>
      </c>
      <c r="G205" s="3" t="str">
        <f>IFERROR(__xludf.DUMMYFUNCTION("INDEX(SPLIT($F205,"",""),COLUMN()-6)"),"1 mirrored yellow bag.")</f>
        <v>1 mirrored yellow bag.</v>
      </c>
      <c r="H205" s="3" t="str">
        <f>IFERROR(__xludf.DUMMYFUNCTION("MID(INDEX(SPLIT($F205,"",""),COLUMN()-6),2,300)"),"#REF!")</f>
        <v>#REF!</v>
      </c>
      <c r="I205" s="3" t="str">
        <f>IFERROR(__xludf.DUMMYFUNCTION("MID(INDEX(SPLIT($F205,"",""),COLUMN()-6),2,300)"),"#REF!")</f>
        <v>#REF!</v>
      </c>
      <c r="J205" s="3" t="str">
        <f>IFERROR(__xludf.DUMMYFUNCTION("MID(INDEX(SPLIT($F205,"",""),COLUMN()-6),2,300)"),"#REF!")</f>
        <v>#REF!</v>
      </c>
      <c r="K205" s="3">
        <f>IFERROR(__xludf.DUMMYFUNCTION("INDEX(SPLIT(G205,"" ""),1)"),1.0)</f>
        <v>1</v>
      </c>
      <c r="L205" s="3" t="str">
        <f>IFERROR(__xludf.DUMMYFUNCTION("REGEXEXTRACT(G205,"" [^ ]* [^ ]* "")")," mirrored yellow ")</f>
        <v> mirrored yellow </v>
      </c>
      <c r="M205" s="3" t="str">
        <f>IFERROR(__xludf.DUMMYFUNCTION("INDEX(SPLIT(H205,"" ""),1)"),"#REF!")</f>
        <v>#REF!</v>
      </c>
      <c r="N205" s="3" t="str">
        <f>IFERROR(__xludf.DUMMYFUNCTION("MID(REGEXEXTRACT(H205,"" [^ ]* [^ ]*""),2,300)"),"#REF!")</f>
        <v>#REF!</v>
      </c>
      <c r="O205" s="3" t="str">
        <f>IFERROR(__xludf.DUMMYFUNCTION("INDEX(SPLIT(I205,"" ""),1)"),"#REF!")</f>
        <v>#REF!</v>
      </c>
      <c r="P205" s="3" t="str">
        <f>IFERROR(__xludf.DUMMYFUNCTION("MID(REGEXEXTRACT(I205,"" [^ ]* [^ ]*""),2,300)"),"#REF!")</f>
        <v>#REF!</v>
      </c>
      <c r="Q205" s="3" t="str">
        <f>IFERROR(__xludf.DUMMYFUNCTION("INDEX(SPLIT(J205,"" ""),1)"),"#REF!")</f>
        <v>#REF!</v>
      </c>
      <c r="R205" s="3" t="str">
        <f>IFERROR(__xludf.DUMMYFUNCTION("MID(REGEXEXTRACT(J205,"" [^ ]* [^ ]*""),2,300)"),"#REF!")</f>
        <v>#REF!</v>
      </c>
      <c r="S205" s="3">
        <f t="shared" si="2"/>
        <v>1</v>
      </c>
      <c r="T205" s="3" t="str">
        <f t="shared" si="3"/>
        <v>mirrored yellow</v>
      </c>
      <c r="U205" s="3" t="str">
        <f t="shared" si="4"/>
        <v/>
      </c>
      <c r="V205" s="3" t="str">
        <f t="shared" si="5"/>
        <v/>
      </c>
      <c r="W205" s="3" t="str">
        <f t="shared" si="6"/>
        <v/>
      </c>
      <c r="X205" s="3" t="str">
        <f t="shared" si="7"/>
        <v/>
      </c>
      <c r="Y205" s="3" t="str">
        <f t="shared" si="8"/>
        <v/>
      </c>
      <c r="Z205" s="3" t="str">
        <f t="shared" si="9"/>
        <v/>
      </c>
      <c r="AA205" s="13">
        <f t="shared" si="10"/>
        <v>52501889</v>
      </c>
      <c r="AB205" s="3">
        <f t="shared" si="11"/>
        <v>52501888</v>
      </c>
      <c r="AC205" s="3">
        <f t="shared" si="12"/>
        <v>1</v>
      </c>
      <c r="AD205" s="3">
        <f t="shared" si="13"/>
        <v>52501888</v>
      </c>
      <c r="AE205" s="3" t="str">
        <f t="shared" si="14"/>
        <v/>
      </c>
      <c r="AF205" s="3">
        <f t="shared" si="15"/>
        <v>0</v>
      </c>
      <c r="AG205" s="3" t="str">
        <f t="shared" si="16"/>
        <v/>
      </c>
      <c r="AH205" s="3">
        <f t="shared" si="17"/>
        <v>0</v>
      </c>
      <c r="AI205" s="3" t="str">
        <f t="shared" si="18"/>
        <v/>
      </c>
      <c r="AJ205" s="3">
        <f t="shared" si="19"/>
        <v>0</v>
      </c>
    </row>
    <row r="206">
      <c r="C206" s="6" t="s">
        <v>206</v>
      </c>
      <c r="D206" s="3">
        <f t="shared" si="1"/>
        <v>0</v>
      </c>
      <c r="E206" s="3" t="str">
        <f>IFERROR(__xludf.DUMMYFUNCTION("REGEXEXTRACT(C206,""[^ ]* [^ ]*"")"),"light plum")</f>
        <v>light plum</v>
      </c>
      <c r="F206" s="3" t="str">
        <f>IFERROR(__xludf.DUMMYFUNCTION("MID(REGEXEXTRACT(C206,""contain.*$""),9,300)"),"2 bright violet bags.")</f>
        <v>2 bright violet bags.</v>
      </c>
      <c r="G206" s="3" t="str">
        <f>IFERROR(__xludf.DUMMYFUNCTION("INDEX(SPLIT($F206,"",""),COLUMN()-6)"),"2 bright violet bags.")</f>
        <v>2 bright violet bags.</v>
      </c>
      <c r="H206" s="3" t="str">
        <f>IFERROR(__xludf.DUMMYFUNCTION("MID(INDEX(SPLIT($F206,"",""),COLUMN()-6),2,300)"),"#REF!")</f>
        <v>#REF!</v>
      </c>
      <c r="I206" s="3" t="str">
        <f>IFERROR(__xludf.DUMMYFUNCTION("MID(INDEX(SPLIT($F206,"",""),COLUMN()-6),2,300)"),"#REF!")</f>
        <v>#REF!</v>
      </c>
      <c r="J206" s="3" t="str">
        <f>IFERROR(__xludf.DUMMYFUNCTION("MID(INDEX(SPLIT($F206,"",""),COLUMN()-6),2,300)"),"#REF!")</f>
        <v>#REF!</v>
      </c>
      <c r="K206" s="3">
        <f>IFERROR(__xludf.DUMMYFUNCTION("INDEX(SPLIT(G206,"" ""),1)"),2.0)</f>
        <v>2</v>
      </c>
      <c r="L206" s="3" t="str">
        <f>IFERROR(__xludf.DUMMYFUNCTION("REGEXEXTRACT(G206,"" [^ ]* [^ ]* "")")," bright violet ")</f>
        <v> bright violet </v>
      </c>
      <c r="M206" s="3" t="str">
        <f>IFERROR(__xludf.DUMMYFUNCTION("INDEX(SPLIT(H206,"" ""),1)"),"#REF!")</f>
        <v>#REF!</v>
      </c>
      <c r="N206" s="3" t="str">
        <f>IFERROR(__xludf.DUMMYFUNCTION("MID(REGEXEXTRACT(H206,"" [^ ]* [^ ]*""),2,300)"),"#REF!")</f>
        <v>#REF!</v>
      </c>
      <c r="O206" s="3" t="str">
        <f>IFERROR(__xludf.DUMMYFUNCTION("INDEX(SPLIT(I206,"" ""),1)"),"#REF!")</f>
        <v>#REF!</v>
      </c>
      <c r="P206" s="3" t="str">
        <f>IFERROR(__xludf.DUMMYFUNCTION("MID(REGEXEXTRACT(I206,"" [^ ]* [^ ]*""),2,300)"),"#REF!")</f>
        <v>#REF!</v>
      </c>
      <c r="Q206" s="3" t="str">
        <f>IFERROR(__xludf.DUMMYFUNCTION("INDEX(SPLIT(J206,"" ""),1)"),"#REF!")</f>
        <v>#REF!</v>
      </c>
      <c r="R206" s="3" t="str">
        <f>IFERROR(__xludf.DUMMYFUNCTION("MID(REGEXEXTRACT(J206,"" [^ ]* [^ ]*""),2,300)"),"#REF!")</f>
        <v>#REF!</v>
      </c>
      <c r="S206" s="3">
        <f t="shared" si="2"/>
        <v>2</v>
      </c>
      <c r="T206" s="3" t="str">
        <f t="shared" si="3"/>
        <v>bright violet</v>
      </c>
      <c r="U206" s="3" t="str">
        <f t="shared" si="4"/>
        <v/>
      </c>
      <c r="V206" s="3" t="str">
        <f t="shared" si="5"/>
        <v/>
      </c>
      <c r="W206" s="3" t="str">
        <f t="shared" si="6"/>
        <v/>
      </c>
      <c r="X206" s="3" t="str">
        <f t="shared" si="7"/>
        <v/>
      </c>
      <c r="Y206" s="3" t="str">
        <f t="shared" si="8"/>
        <v/>
      </c>
      <c r="Z206" s="3" t="str">
        <f t="shared" si="9"/>
        <v/>
      </c>
      <c r="AA206" s="13">
        <f t="shared" si="10"/>
        <v>3</v>
      </c>
      <c r="AB206" s="3">
        <f t="shared" si="11"/>
        <v>2</v>
      </c>
      <c r="AC206" s="3">
        <f t="shared" si="12"/>
        <v>2</v>
      </c>
      <c r="AD206" s="3">
        <f t="shared" si="13"/>
        <v>1</v>
      </c>
      <c r="AE206" s="3" t="str">
        <f t="shared" si="14"/>
        <v/>
      </c>
      <c r="AF206" s="3">
        <f t="shared" si="15"/>
        <v>0</v>
      </c>
      <c r="AG206" s="3" t="str">
        <f t="shared" si="16"/>
        <v/>
      </c>
      <c r="AH206" s="3">
        <f t="shared" si="17"/>
        <v>0</v>
      </c>
      <c r="AI206" s="3" t="str">
        <f t="shared" si="18"/>
        <v/>
      </c>
      <c r="AJ206" s="3">
        <f t="shared" si="19"/>
        <v>0</v>
      </c>
    </row>
    <row r="207">
      <c r="C207" s="6" t="s">
        <v>207</v>
      </c>
      <c r="D207" s="3">
        <f t="shared" si="1"/>
        <v>1</v>
      </c>
      <c r="E207" s="3" t="str">
        <f>IFERROR(__xludf.DUMMYFUNCTION("REGEXEXTRACT(C207,""[^ ]* [^ ]*"")"),"dim purple")</f>
        <v>dim purple</v>
      </c>
      <c r="F207" s="3" t="str">
        <f>IFERROR(__xludf.DUMMYFUNCTION("MID(REGEXEXTRACT(C207,""contain.*$""),9,300)"),"3 faded chartreuse bags, 5 light teal bags.")</f>
        <v>3 faded chartreuse bags, 5 light teal bags.</v>
      </c>
      <c r="G207" s="3" t="str">
        <f>IFERROR(__xludf.DUMMYFUNCTION("INDEX(SPLIT($F207,"",""),COLUMN()-6)"),"3 faded chartreuse bags")</f>
        <v>3 faded chartreuse bags</v>
      </c>
      <c r="H207" s="3" t="str">
        <f>IFERROR(__xludf.DUMMYFUNCTION("MID(INDEX(SPLIT($F207,"",""),COLUMN()-6),2,300)"),"5 light teal bags.")</f>
        <v>5 light teal bags.</v>
      </c>
      <c r="I207" s="3" t="str">
        <f>IFERROR(__xludf.DUMMYFUNCTION("MID(INDEX(SPLIT($F207,"",""),COLUMN()-6),2,300)"),"#REF!")</f>
        <v>#REF!</v>
      </c>
      <c r="J207" s="3" t="str">
        <f>IFERROR(__xludf.DUMMYFUNCTION("MID(INDEX(SPLIT($F207,"",""),COLUMN()-6),2,300)"),"#REF!")</f>
        <v>#REF!</v>
      </c>
      <c r="K207" s="3">
        <f>IFERROR(__xludf.DUMMYFUNCTION("INDEX(SPLIT(G207,"" ""),1)"),3.0)</f>
        <v>3</v>
      </c>
      <c r="L207" s="3" t="str">
        <f>IFERROR(__xludf.DUMMYFUNCTION("REGEXEXTRACT(G207,"" [^ ]* [^ ]* "")")," faded chartreuse ")</f>
        <v> faded chartreuse </v>
      </c>
      <c r="M207" s="3">
        <f>IFERROR(__xludf.DUMMYFUNCTION("INDEX(SPLIT(H207,"" ""),1)"),5.0)</f>
        <v>5</v>
      </c>
      <c r="N207" s="3" t="str">
        <f>IFERROR(__xludf.DUMMYFUNCTION("MID(REGEXEXTRACT(H207,"" [^ ]* [^ ]*""),2,300)"),"light teal")</f>
        <v>light teal</v>
      </c>
      <c r="O207" s="3" t="str">
        <f>IFERROR(__xludf.DUMMYFUNCTION("INDEX(SPLIT(I207,"" ""),1)"),"#REF!")</f>
        <v>#REF!</v>
      </c>
      <c r="P207" s="3" t="str">
        <f>IFERROR(__xludf.DUMMYFUNCTION("MID(REGEXEXTRACT(I207,"" [^ ]* [^ ]*""),2,300)"),"#REF!")</f>
        <v>#REF!</v>
      </c>
      <c r="Q207" s="3" t="str">
        <f>IFERROR(__xludf.DUMMYFUNCTION("INDEX(SPLIT(J207,"" ""),1)"),"#REF!")</f>
        <v>#REF!</v>
      </c>
      <c r="R207" s="3" t="str">
        <f>IFERROR(__xludf.DUMMYFUNCTION("MID(REGEXEXTRACT(J207,"" [^ ]* [^ ]*""),2,300)"),"#REF!")</f>
        <v>#REF!</v>
      </c>
      <c r="S207" s="3">
        <f t="shared" si="2"/>
        <v>3</v>
      </c>
      <c r="T207" s="3" t="str">
        <f t="shared" si="3"/>
        <v>faded chartreuse</v>
      </c>
      <c r="U207" s="3">
        <f t="shared" si="4"/>
        <v>5</v>
      </c>
      <c r="V207" s="3" t="str">
        <f t="shared" si="5"/>
        <v>light teal</v>
      </c>
      <c r="W207" s="3" t="str">
        <f t="shared" si="6"/>
        <v/>
      </c>
      <c r="X207" s="3" t="str">
        <f t="shared" si="7"/>
        <v/>
      </c>
      <c r="Y207" s="3" t="str">
        <f t="shared" si="8"/>
        <v/>
      </c>
      <c r="Z207" s="3" t="str">
        <f t="shared" si="9"/>
        <v/>
      </c>
      <c r="AA207" s="13">
        <f t="shared" si="10"/>
        <v>1160117</v>
      </c>
      <c r="AB207" s="3">
        <f t="shared" si="11"/>
        <v>1160116</v>
      </c>
      <c r="AC207" s="3">
        <f t="shared" si="12"/>
        <v>3</v>
      </c>
      <c r="AD207" s="3">
        <f t="shared" si="13"/>
        <v>305892</v>
      </c>
      <c r="AE207" s="3">
        <f t="shared" si="14"/>
        <v>5</v>
      </c>
      <c r="AF207" s="3">
        <f t="shared" si="15"/>
        <v>48488</v>
      </c>
      <c r="AG207" s="3" t="str">
        <f t="shared" si="16"/>
        <v/>
      </c>
      <c r="AH207" s="3">
        <f t="shared" si="17"/>
        <v>0</v>
      </c>
      <c r="AI207" s="3" t="str">
        <f t="shared" si="18"/>
        <v/>
      </c>
      <c r="AJ207" s="3">
        <f t="shared" si="19"/>
        <v>0</v>
      </c>
    </row>
    <row r="208">
      <c r="C208" s="6" t="s">
        <v>208</v>
      </c>
      <c r="D208" s="3">
        <f t="shared" si="1"/>
        <v>2</v>
      </c>
      <c r="E208" s="3" t="str">
        <f>IFERROR(__xludf.DUMMYFUNCTION("REGEXEXTRACT(C208,""[^ ]* [^ ]*"")"),"dull yellow")</f>
        <v>dull yellow</v>
      </c>
      <c r="F208" s="3" t="str">
        <f>IFERROR(__xludf.DUMMYFUNCTION("MID(REGEXEXTRACT(C208,""contain.*$""),9,300)"),"5 muted aqua bags, 3 dotted coral bags, 2 drab maroon bags.")</f>
        <v>5 muted aqua bags, 3 dotted coral bags, 2 drab maroon bags.</v>
      </c>
      <c r="G208" s="3" t="str">
        <f>IFERROR(__xludf.DUMMYFUNCTION("INDEX(SPLIT($F208,"",""),COLUMN()-6)"),"5 muted aqua bags")</f>
        <v>5 muted aqua bags</v>
      </c>
      <c r="H208" s="3" t="str">
        <f>IFERROR(__xludf.DUMMYFUNCTION("MID(INDEX(SPLIT($F208,"",""),COLUMN()-6),2,300)"),"3 dotted coral bags")</f>
        <v>3 dotted coral bags</v>
      </c>
      <c r="I208" s="3" t="str">
        <f>IFERROR(__xludf.DUMMYFUNCTION("MID(INDEX(SPLIT($F208,"",""),COLUMN()-6),2,300)"),"2 drab maroon bags.")</f>
        <v>2 drab maroon bags.</v>
      </c>
      <c r="J208" s="3" t="str">
        <f>IFERROR(__xludf.DUMMYFUNCTION("MID(INDEX(SPLIT($F208,"",""),COLUMN()-6),2,300)"),"#REF!")</f>
        <v>#REF!</v>
      </c>
      <c r="K208" s="3">
        <f>IFERROR(__xludf.DUMMYFUNCTION("INDEX(SPLIT(G208,"" ""),1)"),5.0)</f>
        <v>5</v>
      </c>
      <c r="L208" s="3" t="str">
        <f>IFERROR(__xludf.DUMMYFUNCTION("REGEXEXTRACT(G208,"" [^ ]* [^ ]* "")")," muted aqua ")</f>
        <v> muted aqua </v>
      </c>
      <c r="M208" s="3">
        <f>IFERROR(__xludf.DUMMYFUNCTION("INDEX(SPLIT(H208,"" ""),1)"),3.0)</f>
        <v>3</v>
      </c>
      <c r="N208" s="3" t="str">
        <f>IFERROR(__xludf.DUMMYFUNCTION("MID(REGEXEXTRACT(H208,"" [^ ]* [^ ]*""),2,300)"),"dotted coral")</f>
        <v>dotted coral</v>
      </c>
      <c r="O208" s="3">
        <f>IFERROR(__xludf.DUMMYFUNCTION("INDEX(SPLIT(I208,"" ""),1)"),2.0)</f>
        <v>2</v>
      </c>
      <c r="P208" s="3" t="str">
        <f>IFERROR(__xludf.DUMMYFUNCTION("MID(REGEXEXTRACT(I208,"" [^ ]* [^ ]*""),2,300)"),"drab maroon")</f>
        <v>drab maroon</v>
      </c>
      <c r="Q208" s="3" t="str">
        <f>IFERROR(__xludf.DUMMYFUNCTION("INDEX(SPLIT(J208,"" ""),1)"),"#REF!")</f>
        <v>#REF!</v>
      </c>
      <c r="R208" s="3" t="str">
        <f>IFERROR(__xludf.DUMMYFUNCTION("MID(REGEXEXTRACT(J208,"" [^ ]* [^ ]*""),2,300)"),"#REF!")</f>
        <v>#REF!</v>
      </c>
      <c r="S208" s="3">
        <f t="shared" si="2"/>
        <v>5</v>
      </c>
      <c r="T208" s="3" t="str">
        <f t="shared" si="3"/>
        <v>muted aqua</v>
      </c>
      <c r="U208" s="3">
        <f t="shared" si="4"/>
        <v>3</v>
      </c>
      <c r="V208" s="3" t="str">
        <f t="shared" si="5"/>
        <v>dotted coral</v>
      </c>
      <c r="W208" s="3">
        <f t="shared" si="6"/>
        <v>2</v>
      </c>
      <c r="X208" s="3" t="str">
        <f t="shared" si="7"/>
        <v>drab maroon</v>
      </c>
      <c r="Y208" s="3" t="str">
        <f t="shared" si="8"/>
        <v/>
      </c>
      <c r="Z208" s="3" t="str">
        <f t="shared" si="9"/>
        <v/>
      </c>
      <c r="AA208" s="13">
        <f t="shared" si="10"/>
        <v>190019</v>
      </c>
      <c r="AB208" s="3">
        <f t="shared" si="11"/>
        <v>190018</v>
      </c>
      <c r="AC208" s="3">
        <f t="shared" si="12"/>
        <v>5</v>
      </c>
      <c r="AD208" s="3">
        <f t="shared" si="13"/>
        <v>30083</v>
      </c>
      <c r="AE208" s="3">
        <f t="shared" si="14"/>
        <v>3</v>
      </c>
      <c r="AF208" s="3">
        <f t="shared" si="15"/>
        <v>10803</v>
      </c>
      <c r="AG208" s="3">
        <f t="shared" si="16"/>
        <v>2</v>
      </c>
      <c r="AH208" s="3">
        <f t="shared" si="17"/>
        <v>3597</v>
      </c>
      <c r="AI208" s="3" t="str">
        <f t="shared" si="18"/>
        <v/>
      </c>
      <c r="AJ208" s="3">
        <f t="shared" si="19"/>
        <v>0</v>
      </c>
    </row>
    <row r="209">
      <c r="C209" s="6" t="s">
        <v>209</v>
      </c>
      <c r="D209" s="3">
        <f t="shared" si="1"/>
        <v>2</v>
      </c>
      <c r="E209" s="3" t="str">
        <f>IFERROR(__xludf.DUMMYFUNCTION("REGEXEXTRACT(C209,""[^ ]* [^ ]*"")"),"shiny gold")</f>
        <v>shiny gold</v>
      </c>
      <c r="F209" s="3" t="str">
        <f>IFERROR(__xludf.DUMMYFUNCTION("MID(REGEXEXTRACT(C209,""contain.*$""),9,300)"),"4 pale black bags, 4 dim violet bags, 3 muted yellow bags.")</f>
        <v>4 pale black bags, 4 dim violet bags, 3 muted yellow bags.</v>
      </c>
      <c r="G209" s="3" t="str">
        <f>IFERROR(__xludf.DUMMYFUNCTION("INDEX(SPLIT($F209,"",""),COLUMN()-6)"),"4 pale black bags")</f>
        <v>4 pale black bags</v>
      </c>
      <c r="H209" s="3" t="str">
        <f>IFERROR(__xludf.DUMMYFUNCTION("MID(INDEX(SPLIT($F209,"",""),COLUMN()-6),2,300)"),"4 dim violet bags")</f>
        <v>4 dim violet bags</v>
      </c>
      <c r="I209" s="3" t="str">
        <f>IFERROR(__xludf.DUMMYFUNCTION("MID(INDEX(SPLIT($F209,"",""),COLUMN()-6),2,300)"),"3 muted yellow bags.")</f>
        <v>3 muted yellow bags.</v>
      </c>
      <c r="J209" s="3" t="str">
        <f>IFERROR(__xludf.DUMMYFUNCTION("MID(INDEX(SPLIT($F209,"",""),COLUMN()-6),2,300)"),"#REF!")</f>
        <v>#REF!</v>
      </c>
      <c r="K209" s="3">
        <f>IFERROR(__xludf.DUMMYFUNCTION("INDEX(SPLIT(G209,"" ""),1)"),4.0)</f>
        <v>4</v>
      </c>
      <c r="L209" s="3" t="str">
        <f>IFERROR(__xludf.DUMMYFUNCTION("REGEXEXTRACT(G209,"" [^ ]* [^ ]* "")")," pale black ")</f>
        <v> pale black </v>
      </c>
      <c r="M209" s="3">
        <f>IFERROR(__xludf.DUMMYFUNCTION("INDEX(SPLIT(H209,"" ""),1)"),4.0)</f>
        <v>4</v>
      </c>
      <c r="N209" s="3" t="str">
        <f>IFERROR(__xludf.DUMMYFUNCTION("MID(REGEXEXTRACT(H209,"" [^ ]* [^ ]*""),2,300)"),"dim violet")</f>
        <v>dim violet</v>
      </c>
      <c r="O209" s="3">
        <f>IFERROR(__xludf.DUMMYFUNCTION("INDEX(SPLIT(I209,"" ""),1)"),3.0)</f>
        <v>3</v>
      </c>
      <c r="P209" s="3" t="str">
        <f>IFERROR(__xludf.DUMMYFUNCTION("MID(REGEXEXTRACT(I209,"" [^ ]* [^ ]*""),2,300)"),"muted yellow")</f>
        <v>muted yellow</v>
      </c>
      <c r="Q209" s="3" t="str">
        <f>IFERROR(__xludf.DUMMYFUNCTION("INDEX(SPLIT(J209,"" ""),1)"),"#REF!")</f>
        <v>#REF!</v>
      </c>
      <c r="R209" s="3" t="str">
        <f>IFERROR(__xludf.DUMMYFUNCTION("MID(REGEXEXTRACT(J209,"" [^ ]* [^ ]*""),2,300)"),"#REF!")</f>
        <v>#REF!</v>
      </c>
      <c r="S209" s="3">
        <f t="shared" si="2"/>
        <v>4</v>
      </c>
      <c r="T209" s="3" t="str">
        <f t="shared" si="3"/>
        <v>pale black</v>
      </c>
      <c r="U209" s="3">
        <f t="shared" si="4"/>
        <v>4</v>
      </c>
      <c r="V209" s="3" t="str">
        <f t="shared" si="5"/>
        <v>dim violet</v>
      </c>
      <c r="W209" s="3">
        <f t="shared" si="6"/>
        <v>3</v>
      </c>
      <c r="X209" s="3" t="str">
        <f t="shared" si="7"/>
        <v>muted yellow</v>
      </c>
      <c r="Y209" s="3" t="str">
        <f t="shared" si="8"/>
        <v/>
      </c>
      <c r="Z209" s="3" t="str">
        <f t="shared" si="9"/>
        <v/>
      </c>
      <c r="AA209" s="13">
        <f t="shared" si="10"/>
        <v>12129</v>
      </c>
      <c r="AB209" s="3">
        <f t="shared" si="11"/>
        <v>12128</v>
      </c>
      <c r="AC209" s="3">
        <f t="shared" si="12"/>
        <v>4</v>
      </c>
      <c r="AD209" s="3">
        <f t="shared" si="13"/>
        <v>8</v>
      </c>
      <c r="AE209" s="3">
        <f t="shared" si="14"/>
        <v>4</v>
      </c>
      <c r="AF209" s="3">
        <f t="shared" si="15"/>
        <v>153</v>
      </c>
      <c r="AG209" s="3">
        <f t="shared" si="16"/>
        <v>3</v>
      </c>
      <c r="AH209" s="3">
        <f t="shared" si="17"/>
        <v>3828</v>
      </c>
      <c r="AI209" s="3" t="str">
        <f t="shared" si="18"/>
        <v/>
      </c>
      <c r="AJ209" s="3">
        <f t="shared" si="19"/>
        <v>0</v>
      </c>
    </row>
    <row r="210">
      <c r="C210" s="6" t="s">
        <v>210</v>
      </c>
      <c r="D210" s="3">
        <f t="shared" si="1"/>
        <v>1</v>
      </c>
      <c r="E210" s="3" t="str">
        <f>IFERROR(__xludf.DUMMYFUNCTION("REGEXEXTRACT(C210,""[^ ]* [^ ]*"")"),"mirrored crimson")</f>
        <v>mirrored crimson</v>
      </c>
      <c r="F210" s="3" t="str">
        <f>IFERROR(__xludf.DUMMYFUNCTION("MID(REGEXEXTRACT(C210,""contain.*$""),9,300)"),"1 striped teal bag, 5 mirrored cyan bags.")</f>
        <v>1 striped teal bag, 5 mirrored cyan bags.</v>
      </c>
      <c r="G210" s="3" t="str">
        <f>IFERROR(__xludf.DUMMYFUNCTION("INDEX(SPLIT($F210,"",""),COLUMN()-6)"),"1 striped teal bag")</f>
        <v>1 striped teal bag</v>
      </c>
      <c r="H210" s="3" t="str">
        <f>IFERROR(__xludf.DUMMYFUNCTION("MID(INDEX(SPLIT($F210,"",""),COLUMN()-6),2,300)"),"5 mirrored cyan bags.")</f>
        <v>5 mirrored cyan bags.</v>
      </c>
      <c r="I210" s="3" t="str">
        <f>IFERROR(__xludf.DUMMYFUNCTION("MID(INDEX(SPLIT($F210,"",""),COLUMN()-6),2,300)"),"#REF!")</f>
        <v>#REF!</v>
      </c>
      <c r="J210" s="3" t="str">
        <f>IFERROR(__xludf.DUMMYFUNCTION("MID(INDEX(SPLIT($F210,"",""),COLUMN()-6),2,300)"),"#REF!")</f>
        <v>#REF!</v>
      </c>
      <c r="K210" s="3">
        <f>IFERROR(__xludf.DUMMYFUNCTION("INDEX(SPLIT(G210,"" ""),1)"),1.0)</f>
        <v>1</v>
      </c>
      <c r="L210" s="3" t="str">
        <f>IFERROR(__xludf.DUMMYFUNCTION("REGEXEXTRACT(G210,"" [^ ]* [^ ]* "")")," striped teal ")</f>
        <v> striped teal </v>
      </c>
      <c r="M210" s="3">
        <f>IFERROR(__xludf.DUMMYFUNCTION("INDEX(SPLIT(H210,"" ""),1)"),5.0)</f>
        <v>5</v>
      </c>
      <c r="N210" s="3" t="str">
        <f>IFERROR(__xludf.DUMMYFUNCTION("MID(REGEXEXTRACT(H210,"" [^ ]* [^ ]*""),2,300)"),"mirrored cyan")</f>
        <v>mirrored cyan</v>
      </c>
      <c r="O210" s="3" t="str">
        <f>IFERROR(__xludf.DUMMYFUNCTION("INDEX(SPLIT(I210,"" ""),1)"),"#REF!")</f>
        <v>#REF!</v>
      </c>
      <c r="P210" s="3" t="str">
        <f>IFERROR(__xludf.DUMMYFUNCTION("MID(REGEXEXTRACT(I210,"" [^ ]* [^ ]*""),2,300)"),"#REF!")</f>
        <v>#REF!</v>
      </c>
      <c r="Q210" s="3" t="str">
        <f>IFERROR(__xludf.DUMMYFUNCTION("INDEX(SPLIT(J210,"" ""),1)"),"#REF!")</f>
        <v>#REF!</v>
      </c>
      <c r="R210" s="3" t="str">
        <f>IFERROR(__xludf.DUMMYFUNCTION("MID(REGEXEXTRACT(J210,"" [^ ]* [^ ]*""),2,300)"),"#REF!")</f>
        <v>#REF!</v>
      </c>
      <c r="S210" s="3">
        <f t="shared" si="2"/>
        <v>1</v>
      </c>
      <c r="T210" s="3" t="str">
        <f t="shared" si="3"/>
        <v>striped teal</v>
      </c>
      <c r="U210" s="3">
        <f t="shared" si="4"/>
        <v>5</v>
      </c>
      <c r="V210" s="3" t="str">
        <f t="shared" si="5"/>
        <v>mirrored cyan</v>
      </c>
      <c r="W210" s="3" t="str">
        <f t="shared" si="6"/>
        <v/>
      </c>
      <c r="X210" s="3" t="str">
        <f t="shared" si="7"/>
        <v/>
      </c>
      <c r="Y210" s="3" t="str">
        <f t="shared" si="8"/>
        <v/>
      </c>
      <c r="Z210" s="3" t="str">
        <f t="shared" si="9"/>
        <v/>
      </c>
      <c r="AA210" s="13">
        <f t="shared" si="10"/>
        <v>23660</v>
      </c>
      <c r="AB210" s="3">
        <f t="shared" si="11"/>
        <v>23659</v>
      </c>
      <c r="AC210" s="3">
        <f t="shared" si="12"/>
        <v>1</v>
      </c>
      <c r="AD210" s="3">
        <f t="shared" si="13"/>
        <v>14389</v>
      </c>
      <c r="AE210" s="3">
        <f t="shared" si="14"/>
        <v>5</v>
      </c>
      <c r="AF210" s="3">
        <f t="shared" si="15"/>
        <v>1854</v>
      </c>
      <c r="AG210" s="3" t="str">
        <f t="shared" si="16"/>
        <v/>
      </c>
      <c r="AH210" s="3">
        <f t="shared" si="17"/>
        <v>0</v>
      </c>
      <c r="AI210" s="3" t="str">
        <f t="shared" si="18"/>
        <v/>
      </c>
      <c r="AJ210" s="3">
        <f t="shared" si="19"/>
        <v>0</v>
      </c>
    </row>
    <row r="211">
      <c r="C211" s="6" t="s">
        <v>211</v>
      </c>
      <c r="D211" s="3">
        <f t="shared" si="1"/>
        <v>3</v>
      </c>
      <c r="E211" s="3" t="str">
        <f>IFERROR(__xludf.DUMMYFUNCTION("REGEXEXTRACT(C211,""[^ ]* [^ ]*"")"),"shiny lavender")</f>
        <v>shiny lavender</v>
      </c>
      <c r="F211" s="3" t="str">
        <f>IFERROR(__xludf.DUMMYFUNCTION("MID(REGEXEXTRACT(C211,""contain.*$""),9,300)"),"4 bright brown bags, 3 bright tan bags, 5 dotted crimson bags, 4 pale black bags.")</f>
        <v>4 bright brown bags, 3 bright tan bags, 5 dotted crimson bags, 4 pale black bags.</v>
      </c>
      <c r="G211" s="3" t="str">
        <f>IFERROR(__xludf.DUMMYFUNCTION("INDEX(SPLIT($F211,"",""),COLUMN()-6)"),"4 bright brown bags")</f>
        <v>4 bright brown bags</v>
      </c>
      <c r="H211" s="3" t="str">
        <f>IFERROR(__xludf.DUMMYFUNCTION("MID(INDEX(SPLIT($F211,"",""),COLUMN()-6),2,300)"),"3 bright tan bags")</f>
        <v>3 bright tan bags</v>
      </c>
      <c r="I211" s="3" t="str">
        <f>IFERROR(__xludf.DUMMYFUNCTION("MID(INDEX(SPLIT($F211,"",""),COLUMN()-6),2,300)"),"5 dotted crimson bags")</f>
        <v>5 dotted crimson bags</v>
      </c>
      <c r="J211" s="3" t="str">
        <f>IFERROR(__xludf.DUMMYFUNCTION("MID(INDEX(SPLIT($F211,"",""),COLUMN()-6),2,300)"),"4 pale black bags.")</f>
        <v>4 pale black bags.</v>
      </c>
      <c r="K211" s="3">
        <f>IFERROR(__xludf.DUMMYFUNCTION("INDEX(SPLIT(G211,"" ""),1)"),4.0)</f>
        <v>4</v>
      </c>
      <c r="L211" s="3" t="str">
        <f>IFERROR(__xludf.DUMMYFUNCTION("REGEXEXTRACT(G211,"" [^ ]* [^ ]* "")")," bright brown ")</f>
        <v> bright brown </v>
      </c>
      <c r="M211" s="3">
        <f>IFERROR(__xludf.DUMMYFUNCTION("INDEX(SPLIT(H211,"" ""),1)"),3.0)</f>
        <v>3</v>
      </c>
      <c r="N211" s="3" t="str">
        <f>IFERROR(__xludf.DUMMYFUNCTION("MID(REGEXEXTRACT(H211,"" [^ ]* [^ ]*""),2,300)"),"bright tan")</f>
        <v>bright tan</v>
      </c>
      <c r="O211" s="3">
        <f>IFERROR(__xludf.DUMMYFUNCTION("INDEX(SPLIT(I211,"" ""),1)"),5.0)</f>
        <v>5</v>
      </c>
      <c r="P211" s="3" t="str">
        <f>IFERROR(__xludf.DUMMYFUNCTION("MID(REGEXEXTRACT(I211,"" [^ ]* [^ ]*""),2,300)"),"dotted crimson")</f>
        <v>dotted crimson</v>
      </c>
      <c r="Q211" s="3">
        <f>IFERROR(__xludf.DUMMYFUNCTION("INDEX(SPLIT(J211,"" ""),1)"),4.0)</f>
        <v>4</v>
      </c>
      <c r="R211" s="3" t="str">
        <f>IFERROR(__xludf.DUMMYFUNCTION("MID(REGEXEXTRACT(J211,"" [^ ]* [^ ]*""),2,300)"),"pale black")</f>
        <v>pale black</v>
      </c>
      <c r="S211" s="3">
        <f t="shared" si="2"/>
        <v>4</v>
      </c>
      <c r="T211" s="3" t="str">
        <f t="shared" si="3"/>
        <v>bright brown</v>
      </c>
      <c r="U211" s="3">
        <f t="shared" si="4"/>
        <v>3</v>
      </c>
      <c r="V211" s="3" t="str">
        <f t="shared" si="5"/>
        <v>bright tan</v>
      </c>
      <c r="W211" s="3">
        <f t="shared" si="6"/>
        <v>5</v>
      </c>
      <c r="X211" s="3" t="str">
        <f t="shared" si="7"/>
        <v>dotted crimson</v>
      </c>
      <c r="Y211" s="3">
        <f t="shared" si="8"/>
        <v>4</v>
      </c>
      <c r="Z211" s="3" t="str">
        <f t="shared" si="9"/>
        <v>pale black</v>
      </c>
      <c r="AA211" s="13">
        <f t="shared" si="10"/>
        <v>1187190</v>
      </c>
      <c r="AB211" s="3">
        <f t="shared" si="11"/>
        <v>1187189</v>
      </c>
      <c r="AC211" s="3">
        <f t="shared" si="12"/>
        <v>4</v>
      </c>
      <c r="AD211" s="3">
        <f t="shared" si="13"/>
        <v>1</v>
      </c>
      <c r="AE211" s="3">
        <f t="shared" si="14"/>
        <v>3</v>
      </c>
      <c r="AF211" s="3">
        <f t="shared" si="15"/>
        <v>393586</v>
      </c>
      <c r="AG211" s="3">
        <f t="shared" si="16"/>
        <v>5</v>
      </c>
      <c r="AH211" s="3">
        <f t="shared" si="17"/>
        <v>1279</v>
      </c>
      <c r="AI211" s="3">
        <f t="shared" si="18"/>
        <v>4</v>
      </c>
      <c r="AJ211" s="3">
        <f t="shared" si="19"/>
        <v>8</v>
      </c>
    </row>
    <row r="212">
      <c r="C212" s="6" t="s">
        <v>212</v>
      </c>
      <c r="D212" s="3">
        <f t="shared" si="1"/>
        <v>1</v>
      </c>
      <c r="E212" s="3" t="str">
        <f>IFERROR(__xludf.DUMMYFUNCTION("REGEXEXTRACT(C212,""[^ ]* [^ ]*"")"),"vibrant cyan")</f>
        <v>vibrant cyan</v>
      </c>
      <c r="F212" s="3" t="str">
        <f>IFERROR(__xludf.DUMMYFUNCTION("MID(REGEXEXTRACT(C212,""contain.*$""),9,300)"),"1 dim yellow bag, 5 bright tan bags.")</f>
        <v>1 dim yellow bag, 5 bright tan bags.</v>
      </c>
      <c r="G212" s="3" t="str">
        <f>IFERROR(__xludf.DUMMYFUNCTION("INDEX(SPLIT($F212,"",""),COLUMN()-6)"),"1 dim yellow bag")</f>
        <v>1 dim yellow bag</v>
      </c>
      <c r="H212" s="3" t="str">
        <f>IFERROR(__xludf.DUMMYFUNCTION("MID(INDEX(SPLIT($F212,"",""),COLUMN()-6),2,300)"),"5 bright tan bags.")</f>
        <v>5 bright tan bags.</v>
      </c>
      <c r="I212" s="3" t="str">
        <f>IFERROR(__xludf.DUMMYFUNCTION("MID(INDEX(SPLIT($F212,"",""),COLUMN()-6),2,300)"),"#REF!")</f>
        <v>#REF!</v>
      </c>
      <c r="J212" s="3" t="str">
        <f>IFERROR(__xludf.DUMMYFUNCTION("MID(INDEX(SPLIT($F212,"",""),COLUMN()-6),2,300)"),"#REF!")</f>
        <v>#REF!</v>
      </c>
      <c r="K212" s="3">
        <f>IFERROR(__xludf.DUMMYFUNCTION("INDEX(SPLIT(G212,"" ""),1)"),1.0)</f>
        <v>1</v>
      </c>
      <c r="L212" s="3" t="str">
        <f>IFERROR(__xludf.DUMMYFUNCTION("REGEXEXTRACT(G212,"" [^ ]* [^ ]* "")")," dim yellow ")</f>
        <v> dim yellow </v>
      </c>
      <c r="M212" s="3">
        <f>IFERROR(__xludf.DUMMYFUNCTION("INDEX(SPLIT(H212,"" ""),1)"),5.0)</f>
        <v>5</v>
      </c>
      <c r="N212" s="3" t="str">
        <f>IFERROR(__xludf.DUMMYFUNCTION("MID(REGEXEXTRACT(H212,"" [^ ]* [^ ]*""),2,300)"),"bright tan")</f>
        <v>bright tan</v>
      </c>
      <c r="O212" s="3" t="str">
        <f>IFERROR(__xludf.DUMMYFUNCTION("INDEX(SPLIT(I212,"" ""),1)"),"#REF!")</f>
        <v>#REF!</v>
      </c>
      <c r="P212" s="3" t="str">
        <f>IFERROR(__xludf.DUMMYFUNCTION("MID(REGEXEXTRACT(I212,"" [^ ]* [^ ]*""),2,300)"),"#REF!")</f>
        <v>#REF!</v>
      </c>
      <c r="Q212" s="3" t="str">
        <f>IFERROR(__xludf.DUMMYFUNCTION("INDEX(SPLIT(J212,"" ""),1)"),"#REF!")</f>
        <v>#REF!</v>
      </c>
      <c r="R212" s="3" t="str">
        <f>IFERROR(__xludf.DUMMYFUNCTION("MID(REGEXEXTRACT(J212,"" [^ ]* [^ ]*""),2,300)"),"#REF!")</f>
        <v>#REF!</v>
      </c>
      <c r="S212" s="3">
        <f t="shared" si="2"/>
        <v>1</v>
      </c>
      <c r="T212" s="3" t="str">
        <f t="shared" si="3"/>
        <v>dim yellow</v>
      </c>
      <c r="U212" s="3">
        <f t="shared" si="4"/>
        <v>5</v>
      </c>
      <c r="V212" s="3" t="str">
        <f t="shared" si="5"/>
        <v>bright tan</v>
      </c>
      <c r="W212" s="3" t="str">
        <f t="shared" si="6"/>
        <v/>
      </c>
      <c r="X212" s="3" t="str">
        <f t="shared" si="7"/>
        <v/>
      </c>
      <c r="Y212" s="3" t="str">
        <f t="shared" si="8"/>
        <v/>
      </c>
      <c r="Z212" s="3" t="str">
        <f t="shared" si="9"/>
        <v/>
      </c>
      <c r="AA212" s="13">
        <f t="shared" si="10"/>
        <v>2184676</v>
      </c>
      <c r="AB212" s="3">
        <f t="shared" si="11"/>
        <v>2184675</v>
      </c>
      <c r="AC212" s="3">
        <f t="shared" si="12"/>
        <v>1</v>
      </c>
      <c r="AD212" s="3">
        <f t="shared" si="13"/>
        <v>216745</v>
      </c>
      <c r="AE212" s="3">
        <f t="shared" si="14"/>
        <v>5</v>
      </c>
      <c r="AF212" s="3">
        <f t="shared" si="15"/>
        <v>393586</v>
      </c>
      <c r="AG212" s="3" t="str">
        <f t="shared" si="16"/>
        <v/>
      </c>
      <c r="AH212" s="3">
        <f t="shared" si="17"/>
        <v>0</v>
      </c>
      <c r="AI212" s="3" t="str">
        <f t="shared" si="18"/>
        <v/>
      </c>
      <c r="AJ212" s="3">
        <f t="shared" si="19"/>
        <v>0</v>
      </c>
    </row>
    <row r="213">
      <c r="C213" s="6" t="s">
        <v>213</v>
      </c>
      <c r="D213" s="3">
        <f t="shared" si="1"/>
        <v>1</v>
      </c>
      <c r="E213" s="3" t="str">
        <f>IFERROR(__xludf.DUMMYFUNCTION("REGEXEXTRACT(C213,""[^ ]* [^ ]*"")"),"wavy gold")</f>
        <v>wavy gold</v>
      </c>
      <c r="F213" s="3" t="str">
        <f>IFERROR(__xludf.DUMMYFUNCTION("MID(REGEXEXTRACT(C213,""contain.*$""),9,300)"),"2 dark brown bags, 1 dull yellow bag.")</f>
        <v>2 dark brown bags, 1 dull yellow bag.</v>
      </c>
      <c r="G213" s="3" t="str">
        <f>IFERROR(__xludf.DUMMYFUNCTION("INDEX(SPLIT($F213,"",""),COLUMN()-6)"),"2 dark brown bags")</f>
        <v>2 dark brown bags</v>
      </c>
      <c r="H213" s="3" t="str">
        <f>IFERROR(__xludf.DUMMYFUNCTION("MID(INDEX(SPLIT($F213,"",""),COLUMN()-6),2,300)"),"1 dull yellow bag.")</f>
        <v>1 dull yellow bag.</v>
      </c>
      <c r="I213" s="3" t="str">
        <f>IFERROR(__xludf.DUMMYFUNCTION("MID(INDEX(SPLIT($F213,"",""),COLUMN()-6),2,300)"),"#REF!")</f>
        <v>#REF!</v>
      </c>
      <c r="J213" s="3" t="str">
        <f>IFERROR(__xludf.DUMMYFUNCTION("MID(INDEX(SPLIT($F213,"",""),COLUMN()-6),2,300)"),"#REF!")</f>
        <v>#REF!</v>
      </c>
      <c r="K213" s="3">
        <f>IFERROR(__xludf.DUMMYFUNCTION("INDEX(SPLIT(G213,"" ""),1)"),2.0)</f>
        <v>2</v>
      </c>
      <c r="L213" s="3" t="str">
        <f>IFERROR(__xludf.DUMMYFUNCTION("REGEXEXTRACT(G213,"" [^ ]* [^ ]* "")")," dark brown ")</f>
        <v> dark brown </v>
      </c>
      <c r="M213" s="3">
        <f>IFERROR(__xludf.DUMMYFUNCTION("INDEX(SPLIT(H213,"" ""),1)"),1.0)</f>
        <v>1</v>
      </c>
      <c r="N213" s="3" t="str">
        <f>IFERROR(__xludf.DUMMYFUNCTION("MID(REGEXEXTRACT(H213,"" [^ ]* [^ ]*""),2,300)"),"dull yellow")</f>
        <v>dull yellow</v>
      </c>
      <c r="O213" s="3" t="str">
        <f>IFERROR(__xludf.DUMMYFUNCTION("INDEX(SPLIT(I213,"" ""),1)"),"#REF!")</f>
        <v>#REF!</v>
      </c>
      <c r="P213" s="3" t="str">
        <f>IFERROR(__xludf.DUMMYFUNCTION("MID(REGEXEXTRACT(I213,"" [^ ]* [^ ]*""),2,300)"),"#REF!")</f>
        <v>#REF!</v>
      </c>
      <c r="Q213" s="3" t="str">
        <f>IFERROR(__xludf.DUMMYFUNCTION("INDEX(SPLIT(J213,"" ""),1)"),"#REF!")</f>
        <v>#REF!</v>
      </c>
      <c r="R213" s="3" t="str">
        <f>IFERROR(__xludf.DUMMYFUNCTION("MID(REGEXEXTRACT(J213,"" [^ ]* [^ ]*""),2,300)"),"#REF!")</f>
        <v>#REF!</v>
      </c>
      <c r="S213" s="3">
        <f t="shared" si="2"/>
        <v>2</v>
      </c>
      <c r="T213" s="3" t="str">
        <f t="shared" si="3"/>
        <v>dark brown</v>
      </c>
      <c r="U213" s="3">
        <f t="shared" si="4"/>
        <v>1</v>
      </c>
      <c r="V213" s="3" t="str">
        <f t="shared" si="5"/>
        <v>dull yellow</v>
      </c>
      <c r="W213" s="3" t="str">
        <f t="shared" si="6"/>
        <v/>
      </c>
      <c r="X213" s="3" t="str">
        <f t="shared" si="7"/>
        <v/>
      </c>
      <c r="Y213" s="3" t="str">
        <f t="shared" si="8"/>
        <v/>
      </c>
      <c r="Z213" s="3" t="str">
        <f t="shared" si="9"/>
        <v/>
      </c>
      <c r="AA213" s="13">
        <f t="shared" si="10"/>
        <v>459158</v>
      </c>
      <c r="AB213" s="3">
        <f t="shared" si="11"/>
        <v>459157</v>
      </c>
      <c r="AC213" s="3">
        <f t="shared" si="12"/>
        <v>2</v>
      </c>
      <c r="AD213" s="3">
        <f t="shared" si="13"/>
        <v>134569</v>
      </c>
      <c r="AE213" s="3">
        <f t="shared" si="14"/>
        <v>1</v>
      </c>
      <c r="AF213" s="3">
        <f t="shared" si="15"/>
        <v>190019</v>
      </c>
      <c r="AG213" s="3" t="str">
        <f t="shared" si="16"/>
        <v/>
      </c>
      <c r="AH213" s="3">
        <f t="shared" si="17"/>
        <v>0</v>
      </c>
      <c r="AI213" s="3" t="str">
        <f t="shared" si="18"/>
        <v/>
      </c>
      <c r="AJ213" s="3">
        <f t="shared" si="19"/>
        <v>0</v>
      </c>
    </row>
    <row r="214">
      <c r="C214" s="6" t="s">
        <v>214</v>
      </c>
      <c r="D214" s="3">
        <f t="shared" si="1"/>
        <v>3</v>
      </c>
      <c r="E214" s="3" t="str">
        <f>IFERROR(__xludf.DUMMYFUNCTION("REGEXEXTRACT(C214,""[^ ]* [^ ]*"")"),"dark cyan")</f>
        <v>dark cyan</v>
      </c>
      <c r="F214" s="3" t="str">
        <f>IFERROR(__xludf.DUMMYFUNCTION("MID(REGEXEXTRACT(C214,""contain.*$""),9,300)"),"4 dim white bags, 2 mirrored indigo bags, 4 muted white bags, 2 bright white bags.")</f>
        <v>4 dim white bags, 2 mirrored indigo bags, 4 muted white bags, 2 bright white bags.</v>
      </c>
      <c r="G214" s="3" t="str">
        <f>IFERROR(__xludf.DUMMYFUNCTION("INDEX(SPLIT($F214,"",""),COLUMN()-6)"),"4 dim white bags")</f>
        <v>4 dim white bags</v>
      </c>
      <c r="H214" s="3" t="str">
        <f>IFERROR(__xludf.DUMMYFUNCTION("MID(INDEX(SPLIT($F214,"",""),COLUMN()-6),2,300)"),"2 mirrored indigo bags")</f>
        <v>2 mirrored indigo bags</v>
      </c>
      <c r="I214" s="3" t="str">
        <f>IFERROR(__xludf.DUMMYFUNCTION("MID(INDEX(SPLIT($F214,"",""),COLUMN()-6),2,300)"),"4 muted white bags")</f>
        <v>4 muted white bags</v>
      </c>
      <c r="J214" s="3" t="str">
        <f>IFERROR(__xludf.DUMMYFUNCTION("MID(INDEX(SPLIT($F214,"",""),COLUMN()-6),2,300)"),"2 bright white bags.")</f>
        <v>2 bright white bags.</v>
      </c>
      <c r="K214" s="3">
        <f>IFERROR(__xludf.DUMMYFUNCTION("INDEX(SPLIT(G214,"" ""),1)"),4.0)</f>
        <v>4</v>
      </c>
      <c r="L214" s="3" t="str">
        <f>IFERROR(__xludf.DUMMYFUNCTION("REGEXEXTRACT(G214,"" [^ ]* [^ ]* "")")," dim white ")</f>
        <v> dim white </v>
      </c>
      <c r="M214" s="3">
        <f>IFERROR(__xludf.DUMMYFUNCTION("INDEX(SPLIT(H214,"" ""),1)"),2.0)</f>
        <v>2</v>
      </c>
      <c r="N214" s="3" t="str">
        <f>IFERROR(__xludf.DUMMYFUNCTION("MID(REGEXEXTRACT(H214,"" [^ ]* [^ ]*""),2,300)"),"mirrored indigo")</f>
        <v>mirrored indigo</v>
      </c>
      <c r="O214" s="3">
        <f>IFERROR(__xludf.DUMMYFUNCTION("INDEX(SPLIT(I214,"" ""),1)"),4.0)</f>
        <v>4</v>
      </c>
      <c r="P214" s="3" t="str">
        <f>IFERROR(__xludf.DUMMYFUNCTION("MID(REGEXEXTRACT(I214,"" [^ ]* [^ ]*""),2,300)"),"muted white")</f>
        <v>muted white</v>
      </c>
      <c r="Q214" s="3">
        <f>IFERROR(__xludf.DUMMYFUNCTION("INDEX(SPLIT(J214,"" ""),1)"),2.0)</f>
        <v>2</v>
      </c>
      <c r="R214" s="3" t="str">
        <f>IFERROR(__xludf.DUMMYFUNCTION("MID(REGEXEXTRACT(J214,"" [^ ]* [^ ]*""),2,300)"),"bright white")</f>
        <v>bright white</v>
      </c>
      <c r="S214" s="3">
        <f t="shared" si="2"/>
        <v>4</v>
      </c>
      <c r="T214" s="3" t="str">
        <f t="shared" si="3"/>
        <v>dim white</v>
      </c>
      <c r="U214" s="3">
        <f t="shared" si="4"/>
        <v>2</v>
      </c>
      <c r="V214" s="3" t="str">
        <f t="shared" si="5"/>
        <v>mirrored indigo</v>
      </c>
      <c r="W214" s="3">
        <f t="shared" si="6"/>
        <v>4</v>
      </c>
      <c r="X214" s="3" t="str">
        <f t="shared" si="7"/>
        <v>muted white</v>
      </c>
      <c r="Y214" s="3">
        <f t="shared" si="8"/>
        <v>2</v>
      </c>
      <c r="Z214" s="3" t="str">
        <f t="shared" si="9"/>
        <v>bright white</v>
      </c>
      <c r="AA214" s="13">
        <f t="shared" si="10"/>
        <v>61971319</v>
      </c>
      <c r="AB214" s="3">
        <f t="shared" si="11"/>
        <v>61971318</v>
      </c>
      <c r="AC214" s="3">
        <f t="shared" si="12"/>
        <v>4</v>
      </c>
      <c r="AD214" s="3">
        <f t="shared" si="13"/>
        <v>16690</v>
      </c>
      <c r="AE214" s="3">
        <f t="shared" si="14"/>
        <v>2</v>
      </c>
      <c r="AF214" s="3">
        <f t="shared" si="15"/>
        <v>181271</v>
      </c>
      <c r="AG214" s="3">
        <f t="shared" si="16"/>
        <v>4</v>
      </c>
      <c r="AH214" s="3">
        <f t="shared" si="17"/>
        <v>2893450</v>
      </c>
      <c r="AI214" s="3">
        <f t="shared" si="18"/>
        <v>2</v>
      </c>
      <c r="AJ214" s="3">
        <f t="shared" si="19"/>
        <v>24984108</v>
      </c>
    </row>
    <row r="215">
      <c r="C215" s="6" t="s">
        <v>215</v>
      </c>
      <c r="D215" s="3">
        <f t="shared" si="1"/>
        <v>1</v>
      </c>
      <c r="E215" s="3" t="str">
        <f>IFERROR(__xludf.DUMMYFUNCTION("REGEXEXTRACT(C215,""[^ ]* [^ ]*"")"),"posh lime")</f>
        <v>posh lime</v>
      </c>
      <c r="F215" s="3" t="str">
        <f>IFERROR(__xludf.DUMMYFUNCTION("MID(REGEXEXTRACT(C215,""contain.*$""),9,300)"),"4 shiny plum bags, 3 plaid fuchsia bags.")</f>
        <v>4 shiny plum bags, 3 plaid fuchsia bags.</v>
      </c>
      <c r="G215" s="3" t="str">
        <f>IFERROR(__xludf.DUMMYFUNCTION("INDEX(SPLIT($F215,"",""),COLUMN()-6)"),"4 shiny plum bags")</f>
        <v>4 shiny plum bags</v>
      </c>
      <c r="H215" s="3" t="str">
        <f>IFERROR(__xludf.DUMMYFUNCTION("MID(INDEX(SPLIT($F215,"",""),COLUMN()-6),2,300)"),"3 plaid fuchsia bags.")</f>
        <v>3 plaid fuchsia bags.</v>
      </c>
      <c r="I215" s="3" t="str">
        <f>IFERROR(__xludf.DUMMYFUNCTION("MID(INDEX(SPLIT($F215,"",""),COLUMN()-6),2,300)"),"#REF!")</f>
        <v>#REF!</v>
      </c>
      <c r="J215" s="3" t="str">
        <f>IFERROR(__xludf.DUMMYFUNCTION("MID(INDEX(SPLIT($F215,"",""),COLUMN()-6),2,300)"),"#REF!")</f>
        <v>#REF!</v>
      </c>
      <c r="K215" s="3">
        <f>IFERROR(__xludf.DUMMYFUNCTION("INDEX(SPLIT(G215,"" ""),1)"),4.0)</f>
        <v>4</v>
      </c>
      <c r="L215" s="3" t="str">
        <f>IFERROR(__xludf.DUMMYFUNCTION("REGEXEXTRACT(G215,"" [^ ]* [^ ]* "")")," shiny plum ")</f>
        <v> shiny plum </v>
      </c>
      <c r="M215" s="3">
        <f>IFERROR(__xludf.DUMMYFUNCTION("INDEX(SPLIT(H215,"" ""),1)"),3.0)</f>
        <v>3</v>
      </c>
      <c r="N215" s="3" t="str">
        <f>IFERROR(__xludf.DUMMYFUNCTION("MID(REGEXEXTRACT(H215,"" [^ ]* [^ ]*""),2,300)"),"plaid fuchsia")</f>
        <v>plaid fuchsia</v>
      </c>
      <c r="O215" s="3" t="str">
        <f>IFERROR(__xludf.DUMMYFUNCTION("INDEX(SPLIT(I215,"" ""),1)"),"#REF!")</f>
        <v>#REF!</v>
      </c>
      <c r="P215" s="3" t="str">
        <f>IFERROR(__xludf.DUMMYFUNCTION("MID(REGEXEXTRACT(I215,"" [^ ]* [^ ]*""),2,300)"),"#REF!")</f>
        <v>#REF!</v>
      </c>
      <c r="Q215" s="3" t="str">
        <f>IFERROR(__xludf.DUMMYFUNCTION("INDEX(SPLIT(J215,"" ""),1)"),"#REF!")</f>
        <v>#REF!</v>
      </c>
      <c r="R215" s="3" t="str">
        <f>IFERROR(__xludf.DUMMYFUNCTION("MID(REGEXEXTRACT(J215,"" [^ ]* [^ ]*""),2,300)"),"#REF!")</f>
        <v>#REF!</v>
      </c>
      <c r="S215" s="3">
        <f t="shared" si="2"/>
        <v>4</v>
      </c>
      <c r="T215" s="3" t="str">
        <f t="shared" si="3"/>
        <v>shiny plum</v>
      </c>
      <c r="U215" s="3">
        <f t="shared" si="4"/>
        <v>3</v>
      </c>
      <c r="V215" s="3" t="str">
        <f t="shared" si="5"/>
        <v>plaid fuchsia</v>
      </c>
      <c r="W215" s="3" t="str">
        <f t="shared" si="6"/>
        <v/>
      </c>
      <c r="X215" s="3" t="str">
        <f t="shared" si="7"/>
        <v/>
      </c>
      <c r="Y215" s="3" t="str">
        <f t="shared" si="8"/>
        <v/>
      </c>
      <c r="Z215" s="3" t="str">
        <f t="shared" si="9"/>
        <v/>
      </c>
      <c r="AA215" s="13">
        <f t="shared" si="10"/>
        <v>14373618</v>
      </c>
      <c r="AB215" s="3">
        <f t="shared" si="11"/>
        <v>14373617</v>
      </c>
      <c r="AC215" s="3">
        <f t="shared" si="12"/>
        <v>4</v>
      </c>
      <c r="AD215" s="3">
        <f t="shared" si="13"/>
        <v>3593402</v>
      </c>
      <c r="AE215" s="3">
        <f t="shared" si="14"/>
        <v>3</v>
      </c>
      <c r="AF215" s="3">
        <f t="shared" si="15"/>
        <v>3</v>
      </c>
      <c r="AG215" s="3" t="str">
        <f t="shared" si="16"/>
        <v/>
      </c>
      <c r="AH215" s="3">
        <f t="shared" si="17"/>
        <v>0</v>
      </c>
      <c r="AI215" s="3" t="str">
        <f t="shared" si="18"/>
        <v/>
      </c>
      <c r="AJ215" s="3">
        <f t="shared" si="19"/>
        <v>0</v>
      </c>
    </row>
    <row r="216">
      <c r="C216" s="6" t="s">
        <v>216</v>
      </c>
      <c r="D216" s="3">
        <f t="shared" si="1"/>
        <v>0</v>
      </c>
      <c r="E216" s="3" t="str">
        <f>IFERROR(__xludf.DUMMYFUNCTION("REGEXEXTRACT(C216,""[^ ]* [^ ]*"")"),"posh purple")</f>
        <v>posh purple</v>
      </c>
      <c r="F216" s="3" t="str">
        <f>IFERROR(__xludf.DUMMYFUNCTION("MID(REGEXEXTRACT(C216,""contain.*$""),9,300)"),"3 muted salmon bags.")</f>
        <v>3 muted salmon bags.</v>
      </c>
      <c r="G216" s="3" t="str">
        <f>IFERROR(__xludf.DUMMYFUNCTION("INDEX(SPLIT($F216,"",""),COLUMN()-6)"),"3 muted salmon bags.")</f>
        <v>3 muted salmon bags.</v>
      </c>
      <c r="H216" s="3" t="str">
        <f>IFERROR(__xludf.DUMMYFUNCTION("MID(INDEX(SPLIT($F216,"",""),COLUMN()-6),2,300)"),"#REF!")</f>
        <v>#REF!</v>
      </c>
      <c r="I216" s="3" t="str">
        <f>IFERROR(__xludf.DUMMYFUNCTION("MID(INDEX(SPLIT($F216,"",""),COLUMN()-6),2,300)"),"#REF!")</f>
        <v>#REF!</v>
      </c>
      <c r="J216" s="3" t="str">
        <f>IFERROR(__xludf.DUMMYFUNCTION("MID(INDEX(SPLIT($F216,"",""),COLUMN()-6),2,300)"),"#REF!")</f>
        <v>#REF!</v>
      </c>
      <c r="K216" s="3">
        <f>IFERROR(__xludf.DUMMYFUNCTION("INDEX(SPLIT(G216,"" ""),1)"),3.0)</f>
        <v>3</v>
      </c>
      <c r="L216" s="3" t="str">
        <f>IFERROR(__xludf.DUMMYFUNCTION("REGEXEXTRACT(G216,"" [^ ]* [^ ]* "")")," muted salmon ")</f>
        <v> muted salmon </v>
      </c>
      <c r="M216" s="3" t="str">
        <f>IFERROR(__xludf.DUMMYFUNCTION("INDEX(SPLIT(H216,"" ""),1)"),"#REF!")</f>
        <v>#REF!</v>
      </c>
      <c r="N216" s="3" t="str">
        <f>IFERROR(__xludf.DUMMYFUNCTION("MID(REGEXEXTRACT(H216,"" [^ ]* [^ ]*""),2,300)"),"#REF!")</f>
        <v>#REF!</v>
      </c>
      <c r="O216" s="3" t="str">
        <f>IFERROR(__xludf.DUMMYFUNCTION("INDEX(SPLIT(I216,"" ""),1)"),"#REF!")</f>
        <v>#REF!</v>
      </c>
      <c r="P216" s="3" t="str">
        <f>IFERROR(__xludf.DUMMYFUNCTION("MID(REGEXEXTRACT(I216,"" [^ ]* [^ ]*""),2,300)"),"#REF!")</f>
        <v>#REF!</v>
      </c>
      <c r="Q216" s="3" t="str">
        <f>IFERROR(__xludf.DUMMYFUNCTION("INDEX(SPLIT(J216,"" ""),1)"),"#REF!")</f>
        <v>#REF!</v>
      </c>
      <c r="R216" s="3" t="str">
        <f>IFERROR(__xludf.DUMMYFUNCTION("MID(REGEXEXTRACT(J216,"" [^ ]* [^ ]*""),2,300)"),"#REF!")</f>
        <v>#REF!</v>
      </c>
      <c r="S216" s="3">
        <f t="shared" si="2"/>
        <v>3</v>
      </c>
      <c r="T216" s="3" t="str">
        <f t="shared" si="3"/>
        <v>muted salmon</v>
      </c>
      <c r="U216" s="3" t="str">
        <f t="shared" si="4"/>
        <v/>
      </c>
      <c r="V216" s="3" t="str">
        <f t="shared" si="5"/>
        <v/>
      </c>
      <c r="W216" s="3" t="str">
        <f t="shared" si="6"/>
        <v/>
      </c>
      <c r="X216" s="3" t="str">
        <f t="shared" si="7"/>
        <v/>
      </c>
      <c r="Y216" s="3" t="str">
        <f t="shared" si="8"/>
        <v/>
      </c>
      <c r="Z216" s="3" t="str">
        <f t="shared" si="9"/>
        <v/>
      </c>
      <c r="AA216" s="13">
        <f t="shared" si="10"/>
        <v>9037</v>
      </c>
      <c r="AB216" s="3">
        <f t="shared" si="11"/>
        <v>9036</v>
      </c>
      <c r="AC216" s="3">
        <f t="shared" si="12"/>
        <v>3</v>
      </c>
      <c r="AD216" s="3">
        <f t="shared" si="13"/>
        <v>3012</v>
      </c>
      <c r="AE216" s="3" t="str">
        <f t="shared" si="14"/>
        <v/>
      </c>
      <c r="AF216" s="3">
        <f t="shared" si="15"/>
        <v>0</v>
      </c>
      <c r="AG216" s="3" t="str">
        <f t="shared" si="16"/>
        <v/>
      </c>
      <c r="AH216" s="3">
        <f t="shared" si="17"/>
        <v>0</v>
      </c>
      <c r="AI216" s="3" t="str">
        <f t="shared" si="18"/>
        <v/>
      </c>
      <c r="AJ216" s="3">
        <f t="shared" si="19"/>
        <v>0</v>
      </c>
    </row>
    <row r="217">
      <c r="C217" s="6" t="s">
        <v>217</v>
      </c>
      <c r="D217" s="3">
        <f t="shared" si="1"/>
        <v>2</v>
      </c>
      <c r="E217" s="3" t="str">
        <f>IFERROR(__xludf.DUMMYFUNCTION("REGEXEXTRACT(C217,""[^ ]* [^ ]*"")"),"pale magenta")</f>
        <v>pale magenta</v>
      </c>
      <c r="F217" s="3" t="str">
        <f>IFERROR(__xludf.DUMMYFUNCTION("MID(REGEXEXTRACT(C217,""contain.*$""),9,300)"),"1 drab gold bag, 1 dark white bag, 3 posh silver bags.")</f>
        <v>1 drab gold bag, 1 dark white bag, 3 posh silver bags.</v>
      </c>
      <c r="G217" s="3" t="str">
        <f>IFERROR(__xludf.DUMMYFUNCTION("INDEX(SPLIT($F217,"",""),COLUMN()-6)"),"1 drab gold bag")</f>
        <v>1 drab gold bag</v>
      </c>
      <c r="H217" s="3" t="str">
        <f>IFERROR(__xludf.DUMMYFUNCTION("MID(INDEX(SPLIT($F217,"",""),COLUMN()-6),2,300)"),"1 dark white bag")</f>
        <v>1 dark white bag</v>
      </c>
      <c r="I217" s="3" t="str">
        <f>IFERROR(__xludf.DUMMYFUNCTION("MID(INDEX(SPLIT($F217,"",""),COLUMN()-6),2,300)"),"3 posh silver bags.")</f>
        <v>3 posh silver bags.</v>
      </c>
      <c r="J217" s="3" t="str">
        <f>IFERROR(__xludf.DUMMYFUNCTION("MID(INDEX(SPLIT($F217,"",""),COLUMN()-6),2,300)"),"#REF!")</f>
        <v>#REF!</v>
      </c>
      <c r="K217" s="3">
        <f>IFERROR(__xludf.DUMMYFUNCTION("INDEX(SPLIT(G217,"" ""),1)"),1.0)</f>
        <v>1</v>
      </c>
      <c r="L217" s="3" t="str">
        <f>IFERROR(__xludf.DUMMYFUNCTION("REGEXEXTRACT(G217,"" [^ ]* [^ ]* "")")," drab gold ")</f>
        <v> drab gold </v>
      </c>
      <c r="M217" s="3">
        <f>IFERROR(__xludf.DUMMYFUNCTION("INDEX(SPLIT(H217,"" ""),1)"),1.0)</f>
        <v>1</v>
      </c>
      <c r="N217" s="3" t="str">
        <f>IFERROR(__xludf.DUMMYFUNCTION("MID(REGEXEXTRACT(H217,"" [^ ]* [^ ]*""),2,300)"),"dark white")</f>
        <v>dark white</v>
      </c>
      <c r="O217" s="3">
        <f>IFERROR(__xludf.DUMMYFUNCTION("INDEX(SPLIT(I217,"" ""),1)"),3.0)</f>
        <v>3</v>
      </c>
      <c r="P217" s="3" t="str">
        <f>IFERROR(__xludf.DUMMYFUNCTION("MID(REGEXEXTRACT(I217,"" [^ ]* [^ ]*""),2,300)"),"posh silver")</f>
        <v>posh silver</v>
      </c>
      <c r="Q217" s="3" t="str">
        <f>IFERROR(__xludf.DUMMYFUNCTION("INDEX(SPLIT(J217,"" ""),1)"),"#REF!")</f>
        <v>#REF!</v>
      </c>
      <c r="R217" s="3" t="str">
        <f>IFERROR(__xludf.DUMMYFUNCTION("MID(REGEXEXTRACT(J217,"" [^ ]* [^ ]*""),2,300)"),"#REF!")</f>
        <v>#REF!</v>
      </c>
      <c r="S217" s="3">
        <f t="shared" si="2"/>
        <v>1</v>
      </c>
      <c r="T217" s="3" t="str">
        <f t="shared" si="3"/>
        <v>drab gold</v>
      </c>
      <c r="U217" s="3">
        <f t="shared" si="4"/>
        <v>1</v>
      </c>
      <c r="V217" s="3" t="str">
        <f t="shared" si="5"/>
        <v>dark white</v>
      </c>
      <c r="W217" s="3">
        <f t="shared" si="6"/>
        <v>3</v>
      </c>
      <c r="X217" s="3" t="str">
        <f t="shared" si="7"/>
        <v>posh silver</v>
      </c>
      <c r="Y217" s="3" t="str">
        <f t="shared" si="8"/>
        <v/>
      </c>
      <c r="Z217" s="3" t="str">
        <f t="shared" si="9"/>
        <v/>
      </c>
      <c r="AA217" s="13">
        <f t="shared" si="10"/>
        <v>909289041</v>
      </c>
      <c r="AB217" s="3">
        <f t="shared" si="11"/>
        <v>909289040</v>
      </c>
      <c r="AC217" s="3">
        <f t="shared" si="12"/>
        <v>1</v>
      </c>
      <c r="AD217" s="3">
        <f t="shared" si="13"/>
        <v>4743886</v>
      </c>
      <c r="AE217" s="3">
        <f t="shared" si="14"/>
        <v>1</v>
      </c>
      <c r="AF217" s="3">
        <f t="shared" si="15"/>
        <v>799970875</v>
      </c>
      <c r="AG217" s="3">
        <f t="shared" si="16"/>
        <v>3</v>
      </c>
      <c r="AH217" s="3">
        <f t="shared" si="17"/>
        <v>34858093</v>
      </c>
      <c r="AI217" s="3" t="str">
        <f t="shared" si="18"/>
        <v/>
      </c>
      <c r="AJ217" s="3">
        <f t="shared" si="19"/>
        <v>0</v>
      </c>
    </row>
    <row r="218">
      <c r="C218" s="6" t="s">
        <v>218</v>
      </c>
      <c r="D218" s="3">
        <f t="shared" si="1"/>
        <v>1</v>
      </c>
      <c r="E218" s="3" t="str">
        <f>IFERROR(__xludf.DUMMYFUNCTION("REGEXEXTRACT(C218,""[^ ]* [^ ]*"")"),"dim plum")</f>
        <v>dim plum</v>
      </c>
      <c r="F218" s="3" t="str">
        <f>IFERROR(__xludf.DUMMYFUNCTION("MID(REGEXEXTRACT(C218,""contain.*$""),9,300)"),"4 dark chartreuse bags, 4 mirrored lavender bags.")</f>
        <v>4 dark chartreuse bags, 4 mirrored lavender bags.</v>
      </c>
      <c r="G218" s="3" t="str">
        <f>IFERROR(__xludf.DUMMYFUNCTION("INDEX(SPLIT($F218,"",""),COLUMN()-6)"),"4 dark chartreuse bags")</f>
        <v>4 dark chartreuse bags</v>
      </c>
      <c r="H218" s="3" t="str">
        <f>IFERROR(__xludf.DUMMYFUNCTION("MID(INDEX(SPLIT($F218,"",""),COLUMN()-6),2,300)"),"4 mirrored lavender bags.")</f>
        <v>4 mirrored lavender bags.</v>
      </c>
      <c r="I218" s="3" t="str">
        <f>IFERROR(__xludf.DUMMYFUNCTION("MID(INDEX(SPLIT($F218,"",""),COLUMN()-6),2,300)"),"#REF!")</f>
        <v>#REF!</v>
      </c>
      <c r="J218" s="3" t="str">
        <f>IFERROR(__xludf.DUMMYFUNCTION("MID(INDEX(SPLIT($F218,"",""),COLUMN()-6),2,300)"),"#REF!")</f>
        <v>#REF!</v>
      </c>
      <c r="K218" s="3">
        <f>IFERROR(__xludf.DUMMYFUNCTION("INDEX(SPLIT(G218,"" ""),1)"),4.0)</f>
        <v>4</v>
      </c>
      <c r="L218" s="3" t="str">
        <f>IFERROR(__xludf.DUMMYFUNCTION("REGEXEXTRACT(G218,"" [^ ]* [^ ]* "")")," dark chartreuse ")</f>
        <v> dark chartreuse </v>
      </c>
      <c r="M218" s="3">
        <f>IFERROR(__xludf.DUMMYFUNCTION("INDEX(SPLIT(H218,"" ""),1)"),4.0)</f>
        <v>4</v>
      </c>
      <c r="N218" s="3" t="str">
        <f>IFERROR(__xludf.DUMMYFUNCTION("MID(REGEXEXTRACT(H218,"" [^ ]* [^ ]*""),2,300)"),"mirrored lavender")</f>
        <v>mirrored lavender</v>
      </c>
      <c r="O218" s="3" t="str">
        <f>IFERROR(__xludf.DUMMYFUNCTION("INDEX(SPLIT(I218,"" ""),1)"),"#REF!")</f>
        <v>#REF!</v>
      </c>
      <c r="P218" s="3" t="str">
        <f>IFERROR(__xludf.DUMMYFUNCTION("MID(REGEXEXTRACT(I218,"" [^ ]* [^ ]*""),2,300)"),"#REF!")</f>
        <v>#REF!</v>
      </c>
      <c r="Q218" s="3" t="str">
        <f>IFERROR(__xludf.DUMMYFUNCTION("INDEX(SPLIT(J218,"" ""),1)"),"#REF!")</f>
        <v>#REF!</v>
      </c>
      <c r="R218" s="3" t="str">
        <f>IFERROR(__xludf.DUMMYFUNCTION("MID(REGEXEXTRACT(J218,"" [^ ]* [^ ]*""),2,300)"),"#REF!")</f>
        <v>#REF!</v>
      </c>
      <c r="S218" s="3">
        <f t="shared" si="2"/>
        <v>4</v>
      </c>
      <c r="T218" s="3" t="str">
        <f t="shared" si="3"/>
        <v>dark chartreuse</v>
      </c>
      <c r="U218" s="3">
        <f t="shared" si="4"/>
        <v>4</v>
      </c>
      <c r="V218" s="3" t="str">
        <f t="shared" si="5"/>
        <v>mirrored lavender</v>
      </c>
      <c r="W218" s="3" t="str">
        <f t="shared" si="6"/>
        <v/>
      </c>
      <c r="X218" s="3" t="str">
        <f t="shared" si="7"/>
        <v/>
      </c>
      <c r="Y218" s="3" t="str">
        <f t="shared" si="8"/>
        <v/>
      </c>
      <c r="Z218" s="3" t="str">
        <f t="shared" si="9"/>
        <v/>
      </c>
      <c r="AA218" s="13">
        <f t="shared" si="10"/>
        <v>356873825</v>
      </c>
      <c r="AB218" s="3">
        <f t="shared" si="11"/>
        <v>356873824</v>
      </c>
      <c r="AC218" s="3">
        <f t="shared" si="12"/>
        <v>4</v>
      </c>
      <c r="AD218" s="3">
        <f t="shared" si="13"/>
        <v>89212893</v>
      </c>
      <c r="AE218" s="3">
        <f t="shared" si="14"/>
        <v>4</v>
      </c>
      <c r="AF218" s="3">
        <f t="shared" si="15"/>
        <v>5563</v>
      </c>
      <c r="AG218" s="3" t="str">
        <f t="shared" si="16"/>
        <v/>
      </c>
      <c r="AH218" s="3">
        <f t="shared" si="17"/>
        <v>0</v>
      </c>
      <c r="AI218" s="3" t="str">
        <f t="shared" si="18"/>
        <v/>
      </c>
      <c r="AJ218" s="3">
        <f t="shared" si="19"/>
        <v>0</v>
      </c>
    </row>
    <row r="219">
      <c r="C219" s="6" t="s">
        <v>219</v>
      </c>
      <c r="D219" s="3">
        <f t="shared" si="1"/>
        <v>1</v>
      </c>
      <c r="E219" s="3" t="str">
        <f>IFERROR(__xludf.DUMMYFUNCTION("REGEXEXTRACT(C219,""[^ ]* [^ ]*"")"),"plaid indigo")</f>
        <v>plaid indigo</v>
      </c>
      <c r="F219" s="3" t="str">
        <f>IFERROR(__xludf.DUMMYFUNCTION("MID(REGEXEXTRACT(C219,""contain.*$""),9,300)"),"2 clear lime bags, 5 dull tomato bags.")</f>
        <v>2 clear lime bags, 5 dull tomato bags.</v>
      </c>
      <c r="G219" s="3" t="str">
        <f>IFERROR(__xludf.DUMMYFUNCTION("INDEX(SPLIT($F219,"",""),COLUMN()-6)"),"2 clear lime bags")</f>
        <v>2 clear lime bags</v>
      </c>
      <c r="H219" s="3" t="str">
        <f>IFERROR(__xludf.DUMMYFUNCTION("MID(INDEX(SPLIT($F219,"",""),COLUMN()-6),2,300)"),"5 dull tomato bags.")</f>
        <v>5 dull tomato bags.</v>
      </c>
      <c r="I219" s="3" t="str">
        <f>IFERROR(__xludf.DUMMYFUNCTION("MID(INDEX(SPLIT($F219,"",""),COLUMN()-6),2,300)"),"#REF!")</f>
        <v>#REF!</v>
      </c>
      <c r="J219" s="3" t="str">
        <f>IFERROR(__xludf.DUMMYFUNCTION("MID(INDEX(SPLIT($F219,"",""),COLUMN()-6),2,300)"),"#REF!")</f>
        <v>#REF!</v>
      </c>
      <c r="K219" s="3">
        <f>IFERROR(__xludf.DUMMYFUNCTION("INDEX(SPLIT(G219,"" ""),1)"),2.0)</f>
        <v>2</v>
      </c>
      <c r="L219" s="3" t="str">
        <f>IFERROR(__xludf.DUMMYFUNCTION("REGEXEXTRACT(G219,"" [^ ]* [^ ]* "")")," clear lime ")</f>
        <v> clear lime </v>
      </c>
      <c r="M219" s="3">
        <f>IFERROR(__xludf.DUMMYFUNCTION("INDEX(SPLIT(H219,"" ""),1)"),5.0)</f>
        <v>5</v>
      </c>
      <c r="N219" s="3" t="str">
        <f>IFERROR(__xludf.DUMMYFUNCTION("MID(REGEXEXTRACT(H219,"" [^ ]* [^ ]*""),2,300)"),"dull tomato")</f>
        <v>dull tomato</v>
      </c>
      <c r="O219" s="3" t="str">
        <f>IFERROR(__xludf.DUMMYFUNCTION("INDEX(SPLIT(I219,"" ""),1)"),"#REF!")</f>
        <v>#REF!</v>
      </c>
      <c r="P219" s="3" t="str">
        <f>IFERROR(__xludf.DUMMYFUNCTION("MID(REGEXEXTRACT(I219,"" [^ ]* [^ ]*""),2,300)"),"#REF!")</f>
        <v>#REF!</v>
      </c>
      <c r="Q219" s="3" t="str">
        <f>IFERROR(__xludf.DUMMYFUNCTION("INDEX(SPLIT(J219,"" ""),1)"),"#REF!")</f>
        <v>#REF!</v>
      </c>
      <c r="R219" s="3" t="str">
        <f>IFERROR(__xludf.DUMMYFUNCTION("MID(REGEXEXTRACT(J219,"" [^ ]* [^ ]*""),2,300)"),"#REF!")</f>
        <v>#REF!</v>
      </c>
      <c r="S219" s="3">
        <f t="shared" si="2"/>
        <v>2</v>
      </c>
      <c r="T219" s="3" t="str">
        <f t="shared" si="3"/>
        <v>clear lime</v>
      </c>
      <c r="U219" s="3">
        <f t="shared" si="4"/>
        <v>5</v>
      </c>
      <c r="V219" s="3" t="str">
        <f t="shared" si="5"/>
        <v>dull tomato</v>
      </c>
      <c r="W219" s="3" t="str">
        <f t="shared" si="6"/>
        <v/>
      </c>
      <c r="X219" s="3" t="str">
        <f t="shared" si="7"/>
        <v/>
      </c>
      <c r="Y219" s="3" t="str">
        <f t="shared" si="8"/>
        <v/>
      </c>
      <c r="Z219" s="3" t="str">
        <f t="shared" si="9"/>
        <v/>
      </c>
      <c r="AA219" s="13">
        <f t="shared" si="10"/>
        <v>1545306</v>
      </c>
      <c r="AB219" s="3">
        <f t="shared" si="11"/>
        <v>1545305</v>
      </c>
      <c r="AC219" s="3">
        <f t="shared" si="12"/>
        <v>2</v>
      </c>
      <c r="AD219" s="3">
        <f t="shared" si="13"/>
        <v>772625</v>
      </c>
      <c r="AE219" s="3">
        <f t="shared" si="14"/>
        <v>5</v>
      </c>
      <c r="AF219" s="3">
        <f t="shared" si="15"/>
        <v>11</v>
      </c>
      <c r="AG219" s="3" t="str">
        <f t="shared" si="16"/>
        <v/>
      </c>
      <c r="AH219" s="3">
        <f t="shared" si="17"/>
        <v>0</v>
      </c>
      <c r="AI219" s="3" t="str">
        <f t="shared" si="18"/>
        <v/>
      </c>
      <c r="AJ219" s="3">
        <f t="shared" si="19"/>
        <v>0</v>
      </c>
    </row>
    <row r="220">
      <c r="C220" s="6" t="s">
        <v>220</v>
      </c>
      <c r="D220" s="3">
        <f t="shared" si="1"/>
        <v>2</v>
      </c>
      <c r="E220" s="3" t="str">
        <f>IFERROR(__xludf.DUMMYFUNCTION("REGEXEXTRACT(C220,""[^ ]* [^ ]*"")"),"dark blue")</f>
        <v>dark blue</v>
      </c>
      <c r="F220" s="3" t="str">
        <f>IFERROR(__xludf.DUMMYFUNCTION("MID(REGEXEXTRACT(C220,""contain.*$""),9,300)"),"1 bright olive bag, 1 dull bronze bag, 1 shiny gold bag.")</f>
        <v>1 bright olive bag, 1 dull bronze bag, 1 shiny gold bag.</v>
      </c>
      <c r="G220" s="3" t="str">
        <f>IFERROR(__xludf.DUMMYFUNCTION("INDEX(SPLIT($F220,"",""),COLUMN()-6)"),"1 bright olive bag")</f>
        <v>1 bright olive bag</v>
      </c>
      <c r="H220" s="3" t="str">
        <f>IFERROR(__xludf.DUMMYFUNCTION("MID(INDEX(SPLIT($F220,"",""),COLUMN()-6),2,300)"),"1 dull bronze bag")</f>
        <v>1 dull bronze bag</v>
      </c>
      <c r="I220" s="3" t="str">
        <f>IFERROR(__xludf.DUMMYFUNCTION("MID(INDEX(SPLIT($F220,"",""),COLUMN()-6),2,300)"),"1 shiny gold bag.")</f>
        <v>1 shiny gold bag.</v>
      </c>
      <c r="J220" s="3" t="str">
        <f>IFERROR(__xludf.DUMMYFUNCTION("MID(INDEX(SPLIT($F220,"",""),COLUMN()-6),2,300)"),"#REF!")</f>
        <v>#REF!</v>
      </c>
      <c r="K220" s="3">
        <f>IFERROR(__xludf.DUMMYFUNCTION("INDEX(SPLIT(G220,"" ""),1)"),1.0)</f>
        <v>1</v>
      </c>
      <c r="L220" s="3" t="str">
        <f>IFERROR(__xludf.DUMMYFUNCTION("REGEXEXTRACT(G220,"" [^ ]* [^ ]* "")")," bright olive ")</f>
        <v> bright olive </v>
      </c>
      <c r="M220" s="3">
        <f>IFERROR(__xludf.DUMMYFUNCTION("INDEX(SPLIT(H220,"" ""),1)"),1.0)</f>
        <v>1</v>
      </c>
      <c r="N220" s="3" t="str">
        <f>IFERROR(__xludf.DUMMYFUNCTION("MID(REGEXEXTRACT(H220,"" [^ ]* [^ ]*""),2,300)"),"dull bronze")</f>
        <v>dull bronze</v>
      </c>
      <c r="O220" s="3">
        <f>IFERROR(__xludf.DUMMYFUNCTION("INDEX(SPLIT(I220,"" ""),1)"),1.0)</f>
        <v>1</v>
      </c>
      <c r="P220" s="3" t="str">
        <f>IFERROR(__xludf.DUMMYFUNCTION("MID(REGEXEXTRACT(I220,"" [^ ]* [^ ]*""),2,300)"),"shiny gold")</f>
        <v>shiny gold</v>
      </c>
      <c r="Q220" s="3" t="str">
        <f>IFERROR(__xludf.DUMMYFUNCTION("INDEX(SPLIT(J220,"" ""),1)"),"#REF!")</f>
        <v>#REF!</v>
      </c>
      <c r="R220" s="3" t="str">
        <f>IFERROR(__xludf.DUMMYFUNCTION("MID(REGEXEXTRACT(J220,"" [^ ]* [^ ]*""),2,300)"),"#REF!")</f>
        <v>#REF!</v>
      </c>
      <c r="S220" s="3">
        <f t="shared" si="2"/>
        <v>1</v>
      </c>
      <c r="T220" s="3" t="str">
        <f t="shared" si="3"/>
        <v>bright olive</v>
      </c>
      <c r="U220" s="3">
        <f t="shared" si="4"/>
        <v>1</v>
      </c>
      <c r="V220" s="3" t="str">
        <f t="shared" si="5"/>
        <v>dull bronze</v>
      </c>
      <c r="W220" s="3">
        <f t="shared" si="6"/>
        <v>1</v>
      </c>
      <c r="X220" s="3" t="str">
        <f t="shared" si="7"/>
        <v>shiny gold</v>
      </c>
      <c r="Y220" s="3" t="str">
        <f t="shared" si="8"/>
        <v/>
      </c>
      <c r="Z220" s="3" t="str">
        <f t="shared" si="9"/>
        <v/>
      </c>
      <c r="AA220" s="13">
        <f t="shared" si="10"/>
        <v>2900802</v>
      </c>
      <c r="AB220" s="3">
        <f t="shared" si="11"/>
        <v>2900801</v>
      </c>
      <c r="AC220" s="3">
        <f t="shared" si="12"/>
        <v>1</v>
      </c>
      <c r="AD220" s="3">
        <f t="shared" si="13"/>
        <v>2852291</v>
      </c>
      <c r="AE220" s="3">
        <f t="shared" si="14"/>
        <v>1</v>
      </c>
      <c r="AF220" s="3">
        <f t="shared" si="15"/>
        <v>36381</v>
      </c>
      <c r="AG220" s="3">
        <f t="shared" si="16"/>
        <v>1</v>
      </c>
      <c r="AH220" s="3">
        <f t="shared" si="17"/>
        <v>12129</v>
      </c>
      <c r="AI220" s="3" t="str">
        <f t="shared" si="18"/>
        <v/>
      </c>
      <c r="AJ220" s="3">
        <f t="shared" si="19"/>
        <v>0</v>
      </c>
    </row>
    <row r="221">
      <c r="C221" s="6" t="s">
        <v>221</v>
      </c>
      <c r="D221" s="3">
        <f t="shared" si="1"/>
        <v>2</v>
      </c>
      <c r="E221" s="3" t="str">
        <f>IFERROR(__xludf.DUMMYFUNCTION("REGEXEXTRACT(C221,""[^ ]* [^ ]*"")"),"dull red")</f>
        <v>dull red</v>
      </c>
      <c r="F221" s="3" t="str">
        <f>IFERROR(__xludf.DUMMYFUNCTION("MID(REGEXEXTRACT(C221,""contain.*$""),9,300)"),"2 wavy teal bags, 3 wavy crimson bags, 1 faded olive bag.")</f>
        <v>2 wavy teal bags, 3 wavy crimson bags, 1 faded olive bag.</v>
      </c>
      <c r="G221" s="3" t="str">
        <f>IFERROR(__xludf.DUMMYFUNCTION("INDEX(SPLIT($F221,"",""),COLUMN()-6)"),"2 wavy teal bags")</f>
        <v>2 wavy teal bags</v>
      </c>
      <c r="H221" s="3" t="str">
        <f>IFERROR(__xludf.DUMMYFUNCTION("MID(INDEX(SPLIT($F221,"",""),COLUMN()-6),2,300)"),"3 wavy crimson bags")</f>
        <v>3 wavy crimson bags</v>
      </c>
      <c r="I221" s="3" t="str">
        <f>IFERROR(__xludf.DUMMYFUNCTION("MID(INDEX(SPLIT($F221,"",""),COLUMN()-6),2,300)"),"1 faded olive bag.")</f>
        <v>1 faded olive bag.</v>
      </c>
      <c r="J221" s="3" t="str">
        <f>IFERROR(__xludf.DUMMYFUNCTION("MID(INDEX(SPLIT($F221,"",""),COLUMN()-6),2,300)"),"#REF!")</f>
        <v>#REF!</v>
      </c>
      <c r="K221" s="3">
        <f>IFERROR(__xludf.DUMMYFUNCTION("INDEX(SPLIT(G221,"" ""),1)"),2.0)</f>
        <v>2</v>
      </c>
      <c r="L221" s="3" t="str">
        <f>IFERROR(__xludf.DUMMYFUNCTION("REGEXEXTRACT(G221,"" [^ ]* [^ ]* "")")," wavy teal ")</f>
        <v> wavy teal </v>
      </c>
      <c r="M221" s="3">
        <f>IFERROR(__xludf.DUMMYFUNCTION("INDEX(SPLIT(H221,"" ""),1)"),3.0)</f>
        <v>3</v>
      </c>
      <c r="N221" s="3" t="str">
        <f>IFERROR(__xludf.DUMMYFUNCTION("MID(REGEXEXTRACT(H221,"" [^ ]* [^ ]*""),2,300)"),"wavy crimson")</f>
        <v>wavy crimson</v>
      </c>
      <c r="O221" s="3">
        <f>IFERROR(__xludf.DUMMYFUNCTION("INDEX(SPLIT(I221,"" ""),1)"),1.0)</f>
        <v>1</v>
      </c>
      <c r="P221" s="3" t="str">
        <f>IFERROR(__xludf.DUMMYFUNCTION("MID(REGEXEXTRACT(I221,"" [^ ]* [^ ]*""),2,300)"),"faded olive")</f>
        <v>faded olive</v>
      </c>
      <c r="Q221" s="3" t="str">
        <f>IFERROR(__xludf.DUMMYFUNCTION("INDEX(SPLIT(J221,"" ""),1)"),"#REF!")</f>
        <v>#REF!</v>
      </c>
      <c r="R221" s="3" t="str">
        <f>IFERROR(__xludf.DUMMYFUNCTION("MID(REGEXEXTRACT(J221,"" [^ ]* [^ ]*""),2,300)"),"#REF!")</f>
        <v>#REF!</v>
      </c>
      <c r="S221" s="3">
        <f t="shared" si="2"/>
        <v>2</v>
      </c>
      <c r="T221" s="3" t="str">
        <f t="shared" si="3"/>
        <v>wavy teal</v>
      </c>
      <c r="U221" s="3">
        <f t="shared" si="4"/>
        <v>3</v>
      </c>
      <c r="V221" s="3" t="str">
        <f t="shared" si="5"/>
        <v>wavy crimson</v>
      </c>
      <c r="W221" s="3">
        <f t="shared" si="6"/>
        <v>1</v>
      </c>
      <c r="X221" s="3" t="str">
        <f t="shared" si="7"/>
        <v>faded olive</v>
      </c>
      <c r="Y221" s="3" t="str">
        <f t="shared" si="8"/>
        <v/>
      </c>
      <c r="Z221" s="3" t="str">
        <f t="shared" si="9"/>
        <v/>
      </c>
      <c r="AA221" s="13">
        <f t="shared" si="10"/>
        <v>439598743</v>
      </c>
      <c r="AB221" s="3">
        <f t="shared" si="11"/>
        <v>439598742</v>
      </c>
      <c r="AC221" s="3">
        <f t="shared" si="12"/>
        <v>2</v>
      </c>
      <c r="AD221" s="3">
        <f t="shared" si="13"/>
        <v>84750</v>
      </c>
      <c r="AE221" s="3">
        <f t="shared" si="14"/>
        <v>3</v>
      </c>
      <c r="AF221" s="3">
        <f t="shared" si="15"/>
        <v>75933549</v>
      </c>
      <c r="AG221" s="3">
        <f t="shared" si="16"/>
        <v>1</v>
      </c>
      <c r="AH221" s="3">
        <f t="shared" si="17"/>
        <v>211628595</v>
      </c>
      <c r="AI221" s="3" t="str">
        <f t="shared" si="18"/>
        <v/>
      </c>
      <c r="AJ221" s="3">
        <f t="shared" si="19"/>
        <v>0</v>
      </c>
    </row>
    <row r="222">
      <c r="C222" s="6" t="s">
        <v>222</v>
      </c>
      <c r="D222" s="3">
        <f t="shared" si="1"/>
        <v>0</v>
      </c>
      <c r="E222" s="3" t="str">
        <f>IFERROR(__xludf.DUMMYFUNCTION("REGEXEXTRACT(C222,""[^ ]* [^ ]*"")"),"striped yellow")</f>
        <v>striped yellow</v>
      </c>
      <c r="F222" s="3" t="str">
        <f>IFERROR(__xludf.DUMMYFUNCTION("MID(REGEXEXTRACT(C222,""contain.*$""),9,300)"),"4 drab salmon bags.")</f>
        <v>4 drab salmon bags.</v>
      </c>
      <c r="G222" s="3" t="str">
        <f>IFERROR(__xludf.DUMMYFUNCTION("INDEX(SPLIT($F222,"",""),COLUMN()-6)"),"4 drab salmon bags.")</f>
        <v>4 drab salmon bags.</v>
      </c>
      <c r="H222" s="3" t="str">
        <f>IFERROR(__xludf.DUMMYFUNCTION("MID(INDEX(SPLIT($F222,"",""),COLUMN()-6),2,300)"),"#REF!")</f>
        <v>#REF!</v>
      </c>
      <c r="I222" s="3" t="str">
        <f>IFERROR(__xludf.DUMMYFUNCTION("MID(INDEX(SPLIT($F222,"",""),COLUMN()-6),2,300)"),"#REF!")</f>
        <v>#REF!</v>
      </c>
      <c r="J222" s="3" t="str">
        <f>IFERROR(__xludf.DUMMYFUNCTION("MID(INDEX(SPLIT($F222,"",""),COLUMN()-6),2,300)"),"#REF!")</f>
        <v>#REF!</v>
      </c>
      <c r="K222" s="3">
        <f>IFERROR(__xludf.DUMMYFUNCTION("INDEX(SPLIT(G222,"" ""),1)"),4.0)</f>
        <v>4</v>
      </c>
      <c r="L222" s="3" t="str">
        <f>IFERROR(__xludf.DUMMYFUNCTION("REGEXEXTRACT(G222,"" [^ ]* [^ ]* "")")," drab salmon ")</f>
        <v> drab salmon </v>
      </c>
      <c r="M222" s="3" t="str">
        <f>IFERROR(__xludf.DUMMYFUNCTION("INDEX(SPLIT(H222,"" ""),1)"),"#REF!")</f>
        <v>#REF!</v>
      </c>
      <c r="N222" s="3" t="str">
        <f>IFERROR(__xludf.DUMMYFUNCTION("MID(REGEXEXTRACT(H222,"" [^ ]* [^ ]*""),2,300)"),"#REF!")</f>
        <v>#REF!</v>
      </c>
      <c r="O222" s="3" t="str">
        <f>IFERROR(__xludf.DUMMYFUNCTION("INDEX(SPLIT(I222,"" ""),1)"),"#REF!")</f>
        <v>#REF!</v>
      </c>
      <c r="P222" s="3" t="str">
        <f>IFERROR(__xludf.DUMMYFUNCTION("MID(REGEXEXTRACT(I222,"" [^ ]* [^ ]*""),2,300)"),"#REF!")</f>
        <v>#REF!</v>
      </c>
      <c r="Q222" s="3" t="str">
        <f>IFERROR(__xludf.DUMMYFUNCTION("INDEX(SPLIT(J222,"" ""),1)"),"#REF!")</f>
        <v>#REF!</v>
      </c>
      <c r="R222" s="3" t="str">
        <f>IFERROR(__xludf.DUMMYFUNCTION("MID(REGEXEXTRACT(J222,"" [^ ]* [^ ]*""),2,300)"),"#REF!")</f>
        <v>#REF!</v>
      </c>
      <c r="S222" s="3">
        <f t="shared" si="2"/>
        <v>4</v>
      </c>
      <c r="T222" s="3" t="str">
        <f t="shared" si="3"/>
        <v>drab salmon</v>
      </c>
      <c r="U222" s="3" t="str">
        <f t="shared" si="4"/>
        <v/>
      </c>
      <c r="V222" s="3" t="str">
        <f t="shared" si="5"/>
        <v/>
      </c>
      <c r="W222" s="3" t="str">
        <f t="shared" si="6"/>
        <v/>
      </c>
      <c r="X222" s="3" t="str">
        <f t="shared" si="7"/>
        <v/>
      </c>
      <c r="Y222" s="3" t="str">
        <f t="shared" si="8"/>
        <v/>
      </c>
      <c r="Z222" s="3" t="str">
        <f t="shared" si="9"/>
        <v/>
      </c>
      <c r="AA222" s="13">
        <f t="shared" si="10"/>
        <v>60181</v>
      </c>
      <c r="AB222" s="3">
        <f t="shared" si="11"/>
        <v>60180</v>
      </c>
      <c r="AC222" s="3">
        <f t="shared" si="12"/>
        <v>4</v>
      </c>
      <c r="AD222" s="3">
        <f t="shared" si="13"/>
        <v>15045</v>
      </c>
      <c r="AE222" s="3" t="str">
        <f t="shared" si="14"/>
        <v/>
      </c>
      <c r="AF222" s="3">
        <f t="shared" si="15"/>
        <v>0</v>
      </c>
      <c r="AG222" s="3" t="str">
        <f t="shared" si="16"/>
        <v/>
      </c>
      <c r="AH222" s="3">
        <f t="shared" si="17"/>
        <v>0</v>
      </c>
      <c r="AI222" s="3" t="str">
        <f t="shared" si="18"/>
        <v/>
      </c>
      <c r="AJ222" s="3">
        <f t="shared" si="19"/>
        <v>0</v>
      </c>
    </row>
    <row r="223">
      <c r="C223" s="6" t="s">
        <v>223</v>
      </c>
      <c r="D223" s="3">
        <f t="shared" si="1"/>
        <v>3</v>
      </c>
      <c r="E223" s="3" t="str">
        <f>IFERROR(__xludf.DUMMYFUNCTION("REGEXEXTRACT(C223,""[^ ]* [^ ]*"")"),"vibrant magenta")</f>
        <v>vibrant magenta</v>
      </c>
      <c r="F223" s="3" t="str">
        <f>IFERROR(__xludf.DUMMYFUNCTION("MID(REGEXEXTRACT(C223,""contain.*$""),9,300)"),"4 light beige bags, 2 dark red bags, 1 plaid magenta bag, 5 dim magenta bags.")</f>
        <v>4 light beige bags, 2 dark red bags, 1 plaid magenta bag, 5 dim magenta bags.</v>
      </c>
      <c r="G223" s="3" t="str">
        <f>IFERROR(__xludf.DUMMYFUNCTION("INDEX(SPLIT($F223,"",""),COLUMN()-6)"),"4 light beige bags")</f>
        <v>4 light beige bags</v>
      </c>
      <c r="H223" s="3" t="str">
        <f>IFERROR(__xludf.DUMMYFUNCTION("MID(INDEX(SPLIT($F223,"",""),COLUMN()-6),2,300)"),"2 dark red bags")</f>
        <v>2 dark red bags</v>
      </c>
      <c r="I223" s="3" t="str">
        <f>IFERROR(__xludf.DUMMYFUNCTION("MID(INDEX(SPLIT($F223,"",""),COLUMN()-6),2,300)"),"1 plaid magenta bag")</f>
        <v>1 plaid magenta bag</v>
      </c>
      <c r="J223" s="3" t="str">
        <f>IFERROR(__xludf.DUMMYFUNCTION("MID(INDEX(SPLIT($F223,"",""),COLUMN()-6),2,300)"),"5 dim magenta bags.")</f>
        <v>5 dim magenta bags.</v>
      </c>
      <c r="K223" s="3">
        <f>IFERROR(__xludf.DUMMYFUNCTION("INDEX(SPLIT(G223,"" ""),1)"),4.0)</f>
        <v>4</v>
      </c>
      <c r="L223" s="3" t="str">
        <f>IFERROR(__xludf.DUMMYFUNCTION("REGEXEXTRACT(G223,"" [^ ]* [^ ]* "")")," light beige ")</f>
        <v> light beige </v>
      </c>
      <c r="M223" s="3">
        <f>IFERROR(__xludf.DUMMYFUNCTION("INDEX(SPLIT(H223,"" ""),1)"),2.0)</f>
        <v>2</v>
      </c>
      <c r="N223" s="3" t="str">
        <f>IFERROR(__xludf.DUMMYFUNCTION("MID(REGEXEXTRACT(H223,"" [^ ]* [^ ]*""),2,300)"),"dark red")</f>
        <v>dark red</v>
      </c>
      <c r="O223" s="3">
        <f>IFERROR(__xludf.DUMMYFUNCTION("INDEX(SPLIT(I223,"" ""),1)"),1.0)</f>
        <v>1</v>
      </c>
      <c r="P223" s="3" t="str">
        <f>IFERROR(__xludf.DUMMYFUNCTION("MID(REGEXEXTRACT(I223,"" [^ ]* [^ ]*""),2,300)"),"plaid magenta")</f>
        <v>plaid magenta</v>
      </c>
      <c r="Q223" s="3">
        <f>IFERROR(__xludf.DUMMYFUNCTION("INDEX(SPLIT(J223,"" ""),1)"),5.0)</f>
        <v>5</v>
      </c>
      <c r="R223" s="3" t="str">
        <f>IFERROR(__xludf.DUMMYFUNCTION("MID(REGEXEXTRACT(J223,"" [^ ]* [^ ]*""),2,300)"),"dim magenta")</f>
        <v>dim magenta</v>
      </c>
      <c r="S223" s="3">
        <f t="shared" si="2"/>
        <v>4</v>
      </c>
      <c r="T223" s="3" t="str">
        <f t="shared" si="3"/>
        <v>light beige</v>
      </c>
      <c r="U223" s="3">
        <f t="shared" si="4"/>
        <v>2</v>
      </c>
      <c r="V223" s="3" t="str">
        <f t="shared" si="5"/>
        <v>dark red</v>
      </c>
      <c r="W223" s="3">
        <f t="shared" si="6"/>
        <v>1</v>
      </c>
      <c r="X223" s="3" t="str">
        <f t="shared" si="7"/>
        <v>plaid magenta</v>
      </c>
      <c r="Y223" s="3">
        <f t="shared" si="8"/>
        <v>5</v>
      </c>
      <c r="Z223" s="3" t="str">
        <f t="shared" si="9"/>
        <v>dim magenta</v>
      </c>
      <c r="AA223" s="13">
        <f t="shared" si="10"/>
        <v>202868230</v>
      </c>
      <c r="AB223" s="3">
        <f t="shared" si="11"/>
        <v>202868229</v>
      </c>
      <c r="AC223" s="3">
        <f t="shared" si="12"/>
        <v>4</v>
      </c>
      <c r="AD223" s="3">
        <f t="shared" si="13"/>
        <v>30775348</v>
      </c>
      <c r="AE223" s="3">
        <f t="shared" si="14"/>
        <v>2</v>
      </c>
      <c r="AF223" s="3">
        <f t="shared" si="15"/>
        <v>44592</v>
      </c>
      <c r="AG223" s="3">
        <f t="shared" si="16"/>
        <v>1</v>
      </c>
      <c r="AH223" s="3">
        <f t="shared" si="17"/>
        <v>68564683</v>
      </c>
      <c r="AI223" s="3">
        <f t="shared" si="18"/>
        <v>5</v>
      </c>
      <c r="AJ223" s="3">
        <f t="shared" si="19"/>
        <v>2222594</v>
      </c>
    </row>
    <row r="224">
      <c r="C224" s="6" t="s">
        <v>224</v>
      </c>
      <c r="D224" s="3">
        <f t="shared" si="1"/>
        <v>2</v>
      </c>
      <c r="E224" s="3" t="str">
        <f>IFERROR(__xludf.DUMMYFUNCTION("REGEXEXTRACT(C224,""[^ ]* [^ ]*"")"),"plaid red")</f>
        <v>plaid red</v>
      </c>
      <c r="F224" s="3" t="str">
        <f>IFERROR(__xludf.DUMMYFUNCTION("MID(REGEXEXTRACT(C224,""contain.*$""),9,300)"),"2 striped red bags, 4 light plum bags, 3 mirrored silver bags.")</f>
        <v>2 striped red bags, 4 light plum bags, 3 mirrored silver bags.</v>
      </c>
      <c r="G224" s="3" t="str">
        <f>IFERROR(__xludf.DUMMYFUNCTION("INDEX(SPLIT($F224,"",""),COLUMN()-6)"),"2 striped red bags")</f>
        <v>2 striped red bags</v>
      </c>
      <c r="H224" s="3" t="str">
        <f>IFERROR(__xludf.DUMMYFUNCTION("MID(INDEX(SPLIT($F224,"",""),COLUMN()-6),2,300)"),"4 light plum bags")</f>
        <v>4 light plum bags</v>
      </c>
      <c r="I224" s="3" t="str">
        <f>IFERROR(__xludf.DUMMYFUNCTION("MID(INDEX(SPLIT($F224,"",""),COLUMN()-6),2,300)"),"3 mirrored silver bags.")</f>
        <v>3 mirrored silver bags.</v>
      </c>
      <c r="J224" s="3" t="str">
        <f>IFERROR(__xludf.DUMMYFUNCTION("MID(INDEX(SPLIT($F224,"",""),COLUMN()-6),2,300)"),"#REF!")</f>
        <v>#REF!</v>
      </c>
      <c r="K224" s="3">
        <f>IFERROR(__xludf.DUMMYFUNCTION("INDEX(SPLIT(G224,"" ""),1)"),2.0)</f>
        <v>2</v>
      </c>
      <c r="L224" s="3" t="str">
        <f>IFERROR(__xludf.DUMMYFUNCTION("REGEXEXTRACT(G224,"" [^ ]* [^ ]* "")")," striped red ")</f>
        <v> striped red </v>
      </c>
      <c r="M224" s="3">
        <f>IFERROR(__xludf.DUMMYFUNCTION("INDEX(SPLIT(H224,"" ""),1)"),4.0)</f>
        <v>4</v>
      </c>
      <c r="N224" s="3" t="str">
        <f>IFERROR(__xludf.DUMMYFUNCTION("MID(REGEXEXTRACT(H224,"" [^ ]* [^ ]*""),2,300)"),"light plum")</f>
        <v>light plum</v>
      </c>
      <c r="O224" s="3">
        <f>IFERROR(__xludf.DUMMYFUNCTION("INDEX(SPLIT(I224,"" ""),1)"),3.0)</f>
        <v>3</v>
      </c>
      <c r="P224" s="3" t="str">
        <f>IFERROR(__xludf.DUMMYFUNCTION("MID(REGEXEXTRACT(I224,"" [^ ]* [^ ]*""),2,300)"),"mirrored silver")</f>
        <v>mirrored silver</v>
      </c>
      <c r="Q224" s="3" t="str">
        <f>IFERROR(__xludf.DUMMYFUNCTION("INDEX(SPLIT(J224,"" ""),1)"),"#REF!")</f>
        <v>#REF!</v>
      </c>
      <c r="R224" s="3" t="str">
        <f>IFERROR(__xludf.DUMMYFUNCTION("MID(REGEXEXTRACT(J224,"" [^ ]* [^ ]*""),2,300)"),"#REF!")</f>
        <v>#REF!</v>
      </c>
      <c r="S224" s="3">
        <f t="shared" si="2"/>
        <v>2</v>
      </c>
      <c r="T224" s="3" t="str">
        <f t="shared" si="3"/>
        <v>striped red</v>
      </c>
      <c r="U224" s="3">
        <f t="shared" si="4"/>
        <v>4</v>
      </c>
      <c r="V224" s="3" t="str">
        <f t="shared" si="5"/>
        <v>light plum</v>
      </c>
      <c r="W224" s="3">
        <f t="shared" si="6"/>
        <v>3</v>
      </c>
      <c r="X224" s="3" t="str">
        <f t="shared" si="7"/>
        <v>mirrored silver</v>
      </c>
      <c r="Y224" s="3" t="str">
        <f t="shared" si="8"/>
        <v/>
      </c>
      <c r="Z224" s="3" t="str">
        <f t="shared" si="9"/>
        <v/>
      </c>
      <c r="AA224" s="13">
        <f t="shared" si="10"/>
        <v>150232603</v>
      </c>
      <c r="AB224" s="3">
        <f t="shared" si="11"/>
        <v>150232602</v>
      </c>
      <c r="AC224" s="3">
        <f t="shared" si="12"/>
        <v>2</v>
      </c>
      <c r="AD224" s="3">
        <f t="shared" si="13"/>
        <v>75115716</v>
      </c>
      <c r="AE224" s="3">
        <f t="shared" si="14"/>
        <v>4</v>
      </c>
      <c r="AF224" s="3">
        <f t="shared" si="15"/>
        <v>3</v>
      </c>
      <c r="AG224" s="3">
        <f t="shared" si="16"/>
        <v>3</v>
      </c>
      <c r="AH224" s="3">
        <f t="shared" si="17"/>
        <v>386</v>
      </c>
      <c r="AI224" s="3" t="str">
        <f t="shared" si="18"/>
        <v/>
      </c>
      <c r="AJ224" s="3">
        <f t="shared" si="19"/>
        <v>0</v>
      </c>
    </row>
    <row r="225">
      <c r="C225" s="6" t="s">
        <v>225</v>
      </c>
      <c r="D225" s="3">
        <f t="shared" si="1"/>
        <v>3</v>
      </c>
      <c r="E225" s="3" t="str">
        <f>IFERROR(__xludf.DUMMYFUNCTION("REGEXEXTRACT(C225,""[^ ]* [^ ]*"")"),"wavy orange")</f>
        <v>wavy orange</v>
      </c>
      <c r="F225" s="3" t="str">
        <f>IFERROR(__xludf.DUMMYFUNCTION("MID(REGEXEXTRACT(C225,""contain.*$""),9,300)"),"5 vibrant white bags, 1 posh coral bag, 5 muted purple bags, 2 light coral bags.")</f>
        <v>5 vibrant white bags, 1 posh coral bag, 5 muted purple bags, 2 light coral bags.</v>
      </c>
      <c r="G225" s="3" t="str">
        <f>IFERROR(__xludf.DUMMYFUNCTION("INDEX(SPLIT($F225,"",""),COLUMN()-6)"),"5 vibrant white bags")</f>
        <v>5 vibrant white bags</v>
      </c>
      <c r="H225" s="3" t="str">
        <f>IFERROR(__xludf.DUMMYFUNCTION("MID(INDEX(SPLIT($F225,"",""),COLUMN()-6),2,300)"),"1 posh coral bag")</f>
        <v>1 posh coral bag</v>
      </c>
      <c r="I225" s="3" t="str">
        <f>IFERROR(__xludf.DUMMYFUNCTION("MID(INDEX(SPLIT($F225,"",""),COLUMN()-6),2,300)"),"5 muted purple bags")</f>
        <v>5 muted purple bags</v>
      </c>
      <c r="J225" s="3" t="str">
        <f>IFERROR(__xludf.DUMMYFUNCTION("MID(INDEX(SPLIT($F225,"",""),COLUMN()-6),2,300)"),"2 light coral bags.")</f>
        <v>2 light coral bags.</v>
      </c>
      <c r="K225" s="3">
        <f>IFERROR(__xludf.DUMMYFUNCTION("INDEX(SPLIT(G225,"" ""),1)"),5.0)</f>
        <v>5</v>
      </c>
      <c r="L225" s="3" t="str">
        <f>IFERROR(__xludf.DUMMYFUNCTION("REGEXEXTRACT(G225,"" [^ ]* [^ ]* "")")," vibrant white ")</f>
        <v> vibrant white </v>
      </c>
      <c r="M225" s="3">
        <f>IFERROR(__xludf.DUMMYFUNCTION("INDEX(SPLIT(H225,"" ""),1)"),1.0)</f>
        <v>1</v>
      </c>
      <c r="N225" s="3" t="str">
        <f>IFERROR(__xludf.DUMMYFUNCTION("MID(REGEXEXTRACT(H225,"" [^ ]* [^ ]*""),2,300)"),"posh coral")</f>
        <v>posh coral</v>
      </c>
      <c r="O225" s="3">
        <f>IFERROR(__xludf.DUMMYFUNCTION("INDEX(SPLIT(I225,"" ""),1)"),5.0)</f>
        <v>5</v>
      </c>
      <c r="P225" s="3" t="str">
        <f>IFERROR(__xludf.DUMMYFUNCTION("MID(REGEXEXTRACT(I225,"" [^ ]* [^ ]*""),2,300)"),"muted purple")</f>
        <v>muted purple</v>
      </c>
      <c r="Q225" s="3">
        <f>IFERROR(__xludf.DUMMYFUNCTION("INDEX(SPLIT(J225,"" ""),1)"),2.0)</f>
        <v>2</v>
      </c>
      <c r="R225" s="3" t="str">
        <f>IFERROR(__xludf.DUMMYFUNCTION("MID(REGEXEXTRACT(J225,"" [^ ]* [^ ]*""),2,300)"),"light coral")</f>
        <v>light coral</v>
      </c>
      <c r="S225" s="3">
        <f t="shared" si="2"/>
        <v>5</v>
      </c>
      <c r="T225" s="3" t="str">
        <f t="shared" si="3"/>
        <v>vibrant white</v>
      </c>
      <c r="U225" s="3">
        <f t="shared" si="4"/>
        <v>1</v>
      </c>
      <c r="V225" s="3" t="str">
        <f t="shared" si="5"/>
        <v>posh coral</v>
      </c>
      <c r="W225" s="3">
        <f t="shared" si="6"/>
        <v>5</v>
      </c>
      <c r="X225" s="3" t="str">
        <f t="shared" si="7"/>
        <v>muted purple</v>
      </c>
      <c r="Y225" s="3">
        <f t="shared" si="8"/>
        <v>2</v>
      </c>
      <c r="Z225" s="3" t="str">
        <f t="shared" si="9"/>
        <v>light coral</v>
      </c>
      <c r="AA225" s="13">
        <f t="shared" si="10"/>
        <v>7433534</v>
      </c>
      <c r="AB225" s="3">
        <f t="shared" si="11"/>
        <v>7433533</v>
      </c>
      <c r="AC225" s="3">
        <f t="shared" si="12"/>
        <v>5</v>
      </c>
      <c r="AD225" s="3">
        <f t="shared" si="13"/>
        <v>1249859</v>
      </c>
      <c r="AE225" s="3">
        <f t="shared" si="14"/>
        <v>1</v>
      </c>
      <c r="AF225" s="3">
        <f t="shared" si="15"/>
        <v>1</v>
      </c>
      <c r="AG225" s="3">
        <f t="shared" si="16"/>
        <v>5</v>
      </c>
      <c r="AH225" s="3">
        <f t="shared" si="17"/>
        <v>13721</v>
      </c>
      <c r="AI225" s="3">
        <f t="shared" si="18"/>
        <v>2</v>
      </c>
      <c r="AJ225" s="3">
        <f t="shared" si="19"/>
        <v>557816</v>
      </c>
    </row>
    <row r="226">
      <c r="C226" s="6" t="s">
        <v>226</v>
      </c>
      <c r="D226" s="3">
        <f t="shared" si="1"/>
        <v>1</v>
      </c>
      <c r="E226" s="3" t="str">
        <f>IFERROR(__xludf.DUMMYFUNCTION("REGEXEXTRACT(C226,""[^ ]* [^ ]*"")"),"pale green")</f>
        <v>pale green</v>
      </c>
      <c r="F226" s="3" t="str">
        <f>IFERROR(__xludf.DUMMYFUNCTION("MID(REGEXEXTRACT(C226,""contain.*$""),9,300)"),"5 pale aqua bags, 1 clear gray bag.")</f>
        <v>5 pale aqua bags, 1 clear gray bag.</v>
      </c>
      <c r="G226" s="3" t="str">
        <f>IFERROR(__xludf.DUMMYFUNCTION("INDEX(SPLIT($F226,"",""),COLUMN()-6)"),"5 pale aqua bags")</f>
        <v>5 pale aqua bags</v>
      </c>
      <c r="H226" s="3" t="str">
        <f>IFERROR(__xludf.DUMMYFUNCTION("MID(INDEX(SPLIT($F226,"",""),COLUMN()-6),2,300)"),"1 clear gray bag.")</f>
        <v>1 clear gray bag.</v>
      </c>
      <c r="I226" s="3" t="str">
        <f>IFERROR(__xludf.DUMMYFUNCTION("MID(INDEX(SPLIT($F226,"",""),COLUMN()-6),2,300)"),"#REF!")</f>
        <v>#REF!</v>
      </c>
      <c r="J226" s="3" t="str">
        <f>IFERROR(__xludf.DUMMYFUNCTION("MID(INDEX(SPLIT($F226,"",""),COLUMN()-6),2,300)"),"#REF!")</f>
        <v>#REF!</v>
      </c>
      <c r="K226" s="3">
        <f>IFERROR(__xludf.DUMMYFUNCTION("INDEX(SPLIT(G226,"" ""),1)"),5.0)</f>
        <v>5</v>
      </c>
      <c r="L226" s="3" t="str">
        <f>IFERROR(__xludf.DUMMYFUNCTION("REGEXEXTRACT(G226,"" [^ ]* [^ ]* "")")," pale aqua ")</f>
        <v> pale aqua </v>
      </c>
      <c r="M226" s="3">
        <f>IFERROR(__xludf.DUMMYFUNCTION("INDEX(SPLIT(H226,"" ""),1)"),1.0)</f>
        <v>1</v>
      </c>
      <c r="N226" s="3" t="str">
        <f>IFERROR(__xludf.DUMMYFUNCTION("MID(REGEXEXTRACT(H226,"" [^ ]* [^ ]*""),2,300)"),"clear gray")</f>
        <v>clear gray</v>
      </c>
      <c r="O226" s="3" t="str">
        <f>IFERROR(__xludf.DUMMYFUNCTION("INDEX(SPLIT(I226,"" ""),1)"),"#REF!")</f>
        <v>#REF!</v>
      </c>
      <c r="P226" s="3" t="str">
        <f>IFERROR(__xludf.DUMMYFUNCTION("MID(REGEXEXTRACT(I226,"" [^ ]* [^ ]*""),2,300)"),"#REF!")</f>
        <v>#REF!</v>
      </c>
      <c r="Q226" s="3" t="str">
        <f>IFERROR(__xludf.DUMMYFUNCTION("INDEX(SPLIT(J226,"" ""),1)"),"#REF!")</f>
        <v>#REF!</v>
      </c>
      <c r="R226" s="3" t="str">
        <f>IFERROR(__xludf.DUMMYFUNCTION("MID(REGEXEXTRACT(J226,"" [^ ]* [^ ]*""),2,300)"),"#REF!")</f>
        <v>#REF!</v>
      </c>
      <c r="S226" s="3">
        <f t="shared" si="2"/>
        <v>5</v>
      </c>
      <c r="T226" s="3" t="str">
        <f t="shared" si="3"/>
        <v>pale aqua</v>
      </c>
      <c r="U226" s="3">
        <f t="shared" si="4"/>
        <v>1</v>
      </c>
      <c r="V226" s="3" t="str">
        <f t="shared" si="5"/>
        <v>clear gray</v>
      </c>
      <c r="W226" s="3" t="str">
        <f t="shared" si="6"/>
        <v/>
      </c>
      <c r="X226" s="3" t="str">
        <f t="shared" si="7"/>
        <v/>
      </c>
      <c r="Y226" s="3" t="str">
        <f t="shared" si="8"/>
        <v/>
      </c>
      <c r="Z226" s="3" t="str">
        <f t="shared" si="9"/>
        <v/>
      </c>
      <c r="AA226" s="13">
        <f t="shared" si="10"/>
        <v>8485185</v>
      </c>
      <c r="AB226" s="3">
        <f t="shared" si="11"/>
        <v>8485184</v>
      </c>
      <c r="AC226" s="3">
        <f t="shared" si="12"/>
        <v>5</v>
      </c>
      <c r="AD226" s="3">
        <f t="shared" si="13"/>
        <v>1578216</v>
      </c>
      <c r="AE226" s="3">
        <f t="shared" si="14"/>
        <v>1</v>
      </c>
      <c r="AF226" s="3">
        <f t="shared" si="15"/>
        <v>594104</v>
      </c>
      <c r="AG226" s="3" t="str">
        <f t="shared" si="16"/>
        <v/>
      </c>
      <c r="AH226" s="3">
        <f t="shared" si="17"/>
        <v>0</v>
      </c>
      <c r="AI226" s="3" t="str">
        <f t="shared" si="18"/>
        <v/>
      </c>
      <c r="AJ226" s="3">
        <f t="shared" si="19"/>
        <v>0</v>
      </c>
    </row>
    <row r="227">
      <c r="C227" s="6" t="s">
        <v>227</v>
      </c>
      <c r="D227" s="3">
        <f t="shared" si="1"/>
        <v>1</v>
      </c>
      <c r="E227" s="3" t="str">
        <f>IFERROR(__xludf.DUMMYFUNCTION("REGEXEXTRACT(C227,""[^ ]* [^ ]*"")"),"dotted chartreuse")</f>
        <v>dotted chartreuse</v>
      </c>
      <c r="F227" s="3" t="str">
        <f>IFERROR(__xludf.DUMMYFUNCTION("MID(REGEXEXTRACT(C227,""contain.*$""),9,300)"),"4 muted violet bags, 5 striped teal bags.")</f>
        <v>4 muted violet bags, 5 striped teal bags.</v>
      </c>
      <c r="G227" s="3" t="str">
        <f>IFERROR(__xludf.DUMMYFUNCTION("INDEX(SPLIT($F227,"",""),COLUMN()-6)"),"4 muted violet bags")</f>
        <v>4 muted violet bags</v>
      </c>
      <c r="H227" s="3" t="str">
        <f>IFERROR(__xludf.DUMMYFUNCTION("MID(INDEX(SPLIT($F227,"",""),COLUMN()-6),2,300)"),"5 striped teal bags.")</f>
        <v>5 striped teal bags.</v>
      </c>
      <c r="I227" s="3" t="str">
        <f>IFERROR(__xludf.DUMMYFUNCTION("MID(INDEX(SPLIT($F227,"",""),COLUMN()-6),2,300)"),"#REF!")</f>
        <v>#REF!</v>
      </c>
      <c r="J227" s="3" t="str">
        <f>IFERROR(__xludf.DUMMYFUNCTION("MID(INDEX(SPLIT($F227,"",""),COLUMN()-6),2,300)"),"#REF!")</f>
        <v>#REF!</v>
      </c>
      <c r="K227" s="3">
        <f>IFERROR(__xludf.DUMMYFUNCTION("INDEX(SPLIT(G227,"" ""),1)"),4.0)</f>
        <v>4</v>
      </c>
      <c r="L227" s="3" t="str">
        <f>IFERROR(__xludf.DUMMYFUNCTION("REGEXEXTRACT(G227,"" [^ ]* [^ ]* "")")," muted violet ")</f>
        <v> muted violet </v>
      </c>
      <c r="M227" s="3">
        <f>IFERROR(__xludf.DUMMYFUNCTION("INDEX(SPLIT(H227,"" ""),1)"),5.0)</f>
        <v>5</v>
      </c>
      <c r="N227" s="3" t="str">
        <f>IFERROR(__xludf.DUMMYFUNCTION("MID(REGEXEXTRACT(H227,"" [^ ]* [^ ]*""),2,300)"),"striped teal")</f>
        <v>striped teal</v>
      </c>
      <c r="O227" s="3" t="str">
        <f>IFERROR(__xludf.DUMMYFUNCTION("INDEX(SPLIT(I227,"" ""),1)"),"#REF!")</f>
        <v>#REF!</v>
      </c>
      <c r="P227" s="3" t="str">
        <f>IFERROR(__xludf.DUMMYFUNCTION("MID(REGEXEXTRACT(I227,"" [^ ]* [^ ]*""),2,300)"),"#REF!")</f>
        <v>#REF!</v>
      </c>
      <c r="Q227" s="3" t="str">
        <f>IFERROR(__xludf.DUMMYFUNCTION("INDEX(SPLIT(J227,"" ""),1)"),"#REF!")</f>
        <v>#REF!</v>
      </c>
      <c r="R227" s="3" t="str">
        <f>IFERROR(__xludf.DUMMYFUNCTION("MID(REGEXEXTRACT(J227,"" [^ ]* [^ ]*""),2,300)"),"#REF!")</f>
        <v>#REF!</v>
      </c>
      <c r="S227" s="3">
        <f t="shared" si="2"/>
        <v>4</v>
      </c>
      <c r="T227" s="3" t="str">
        <f t="shared" si="3"/>
        <v>muted violet</v>
      </c>
      <c r="U227" s="3">
        <f t="shared" si="4"/>
        <v>5</v>
      </c>
      <c r="V227" s="3" t="str">
        <f t="shared" si="5"/>
        <v>striped teal</v>
      </c>
      <c r="W227" s="3" t="str">
        <f t="shared" si="6"/>
        <v/>
      </c>
      <c r="X227" s="3" t="str">
        <f t="shared" si="7"/>
        <v/>
      </c>
      <c r="Y227" s="3" t="str">
        <f t="shared" si="8"/>
        <v/>
      </c>
      <c r="Z227" s="3" t="str">
        <f t="shared" si="9"/>
        <v/>
      </c>
      <c r="AA227" s="13">
        <f t="shared" si="10"/>
        <v>71962</v>
      </c>
      <c r="AB227" s="3">
        <f t="shared" si="11"/>
        <v>71961</v>
      </c>
      <c r="AC227" s="3">
        <f t="shared" si="12"/>
        <v>4</v>
      </c>
      <c r="AD227" s="3">
        <f t="shared" si="13"/>
        <v>4</v>
      </c>
      <c r="AE227" s="3">
        <f t="shared" si="14"/>
        <v>5</v>
      </c>
      <c r="AF227" s="3">
        <f t="shared" si="15"/>
        <v>14389</v>
      </c>
      <c r="AG227" s="3" t="str">
        <f t="shared" si="16"/>
        <v/>
      </c>
      <c r="AH227" s="3">
        <f t="shared" si="17"/>
        <v>0</v>
      </c>
      <c r="AI227" s="3" t="str">
        <f t="shared" si="18"/>
        <v/>
      </c>
      <c r="AJ227" s="3">
        <f t="shared" si="19"/>
        <v>0</v>
      </c>
    </row>
    <row r="228">
      <c r="C228" s="6" t="s">
        <v>228</v>
      </c>
      <c r="D228" s="3">
        <f t="shared" si="1"/>
        <v>2</v>
      </c>
      <c r="E228" s="3" t="str">
        <f>IFERROR(__xludf.DUMMYFUNCTION("REGEXEXTRACT(C228,""[^ ]* [^ ]*"")"),"light turquoise")</f>
        <v>light turquoise</v>
      </c>
      <c r="F228" s="3" t="str">
        <f>IFERROR(__xludf.DUMMYFUNCTION("MID(REGEXEXTRACT(C228,""contain.*$""),9,300)"),"5 dull turquoise bags, 2 dark aqua bags, 1 dull teal bag.")</f>
        <v>5 dull turquoise bags, 2 dark aqua bags, 1 dull teal bag.</v>
      </c>
      <c r="G228" s="3" t="str">
        <f>IFERROR(__xludf.DUMMYFUNCTION("INDEX(SPLIT($F228,"",""),COLUMN()-6)"),"5 dull turquoise bags")</f>
        <v>5 dull turquoise bags</v>
      </c>
      <c r="H228" s="3" t="str">
        <f>IFERROR(__xludf.DUMMYFUNCTION("MID(INDEX(SPLIT($F228,"",""),COLUMN()-6),2,300)"),"2 dark aqua bags")</f>
        <v>2 dark aqua bags</v>
      </c>
      <c r="I228" s="3" t="str">
        <f>IFERROR(__xludf.DUMMYFUNCTION("MID(INDEX(SPLIT($F228,"",""),COLUMN()-6),2,300)"),"1 dull teal bag.")</f>
        <v>1 dull teal bag.</v>
      </c>
      <c r="J228" s="3" t="str">
        <f>IFERROR(__xludf.DUMMYFUNCTION("MID(INDEX(SPLIT($F228,"",""),COLUMN()-6),2,300)"),"#REF!")</f>
        <v>#REF!</v>
      </c>
      <c r="K228" s="3">
        <f>IFERROR(__xludf.DUMMYFUNCTION("INDEX(SPLIT(G228,"" ""),1)"),5.0)</f>
        <v>5</v>
      </c>
      <c r="L228" s="3" t="str">
        <f>IFERROR(__xludf.DUMMYFUNCTION("REGEXEXTRACT(G228,"" [^ ]* [^ ]* "")")," dull turquoise ")</f>
        <v> dull turquoise </v>
      </c>
      <c r="M228" s="3">
        <f>IFERROR(__xludf.DUMMYFUNCTION("INDEX(SPLIT(H228,"" ""),1)"),2.0)</f>
        <v>2</v>
      </c>
      <c r="N228" s="3" t="str">
        <f>IFERROR(__xludf.DUMMYFUNCTION("MID(REGEXEXTRACT(H228,"" [^ ]* [^ ]*""),2,300)"),"dark aqua")</f>
        <v>dark aqua</v>
      </c>
      <c r="O228" s="3">
        <f>IFERROR(__xludf.DUMMYFUNCTION("INDEX(SPLIT(I228,"" ""),1)"),1.0)</f>
        <v>1</v>
      </c>
      <c r="P228" s="3" t="str">
        <f>IFERROR(__xludf.DUMMYFUNCTION("MID(REGEXEXTRACT(I228,"" [^ ]* [^ ]*""),2,300)"),"dull teal")</f>
        <v>dull teal</v>
      </c>
      <c r="Q228" s="3" t="str">
        <f>IFERROR(__xludf.DUMMYFUNCTION("INDEX(SPLIT(J228,"" ""),1)"),"#REF!")</f>
        <v>#REF!</v>
      </c>
      <c r="R228" s="3" t="str">
        <f>IFERROR(__xludf.DUMMYFUNCTION("MID(REGEXEXTRACT(J228,"" [^ ]* [^ ]*""),2,300)"),"#REF!")</f>
        <v>#REF!</v>
      </c>
      <c r="S228" s="3">
        <f t="shared" si="2"/>
        <v>5</v>
      </c>
      <c r="T228" s="3" t="str">
        <f t="shared" si="3"/>
        <v>dull turquoise</v>
      </c>
      <c r="U228" s="3">
        <f t="shared" si="4"/>
        <v>2</v>
      </c>
      <c r="V228" s="3" t="str">
        <f t="shared" si="5"/>
        <v>dark aqua</v>
      </c>
      <c r="W228" s="3">
        <f t="shared" si="6"/>
        <v>1</v>
      </c>
      <c r="X228" s="3" t="str">
        <f t="shared" si="7"/>
        <v>dull teal</v>
      </c>
      <c r="Y228" s="3" t="str">
        <f t="shared" si="8"/>
        <v/>
      </c>
      <c r="Z228" s="3" t="str">
        <f t="shared" si="9"/>
        <v/>
      </c>
      <c r="AA228" s="13">
        <f t="shared" si="10"/>
        <v>6357344423</v>
      </c>
      <c r="AB228" s="3">
        <f t="shared" si="11"/>
        <v>6357344422</v>
      </c>
      <c r="AC228" s="3">
        <f t="shared" si="12"/>
        <v>5</v>
      </c>
      <c r="AD228" s="3">
        <f t="shared" si="13"/>
        <v>346469</v>
      </c>
      <c r="AE228" s="3">
        <f t="shared" si="14"/>
        <v>2</v>
      </c>
      <c r="AF228" s="3">
        <f t="shared" si="15"/>
        <v>85546089</v>
      </c>
      <c r="AG228" s="3">
        <f t="shared" si="16"/>
        <v>1</v>
      </c>
      <c r="AH228" s="3">
        <f t="shared" si="17"/>
        <v>6184519899</v>
      </c>
      <c r="AI228" s="3" t="str">
        <f t="shared" si="18"/>
        <v/>
      </c>
      <c r="AJ228" s="3">
        <f t="shared" si="19"/>
        <v>0</v>
      </c>
    </row>
    <row r="229">
      <c r="C229" s="6" t="s">
        <v>229</v>
      </c>
      <c r="D229" s="3">
        <f t="shared" si="1"/>
        <v>0</v>
      </c>
      <c r="E229" s="3" t="str">
        <f>IFERROR(__xludf.DUMMYFUNCTION("REGEXEXTRACT(C229,""[^ ]* [^ ]*"")"),"shiny violet")</f>
        <v>shiny violet</v>
      </c>
      <c r="F229" s="3" t="str">
        <f>IFERROR(__xludf.DUMMYFUNCTION("MID(REGEXEXTRACT(C229,""contain.*$""),9,300)"),"2 pale indigo bags.")</f>
        <v>2 pale indigo bags.</v>
      </c>
      <c r="G229" s="3" t="str">
        <f>IFERROR(__xludf.DUMMYFUNCTION("INDEX(SPLIT($F229,"",""),COLUMN()-6)"),"2 pale indigo bags.")</f>
        <v>2 pale indigo bags.</v>
      </c>
      <c r="H229" s="3" t="str">
        <f>IFERROR(__xludf.DUMMYFUNCTION("MID(INDEX(SPLIT($F229,"",""),COLUMN()-6),2,300)"),"#REF!")</f>
        <v>#REF!</v>
      </c>
      <c r="I229" s="3" t="str">
        <f>IFERROR(__xludf.DUMMYFUNCTION("MID(INDEX(SPLIT($F229,"",""),COLUMN()-6),2,300)"),"#REF!")</f>
        <v>#REF!</v>
      </c>
      <c r="J229" s="3" t="str">
        <f>IFERROR(__xludf.DUMMYFUNCTION("MID(INDEX(SPLIT($F229,"",""),COLUMN()-6),2,300)"),"#REF!")</f>
        <v>#REF!</v>
      </c>
      <c r="K229" s="3">
        <f>IFERROR(__xludf.DUMMYFUNCTION("INDEX(SPLIT(G229,"" ""),1)"),2.0)</f>
        <v>2</v>
      </c>
      <c r="L229" s="3" t="str">
        <f>IFERROR(__xludf.DUMMYFUNCTION("REGEXEXTRACT(G229,"" [^ ]* [^ ]* "")")," pale indigo ")</f>
        <v> pale indigo </v>
      </c>
      <c r="M229" s="3" t="str">
        <f>IFERROR(__xludf.DUMMYFUNCTION("INDEX(SPLIT(H229,"" ""),1)"),"#REF!")</f>
        <v>#REF!</v>
      </c>
      <c r="N229" s="3" t="str">
        <f>IFERROR(__xludf.DUMMYFUNCTION("MID(REGEXEXTRACT(H229,"" [^ ]* [^ ]*""),2,300)"),"#REF!")</f>
        <v>#REF!</v>
      </c>
      <c r="O229" s="3" t="str">
        <f>IFERROR(__xludf.DUMMYFUNCTION("INDEX(SPLIT(I229,"" ""),1)"),"#REF!")</f>
        <v>#REF!</v>
      </c>
      <c r="P229" s="3" t="str">
        <f>IFERROR(__xludf.DUMMYFUNCTION("MID(REGEXEXTRACT(I229,"" [^ ]* [^ ]*""),2,300)"),"#REF!")</f>
        <v>#REF!</v>
      </c>
      <c r="Q229" s="3" t="str">
        <f>IFERROR(__xludf.DUMMYFUNCTION("INDEX(SPLIT(J229,"" ""),1)"),"#REF!")</f>
        <v>#REF!</v>
      </c>
      <c r="R229" s="3" t="str">
        <f>IFERROR(__xludf.DUMMYFUNCTION("MID(REGEXEXTRACT(J229,"" [^ ]* [^ ]*""),2,300)"),"#REF!")</f>
        <v>#REF!</v>
      </c>
      <c r="S229" s="3">
        <f t="shared" si="2"/>
        <v>2</v>
      </c>
      <c r="T229" s="3" t="str">
        <f t="shared" si="3"/>
        <v>pale indigo</v>
      </c>
      <c r="U229" s="3" t="str">
        <f t="shared" si="4"/>
        <v/>
      </c>
      <c r="V229" s="3" t="str">
        <f t="shared" si="5"/>
        <v/>
      </c>
      <c r="W229" s="3" t="str">
        <f t="shared" si="6"/>
        <v/>
      </c>
      <c r="X229" s="3" t="str">
        <f t="shared" si="7"/>
        <v/>
      </c>
      <c r="Y229" s="3" t="str">
        <f t="shared" si="8"/>
        <v/>
      </c>
      <c r="Z229" s="3" t="str">
        <f t="shared" si="9"/>
        <v/>
      </c>
      <c r="AA229" s="13">
        <f t="shared" si="10"/>
        <v>187646005</v>
      </c>
      <c r="AB229" s="3">
        <f t="shared" si="11"/>
        <v>187646004</v>
      </c>
      <c r="AC229" s="3">
        <f t="shared" si="12"/>
        <v>2</v>
      </c>
      <c r="AD229" s="3">
        <f t="shared" si="13"/>
        <v>93823002</v>
      </c>
      <c r="AE229" s="3" t="str">
        <f t="shared" si="14"/>
        <v/>
      </c>
      <c r="AF229" s="3">
        <f t="shared" si="15"/>
        <v>0</v>
      </c>
      <c r="AG229" s="3" t="str">
        <f t="shared" si="16"/>
        <v/>
      </c>
      <c r="AH229" s="3">
        <f t="shared" si="17"/>
        <v>0</v>
      </c>
      <c r="AI229" s="3" t="str">
        <f t="shared" si="18"/>
        <v/>
      </c>
      <c r="AJ229" s="3">
        <f t="shared" si="19"/>
        <v>0</v>
      </c>
    </row>
    <row r="230">
      <c r="C230" s="6" t="s">
        <v>230</v>
      </c>
      <c r="D230" s="3">
        <f t="shared" si="1"/>
        <v>3</v>
      </c>
      <c r="E230" s="3" t="str">
        <f>IFERROR(__xludf.DUMMYFUNCTION("REGEXEXTRACT(C230,""[^ ]* [^ ]*"")"),"light white")</f>
        <v>light white</v>
      </c>
      <c r="F230" s="3" t="str">
        <f>IFERROR(__xludf.DUMMYFUNCTION("MID(REGEXEXTRACT(C230,""contain.*$""),9,300)"),"3 mirrored indigo bags, 1 faded blue bag, 1 plaid white bag, 1 posh plum bag.")</f>
        <v>3 mirrored indigo bags, 1 faded blue bag, 1 plaid white bag, 1 posh plum bag.</v>
      </c>
      <c r="G230" s="3" t="str">
        <f>IFERROR(__xludf.DUMMYFUNCTION("INDEX(SPLIT($F230,"",""),COLUMN()-6)"),"3 mirrored indigo bags")</f>
        <v>3 mirrored indigo bags</v>
      </c>
      <c r="H230" s="3" t="str">
        <f>IFERROR(__xludf.DUMMYFUNCTION("MID(INDEX(SPLIT($F230,"",""),COLUMN()-6),2,300)"),"1 faded blue bag")</f>
        <v>1 faded blue bag</v>
      </c>
      <c r="I230" s="3" t="str">
        <f>IFERROR(__xludf.DUMMYFUNCTION("MID(INDEX(SPLIT($F230,"",""),COLUMN()-6),2,300)"),"1 plaid white bag")</f>
        <v>1 plaid white bag</v>
      </c>
      <c r="J230" s="3" t="str">
        <f>IFERROR(__xludf.DUMMYFUNCTION("MID(INDEX(SPLIT($F230,"",""),COLUMN()-6),2,300)"),"1 posh plum bag.")</f>
        <v>1 posh plum bag.</v>
      </c>
      <c r="K230" s="3">
        <f>IFERROR(__xludf.DUMMYFUNCTION("INDEX(SPLIT(G230,"" ""),1)"),3.0)</f>
        <v>3</v>
      </c>
      <c r="L230" s="3" t="str">
        <f>IFERROR(__xludf.DUMMYFUNCTION("REGEXEXTRACT(G230,"" [^ ]* [^ ]* "")")," mirrored indigo ")</f>
        <v> mirrored indigo </v>
      </c>
      <c r="M230" s="3">
        <f>IFERROR(__xludf.DUMMYFUNCTION("INDEX(SPLIT(H230,"" ""),1)"),1.0)</f>
        <v>1</v>
      </c>
      <c r="N230" s="3" t="str">
        <f>IFERROR(__xludf.DUMMYFUNCTION("MID(REGEXEXTRACT(H230,"" [^ ]* [^ ]*""),2,300)"),"faded blue")</f>
        <v>faded blue</v>
      </c>
      <c r="O230" s="3">
        <f>IFERROR(__xludf.DUMMYFUNCTION("INDEX(SPLIT(I230,"" ""),1)"),1.0)</f>
        <v>1</v>
      </c>
      <c r="P230" s="3" t="str">
        <f>IFERROR(__xludf.DUMMYFUNCTION("MID(REGEXEXTRACT(I230,"" [^ ]* [^ ]*""),2,300)"),"plaid white")</f>
        <v>plaid white</v>
      </c>
      <c r="Q230" s="3">
        <f>IFERROR(__xludf.DUMMYFUNCTION("INDEX(SPLIT(J230,"" ""),1)"),1.0)</f>
        <v>1</v>
      </c>
      <c r="R230" s="3" t="str">
        <f>IFERROR(__xludf.DUMMYFUNCTION("MID(REGEXEXTRACT(J230,"" [^ ]* [^ ]*""),2,300)"),"posh plum")</f>
        <v>posh plum</v>
      </c>
      <c r="S230" s="3">
        <f t="shared" si="2"/>
        <v>3</v>
      </c>
      <c r="T230" s="3" t="str">
        <f t="shared" si="3"/>
        <v>mirrored indigo</v>
      </c>
      <c r="U230" s="3">
        <f t="shared" si="4"/>
        <v>1</v>
      </c>
      <c r="V230" s="3" t="str">
        <f t="shared" si="5"/>
        <v>faded blue</v>
      </c>
      <c r="W230" s="3">
        <f t="shared" si="6"/>
        <v>1</v>
      </c>
      <c r="X230" s="3" t="str">
        <f t="shared" si="7"/>
        <v>plaid white</v>
      </c>
      <c r="Y230" s="3">
        <f t="shared" si="8"/>
        <v>1</v>
      </c>
      <c r="Z230" s="3" t="str">
        <f t="shared" si="9"/>
        <v>posh plum</v>
      </c>
      <c r="AA230" s="13">
        <f t="shared" si="10"/>
        <v>14006761</v>
      </c>
      <c r="AB230" s="3">
        <f t="shared" si="11"/>
        <v>14006760</v>
      </c>
      <c r="AC230" s="3">
        <f t="shared" si="12"/>
        <v>3</v>
      </c>
      <c r="AD230" s="3">
        <f t="shared" si="13"/>
        <v>181271</v>
      </c>
      <c r="AE230" s="3">
        <f t="shared" si="14"/>
        <v>1</v>
      </c>
      <c r="AF230" s="3">
        <f t="shared" si="15"/>
        <v>12631028</v>
      </c>
      <c r="AG230" s="3">
        <f t="shared" si="16"/>
        <v>1</v>
      </c>
      <c r="AH230" s="3">
        <f t="shared" si="17"/>
        <v>825737</v>
      </c>
      <c r="AI230" s="3">
        <f t="shared" si="18"/>
        <v>1</v>
      </c>
      <c r="AJ230" s="3">
        <f t="shared" si="19"/>
        <v>6182</v>
      </c>
    </row>
    <row r="231">
      <c r="C231" s="6" t="s">
        <v>231</v>
      </c>
      <c r="D231" s="3">
        <f t="shared" si="1"/>
        <v>0</v>
      </c>
      <c r="E231" s="3" t="str">
        <f>IFERROR(__xludf.DUMMYFUNCTION("REGEXEXTRACT(C231,""[^ ]* [^ ]*"")"),"muted beige")</f>
        <v>muted beige</v>
      </c>
      <c r="F231" s="3" t="str">
        <f>IFERROR(__xludf.DUMMYFUNCTION("MID(REGEXEXTRACT(C231,""contain.*$""),9,300)"),"4 drab gold bags.")</f>
        <v>4 drab gold bags.</v>
      </c>
      <c r="G231" s="3" t="str">
        <f>IFERROR(__xludf.DUMMYFUNCTION("INDEX(SPLIT($F231,"",""),COLUMN()-6)"),"4 drab gold bags.")</f>
        <v>4 drab gold bags.</v>
      </c>
      <c r="H231" s="3" t="str">
        <f>IFERROR(__xludf.DUMMYFUNCTION("MID(INDEX(SPLIT($F231,"",""),COLUMN()-6),2,300)"),"#REF!")</f>
        <v>#REF!</v>
      </c>
      <c r="I231" s="3" t="str">
        <f>IFERROR(__xludf.DUMMYFUNCTION("MID(INDEX(SPLIT($F231,"",""),COLUMN()-6),2,300)"),"#REF!")</f>
        <v>#REF!</v>
      </c>
      <c r="J231" s="3" t="str">
        <f>IFERROR(__xludf.DUMMYFUNCTION("MID(INDEX(SPLIT($F231,"",""),COLUMN()-6),2,300)"),"#REF!")</f>
        <v>#REF!</v>
      </c>
      <c r="K231" s="3">
        <f>IFERROR(__xludf.DUMMYFUNCTION("INDEX(SPLIT(G231,"" ""),1)"),4.0)</f>
        <v>4</v>
      </c>
      <c r="L231" s="3" t="str">
        <f>IFERROR(__xludf.DUMMYFUNCTION("REGEXEXTRACT(G231,"" [^ ]* [^ ]* "")")," drab gold ")</f>
        <v> drab gold </v>
      </c>
      <c r="M231" s="3" t="str">
        <f>IFERROR(__xludf.DUMMYFUNCTION("INDEX(SPLIT(H231,"" ""),1)"),"#REF!")</f>
        <v>#REF!</v>
      </c>
      <c r="N231" s="3" t="str">
        <f>IFERROR(__xludf.DUMMYFUNCTION("MID(REGEXEXTRACT(H231,"" [^ ]* [^ ]*""),2,300)"),"#REF!")</f>
        <v>#REF!</v>
      </c>
      <c r="O231" s="3" t="str">
        <f>IFERROR(__xludf.DUMMYFUNCTION("INDEX(SPLIT(I231,"" ""),1)"),"#REF!")</f>
        <v>#REF!</v>
      </c>
      <c r="P231" s="3" t="str">
        <f>IFERROR(__xludf.DUMMYFUNCTION("MID(REGEXEXTRACT(I231,"" [^ ]* [^ ]*""),2,300)"),"#REF!")</f>
        <v>#REF!</v>
      </c>
      <c r="Q231" s="3" t="str">
        <f>IFERROR(__xludf.DUMMYFUNCTION("INDEX(SPLIT(J231,"" ""),1)"),"#REF!")</f>
        <v>#REF!</v>
      </c>
      <c r="R231" s="3" t="str">
        <f>IFERROR(__xludf.DUMMYFUNCTION("MID(REGEXEXTRACT(J231,"" [^ ]* [^ ]*""),2,300)"),"#REF!")</f>
        <v>#REF!</v>
      </c>
      <c r="S231" s="3">
        <f t="shared" si="2"/>
        <v>4</v>
      </c>
      <c r="T231" s="3" t="str">
        <f t="shared" si="3"/>
        <v>drab gold</v>
      </c>
      <c r="U231" s="3" t="str">
        <f t="shared" si="4"/>
        <v/>
      </c>
      <c r="V231" s="3" t="str">
        <f t="shared" si="5"/>
        <v/>
      </c>
      <c r="W231" s="3" t="str">
        <f t="shared" si="6"/>
        <v/>
      </c>
      <c r="X231" s="3" t="str">
        <f t="shared" si="7"/>
        <v/>
      </c>
      <c r="Y231" s="3" t="str">
        <f t="shared" si="8"/>
        <v/>
      </c>
      <c r="Z231" s="3" t="str">
        <f t="shared" si="9"/>
        <v/>
      </c>
      <c r="AA231" s="13">
        <f t="shared" si="10"/>
        <v>18975545</v>
      </c>
      <c r="AB231" s="3">
        <f t="shared" si="11"/>
        <v>18975544</v>
      </c>
      <c r="AC231" s="3">
        <f t="shared" si="12"/>
        <v>4</v>
      </c>
      <c r="AD231" s="3">
        <f t="shared" si="13"/>
        <v>4743886</v>
      </c>
      <c r="AE231" s="3" t="str">
        <f t="shared" si="14"/>
        <v/>
      </c>
      <c r="AF231" s="3">
        <f t="shared" si="15"/>
        <v>0</v>
      </c>
      <c r="AG231" s="3" t="str">
        <f t="shared" si="16"/>
        <v/>
      </c>
      <c r="AH231" s="3">
        <f t="shared" si="17"/>
        <v>0</v>
      </c>
      <c r="AI231" s="3" t="str">
        <f t="shared" si="18"/>
        <v/>
      </c>
      <c r="AJ231" s="3">
        <f t="shared" si="19"/>
        <v>0</v>
      </c>
    </row>
    <row r="232">
      <c r="C232" s="6" t="s">
        <v>232</v>
      </c>
      <c r="D232" s="3">
        <f t="shared" si="1"/>
        <v>2</v>
      </c>
      <c r="E232" s="3" t="str">
        <f>IFERROR(__xludf.DUMMYFUNCTION("REGEXEXTRACT(C232,""[^ ]* [^ ]*"")"),"faded silver")</f>
        <v>faded silver</v>
      </c>
      <c r="F232" s="3" t="str">
        <f>IFERROR(__xludf.DUMMYFUNCTION("MID(REGEXEXTRACT(C232,""contain.*$""),9,300)"),"2 drab white bags, 5 pale white bags, 3 clear lime bags.")</f>
        <v>2 drab white bags, 5 pale white bags, 3 clear lime bags.</v>
      </c>
      <c r="G232" s="3" t="str">
        <f>IFERROR(__xludf.DUMMYFUNCTION("INDEX(SPLIT($F232,"",""),COLUMN()-6)"),"2 drab white bags")</f>
        <v>2 drab white bags</v>
      </c>
      <c r="H232" s="3" t="str">
        <f>IFERROR(__xludf.DUMMYFUNCTION("MID(INDEX(SPLIT($F232,"",""),COLUMN()-6),2,300)"),"5 pale white bags")</f>
        <v>5 pale white bags</v>
      </c>
      <c r="I232" s="3" t="str">
        <f>IFERROR(__xludf.DUMMYFUNCTION("MID(INDEX(SPLIT($F232,"",""),COLUMN()-6),2,300)"),"3 clear lime bags.")</f>
        <v>3 clear lime bags.</v>
      </c>
      <c r="J232" s="3" t="str">
        <f>IFERROR(__xludf.DUMMYFUNCTION("MID(INDEX(SPLIT($F232,"",""),COLUMN()-6),2,300)"),"#REF!")</f>
        <v>#REF!</v>
      </c>
      <c r="K232" s="3">
        <f>IFERROR(__xludf.DUMMYFUNCTION("INDEX(SPLIT(G232,"" ""),1)"),2.0)</f>
        <v>2</v>
      </c>
      <c r="L232" s="3" t="str">
        <f>IFERROR(__xludf.DUMMYFUNCTION("REGEXEXTRACT(G232,"" [^ ]* [^ ]* "")")," drab white ")</f>
        <v> drab white </v>
      </c>
      <c r="M232" s="3">
        <f>IFERROR(__xludf.DUMMYFUNCTION("INDEX(SPLIT(H232,"" ""),1)"),5.0)</f>
        <v>5</v>
      </c>
      <c r="N232" s="3" t="str">
        <f>IFERROR(__xludf.DUMMYFUNCTION("MID(REGEXEXTRACT(H232,"" [^ ]* [^ ]*""),2,300)"),"pale white")</f>
        <v>pale white</v>
      </c>
      <c r="O232" s="3">
        <f>IFERROR(__xludf.DUMMYFUNCTION("INDEX(SPLIT(I232,"" ""),1)"),3.0)</f>
        <v>3</v>
      </c>
      <c r="P232" s="3" t="str">
        <f>IFERROR(__xludf.DUMMYFUNCTION("MID(REGEXEXTRACT(I232,"" [^ ]* [^ ]*""),2,300)"),"clear lime")</f>
        <v>clear lime</v>
      </c>
      <c r="Q232" s="3" t="str">
        <f>IFERROR(__xludf.DUMMYFUNCTION("INDEX(SPLIT(J232,"" ""),1)"),"#REF!")</f>
        <v>#REF!</v>
      </c>
      <c r="R232" s="3" t="str">
        <f>IFERROR(__xludf.DUMMYFUNCTION("MID(REGEXEXTRACT(J232,"" [^ ]* [^ ]*""),2,300)"),"#REF!")</f>
        <v>#REF!</v>
      </c>
      <c r="S232" s="3">
        <f t="shared" si="2"/>
        <v>2</v>
      </c>
      <c r="T232" s="3" t="str">
        <f t="shared" si="3"/>
        <v>drab white</v>
      </c>
      <c r="U232" s="3">
        <f t="shared" si="4"/>
        <v>5</v>
      </c>
      <c r="V232" s="3" t="str">
        <f t="shared" si="5"/>
        <v>pale white</v>
      </c>
      <c r="W232" s="3">
        <f t="shared" si="6"/>
        <v>3</v>
      </c>
      <c r="X232" s="3" t="str">
        <f t="shared" si="7"/>
        <v>clear lime</v>
      </c>
      <c r="Y232" s="3" t="str">
        <f t="shared" si="8"/>
        <v/>
      </c>
      <c r="Z232" s="3" t="str">
        <f t="shared" si="9"/>
        <v/>
      </c>
      <c r="AA232" s="13">
        <f t="shared" si="10"/>
        <v>2729963</v>
      </c>
      <c r="AB232" s="3">
        <f t="shared" si="11"/>
        <v>2729962</v>
      </c>
      <c r="AC232" s="3">
        <f t="shared" si="12"/>
        <v>2</v>
      </c>
      <c r="AD232" s="3">
        <f t="shared" si="13"/>
        <v>14961</v>
      </c>
      <c r="AE232" s="3">
        <f t="shared" si="14"/>
        <v>5</v>
      </c>
      <c r="AF232" s="3">
        <f t="shared" si="15"/>
        <v>76433</v>
      </c>
      <c r="AG232" s="3">
        <f t="shared" si="16"/>
        <v>3</v>
      </c>
      <c r="AH232" s="3">
        <f t="shared" si="17"/>
        <v>772625</v>
      </c>
      <c r="AI232" s="3" t="str">
        <f t="shared" si="18"/>
        <v/>
      </c>
      <c r="AJ232" s="3">
        <f t="shared" si="19"/>
        <v>0</v>
      </c>
    </row>
    <row r="233">
      <c r="C233" s="6" t="s">
        <v>233</v>
      </c>
      <c r="D233" s="3">
        <f t="shared" si="1"/>
        <v>3</v>
      </c>
      <c r="E233" s="3" t="str">
        <f>IFERROR(__xludf.DUMMYFUNCTION("REGEXEXTRACT(C233,""[^ ]* [^ ]*"")"),"faded red")</f>
        <v>faded red</v>
      </c>
      <c r="F233" s="3" t="str">
        <f>IFERROR(__xludf.DUMMYFUNCTION("MID(REGEXEXTRACT(C233,""contain.*$""),9,300)"),"1 bright turquoise bag, 5 faded coral bags, 2 drab purple bags, 5 bright olive bags.")</f>
        <v>1 bright turquoise bag, 5 faded coral bags, 2 drab purple bags, 5 bright olive bags.</v>
      </c>
      <c r="G233" s="3" t="str">
        <f>IFERROR(__xludf.DUMMYFUNCTION("INDEX(SPLIT($F233,"",""),COLUMN()-6)"),"1 bright turquoise bag")</f>
        <v>1 bright turquoise bag</v>
      </c>
      <c r="H233" s="3" t="str">
        <f>IFERROR(__xludf.DUMMYFUNCTION("MID(INDEX(SPLIT($F233,"",""),COLUMN()-6),2,300)"),"5 faded coral bags")</f>
        <v>5 faded coral bags</v>
      </c>
      <c r="I233" s="3" t="str">
        <f>IFERROR(__xludf.DUMMYFUNCTION("MID(INDEX(SPLIT($F233,"",""),COLUMN()-6),2,300)"),"2 drab purple bags")</f>
        <v>2 drab purple bags</v>
      </c>
      <c r="J233" s="3" t="str">
        <f>IFERROR(__xludf.DUMMYFUNCTION("MID(INDEX(SPLIT($F233,"",""),COLUMN()-6),2,300)"),"5 bright olive bags.")</f>
        <v>5 bright olive bags.</v>
      </c>
      <c r="K233" s="3">
        <f>IFERROR(__xludf.DUMMYFUNCTION("INDEX(SPLIT(G233,"" ""),1)"),1.0)</f>
        <v>1</v>
      </c>
      <c r="L233" s="3" t="str">
        <f>IFERROR(__xludf.DUMMYFUNCTION("REGEXEXTRACT(G233,"" [^ ]* [^ ]* "")")," bright turquoise ")</f>
        <v> bright turquoise </v>
      </c>
      <c r="M233" s="3">
        <f>IFERROR(__xludf.DUMMYFUNCTION("INDEX(SPLIT(H233,"" ""),1)"),5.0)</f>
        <v>5</v>
      </c>
      <c r="N233" s="3" t="str">
        <f>IFERROR(__xludf.DUMMYFUNCTION("MID(REGEXEXTRACT(H233,"" [^ ]* [^ ]*""),2,300)"),"faded coral")</f>
        <v>faded coral</v>
      </c>
      <c r="O233" s="3">
        <f>IFERROR(__xludf.DUMMYFUNCTION("INDEX(SPLIT(I233,"" ""),1)"),2.0)</f>
        <v>2</v>
      </c>
      <c r="P233" s="3" t="str">
        <f>IFERROR(__xludf.DUMMYFUNCTION("MID(REGEXEXTRACT(I233,"" [^ ]* [^ ]*""),2,300)"),"drab purple")</f>
        <v>drab purple</v>
      </c>
      <c r="Q233" s="3">
        <f>IFERROR(__xludf.DUMMYFUNCTION("INDEX(SPLIT(J233,"" ""),1)"),5.0)</f>
        <v>5</v>
      </c>
      <c r="R233" s="3" t="str">
        <f>IFERROR(__xludf.DUMMYFUNCTION("MID(REGEXEXTRACT(J233,"" [^ ]* [^ ]*""),2,300)"),"bright olive")</f>
        <v>bright olive</v>
      </c>
      <c r="S233" s="3">
        <f t="shared" si="2"/>
        <v>1</v>
      </c>
      <c r="T233" s="3" t="str">
        <f t="shared" si="3"/>
        <v>bright turquoise</v>
      </c>
      <c r="U233" s="3">
        <f t="shared" si="4"/>
        <v>5</v>
      </c>
      <c r="V233" s="3" t="str">
        <f t="shared" si="5"/>
        <v>faded coral</v>
      </c>
      <c r="W233" s="3">
        <f t="shared" si="6"/>
        <v>2</v>
      </c>
      <c r="X233" s="3" t="str">
        <f t="shared" si="7"/>
        <v>drab purple</v>
      </c>
      <c r="Y233" s="3">
        <f t="shared" si="8"/>
        <v>5</v>
      </c>
      <c r="Z233" s="3" t="str">
        <f t="shared" si="9"/>
        <v>bright olive</v>
      </c>
      <c r="AA233" s="13">
        <f t="shared" si="10"/>
        <v>277215887</v>
      </c>
      <c r="AB233" s="3">
        <f t="shared" si="11"/>
        <v>277215886</v>
      </c>
      <c r="AC233" s="3">
        <f t="shared" si="12"/>
        <v>1</v>
      </c>
      <c r="AD233" s="3">
        <f t="shared" si="13"/>
        <v>12227506</v>
      </c>
      <c r="AE233" s="3">
        <f t="shared" si="14"/>
        <v>5</v>
      </c>
      <c r="AF233" s="3">
        <f t="shared" si="15"/>
        <v>50143651</v>
      </c>
      <c r="AG233" s="3">
        <f t="shared" si="16"/>
        <v>2</v>
      </c>
      <c r="AH233" s="3">
        <f t="shared" si="17"/>
        <v>4335</v>
      </c>
      <c r="AI233" s="3">
        <f t="shared" si="18"/>
        <v>5</v>
      </c>
      <c r="AJ233" s="3">
        <f t="shared" si="19"/>
        <v>2852291</v>
      </c>
    </row>
    <row r="234">
      <c r="C234" s="6" t="s">
        <v>234</v>
      </c>
      <c r="D234" s="3">
        <f t="shared" si="1"/>
        <v>3</v>
      </c>
      <c r="E234" s="3" t="str">
        <f>IFERROR(__xludf.DUMMYFUNCTION("REGEXEXTRACT(C234,""[^ ]* [^ ]*"")"),"shiny bronze")</f>
        <v>shiny bronze</v>
      </c>
      <c r="F234" s="3" t="str">
        <f>IFERROR(__xludf.DUMMYFUNCTION("MID(REGEXEXTRACT(C234,""contain.*$""),9,300)"),"4 plaid purple bags, 5 bright red bags, 1 muted white bag, 2 dull fuchsia bags.")</f>
        <v>4 plaid purple bags, 5 bright red bags, 1 muted white bag, 2 dull fuchsia bags.</v>
      </c>
      <c r="G234" s="3" t="str">
        <f>IFERROR(__xludf.DUMMYFUNCTION("INDEX(SPLIT($F234,"",""),COLUMN()-6)"),"4 plaid purple bags")</f>
        <v>4 plaid purple bags</v>
      </c>
      <c r="H234" s="3" t="str">
        <f>IFERROR(__xludf.DUMMYFUNCTION("MID(INDEX(SPLIT($F234,"",""),COLUMN()-6),2,300)"),"5 bright red bags")</f>
        <v>5 bright red bags</v>
      </c>
      <c r="I234" s="3" t="str">
        <f>IFERROR(__xludf.DUMMYFUNCTION("MID(INDEX(SPLIT($F234,"",""),COLUMN()-6),2,300)"),"1 muted white bag")</f>
        <v>1 muted white bag</v>
      </c>
      <c r="J234" s="3" t="str">
        <f>IFERROR(__xludf.DUMMYFUNCTION("MID(INDEX(SPLIT($F234,"",""),COLUMN()-6),2,300)"),"2 dull fuchsia bags.")</f>
        <v>2 dull fuchsia bags.</v>
      </c>
      <c r="K234" s="3">
        <f>IFERROR(__xludf.DUMMYFUNCTION("INDEX(SPLIT(G234,"" ""),1)"),4.0)</f>
        <v>4</v>
      </c>
      <c r="L234" s="3" t="str">
        <f>IFERROR(__xludf.DUMMYFUNCTION("REGEXEXTRACT(G234,"" [^ ]* [^ ]* "")")," plaid purple ")</f>
        <v> plaid purple </v>
      </c>
      <c r="M234" s="3">
        <f>IFERROR(__xludf.DUMMYFUNCTION("INDEX(SPLIT(H234,"" ""),1)"),5.0)</f>
        <v>5</v>
      </c>
      <c r="N234" s="3" t="str">
        <f>IFERROR(__xludf.DUMMYFUNCTION("MID(REGEXEXTRACT(H234,"" [^ ]* [^ ]*""),2,300)"),"bright red")</f>
        <v>bright red</v>
      </c>
      <c r="O234" s="3">
        <f>IFERROR(__xludf.DUMMYFUNCTION("INDEX(SPLIT(I234,"" ""),1)"),1.0)</f>
        <v>1</v>
      </c>
      <c r="P234" s="3" t="str">
        <f>IFERROR(__xludf.DUMMYFUNCTION("MID(REGEXEXTRACT(I234,"" [^ ]* [^ ]*""),2,300)"),"muted white")</f>
        <v>muted white</v>
      </c>
      <c r="Q234" s="3">
        <f>IFERROR(__xludf.DUMMYFUNCTION("INDEX(SPLIT(J234,"" ""),1)"),2.0)</f>
        <v>2</v>
      </c>
      <c r="R234" s="3" t="str">
        <f>IFERROR(__xludf.DUMMYFUNCTION("MID(REGEXEXTRACT(J234,"" [^ ]* [^ ]*""),2,300)"),"dull fuchsia")</f>
        <v>dull fuchsia</v>
      </c>
      <c r="S234" s="3">
        <f t="shared" si="2"/>
        <v>4</v>
      </c>
      <c r="T234" s="3" t="str">
        <f t="shared" si="3"/>
        <v>plaid purple</v>
      </c>
      <c r="U234" s="3">
        <f t="shared" si="4"/>
        <v>5</v>
      </c>
      <c r="V234" s="3" t="str">
        <f t="shared" si="5"/>
        <v>bright red</v>
      </c>
      <c r="W234" s="3">
        <f t="shared" si="6"/>
        <v>1</v>
      </c>
      <c r="X234" s="3" t="str">
        <f t="shared" si="7"/>
        <v>muted white</v>
      </c>
      <c r="Y234" s="3">
        <f t="shared" si="8"/>
        <v>2</v>
      </c>
      <c r="Z234" s="3" t="str">
        <f t="shared" si="9"/>
        <v>dull fuchsia</v>
      </c>
      <c r="AA234" s="13">
        <f t="shared" si="10"/>
        <v>809885371</v>
      </c>
      <c r="AB234" s="3">
        <f t="shared" si="11"/>
        <v>809885370</v>
      </c>
      <c r="AC234" s="3">
        <f t="shared" si="12"/>
        <v>4</v>
      </c>
      <c r="AD234" s="3">
        <f t="shared" si="13"/>
        <v>27231</v>
      </c>
      <c r="AE234" s="3">
        <f t="shared" si="14"/>
        <v>5</v>
      </c>
      <c r="AF234" s="3">
        <f t="shared" si="15"/>
        <v>3162614</v>
      </c>
      <c r="AG234" s="3">
        <f t="shared" si="16"/>
        <v>1</v>
      </c>
      <c r="AH234" s="3">
        <f t="shared" si="17"/>
        <v>2893450</v>
      </c>
      <c r="AI234" s="3">
        <f t="shared" si="18"/>
        <v>2</v>
      </c>
      <c r="AJ234" s="3">
        <f t="shared" si="19"/>
        <v>395534963</v>
      </c>
    </row>
    <row r="235">
      <c r="C235" s="6" t="s">
        <v>235</v>
      </c>
      <c r="D235" s="3">
        <f t="shared" si="1"/>
        <v>0</v>
      </c>
      <c r="E235" s="3" t="str">
        <f>IFERROR(__xludf.DUMMYFUNCTION("REGEXEXTRACT(C235,""[^ ]* [^ ]*"")"),"dull gold")</f>
        <v>dull gold</v>
      </c>
      <c r="F235" s="3" t="str">
        <f>IFERROR(__xludf.DUMMYFUNCTION("MID(REGEXEXTRACT(C235,""contain.*$""),9,300)"),"1 dotted orange bag.")</f>
        <v>1 dotted orange bag.</v>
      </c>
      <c r="G235" s="3" t="str">
        <f>IFERROR(__xludf.DUMMYFUNCTION("INDEX(SPLIT($F235,"",""),COLUMN()-6)"),"1 dotted orange bag.")</f>
        <v>1 dotted orange bag.</v>
      </c>
      <c r="H235" s="3" t="str">
        <f>IFERROR(__xludf.DUMMYFUNCTION("MID(INDEX(SPLIT($F235,"",""),COLUMN()-6),2,300)"),"#REF!")</f>
        <v>#REF!</v>
      </c>
      <c r="I235" s="3" t="str">
        <f>IFERROR(__xludf.DUMMYFUNCTION("MID(INDEX(SPLIT($F235,"",""),COLUMN()-6),2,300)"),"#REF!")</f>
        <v>#REF!</v>
      </c>
      <c r="J235" s="3" t="str">
        <f>IFERROR(__xludf.DUMMYFUNCTION("MID(INDEX(SPLIT($F235,"",""),COLUMN()-6),2,300)"),"#REF!")</f>
        <v>#REF!</v>
      </c>
      <c r="K235" s="3">
        <f>IFERROR(__xludf.DUMMYFUNCTION("INDEX(SPLIT(G235,"" ""),1)"),1.0)</f>
        <v>1</v>
      </c>
      <c r="L235" s="3" t="str">
        <f>IFERROR(__xludf.DUMMYFUNCTION("REGEXEXTRACT(G235,"" [^ ]* [^ ]* "")")," dotted orange ")</f>
        <v> dotted orange </v>
      </c>
      <c r="M235" s="3" t="str">
        <f>IFERROR(__xludf.DUMMYFUNCTION("INDEX(SPLIT(H235,"" ""),1)"),"#REF!")</f>
        <v>#REF!</v>
      </c>
      <c r="N235" s="3" t="str">
        <f>IFERROR(__xludf.DUMMYFUNCTION("MID(REGEXEXTRACT(H235,"" [^ ]* [^ ]*""),2,300)"),"#REF!")</f>
        <v>#REF!</v>
      </c>
      <c r="O235" s="3" t="str">
        <f>IFERROR(__xludf.DUMMYFUNCTION("INDEX(SPLIT(I235,"" ""),1)"),"#REF!")</f>
        <v>#REF!</v>
      </c>
      <c r="P235" s="3" t="str">
        <f>IFERROR(__xludf.DUMMYFUNCTION("MID(REGEXEXTRACT(I235,"" [^ ]* [^ ]*""),2,300)"),"#REF!")</f>
        <v>#REF!</v>
      </c>
      <c r="Q235" s="3" t="str">
        <f>IFERROR(__xludf.DUMMYFUNCTION("INDEX(SPLIT(J235,"" ""),1)"),"#REF!")</f>
        <v>#REF!</v>
      </c>
      <c r="R235" s="3" t="str">
        <f>IFERROR(__xludf.DUMMYFUNCTION("MID(REGEXEXTRACT(J235,"" [^ ]* [^ ]*""),2,300)"),"#REF!")</f>
        <v>#REF!</v>
      </c>
      <c r="S235" s="3">
        <f t="shared" si="2"/>
        <v>1</v>
      </c>
      <c r="T235" s="3" t="str">
        <f t="shared" si="3"/>
        <v>dotted orange</v>
      </c>
      <c r="U235" s="3" t="str">
        <f t="shared" si="4"/>
        <v/>
      </c>
      <c r="V235" s="3" t="str">
        <f t="shared" si="5"/>
        <v/>
      </c>
      <c r="W235" s="3" t="str">
        <f t="shared" si="6"/>
        <v/>
      </c>
      <c r="X235" s="3" t="str">
        <f t="shared" si="7"/>
        <v/>
      </c>
      <c r="Y235" s="3" t="str">
        <f t="shared" si="8"/>
        <v/>
      </c>
      <c r="Z235" s="3" t="str">
        <f t="shared" si="9"/>
        <v/>
      </c>
      <c r="AA235" s="13">
        <f t="shared" si="10"/>
        <v>1781</v>
      </c>
      <c r="AB235" s="3">
        <f t="shared" si="11"/>
        <v>1780</v>
      </c>
      <c r="AC235" s="3">
        <f t="shared" si="12"/>
        <v>1</v>
      </c>
      <c r="AD235" s="3">
        <f t="shared" si="13"/>
        <v>1780</v>
      </c>
      <c r="AE235" s="3" t="str">
        <f t="shared" si="14"/>
        <v/>
      </c>
      <c r="AF235" s="3">
        <f t="shared" si="15"/>
        <v>0</v>
      </c>
      <c r="AG235" s="3" t="str">
        <f t="shared" si="16"/>
        <v/>
      </c>
      <c r="AH235" s="3">
        <f t="shared" si="17"/>
        <v>0</v>
      </c>
      <c r="AI235" s="3" t="str">
        <f t="shared" si="18"/>
        <v/>
      </c>
      <c r="AJ235" s="3">
        <f t="shared" si="19"/>
        <v>0</v>
      </c>
    </row>
    <row r="236">
      <c r="C236" s="6" t="s">
        <v>236</v>
      </c>
      <c r="D236" s="3">
        <f t="shared" si="1"/>
        <v>3</v>
      </c>
      <c r="E236" s="3" t="str">
        <f>IFERROR(__xludf.DUMMYFUNCTION("REGEXEXTRACT(C236,""[^ ]* [^ ]*"")"),"muted olive")</f>
        <v>muted olive</v>
      </c>
      <c r="F236" s="3" t="str">
        <f>IFERROR(__xludf.DUMMYFUNCTION("MID(REGEXEXTRACT(C236,""contain.*$""),9,300)"),"1 clear coral bag, 1 posh magenta bag, 2 bright violet bags, 1 wavy chartreuse bag.")</f>
        <v>1 clear coral bag, 1 posh magenta bag, 2 bright violet bags, 1 wavy chartreuse bag.</v>
      </c>
      <c r="G236" s="3" t="str">
        <f>IFERROR(__xludf.DUMMYFUNCTION("INDEX(SPLIT($F236,"",""),COLUMN()-6)"),"1 clear coral bag")</f>
        <v>1 clear coral bag</v>
      </c>
      <c r="H236" s="3" t="str">
        <f>IFERROR(__xludf.DUMMYFUNCTION("MID(INDEX(SPLIT($F236,"",""),COLUMN()-6),2,300)"),"1 posh magenta bag")</f>
        <v>1 posh magenta bag</v>
      </c>
      <c r="I236" s="3" t="str">
        <f>IFERROR(__xludf.DUMMYFUNCTION("MID(INDEX(SPLIT($F236,"",""),COLUMN()-6),2,300)"),"2 bright violet bags")</f>
        <v>2 bright violet bags</v>
      </c>
      <c r="J236" s="3" t="str">
        <f>IFERROR(__xludf.DUMMYFUNCTION("MID(INDEX(SPLIT($F236,"",""),COLUMN()-6),2,300)"),"1 wavy chartreuse bag.")</f>
        <v>1 wavy chartreuse bag.</v>
      </c>
      <c r="K236" s="3">
        <f>IFERROR(__xludf.DUMMYFUNCTION("INDEX(SPLIT(G236,"" ""),1)"),1.0)</f>
        <v>1</v>
      </c>
      <c r="L236" s="3" t="str">
        <f>IFERROR(__xludf.DUMMYFUNCTION("REGEXEXTRACT(G236,"" [^ ]* [^ ]* "")")," clear coral ")</f>
        <v> clear coral </v>
      </c>
      <c r="M236" s="3">
        <f>IFERROR(__xludf.DUMMYFUNCTION("INDEX(SPLIT(H236,"" ""),1)"),1.0)</f>
        <v>1</v>
      </c>
      <c r="N236" s="3" t="str">
        <f>IFERROR(__xludf.DUMMYFUNCTION("MID(REGEXEXTRACT(H236,"" [^ ]* [^ ]*""),2,300)"),"posh magenta")</f>
        <v>posh magenta</v>
      </c>
      <c r="O236" s="3">
        <f>IFERROR(__xludf.DUMMYFUNCTION("INDEX(SPLIT(I236,"" ""),1)"),2.0)</f>
        <v>2</v>
      </c>
      <c r="P236" s="3" t="str">
        <f>IFERROR(__xludf.DUMMYFUNCTION("MID(REGEXEXTRACT(I236,"" [^ ]* [^ ]*""),2,300)"),"bright violet")</f>
        <v>bright violet</v>
      </c>
      <c r="Q236" s="3">
        <f>IFERROR(__xludf.DUMMYFUNCTION("INDEX(SPLIT(J236,"" ""),1)"),1.0)</f>
        <v>1</v>
      </c>
      <c r="R236" s="3" t="str">
        <f>IFERROR(__xludf.DUMMYFUNCTION("MID(REGEXEXTRACT(J236,"" [^ ]* [^ ]*""),2,300)"),"wavy chartreuse")</f>
        <v>wavy chartreuse</v>
      </c>
      <c r="S236" s="3">
        <f t="shared" si="2"/>
        <v>1</v>
      </c>
      <c r="T236" s="3" t="str">
        <f t="shared" si="3"/>
        <v>clear coral</v>
      </c>
      <c r="U236" s="3">
        <f t="shared" si="4"/>
        <v>1</v>
      </c>
      <c r="V236" s="3" t="str">
        <f t="shared" si="5"/>
        <v>posh magenta</v>
      </c>
      <c r="W236" s="3">
        <f t="shared" si="6"/>
        <v>2</v>
      </c>
      <c r="X236" s="3" t="str">
        <f t="shared" si="7"/>
        <v>bright violet</v>
      </c>
      <c r="Y236" s="3">
        <f t="shared" si="8"/>
        <v>1</v>
      </c>
      <c r="Z236" s="3" t="str">
        <f t="shared" si="9"/>
        <v>wavy chartreuse</v>
      </c>
      <c r="AA236" s="13">
        <f t="shared" si="10"/>
        <v>6</v>
      </c>
      <c r="AB236" s="3">
        <f t="shared" si="11"/>
        <v>5</v>
      </c>
      <c r="AC236" s="3">
        <f t="shared" si="12"/>
        <v>1</v>
      </c>
      <c r="AD236" s="3">
        <f t="shared" si="13"/>
        <v>1</v>
      </c>
      <c r="AE236" s="3">
        <f t="shared" si="14"/>
        <v>1</v>
      </c>
      <c r="AF236" s="3">
        <f t="shared" si="15"/>
        <v>1</v>
      </c>
      <c r="AG236" s="3">
        <f t="shared" si="16"/>
        <v>2</v>
      </c>
      <c r="AH236" s="3">
        <f t="shared" si="17"/>
        <v>1</v>
      </c>
      <c r="AI236" s="3">
        <f t="shared" si="18"/>
        <v>1</v>
      </c>
      <c r="AJ236" s="3">
        <f t="shared" si="19"/>
        <v>1</v>
      </c>
    </row>
    <row r="237">
      <c r="C237" s="6" t="s">
        <v>237</v>
      </c>
      <c r="D237" s="3">
        <f t="shared" si="1"/>
        <v>3</v>
      </c>
      <c r="E237" s="3" t="str">
        <f>IFERROR(__xludf.DUMMYFUNCTION("REGEXEXTRACT(C237,""[^ ]* [^ ]*"")"),"dotted bronze")</f>
        <v>dotted bronze</v>
      </c>
      <c r="F237" s="3" t="str">
        <f>IFERROR(__xludf.DUMMYFUNCTION("MID(REGEXEXTRACT(C237,""contain.*$""),9,300)"),"1 plaid beige bag, 3 clear olive bags, 2 light lime bags, 5 dull beige bags.")</f>
        <v>1 plaid beige bag, 3 clear olive bags, 2 light lime bags, 5 dull beige bags.</v>
      </c>
      <c r="G237" s="3" t="str">
        <f>IFERROR(__xludf.DUMMYFUNCTION("INDEX(SPLIT($F237,"",""),COLUMN()-6)"),"1 plaid beige bag")</f>
        <v>1 plaid beige bag</v>
      </c>
      <c r="H237" s="3" t="str">
        <f>IFERROR(__xludf.DUMMYFUNCTION("MID(INDEX(SPLIT($F237,"",""),COLUMN()-6),2,300)"),"3 clear olive bags")</f>
        <v>3 clear olive bags</v>
      </c>
      <c r="I237" s="3" t="str">
        <f>IFERROR(__xludf.DUMMYFUNCTION("MID(INDEX(SPLIT($F237,"",""),COLUMN()-6),2,300)"),"2 light lime bags")</f>
        <v>2 light lime bags</v>
      </c>
      <c r="J237" s="3" t="str">
        <f>IFERROR(__xludf.DUMMYFUNCTION("MID(INDEX(SPLIT($F237,"",""),COLUMN()-6),2,300)"),"5 dull beige bags.")</f>
        <v>5 dull beige bags.</v>
      </c>
      <c r="K237" s="3">
        <f>IFERROR(__xludf.DUMMYFUNCTION("INDEX(SPLIT(G237,"" ""),1)"),1.0)</f>
        <v>1</v>
      </c>
      <c r="L237" s="3" t="str">
        <f>IFERROR(__xludf.DUMMYFUNCTION("REGEXEXTRACT(G237,"" [^ ]* [^ ]* "")")," plaid beige ")</f>
        <v> plaid beige </v>
      </c>
      <c r="M237" s="3">
        <f>IFERROR(__xludf.DUMMYFUNCTION("INDEX(SPLIT(H237,"" ""),1)"),3.0)</f>
        <v>3</v>
      </c>
      <c r="N237" s="3" t="str">
        <f>IFERROR(__xludf.DUMMYFUNCTION("MID(REGEXEXTRACT(H237,"" [^ ]* [^ ]*""),2,300)"),"clear olive")</f>
        <v>clear olive</v>
      </c>
      <c r="O237" s="3">
        <f>IFERROR(__xludf.DUMMYFUNCTION("INDEX(SPLIT(I237,"" ""),1)"),2.0)</f>
        <v>2</v>
      </c>
      <c r="P237" s="3" t="str">
        <f>IFERROR(__xludf.DUMMYFUNCTION("MID(REGEXEXTRACT(I237,"" [^ ]* [^ ]*""),2,300)"),"light lime")</f>
        <v>light lime</v>
      </c>
      <c r="Q237" s="3">
        <f>IFERROR(__xludf.DUMMYFUNCTION("INDEX(SPLIT(J237,"" ""),1)"),5.0)</f>
        <v>5</v>
      </c>
      <c r="R237" s="3" t="str">
        <f>IFERROR(__xludf.DUMMYFUNCTION("MID(REGEXEXTRACT(J237,"" [^ ]* [^ ]*""),2,300)"),"dull beige")</f>
        <v>dull beige</v>
      </c>
      <c r="S237" s="3">
        <f t="shared" si="2"/>
        <v>1</v>
      </c>
      <c r="T237" s="3" t="str">
        <f t="shared" si="3"/>
        <v>plaid beige</v>
      </c>
      <c r="U237" s="3">
        <f t="shared" si="4"/>
        <v>3</v>
      </c>
      <c r="V237" s="3" t="str">
        <f t="shared" si="5"/>
        <v>clear olive</v>
      </c>
      <c r="W237" s="3">
        <f t="shared" si="6"/>
        <v>2</v>
      </c>
      <c r="X237" s="3" t="str">
        <f t="shared" si="7"/>
        <v>light lime</v>
      </c>
      <c r="Y237" s="3">
        <f t="shared" si="8"/>
        <v>5</v>
      </c>
      <c r="Z237" s="3" t="str">
        <f t="shared" si="9"/>
        <v>dull beige</v>
      </c>
      <c r="AA237" s="13">
        <f t="shared" si="10"/>
        <v>368487937</v>
      </c>
      <c r="AB237" s="3">
        <f t="shared" si="11"/>
        <v>368487936</v>
      </c>
      <c r="AC237" s="3">
        <f t="shared" si="12"/>
        <v>1</v>
      </c>
      <c r="AD237" s="3">
        <f t="shared" si="13"/>
        <v>47706683</v>
      </c>
      <c r="AE237" s="3">
        <f t="shared" si="14"/>
        <v>3</v>
      </c>
      <c r="AF237" s="3">
        <f t="shared" si="15"/>
        <v>2697220</v>
      </c>
      <c r="AG237" s="3">
        <f t="shared" si="16"/>
        <v>2</v>
      </c>
      <c r="AH237" s="3">
        <f t="shared" si="17"/>
        <v>147338859</v>
      </c>
      <c r="AI237" s="3">
        <f t="shared" si="18"/>
        <v>5</v>
      </c>
      <c r="AJ237" s="3">
        <f t="shared" si="19"/>
        <v>3602375</v>
      </c>
    </row>
    <row r="238">
      <c r="C238" s="6" t="s">
        <v>238</v>
      </c>
      <c r="D238" s="3">
        <f t="shared" si="1"/>
        <v>1</v>
      </c>
      <c r="E238" s="3" t="str">
        <f>IFERROR(__xludf.DUMMYFUNCTION("REGEXEXTRACT(C238,""[^ ]* [^ ]*"")"),"shiny orange")</f>
        <v>shiny orange</v>
      </c>
      <c r="F238" s="3" t="str">
        <f>IFERROR(__xludf.DUMMYFUNCTION("MID(REGEXEXTRACT(C238,""contain.*$""),9,300)"),"5 pale brown bags, 5 clear tomato bags.")</f>
        <v>5 pale brown bags, 5 clear tomato bags.</v>
      </c>
      <c r="G238" s="3" t="str">
        <f>IFERROR(__xludf.DUMMYFUNCTION("INDEX(SPLIT($F238,"",""),COLUMN()-6)"),"5 pale brown bags")</f>
        <v>5 pale brown bags</v>
      </c>
      <c r="H238" s="3" t="str">
        <f>IFERROR(__xludf.DUMMYFUNCTION("MID(INDEX(SPLIT($F238,"",""),COLUMN()-6),2,300)"),"5 clear tomato bags.")</f>
        <v>5 clear tomato bags.</v>
      </c>
      <c r="I238" s="3" t="str">
        <f>IFERROR(__xludf.DUMMYFUNCTION("MID(INDEX(SPLIT($F238,"",""),COLUMN()-6),2,300)"),"#REF!")</f>
        <v>#REF!</v>
      </c>
      <c r="J238" s="3" t="str">
        <f>IFERROR(__xludf.DUMMYFUNCTION("MID(INDEX(SPLIT($F238,"",""),COLUMN()-6),2,300)"),"#REF!")</f>
        <v>#REF!</v>
      </c>
      <c r="K238" s="3">
        <f>IFERROR(__xludf.DUMMYFUNCTION("INDEX(SPLIT(G238,"" ""),1)"),5.0)</f>
        <v>5</v>
      </c>
      <c r="L238" s="3" t="str">
        <f>IFERROR(__xludf.DUMMYFUNCTION("REGEXEXTRACT(G238,"" [^ ]* [^ ]* "")")," pale brown ")</f>
        <v> pale brown </v>
      </c>
      <c r="M238" s="3">
        <f>IFERROR(__xludf.DUMMYFUNCTION("INDEX(SPLIT(H238,"" ""),1)"),5.0)</f>
        <v>5</v>
      </c>
      <c r="N238" s="3" t="str">
        <f>IFERROR(__xludf.DUMMYFUNCTION("MID(REGEXEXTRACT(H238,"" [^ ]* [^ ]*""),2,300)"),"clear tomato")</f>
        <v>clear tomato</v>
      </c>
      <c r="O238" s="3" t="str">
        <f>IFERROR(__xludf.DUMMYFUNCTION("INDEX(SPLIT(I238,"" ""),1)"),"#REF!")</f>
        <v>#REF!</v>
      </c>
      <c r="P238" s="3" t="str">
        <f>IFERROR(__xludf.DUMMYFUNCTION("MID(REGEXEXTRACT(I238,"" [^ ]* [^ ]*""),2,300)"),"#REF!")</f>
        <v>#REF!</v>
      </c>
      <c r="Q238" s="3" t="str">
        <f>IFERROR(__xludf.DUMMYFUNCTION("INDEX(SPLIT(J238,"" ""),1)"),"#REF!")</f>
        <v>#REF!</v>
      </c>
      <c r="R238" s="3" t="str">
        <f>IFERROR(__xludf.DUMMYFUNCTION("MID(REGEXEXTRACT(J238,"" [^ ]* [^ ]*""),2,300)"),"#REF!")</f>
        <v>#REF!</v>
      </c>
      <c r="S238" s="3">
        <f t="shared" si="2"/>
        <v>5</v>
      </c>
      <c r="T238" s="3" t="str">
        <f t="shared" si="3"/>
        <v>pale brown</v>
      </c>
      <c r="U238" s="3">
        <f t="shared" si="4"/>
        <v>5</v>
      </c>
      <c r="V238" s="3" t="str">
        <f t="shared" si="5"/>
        <v>clear tomato</v>
      </c>
      <c r="W238" s="3" t="str">
        <f t="shared" si="6"/>
        <v/>
      </c>
      <c r="X238" s="3" t="str">
        <f t="shared" si="7"/>
        <v/>
      </c>
      <c r="Y238" s="3" t="str">
        <f t="shared" si="8"/>
        <v/>
      </c>
      <c r="Z238" s="3" t="str">
        <f t="shared" si="9"/>
        <v/>
      </c>
      <c r="AA238" s="13">
        <f t="shared" si="10"/>
        <v>7514134121</v>
      </c>
      <c r="AB238" s="3">
        <f t="shared" si="11"/>
        <v>7514134120</v>
      </c>
      <c r="AC238" s="3">
        <f t="shared" si="12"/>
        <v>5</v>
      </c>
      <c r="AD238" s="3">
        <f t="shared" si="13"/>
        <v>944486316</v>
      </c>
      <c r="AE238" s="3">
        <f t="shared" si="14"/>
        <v>5</v>
      </c>
      <c r="AF238" s="3">
        <f t="shared" si="15"/>
        <v>558340508</v>
      </c>
      <c r="AG238" s="3" t="str">
        <f t="shared" si="16"/>
        <v/>
      </c>
      <c r="AH238" s="3">
        <f t="shared" si="17"/>
        <v>0</v>
      </c>
      <c r="AI238" s="3" t="str">
        <f t="shared" si="18"/>
        <v/>
      </c>
      <c r="AJ238" s="3">
        <f t="shared" si="19"/>
        <v>0</v>
      </c>
    </row>
    <row r="239">
      <c r="C239" s="6" t="s">
        <v>239</v>
      </c>
      <c r="D239" s="3">
        <f t="shared" si="1"/>
        <v>0</v>
      </c>
      <c r="E239" s="3" t="str">
        <f>IFERROR(__xludf.DUMMYFUNCTION("REGEXEXTRACT(C239,""[^ ]* [^ ]*"")"),"wavy salmon")</f>
        <v>wavy salmon</v>
      </c>
      <c r="F239" s="3" t="str">
        <f>IFERROR(__xludf.DUMMYFUNCTION("MID(REGEXEXTRACT(C239,""contain.*$""),9,300)"),"2 shiny maroon bags.")</f>
        <v>2 shiny maroon bags.</v>
      </c>
      <c r="G239" s="3" t="str">
        <f>IFERROR(__xludf.DUMMYFUNCTION("INDEX(SPLIT($F239,"",""),COLUMN()-6)"),"2 shiny maroon bags.")</f>
        <v>2 shiny maroon bags.</v>
      </c>
      <c r="H239" s="3" t="str">
        <f>IFERROR(__xludf.DUMMYFUNCTION("MID(INDEX(SPLIT($F239,"",""),COLUMN()-6),2,300)"),"#REF!")</f>
        <v>#REF!</v>
      </c>
      <c r="I239" s="3" t="str">
        <f>IFERROR(__xludf.DUMMYFUNCTION("MID(INDEX(SPLIT($F239,"",""),COLUMN()-6),2,300)"),"#REF!")</f>
        <v>#REF!</v>
      </c>
      <c r="J239" s="3" t="str">
        <f>IFERROR(__xludf.DUMMYFUNCTION("MID(INDEX(SPLIT($F239,"",""),COLUMN()-6),2,300)"),"#REF!")</f>
        <v>#REF!</v>
      </c>
      <c r="K239" s="3">
        <f>IFERROR(__xludf.DUMMYFUNCTION("INDEX(SPLIT(G239,"" ""),1)"),2.0)</f>
        <v>2</v>
      </c>
      <c r="L239" s="3" t="str">
        <f>IFERROR(__xludf.DUMMYFUNCTION("REGEXEXTRACT(G239,"" [^ ]* [^ ]* "")")," shiny maroon ")</f>
        <v> shiny maroon </v>
      </c>
      <c r="M239" s="3" t="str">
        <f>IFERROR(__xludf.DUMMYFUNCTION("INDEX(SPLIT(H239,"" ""),1)"),"#REF!")</f>
        <v>#REF!</v>
      </c>
      <c r="N239" s="3" t="str">
        <f>IFERROR(__xludf.DUMMYFUNCTION("MID(REGEXEXTRACT(H239,"" [^ ]* [^ ]*""),2,300)"),"#REF!")</f>
        <v>#REF!</v>
      </c>
      <c r="O239" s="3" t="str">
        <f>IFERROR(__xludf.DUMMYFUNCTION("INDEX(SPLIT(I239,"" ""),1)"),"#REF!")</f>
        <v>#REF!</v>
      </c>
      <c r="P239" s="3" t="str">
        <f>IFERROR(__xludf.DUMMYFUNCTION("MID(REGEXEXTRACT(I239,"" [^ ]* [^ ]*""),2,300)"),"#REF!")</f>
        <v>#REF!</v>
      </c>
      <c r="Q239" s="3" t="str">
        <f>IFERROR(__xludf.DUMMYFUNCTION("INDEX(SPLIT(J239,"" ""),1)"),"#REF!")</f>
        <v>#REF!</v>
      </c>
      <c r="R239" s="3" t="str">
        <f>IFERROR(__xludf.DUMMYFUNCTION("MID(REGEXEXTRACT(J239,"" [^ ]* [^ ]*""),2,300)"),"#REF!")</f>
        <v>#REF!</v>
      </c>
      <c r="S239" s="3">
        <f t="shared" si="2"/>
        <v>2</v>
      </c>
      <c r="T239" s="3" t="str">
        <f t="shared" si="3"/>
        <v>shiny maroon</v>
      </c>
      <c r="U239" s="3" t="str">
        <f t="shared" si="4"/>
        <v/>
      </c>
      <c r="V239" s="3" t="str">
        <f t="shared" si="5"/>
        <v/>
      </c>
      <c r="W239" s="3" t="str">
        <f t="shared" si="6"/>
        <v/>
      </c>
      <c r="X239" s="3" t="str">
        <f t="shared" si="7"/>
        <v/>
      </c>
      <c r="Y239" s="3" t="str">
        <f t="shared" si="8"/>
        <v/>
      </c>
      <c r="Z239" s="3" t="str">
        <f t="shared" si="9"/>
        <v/>
      </c>
      <c r="AA239" s="13">
        <f t="shared" si="10"/>
        <v>1114045</v>
      </c>
      <c r="AB239" s="3">
        <f t="shared" si="11"/>
        <v>1114044</v>
      </c>
      <c r="AC239" s="3">
        <f t="shared" si="12"/>
        <v>2</v>
      </c>
      <c r="AD239" s="3">
        <f t="shared" si="13"/>
        <v>557022</v>
      </c>
      <c r="AE239" s="3" t="str">
        <f t="shared" si="14"/>
        <v/>
      </c>
      <c r="AF239" s="3">
        <f t="shared" si="15"/>
        <v>0</v>
      </c>
      <c r="AG239" s="3" t="str">
        <f t="shared" si="16"/>
        <v/>
      </c>
      <c r="AH239" s="3">
        <f t="shared" si="17"/>
        <v>0</v>
      </c>
      <c r="AI239" s="3" t="str">
        <f t="shared" si="18"/>
        <v/>
      </c>
      <c r="AJ239" s="3">
        <f t="shared" si="19"/>
        <v>0</v>
      </c>
    </row>
    <row r="240">
      <c r="C240" s="6" t="s">
        <v>240</v>
      </c>
      <c r="D240" s="3">
        <f t="shared" si="1"/>
        <v>1</v>
      </c>
      <c r="E240" s="3" t="str">
        <f>IFERROR(__xludf.DUMMYFUNCTION("REGEXEXTRACT(C240,""[^ ]* [^ ]*"")"),"wavy crimson")</f>
        <v>wavy crimson</v>
      </c>
      <c r="F240" s="3" t="str">
        <f>IFERROR(__xludf.DUMMYFUNCTION("MID(REGEXEXTRACT(C240,""contain.*$""),9,300)"),"5 bright violet bags, 3 plaid violet bags.")</f>
        <v>5 bright violet bags, 3 plaid violet bags.</v>
      </c>
      <c r="G240" s="3" t="str">
        <f>IFERROR(__xludf.DUMMYFUNCTION("INDEX(SPLIT($F240,"",""),COLUMN()-6)"),"5 bright violet bags")</f>
        <v>5 bright violet bags</v>
      </c>
      <c r="H240" s="3" t="str">
        <f>IFERROR(__xludf.DUMMYFUNCTION("MID(INDEX(SPLIT($F240,"",""),COLUMN()-6),2,300)"),"3 plaid violet bags.")</f>
        <v>3 plaid violet bags.</v>
      </c>
      <c r="I240" s="3" t="str">
        <f>IFERROR(__xludf.DUMMYFUNCTION("MID(INDEX(SPLIT($F240,"",""),COLUMN()-6),2,300)"),"#REF!")</f>
        <v>#REF!</v>
      </c>
      <c r="J240" s="3" t="str">
        <f>IFERROR(__xludf.DUMMYFUNCTION("MID(INDEX(SPLIT($F240,"",""),COLUMN()-6),2,300)"),"#REF!")</f>
        <v>#REF!</v>
      </c>
      <c r="K240" s="3">
        <f>IFERROR(__xludf.DUMMYFUNCTION("INDEX(SPLIT(G240,"" ""),1)"),5.0)</f>
        <v>5</v>
      </c>
      <c r="L240" s="3" t="str">
        <f>IFERROR(__xludf.DUMMYFUNCTION("REGEXEXTRACT(G240,"" [^ ]* [^ ]* "")")," bright violet ")</f>
        <v> bright violet </v>
      </c>
      <c r="M240" s="3">
        <f>IFERROR(__xludf.DUMMYFUNCTION("INDEX(SPLIT(H240,"" ""),1)"),3.0)</f>
        <v>3</v>
      </c>
      <c r="N240" s="3" t="str">
        <f>IFERROR(__xludf.DUMMYFUNCTION("MID(REGEXEXTRACT(H240,"" [^ ]* [^ ]*""),2,300)"),"plaid violet")</f>
        <v>plaid violet</v>
      </c>
      <c r="O240" s="3" t="str">
        <f>IFERROR(__xludf.DUMMYFUNCTION("INDEX(SPLIT(I240,"" ""),1)"),"#REF!")</f>
        <v>#REF!</v>
      </c>
      <c r="P240" s="3" t="str">
        <f>IFERROR(__xludf.DUMMYFUNCTION("MID(REGEXEXTRACT(I240,"" [^ ]* [^ ]*""),2,300)"),"#REF!")</f>
        <v>#REF!</v>
      </c>
      <c r="Q240" s="3" t="str">
        <f>IFERROR(__xludf.DUMMYFUNCTION("INDEX(SPLIT(J240,"" ""),1)"),"#REF!")</f>
        <v>#REF!</v>
      </c>
      <c r="R240" s="3" t="str">
        <f>IFERROR(__xludf.DUMMYFUNCTION("MID(REGEXEXTRACT(J240,"" [^ ]* [^ ]*""),2,300)"),"#REF!")</f>
        <v>#REF!</v>
      </c>
      <c r="S240" s="3">
        <f t="shared" si="2"/>
        <v>5</v>
      </c>
      <c r="T240" s="3" t="str">
        <f t="shared" si="3"/>
        <v>bright violet</v>
      </c>
      <c r="U240" s="3">
        <f t="shared" si="4"/>
        <v>3</v>
      </c>
      <c r="V240" s="3" t="str">
        <f t="shared" si="5"/>
        <v>plaid violet</v>
      </c>
      <c r="W240" s="3" t="str">
        <f t="shared" si="6"/>
        <v/>
      </c>
      <c r="X240" s="3" t="str">
        <f t="shared" si="7"/>
        <v/>
      </c>
      <c r="Y240" s="3" t="str">
        <f t="shared" si="8"/>
        <v/>
      </c>
      <c r="Z240" s="3" t="str">
        <f t="shared" si="9"/>
        <v/>
      </c>
      <c r="AA240" s="13">
        <f t="shared" si="10"/>
        <v>75933549</v>
      </c>
      <c r="AB240" s="3">
        <f t="shared" si="11"/>
        <v>75933548</v>
      </c>
      <c r="AC240" s="3">
        <f t="shared" si="12"/>
        <v>5</v>
      </c>
      <c r="AD240" s="3">
        <f t="shared" si="13"/>
        <v>1</v>
      </c>
      <c r="AE240" s="3">
        <f t="shared" si="14"/>
        <v>3</v>
      </c>
      <c r="AF240" s="3">
        <f t="shared" si="15"/>
        <v>25311181</v>
      </c>
      <c r="AG240" s="3" t="str">
        <f t="shared" si="16"/>
        <v/>
      </c>
      <c r="AH240" s="3">
        <f t="shared" si="17"/>
        <v>0</v>
      </c>
      <c r="AI240" s="3" t="str">
        <f t="shared" si="18"/>
        <v/>
      </c>
      <c r="AJ240" s="3">
        <f t="shared" si="19"/>
        <v>0</v>
      </c>
    </row>
    <row r="241">
      <c r="C241" s="6" t="s">
        <v>241</v>
      </c>
      <c r="D241" s="3">
        <f t="shared" si="1"/>
        <v>2</v>
      </c>
      <c r="E241" s="3" t="str">
        <f>IFERROR(__xludf.DUMMYFUNCTION("REGEXEXTRACT(C241,""[^ ]* [^ ]*"")"),"bright coral")</f>
        <v>bright coral</v>
      </c>
      <c r="F241" s="3" t="str">
        <f>IFERROR(__xludf.DUMMYFUNCTION("MID(REGEXEXTRACT(C241,""contain.*$""),9,300)"),"1 dull bronze bag, 5 dotted gold bags, 1 posh gray bag.")</f>
        <v>1 dull bronze bag, 5 dotted gold bags, 1 posh gray bag.</v>
      </c>
      <c r="G241" s="3" t="str">
        <f>IFERROR(__xludf.DUMMYFUNCTION("INDEX(SPLIT($F241,"",""),COLUMN()-6)"),"1 dull bronze bag")</f>
        <v>1 dull bronze bag</v>
      </c>
      <c r="H241" s="3" t="str">
        <f>IFERROR(__xludf.DUMMYFUNCTION("MID(INDEX(SPLIT($F241,"",""),COLUMN()-6),2,300)"),"5 dotted gold bags")</f>
        <v>5 dotted gold bags</v>
      </c>
      <c r="I241" s="3" t="str">
        <f>IFERROR(__xludf.DUMMYFUNCTION("MID(INDEX(SPLIT($F241,"",""),COLUMN()-6),2,300)"),"1 posh gray bag.")</f>
        <v>1 posh gray bag.</v>
      </c>
      <c r="J241" s="3" t="str">
        <f>IFERROR(__xludf.DUMMYFUNCTION("MID(INDEX(SPLIT($F241,"",""),COLUMN()-6),2,300)"),"#REF!")</f>
        <v>#REF!</v>
      </c>
      <c r="K241" s="3">
        <f>IFERROR(__xludf.DUMMYFUNCTION("INDEX(SPLIT(G241,"" ""),1)"),1.0)</f>
        <v>1</v>
      </c>
      <c r="L241" s="3" t="str">
        <f>IFERROR(__xludf.DUMMYFUNCTION("REGEXEXTRACT(G241,"" [^ ]* [^ ]* "")")," dull bronze ")</f>
        <v> dull bronze </v>
      </c>
      <c r="M241" s="3">
        <f>IFERROR(__xludf.DUMMYFUNCTION("INDEX(SPLIT(H241,"" ""),1)"),5.0)</f>
        <v>5</v>
      </c>
      <c r="N241" s="3" t="str">
        <f>IFERROR(__xludf.DUMMYFUNCTION("MID(REGEXEXTRACT(H241,"" [^ ]* [^ ]*""),2,300)"),"dotted gold")</f>
        <v>dotted gold</v>
      </c>
      <c r="O241" s="3">
        <f>IFERROR(__xludf.DUMMYFUNCTION("INDEX(SPLIT(I241,"" ""),1)"),1.0)</f>
        <v>1</v>
      </c>
      <c r="P241" s="3" t="str">
        <f>IFERROR(__xludf.DUMMYFUNCTION("MID(REGEXEXTRACT(I241,"" [^ ]* [^ ]*""),2,300)"),"posh gray")</f>
        <v>posh gray</v>
      </c>
      <c r="Q241" s="3" t="str">
        <f>IFERROR(__xludf.DUMMYFUNCTION("INDEX(SPLIT(J241,"" ""),1)"),"#REF!")</f>
        <v>#REF!</v>
      </c>
      <c r="R241" s="3" t="str">
        <f>IFERROR(__xludf.DUMMYFUNCTION("MID(REGEXEXTRACT(J241,"" [^ ]* [^ ]*""),2,300)"),"#REF!")</f>
        <v>#REF!</v>
      </c>
      <c r="S241" s="3">
        <f t="shared" si="2"/>
        <v>1</v>
      </c>
      <c r="T241" s="3" t="str">
        <f t="shared" si="3"/>
        <v>dull bronze</v>
      </c>
      <c r="U241" s="3">
        <f t="shared" si="4"/>
        <v>5</v>
      </c>
      <c r="V241" s="3" t="str">
        <f t="shared" si="5"/>
        <v>dotted gold</v>
      </c>
      <c r="W241" s="3">
        <f t="shared" si="6"/>
        <v>1</v>
      </c>
      <c r="X241" s="3" t="str">
        <f t="shared" si="7"/>
        <v>posh gray</v>
      </c>
      <c r="Y241" s="3" t="str">
        <f t="shared" si="8"/>
        <v/>
      </c>
      <c r="Z241" s="3" t="str">
        <f t="shared" si="9"/>
        <v/>
      </c>
      <c r="AA241" s="13">
        <f t="shared" si="10"/>
        <v>61909</v>
      </c>
      <c r="AB241" s="3">
        <f t="shared" si="11"/>
        <v>61908</v>
      </c>
      <c r="AC241" s="3">
        <f t="shared" si="12"/>
        <v>1</v>
      </c>
      <c r="AD241" s="3">
        <f t="shared" si="13"/>
        <v>36381</v>
      </c>
      <c r="AE241" s="3">
        <f t="shared" si="14"/>
        <v>5</v>
      </c>
      <c r="AF241" s="3">
        <f t="shared" si="15"/>
        <v>10</v>
      </c>
      <c r="AG241" s="3">
        <f t="shared" si="16"/>
        <v>1</v>
      </c>
      <c r="AH241" s="3">
        <f t="shared" si="17"/>
        <v>25477</v>
      </c>
      <c r="AI241" s="3" t="str">
        <f t="shared" si="18"/>
        <v/>
      </c>
      <c r="AJ241" s="3">
        <f t="shared" si="19"/>
        <v>0</v>
      </c>
    </row>
    <row r="242">
      <c r="C242" s="6" t="s">
        <v>242</v>
      </c>
      <c r="D242" s="3">
        <f t="shared" si="1"/>
        <v>1</v>
      </c>
      <c r="E242" s="3" t="str">
        <f>IFERROR(__xludf.DUMMYFUNCTION("REGEXEXTRACT(C242,""[^ ]* [^ ]*"")"),"dotted crimson")</f>
        <v>dotted crimson</v>
      </c>
      <c r="F242" s="3" t="str">
        <f>IFERROR(__xludf.DUMMYFUNCTION("MID(REGEXEXTRACT(C242,""contain.*$""),9,300)"),"2 posh magenta bags, 4 mirrored white bags.")</f>
        <v>2 posh magenta bags, 4 mirrored white bags.</v>
      </c>
      <c r="G242" s="3" t="str">
        <f>IFERROR(__xludf.DUMMYFUNCTION("INDEX(SPLIT($F242,"",""),COLUMN()-6)"),"2 posh magenta bags")</f>
        <v>2 posh magenta bags</v>
      </c>
      <c r="H242" s="3" t="str">
        <f>IFERROR(__xludf.DUMMYFUNCTION("MID(INDEX(SPLIT($F242,"",""),COLUMN()-6),2,300)"),"4 mirrored white bags.")</f>
        <v>4 mirrored white bags.</v>
      </c>
      <c r="I242" s="3" t="str">
        <f>IFERROR(__xludf.DUMMYFUNCTION("MID(INDEX(SPLIT($F242,"",""),COLUMN()-6),2,300)"),"#REF!")</f>
        <v>#REF!</v>
      </c>
      <c r="J242" s="3" t="str">
        <f>IFERROR(__xludf.DUMMYFUNCTION("MID(INDEX(SPLIT($F242,"",""),COLUMN()-6),2,300)"),"#REF!")</f>
        <v>#REF!</v>
      </c>
      <c r="K242" s="3">
        <f>IFERROR(__xludf.DUMMYFUNCTION("INDEX(SPLIT(G242,"" ""),1)"),2.0)</f>
        <v>2</v>
      </c>
      <c r="L242" s="3" t="str">
        <f>IFERROR(__xludf.DUMMYFUNCTION("REGEXEXTRACT(G242,"" [^ ]* [^ ]* "")")," posh magenta ")</f>
        <v> posh magenta </v>
      </c>
      <c r="M242" s="3">
        <f>IFERROR(__xludf.DUMMYFUNCTION("INDEX(SPLIT(H242,"" ""),1)"),4.0)</f>
        <v>4</v>
      </c>
      <c r="N242" s="3" t="str">
        <f>IFERROR(__xludf.DUMMYFUNCTION("MID(REGEXEXTRACT(H242,"" [^ ]* [^ ]*""),2,300)"),"mirrored white")</f>
        <v>mirrored white</v>
      </c>
      <c r="O242" s="3" t="str">
        <f>IFERROR(__xludf.DUMMYFUNCTION("INDEX(SPLIT(I242,"" ""),1)"),"#REF!")</f>
        <v>#REF!</v>
      </c>
      <c r="P242" s="3" t="str">
        <f>IFERROR(__xludf.DUMMYFUNCTION("MID(REGEXEXTRACT(I242,"" [^ ]* [^ ]*""),2,300)"),"#REF!")</f>
        <v>#REF!</v>
      </c>
      <c r="Q242" s="3" t="str">
        <f>IFERROR(__xludf.DUMMYFUNCTION("INDEX(SPLIT(J242,"" ""),1)"),"#REF!")</f>
        <v>#REF!</v>
      </c>
      <c r="R242" s="3" t="str">
        <f>IFERROR(__xludf.DUMMYFUNCTION("MID(REGEXEXTRACT(J242,"" [^ ]* [^ ]*""),2,300)"),"#REF!")</f>
        <v>#REF!</v>
      </c>
      <c r="S242" s="3">
        <f t="shared" si="2"/>
        <v>2</v>
      </c>
      <c r="T242" s="3" t="str">
        <f t="shared" si="3"/>
        <v>posh magenta</v>
      </c>
      <c r="U242" s="3">
        <f t="shared" si="4"/>
        <v>4</v>
      </c>
      <c r="V242" s="3" t="str">
        <f t="shared" si="5"/>
        <v>mirrored white</v>
      </c>
      <c r="W242" s="3" t="str">
        <f t="shared" si="6"/>
        <v/>
      </c>
      <c r="X242" s="3" t="str">
        <f t="shared" si="7"/>
        <v/>
      </c>
      <c r="Y242" s="3" t="str">
        <f t="shared" si="8"/>
        <v/>
      </c>
      <c r="Z242" s="3" t="str">
        <f t="shared" si="9"/>
        <v/>
      </c>
      <c r="AA242" s="13">
        <f t="shared" si="10"/>
        <v>1279</v>
      </c>
      <c r="AB242" s="3">
        <f t="shared" si="11"/>
        <v>1278</v>
      </c>
      <c r="AC242" s="3">
        <f t="shared" si="12"/>
        <v>2</v>
      </c>
      <c r="AD242" s="3">
        <f t="shared" si="13"/>
        <v>1</v>
      </c>
      <c r="AE242" s="3">
        <f t="shared" si="14"/>
        <v>4</v>
      </c>
      <c r="AF242" s="3">
        <f t="shared" si="15"/>
        <v>319</v>
      </c>
      <c r="AG242" s="3" t="str">
        <f t="shared" si="16"/>
        <v/>
      </c>
      <c r="AH242" s="3">
        <f t="shared" si="17"/>
        <v>0</v>
      </c>
      <c r="AI242" s="3" t="str">
        <f t="shared" si="18"/>
        <v/>
      </c>
      <c r="AJ242" s="3">
        <f t="shared" si="19"/>
        <v>0</v>
      </c>
    </row>
    <row r="243">
      <c r="C243" s="6" t="s">
        <v>243</v>
      </c>
      <c r="D243" s="3">
        <f t="shared" si="1"/>
        <v>0</v>
      </c>
      <c r="E243" s="3" t="str">
        <f>IFERROR(__xludf.DUMMYFUNCTION("REGEXEXTRACT(C243,""[^ ]* [^ ]*"")"),"bright violet")</f>
        <v>bright violet</v>
      </c>
      <c r="F243" s="3" t="str">
        <f>IFERROR(__xludf.DUMMYFUNCTION("MID(REGEXEXTRACT(C243,""contain.*$""),9,300)"),"no other bags.")</f>
        <v>no other bags.</v>
      </c>
      <c r="G243" s="3" t="str">
        <f>IFERROR(__xludf.DUMMYFUNCTION("INDEX(SPLIT($F243,"",""),COLUMN()-6)"),"no other bags.")</f>
        <v>no other bags.</v>
      </c>
      <c r="H243" s="3" t="str">
        <f>IFERROR(__xludf.DUMMYFUNCTION("MID(INDEX(SPLIT($F243,"",""),COLUMN()-6),2,300)"),"#REF!")</f>
        <v>#REF!</v>
      </c>
      <c r="I243" s="3" t="str">
        <f>IFERROR(__xludf.DUMMYFUNCTION("MID(INDEX(SPLIT($F243,"",""),COLUMN()-6),2,300)"),"#REF!")</f>
        <v>#REF!</v>
      </c>
      <c r="J243" s="3" t="str">
        <f>IFERROR(__xludf.DUMMYFUNCTION("MID(INDEX(SPLIT($F243,"",""),COLUMN()-6),2,300)"),"#REF!")</f>
        <v>#REF!</v>
      </c>
      <c r="K243" s="3" t="str">
        <f>IFERROR(__xludf.DUMMYFUNCTION("INDEX(SPLIT(G243,"" ""),1)"),"no")</f>
        <v>no</v>
      </c>
      <c r="L243" s="3" t="str">
        <f>IFERROR(__xludf.DUMMYFUNCTION("REGEXEXTRACT(G243,"" [^ ]* [^ ]* "")"),"#N/A")</f>
        <v>#N/A</v>
      </c>
      <c r="M243" s="3" t="str">
        <f>IFERROR(__xludf.DUMMYFUNCTION("INDEX(SPLIT(H243,"" ""),1)"),"#REF!")</f>
        <v>#REF!</v>
      </c>
      <c r="N243" s="3" t="str">
        <f>IFERROR(__xludf.DUMMYFUNCTION("MID(REGEXEXTRACT(H243,"" [^ ]* [^ ]*""),2,300)"),"#REF!")</f>
        <v>#REF!</v>
      </c>
      <c r="O243" s="3" t="str">
        <f>IFERROR(__xludf.DUMMYFUNCTION("INDEX(SPLIT(I243,"" ""),1)"),"#REF!")</f>
        <v>#REF!</v>
      </c>
      <c r="P243" s="3" t="str">
        <f>IFERROR(__xludf.DUMMYFUNCTION("MID(REGEXEXTRACT(I243,"" [^ ]* [^ ]*""),2,300)"),"#REF!")</f>
        <v>#REF!</v>
      </c>
      <c r="Q243" s="3" t="str">
        <f>IFERROR(__xludf.DUMMYFUNCTION("INDEX(SPLIT(J243,"" ""),1)"),"#REF!")</f>
        <v>#REF!</v>
      </c>
      <c r="R243" s="3" t="str">
        <f>IFERROR(__xludf.DUMMYFUNCTION("MID(REGEXEXTRACT(J243,"" [^ ]* [^ ]*""),2,300)"),"#REF!")</f>
        <v>#REF!</v>
      </c>
      <c r="S243" s="3" t="str">
        <f t="shared" si="2"/>
        <v/>
      </c>
      <c r="T243" s="3" t="str">
        <f t="shared" si="3"/>
        <v/>
      </c>
      <c r="U243" s="3" t="str">
        <f t="shared" si="4"/>
        <v/>
      </c>
      <c r="V243" s="3" t="str">
        <f t="shared" si="5"/>
        <v/>
      </c>
      <c r="W243" s="3" t="str">
        <f t="shared" si="6"/>
        <v/>
      </c>
      <c r="X243" s="3" t="str">
        <f t="shared" si="7"/>
        <v/>
      </c>
      <c r="Y243" s="3" t="str">
        <f t="shared" si="8"/>
        <v/>
      </c>
      <c r="Z243" s="3" t="str">
        <f t="shared" si="9"/>
        <v/>
      </c>
      <c r="AA243" s="13">
        <f t="shared" si="10"/>
        <v>1</v>
      </c>
      <c r="AB243" s="3">
        <f t="shared" si="11"/>
        <v>0</v>
      </c>
      <c r="AC243" s="3" t="str">
        <f t="shared" si="12"/>
        <v/>
      </c>
      <c r="AD243" s="3">
        <f t="shared" si="13"/>
        <v>0</v>
      </c>
      <c r="AE243" s="3" t="str">
        <f t="shared" si="14"/>
        <v/>
      </c>
      <c r="AF243" s="3">
        <f t="shared" si="15"/>
        <v>0</v>
      </c>
      <c r="AG243" s="3" t="str">
        <f t="shared" si="16"/>
        <v/>
      </c>
      <c r="AH243" s="3">
        <f t="shared" si="17"/>
        <v>0</v>
      </c>
      <c r="AI243" s="3" t="str">
        <f t="shared" si="18"/>
        <v/>
      </c>
      <c r="AJ243" s="3">
        <f t="shared" si="19"/>
        <v>0</v>
      </c>
    </row>
    <row r="244">
      <c r="C244" s="6" t="s">
        <v>244</v>
      </c>
      <c r="D244" s="3">
        <f t="shared" si="1"/>
        <v>2</v>
      </c>
      <c r="E244" s="3" t="str">
        <f>IFERROR(__xludf.DUMMYFUNCTION("REGEXEXTRACT(C244,""[^ ]* [^ ]*"")"),"drab blue")</f>
        <v>drab blue</v>
      </c>
      <c r="F244" s="3" t="str">
        <f>IFERROR(__xludf.DUMMYFUNCTION("MID(REGEXEXTRACT(C244,""contain.*$""),9,300)"),"5 shiny gold bags, 1 shiny brown bag, 4 dark silver bags.")</f>
        <v>5 shiny gold bags, 1 shiny brown bag, 4 dark silver bags.</v>
      </c>
      <c r="G244" s="3" t="str">
        <f>IFERROR(__xludf.DUMMYFUNCTION("INDEX(SPLIT($F244,"",""),COLUMN()-6)"),"5 shiny gold bags")</f>
        <v>5 shiny gold bags</v>
      </c>
      <c r="H244" s="3" t="str">
        <f>IFERROR(__xludf.DUMMYFUNCTION("MID(INDEX(SPLIT($F244,"",""),COLUMN()-6),2,300)"),"1 shiny brown bag")</f>
        <v>1 shiny brown bag</v>
      </c>
      <c r="I244" s="3" t="str">
        <f>IFERROR(__xludf.DUMMYFUNCTION("MID(INDEX(SPLIT($F244,"",""),COLUMN()-6),2,300)"),"4 dark silver bags.")</f>
        <v>4 dark silver bags.</v>
      </c>
      <c r="J244" s="3" t="str">
        <f>IFERROR(__xludf.DUMMYFUNCTION("MID(INDEX(SPLIT($F244,"",""),COLUMN()-6),2,300)"),"#REF!")</f>
        <v>#REF!</v>
      </c>
      <c r="K244" s="3">
        <f>IFERROR(__xludf.DUMMYFUNCTION("INDEX(SPLIT(G244,"" ""),1)"),5.0)</f>
        <v>5</v>
      </c>
      <c r="L244" s="3" t="str">
        <f>IFERROR(__xludf.DUMMYFUNCTION("REGEXEXTRACT(G244,"" [^ ]* [^ ]* "")")," shiny gold ")</f>
        <v> shiny gold </v>
      </c>
      <c r="M244" s="3">
        <f>IFERROR(__xludf.DUMMYFUNCTION("INDEX(SPLIT(H244,"" ""),1)"),1.0)</f>
        <v>1</v>
      </c>
      <c r="N244" s="3" t="str">
        <f>IFERROR(__xludf.DUMMYFUNCTION("MID(REGEXEXTRACT(H244,"" [^ ]* [^ ]*""),2,300)"),"shiny brown")</f>
        <v>shiny brown</v>
      </c>
      <c r="O244" s="3">
        <f>IFERROR(__xludf.DUMMYFUNCTION("INDEX(SPLIT(I244,"" ""),1)"),4.0)</f>
        <v>4</v>
      </c>
      <c r="P244" s="3" t="str">
        <f>IFERROR(__xludf.DUMMYFUNCTION("MID(REGEXEXTRACT(I244,"" [^ ]* [^ ]*""),2,300)"),"dark silver")</f>
        <v>dark silver</v>
      </c>
      <c r="Q244" s="3" t="str">
        <f>IFERROR(__xludf.DUMMYFUNCTION("INDEX(SPLIT(J244,"" ""),1)"),"#REF!")</f>
        <v>#REF!</v>
      </c>
      <c r="R244" s="3" t="str">
        <f>IFERROR(__xludf.DUMMYFUNCTION("MID(REGEXEXTRACT(J244,"" [^ ]* [^ ]*""),2,300)"),"#REF!")</f>
        <v>#REF!</v>
      </c>
      <c r="S244" s="3">
        <f t="shared" si="2"/>
        <v>5</v>
      </c>
      <c r="T244" s="3" t="str">
        <f t="shared" si="3"/>
        <v>shiny gold</v>
      </c>
      <c r="U244" s="3">
        <f t="shared" si="4"/>
        <v>1</v>
      </c>
      <c r="V244" s="3" t="str">
        <f t="shared" si="5"/>
        <v>shiny brown</v>
      </c>
      <c r="W244" s="3">
        <f t="shared" si="6"/>
        <v>4</v>
      </c>
      <c r="X244" s="3" t="str">
        <f t="shared" si="7"/>
        <v>dark silver</v>
      </c>
      <c r="Y244" s="3" t="str">
        <f t="shared" si="8"/>
        <v/>
      </c>
      <c r="Z244" s="3" t="str">
        <f t="shared" si="9"/>
        <v/>
      </c>
      <c r="AA244" s="13">
        <f t="shared" si="10"/>
        <v>4063778819</v>
      </c>
      <c r="AB244" s="3">
        <f t="shared" si="11"/>
        <v>4063778818</v>
      </c>
      <c r="AC244" s="3">
        <f t="shared" si="12"/>
        <v>5</v>
      </c>
      <c r="AD244" s="3">
        <f t="shared" si="13"/>
        <v>12129</v>
      </c>
      <c r="AE244" s="3">
        <f t="shared" si="14"/>
        <v>1</v>
      </c>
      <c r="AF244" s="3">
        <f t="shared" si="15"/>
        <v>3479893</v>
      </c>
      <c r="AG244" s="3">
        <f t="shared" si="16"/>
        <v>4</v>
      </c>
      <c r="AH244" s="3">
        <f t="shared" si="17"/>
        <v>1015059570</v>
      </c>
      <c r="AI244" s="3" t="str">
        <f t="shared" si="18"/>
        <v/>
      </c>
      <c r="AJ244" s="3">
        <f t="shared" si="19"/>
        <v>0</v>
      </c>
    </row>
    <row r="245">
      <c r="C245" s="6" t="s">
        <v>245</v>
      </c>
      <c r="D245" s="3">
        <f t="shared" si="1"/>
        <v>3</v>
      </c>
      <c r="E245" s="3" t="str">
        <f>IFERROR(__xludf.DUMMYFUNCTION("REGEXEXTRACT(C245,""[^ ]* [^ ]*"")"),"posh salmon")</f>
        <v>posh salmon</v>
      </c>
      <c r="F245" s="3" t="str">
        <f>IFERROR(__xludf.DUMMYFUNCTION("MID(REGEXEXTRACT(C245,""contain.*$""),9,300)"),"4 dim purple bags, 1 striped lime bag, 1 muted gray bag, 2 drab gold bags.")</f>
        <v>4 dim purple bags, 1 striped lime bag, 1 muted gray bag, 2 drab gold bags.</v>
      </c>
      <c r="G245" s="3" t="str">
        <f>IFERROR(__xludf.DUMMYFUNCTION("INDEX(SPLIT($F245,"",""),COLUMN()-6)"),"4 dim purple bags")</f>
        <v>4 dim purple bags</v>
      </c>
      <c r="H245" s="3" t="str">
        <f>IFERROR(__xludf.DUMMYFUNCTION("MID(INDEX(SPLIT($F245,"",""),COLUMN()-6),2,300)"),"1 striped lime bag")</f>
        <v>1 striped lime bag</v>
      </c>
      <c r="I245" s="3" t="str">
        <f>IFERROR(__xludf.DUMMYFUNCTION("MID(INDEX(SPLIT($F245,"",""),COLUMN()-6),2,300)"),"1 muted gray bag")</f>
        <v>1 muted gray bag</v>
      </c>
      <c r="J245" s="3" t="str">
        <f>IFERROR(__xludf.DUMMYFUNCTION("MID(INDEX(SPLIT($F245,"",""),COLUMN()-6),2,300)"),"2 drab gold bags.")</f>
        <v>2 drab gold bags.</v>
      </c>
      <c r="K245" s="3">
        <f>IFERROR(__xludf.DUMMYFUNCTION("INDEX(SPLIT(G245,"" ""),1)"),4.0)</f>
        <v>4</v>
      </c>
      <c r="L245" s="3" t="str">
        <f>IFERROR(__xludf.DUMMYFUNCTION("REGEXEXTRACT(G245,"" [^ ]* [^ ]* "")")," dim purple ")</f>
        <v> dim purple </v>
      </c>
      <c r="M245" s="3">
        <f>IFERROR(__xludf.DUMMYFUNCTION("INDEX(SPLIT(H245,"" ""),1)"),1.0)</f>
        <v>1</v>
      </c>
      <c r="N245" s="3" t="str">
        <f>IFERROR(__xludf.DUMMYFUNCTION("MID(REGEXEXTRACT(H245,"" [^ ]* [^ ]*""),2,300)"),"striped lime")</f>
        <v>striped lime</v>
      </c>
      <c r="O245" s="3">
        <f>IFERROR(__xludf.DUMMYFUNCTION("INDEX(SPLIT(I245,"" ""),1)"),1.0)</f>
        <v>1</v>
      </c>
      <c r="P245" s="3" t="str">
        <f>IFERROR(__xludf.DUMMYFUNCTION("MID(REGEXEXTRACT(I245,"" [^ ]* [^ ]*""),2,300)"),"muted gray")</f>
        <v>muted gray</v>
      </c>
      <c r="Q245" s="3">
        <f>IFERROR(__xludf.DUMMYFUNCTION("INDEX(SPLIT(J245,"" ""),1)"),2.0)</f>
        <v>2</v>
      </c>
      <c r="R245" s="3" t="str">
        <f>IFERROR(__xludf.DUMMYFUNCTION("MID(REGEXEXTRACT(J245,"" [^ ]* [^ ]*""),2,300)"),"drab gold")</f>
        <v>drab gold</v>
      </c>
      <c r="S245" s="3">
        <f t="shared" si="2"/>
        <v>4</v>
      </c>
      <c r="T245" s="3" t="str">
        <f t="shared" si="3"/>
        <v>dim purple</v>
      </c>
      <c r="U245" s="3">
        <f t="shared" si="4"/>
        <v>1</v>
      </c>
      <c r="V245" s="3" t="str">
        <f t="shared" si="5"/>
        <v>striped lime</v>
      </c>
      <c r="W245" s="3">
        <f t="shared" si="6"/>
        <v>1</v>
      </c>
      <c r="X245" s="3" t="str">
        <f t="shared" si="7"/>
        <v>muted gray</v>
      </c>
      <c r="Y245" s="3">
        <f t="shared" si="8"/>
        <v>2</v>
      </c>
      <c r="Z245" s="3" t="str">
        <f t="shared" si="9"/>
        <v>drab gold</v>
      </c>
      <c r="AA245" s="13">
        <f t="shared" si="10"/>
        <v>22854894</v>
      </c>
      <c r="AB245" s="3">
        <f t="shared" si="11"/>
        <v>22854893</v>
      </c>
      <c r="AC245" s="3">
        <f t="shared" si="12"/>
        <v>4</v>
      </c>
      <c r="AD245" s="3">
        <f t="shared" si="13"/>
        <v>1160117</v>
      </c>
      <c r="AE245" s="3">
        <f t="shared" si="14"/>
        <v>1</v>
      </c>
      <c r="AF245" s="3">
        <f t="shared" si="15"/>
        <v>12130</v>
      </c>
      <c r="AG245" s="3">
        <f t="shared" si="16"/>
        <v>1</v>
      </c>
      <c r="AH245" s="3">
        <f t="shared" si="17"/>
        <v>8714523</v>
      </c>
      <c r="AI245" s="3">
        <f t="shared" si="18"/>
        <v>2</v>
      </c>
      <c r="AJ245" s="3">
        <f t="shared" si="19"/>
        <v>4743886</v>
      </c>
    </row>
    <row r="246">
      <c r="C246" s="6" t="s">
        <v>246</v>
      </c>
      <c r="D246" s="3">
        <f t="shared" si="1"/>
        <v>1</v>
      </c>
      <c r="E246" s="3" t="str">
        <f>IFERROR(__xludf.DUMMYFUNCTION("REGEXEXTRACT(C246,""[^ ]* [^ ]*"")"),"dim coral")</f>
        <v>dim coral</v>
      </c>
      <c r="F246" s="3" t="str">
        <f>IFERROR(__xludf.DUMMYFUNCTION("MID(REGEXEXTRACT(C246,""contain.*$""),9,300)"),"3 dark red bags, 2 faded crimson bags.")</f>
        <v>3 dark red bags, 2 faded crimson bags.</v>
      </c>
      <c r="G246" s="3" t="str">
        <f>IFERROR(__xludf.DUMMYFUNCTION("INDEX(SPLIT($F246,"",""),COLUMN()-6)"),"3 dark red bags")</f>
        <v>3 dark red bags</v>
      </c>
      <c r="H246" s="3" t="str">
        <f>IFERROR(__xludf.DUMMYFUNCTION("MID(INDEX(SPLIT($F246,"",""),COLUMN()-6),2,300)"),"2 faded crimson bags.")</f>
        <v>2 faded crimson bags.</v>
      </c>
      <c r="I246" s="3" t="str">
        <f>IFERROR(__xludf.DUMMYFUNCTION("MID(INDEX(SPLIT($F246,"",""),COLUMN()-6),2,300)"),"#REF!")</f>
        <v>#REF!</v>
      </c>
      <c r="J246" s="3" t="str">
        <f>IFERROR(__xludf.DUMMYFUNCTION("MID(INDEX(SPLIT($F246,"",""),COLUMN()-6),2,300)"),"#REF!")</f>
        <v>#REF!</v>
      </c>
      <c r="K246" s="3">
        <f>IFERROR(__xludf.DUMMYFUNCTION("INDEX(SPLIT(G246,"" ""),1)"),3.0)</f>
        <v>3</v>
      </c>
      <c r="L246" s="3" t="str">
        <f>IFERROR(__xludf.DUMMYFUNCTION("REGEXEXTRACT(G246,"" [^ ]* [^ ]* "")")," dark red ")</f>
        <v> dark red </v>
      </c>
      <c r="M246" s="3">
        <f>IFERROR(__xludf.DUMMYFUNCTION("INDEX(SPLIT(H246,"" ""),1)"),2.0)</f>
        <v>2</v>
      </c>
      <c r="N246" s="3" t="str">
        <f>IFERROR(__xludf.DUMMYFUNCTION("MID(REGEXEXTRACT(H246,"" [^ ]* [^ ]*""),2,300)"),"faded crimson")</f>
        <v>faded crimson</v>
      </c>
      <c r="O246" s="3" t="str">
        <f>IFERROR(__xludf.DUMMYFUNCTION("INDEX(SPLIT(I246,"" ""),1)"),"#REF!")</f>
        <v>#REF!</v>
      </c>
      <c r="P246" s="3" t="str">
        <f>IFERROR(__xludf.DUMMYFUNCTION("MID(REGEXEXTRACT(I246,"" [^ ]* [^ ]*""),2,300)"),"#REF!")</f>
        <v>#REF!</v>
      </c>
      <c r="Q246" s="3" t="str">
        <f>IFERROR(__xludf.DUMMYFUNCTION("INDEX(SPLIT(J246,"" ""),1)"),"#REF!")</f>
        <v>#REF!</v>
      </c>
      <c r="R246" s="3" t="str">
        <f>IFERROR(__xludf.DUMMYFUNCTION("MID(REGEXEXTRACT(J246,"" [^ ]* [^ ]*""),2,300)"),"#REF!")</f>
        <v>#REF!</v>
      </c>
      <c r="S246" s="3">
        <f t="shared" si="2"/>
        <v>3</v>
      </c>
      <c r="T246" s="3" t="str">
        <f t="shared" si="3"/>
        <v>dark red</v>
      </c>
      <c r="U246" s="3">
        <f t="shared" si="4"/>
        <v>2</v>
      </c>
      <c r="V246" s="3" t="str">
        <f t="shared" si="5"/>
        <v>faded crimson</v>
      </c>
      <c r="W246" s="3" t="str">
        <f t="shared" si="6"/>
        <v/>
      </c>
      <c r="X246" s="3" t="str">
        <f t="shared" si="7"/>
        <v/>
      </c>
      <c r="Y246" s="3" t="str">
        <f t="shared" si="8"/>
        <v/>
      </c>
      <c r="Z246" s="3" t="str">
        <f t="shared" si="9"/>
        <v/>
      </c>
      <c r="AA246" s="13">
        <f t="shared" si="10"/>
        <v>901529397</v>
      </c>
      <c r="AB246" s="3">
        <f t="shared" si="11"/>
        <v>901529396</v>
      </c>
      <c r="AC246" s="3">
        <f t="shared" si="12"/>
        <v>3</v>
      </c>
      <c r="AD246" s="3">
        <f t="shared" si="13"/>
        <v>44592</v>
      </c>
      <c r="AE246" s="3">
        <f t="shared" si="14"/>
        <v>2</v>
      </c>
      <c r="AF246" s="3">
        <f t="shared" si="15"/>
        <v>450697810</v>
      </c>
      <c r="AG246" s="3" t="str">
        <f t="shared" si="16"/>
        <v/>
      </c>
      <c r="AH246" s="3">
        <f t="shared" si="17"/>
        <v>0</v>
      </c>
      <c r="AI246" s="3" t="str">
        <f t="shared" si="18"/>
        <v/>
      </c>
      <c r="AJ246" s="3">
        <f t="shared" si="19"/>
        <v>0</v>
      </c>
    </row>
    <row r="247">
      <c r="C247" s="6" t="s">
        <v>247</v>
      </c>
      <c r="D247" s="3">
        <f t="shared" si="1"/>
        <v>3</v>
      </c>
      <c r="E247" s="3" t="str">
        <f>IFERROR(__xludf.DUMMYFUNCTION("REGEXEXTRACT(C247,""[^ ]* [^ ]*"")"),"dark aqua")</f>
        <v>dark aqua</v>
      </c>
      <c r="F247" s="3" t="str">
        <f>IFERROR(__xludf.DUMMYFUNCTION("MID(REGEXEXTRACT(C247,""contain.*$""),9,300)"),"3 dotted salmon bags, 4 pale olive bags, 1 vibrant aqua bag, 5 dull lavender bags.")</f>
        <v>3 dotted salmon bags, 4 pale olive bags, 1 vibrant aqua bag, 5 dull lavender bags.</v>
      </c>
      <c r="G247" s="3" t="str">
        <f>IFERROR(__xludf.DUMMYFUNCTION("INDEX(SPLIT($F247,"",""),COLUMN()-6)"),"3 dotted salmon bags")</f>
        <v>3 dotted salmon bags</v>
      </c>
      <c r="H247" s="3" t="str">
        <f>IFERROR(__xludf.DUMMYFUNCTION("MID(INDEX(SPLIT($F247,"",""),COLUMN()-6),2,300)"),"4 pale olive bags")</f>
        <v>4 pale olive bags</v>
      </c>
      <c r="I247" s="3" t="str">
        <f>IFERROR(__xludf.DUMMYFUNCTION("MID(INDEX(SPLIT($F247,"",""),COLUMN()-6),2,300)"),"1 vibrant aqua bag")</f>
        <v>1 vibrant aqua bag</v>
      </c>
      <c r="J247" s="3" t="str">
        <f>IFERROR(__xludf.DUMMYFUNCTION("MID(INDEX(SPLIT($F247,"",""),COLUMN()-6),2,300)"),"5 dull lavender bags.")</f>
        <v>5 dull lavender bags.</v>
      </c>
      <c r="K247" s="3">
        <f>IFERROR(__xludf.DUMMYFUNCTION("INDEX(SPLIT(G247,"" ""),1)"),3.0)</f>
        <v>3</v>
      </c>
      <c r="L247" s="3" t="str">
        <f>IFERROR(__xludf.DUMMYFUNCTION("REGEXEXTRACT(G247,"" [^ ]* [^ ]* "")")," dotted salmon ")</f>
        <v> dotted salmon </v>
      </c>
      <c r="M247" s="3">
        <f>IFERROR(__xludf.DUMMYFUNCTION("INDEX(SPLIT(H247,"" ""),1)"),4.0)</f>
        <v>4</v>
      </c>
      <c r="N247" s="3" t="str">
        <f>IFERROR(__xludf.DUMMYFUNCTION("MID(REGEXEXTRACT(H247,"" [^ ]* [^ ]*""),2,300)"),"pale olive")</f>
        <v>pale olive</v>
      </c>
      <c r="O247" s="3">
        <f>IFERROR(__xludf.DUMMYFUNCTION("INDEX(SPLIT(I247,"" ""),1)"),1.0)</f>
        <v>1</v>
      </c>
      <c r="P247" s="3" t="str">
        <f>IFERROR(__xludf.DUMMYFUNCTION("MID(REGEXEXTRACT(I247,"" [^ ]* [^ ]*""),2,300)"),"vibrant aqua")</f>
        <v>vibrant aqua</v>
      </c>
      <c r="Q247" s="3">
        <f>IFERROR(__xludf.DUMMYFUNCTION("INDEX(SPLIT(J247,"" ""),1)"),5.0)</f>
        <v>5</v>
      </c>
      <c r="R247" s="3" t="str">
        <f>IFERROR(__xludf.DUMMYFUNCTION("MID(REGEXEXTRACT(J247,"" [^ ]* [^ ]*""),2,300)"),"dull lavender")</f>
        <v>dull lavender</v>
      </c>
      <c r="S247" s="3">
        <f t="shared" si="2"/>
        <v>3</v>
      </c>
      <c r="T247" s="3" t="str">
        <f t="shared" si="3"/>
        <v>dotted salmon</v>
      </c>
      <c r="U247" s="3">
        <f t="shared" si="4"/>
        <v>4</v>
      </c>
      <c r="V247" s="3" t="str">
        <f t="shared" si="5"/>
        <v>pale olive</v>
      </c>
      <c r="W247" s="3">
        <f t="shared" si="6"/>
        <v>1</v>
      </c>
      <c r="X247" s="3" t="str">
        <f t="shared" si="7"/>
        <v>vibrant aqua</v>
      </c>
      <c r="Y247" s="3">
        <f t="shared" si="8"/>
        <v>5</v>
      </c>
      <c r="Z247" s="3" t="str">
        <f t="shared" si="9"/>
        <v>dull lavender</v>
      </c>
      <c r="AA247" s="13">
        <f t="shared" si="10"/>
        <v>85546089</v>
      </c>
      <c r="AB247" s="3">
        <f t="shared" si="11"/>
        <v>85546088</v>
      </c>
      <c r="AC247" s="3">
        <f t="shared" si="12"/>
        <v>3</v>
      </c>
      <c r="AD247" s="3">
        <f t="shared" si="13"/>
        <v>97296</v>
      </c>
      <c r="AE247" s="3">
        <f t="shared" si="14"/>
        <v>4</v>
      </c>
      <c r="AF247" s="3">
        <f t="shared" si="15"/>
        <v>306</v>
      </c>
      <c r="AG247" s="3">
        <f t="shared" si="16"/>
        <v>1</v>
      </c>
      <c r="AH247" s="3">
        <f t="shared" si="17"/>
        <v>1</v>
      </c>
      <c r="AI247" s="3">
        <f t="shared" si="18"/>
        <v>5</v>
      </c>
      <c r="AJ247" s="3">
        <f t="shared" si="19"/>
        <v>17050595</v>
      </c>
    </row>
    <row r="248">
      <c r="C248" s="6" t="s">
        <v>248</v>
      </c>
      <c r="D248" s="3">
        <f t="shared" si="1"/>
        <v>1</v>
      </c>
      <c r="E248" s="3" t="str">
        <f>IFERROR(__xludf.DUMMYFUNCTION("REGEXEXTRACT(C248,""[^ ]* [^ ]*"")"),"dark orange")</f>
        <v>dark orange</v>
      </c>
      <c r="F248" s="3" t="str">
        <f>IFERROR(__xludf.DUMMYFUNCTION("MID(REGEXEXTRACT(C248,""contain.*$""),9,300)"),"4 mirrored teal bags, 5 clear salmon bags.")</f>
        <v>4 mirrored teal bags, 5 clear salmon bags.</v>
      </c>
      <c r="G248" s="3" t="str">
        <f>IFERROR(__xludf.DUMMYFUNCTION("INDEX(SPLIT($F248,"",""),COLUMN()-6)"),"4 mirrored teal bags")</f>
        <v>4 mirrored teal bags</v>
      </c>
      <c r="H248" s="3" t="str">
        <f>IFERROR(__xludf.DUMMYFUNCTION("MID(INDEX(SPLIT($F248,"",""),COLUMN()-6),2,300)"),"5 clear salmon bags.")</f>
        <v>5 clear salmon bags.</v>
      </c>
      <c r="I248" s="3" t="str">
        <f>IFERROR(__xludf.DUMMYFUNCTION("MID(INDEX(SPLIT($F248,"",""),COLUMN()-6),2,300)"),"#REF!")</f>
        <v>#REF!</v>
      </c>
      <c r="J248" s="3" t="str">
        <f>IFERROR(__xludf.DUMMYFUNCTION("MID(INDEX(SPLIT($F248,"",""),COLUMN()-6),2,300)"),"#REF!")</f>
        <v>#REF!</v>
      </c>
      <c r="K248" s="3">
        <f>IFERROR(__xludf.DUMMYFUNCTION("INDEX(SPLIT(G248,"" ""),1)"),4.0)</f>
        <v>4</v>
      </c>
      <c r="L248" s="3" t="str">
        <f>IFERROR(__xludf.DUMMYFUNCTION("REGEXEXTRACT(G248,"" [^ ]* [^ ]* "")")," mirrored teal ")</f>
        <v> mirrored teal </v>
      </c>
      <c r="M248" s="3">
        <f>IFERROR(__xludf.DUMMYFUNCTION("INDEX(SPLIT(H248,"" ""),1)"),5.0)</f>
        <v>5</v>
      </c>
      <c r="N248" s="3" t="str">
        <f>IFERROR(__xludf.DUMMYFUNCTION("MID(REGEXEXTRACT(H248,"" [^ ]* [^ ]*""),2,300)"),"clear salmon")</f>
        <v>clear salmon</v>
      </c>
      <c r="O248" s="3" t="str">
        <f>IFERROR(__xludf.DUMMYFUNCTION("INDEX(SPLIT(I248,"" ""),1)"),"#REF!")</f>
        <v>#REF!</v>
      </c>
      <c r="P248" s="3" t="str">
        <f>IFERROR(__xludf.DUMMYFUNCTION("MID(REGEXEXTRACT(I248,"" [^ ]* [^ ]*""),2,300)"),"#REF!")</f>
        <v>#REF!</v>
      </c>
      <c r="Q248" s="3" t="str">
        <f>IFERROR(__xludf.DUMMYFUNCTION("INDEX(SPLIT(J248,"" ""),1)"),"#REF!")</f>
        <v>#REF!</v>
      </c>
      <c r="R248" s="3" t="str">
        <f>IFERROR(__xludf.DUMMYFUNCTION("MID(REGEXEXTRACT(J248,"" [^ ]* [^ ]*""),2,300)"),"#REF!")</f>
        <v>#REF!</v>
      </c>
      <c r="S248" s="3">
        <f t="shared" si="2"/>
        <v>4</v>
      </c>
      <c r="T248" s="3" t="str">
        <f t="shared" si="3"/>
        <v>mirrored teal</v>
      </c>
      <c r="U248" s="3">
        <f t="shared" si="4"/>
        <v>5</v>
      </c>
      <c r="V248" s="3" t="str">
        <f t="shared" si="5"/>
        <v>clear salmon</v>
      </c>
      <c r="W248" s="3" t="str">
        <f t="shared" si="6"/>
        <v/>
      </c>
      <c r="X248" s="3" t="str">
        <f t="shared" si="7"/>
        <v/>
      </c>
      <c r="Y248" s="3" t="str">
        <f t="shared" si="8"/>
        <v/>
      </c>
      <c r="Z248" s="3" t="str">
        <f t="shared" si="9"/>
        <v/>
      </c>
      <c r="AA248" s="13">
        <f t="shared" si="10"/>
        <v>18683429</v>
      </c>
      <c r="AB248" s="3">
        <f t="shared" si="11"/>
        <v>18683428</v>
      </c>
      <c r="AC248" s="3">
        <f t="shared" si="12"/>
        <v>4</v>
      </c>
      <c r="AD248" s="3">
        <f t="shared" si="13"/>
        <v>725247</v>
      </c>
      <c r="AE248" s="3">
        <f t="shared" si="14"/>
        <v>5</v>
      </c>
      <c r="AF248" s="3">
        <f t="shared" si="15"/>
        <v>3156488</v>
      </c>
      <c r="AG248" s="3" t="str">
        <f t="shared" si="16"/>
        <v/>
      </c>
      <c r="AH248" s="3">
        <f t="shared" si="17"/>
        <v>0</v>
      </c>
      <c r="AI248" s="3" t="str">
        <f t="shared" si="18"/>
        <v/>
      </c>
      <c r="AJ248" s="3">
        <f t="shared" si="19"/>
        <v>0</v>
      </c>
    </row>
    <row r="249">
      <c r="C249" s="6" t="s">
        <v>249</v>
      </c>
      <c r="D249" s="3">
        <f t="shared" si="1"/>
        <v>0</v>
      </c>
      <c r="E249" s="3" t="str">
        <f>IFERROR(__xludf.DUMMYFUNCTION("REGEXEXTRACT(C249,""[^ ]* [^ ]*"")"),"vibrant red")</f>
        <v>vibrant red</v>
      </c>
      <c r="F249" s="3" t="str">
        <f>IFERROR(__xludf.DUMMYFUNCTION("MID(REGEXEXTRACT(C249,""contain.*$""),9,300)"),"3 vibrant blue bags.")</f>
        <v>3 vibrant blue bags.</v>
      </c>
      <c r="G249" s="3" t="str">
        <f>IFERROR(__xludf.DUMMYFUNCTION("INDEX(SPLIT($F249,"",""),COLUMN()-6)"),"3 vibrant blue bags.")</f>
        <v>3 vibrant blue bags.</v>
      </c>
      <c r="H249" s="3" t="str">
        <f>IFERROR(__xludf.DUMMYFUNCTION("MID(INDEX(SPLIT($F249,"",""),COLUMN()-6),2,300)"),"#REF!")</f>
        <v>#REF!</v>
      </c>
      <c r="I249" s="3" t="str">
        <f>IFERROR(__xludf.DUMMYFUNCTION("MID(INDEX(SPLIT($F249,"",""),COLUMN()-6),2,300)"),"#REF!")</f>
        <v>#REF!</v>
      </c>
      <c r="J249" s="3" t="str">
        <f>IFERROR(__xludf.DUMMYFUNCTION("MID(INDEX(SPLIT($F249,"",""),COLUMN()-6),2,300)"),"#REF!")</f>
        <v>#REF!</v>
      </c>
      <c r="K249" s="3">
        <f>IFERROR(__xludf.DUMMYFUNCTION("INDEX(SPLIT(G249,"" ""),1)"),3.0)</f>
        <v>3</v>
      </c>
      <c r="L249" s="3" t="str">
        <f>IFERROR(__xludf.DUMMYFUNCTION("REGEXEXTRACT(G249,"" [^ ]* [^ ]* "")")," vibrant blue ")</f>
        <v> vibrant blue </v>
      </c>
      <c r="M249" s="3" t="str">
        <f>IFERROR(__xludf.DUMMYFUNCTION("INDEX(SPLIT(H249,"" ""),1)"),"#REF!")</f>
        <v>#REF!</v>
      </c>
      <c r="N249" s="3" t="str">
        <f>IFERROR(__xludf.DUMMYFUNCTION("MID(REGEXEXTRACT(H249,"" [^ ]* [^ ]*""),2,300)"),"#REF!")</f>
        <v>#REF!</v>
      </c>
      <c r="O249" s="3" t="str">
        <f>IFERROR(__xludf.DUMMYFUNCTION("INDEX(SPLIT(I249,"" ""),1)"),"#REF!")</f>
        <v>#REF!</v>
      </c>
      <c r="P249" s="3" t="str">
        <f>IFERROR(__xludf.DUMMYFUNCTION("MID(REGEXEXTRACT(I249,"" [^ ]* [^ ]*""),2,300)"),"#REF!")</f>
        <v>#REF!</v>
      </c>
      <c r="Q249" s="3" t="str">
        <f>IFERROR(__xludf.DUMMYFUNCTION("INDEX(SPLIT(J249,"" ""),1)"),"#REF!")</f>
        <v>#REF!</v>
      </c>
      <c r="R249" s="3" t="str">
        <f>IFERROR(__xludf.DUMMYFUNCTION("MID(REGEXEXTRACT(J249,"" [^ ]* [^ ]*""),2,300)"),"#REF!")</f>
        <v>#REF!</v>
      </c>
      <c r="S249" s="3">
        <f t="shared" si="2"/>
        <v>3</v>
      </c>
      <c r="T249" s="3" t="str">
        <f t="shared" si="3"/>
        <v>vibrant blue</v>
      </c>
      <c r="U249" s="3" t="str">
        <f t="shared" si="4"/>
        <v/>
      </c>
      <c r="V249" s="3" t="str">
        <f t="shared" si="5"/>
        <v/>
      </c>
      <c r="W249" s="3" t="str">
        <f t="shared" si="6"/>
        <v/>
      </c>
      <c r="X249" s="3" t="str">
        <f t="shared" si="7"/>
        <v/>
      </c>
      <c r="Y249" s="3" t="str">
        <f t="shared" si="8"/>
        <v/>
      </c>
      <c r="Z249" s="3" t="str">
        <f t="shared" si="9"/>
        <v/>
      </c>
      <c r="AA249" s="13">
        <f t="shared" si="10"/>
        <v>4636</v>
      </c>
      <c r="AB249" s="3">
        <f t="shared" si="11"/>
        <v>4635</v>
      </c>
      <c r="AC249" s="3">
        <f t="shared" si="12"/>
        <v>3</v>
      </c>
      <c r="AD249" s="3">
        <f t="shared" si="13"/>
        <v>1545</v>
      </c>
      <c r="AE249" s="3" t="str">
        <f t="shared" si="14"/>
        <v/>
      </c>
      <c r="AF249" s="3">
        <f t="shared" si="15"/>
        <v>0</v>
      </c>
      <c r="AG249" s="3" t="str">
        <f t="shared" si="16"/>
        <v/>
      </c>
      <c r="AH249" s="3">
        <f t="shared" si="17"/>
        <v>0</v>
      </c>
      <c r="AI249" s="3" t="str">
        <f t="shared" si="18"/>
        <v/>
      </c>
      <c r="AJ249" s="3">
        <f t="shared" si="19"/>
        <v>0</v>
      </c>
    </row>
    <row r="250">
      <c r="C250" s="6" t="s">
        <v>250</v>
      </c>
      <c r="D250" s="3">
        <f t="shared" si="1"/>
        <v>0</v>
      </c>
      <c r="E250" s="3" t="str">
        <f>IFERROR(__xludf.DUMMYFUNCTION("REGEXEXTRACT(C250,""[^ ]* [^ ]*"")"),"muted lime")</f>
        <v>muted lime</v>
      </c>
      <c r="F250" s="3" t="str">
        <f>IFERROR(__xludf.DUMMYFUNCTION("MID(REGEXEXTRACT(C250,""contain.*$""),9,300)"),"1 dull silver bag.")</f>
        <v>1 dull silver bag.</v>
      </c>
      <c r="G250" s="3" t="str">
        <f>IFERROR(__xludf.DUMMYFUNCTION("INDEX(SPLIT($F250,"",""),COLUMN()-6)"),"1 dull silver bag.")</f>
        <v>1 dull silver bag.</v>
      </c>
      <c r="H250" s="3" t="str">
        <f>IFERROR(__xludf.DUMMYFUNCTION("MID(INDEX(SPLIT($F250,"",""),COLUMN()-6),2,300)"),"#REF!")</f>
        <v>#REF!</v>
      </c>
      <c r="I250" s="3" t="str">
        <f>IFERROR(__xludf.DUMMYFUNCTION("MID(INDEX(SPLIT($F250,"",""),COLUMN()-6),2,300)"),"#REF!")</f>
        <v>#REF!</v>
      </c>
      <c r="J250" s="3" t="str">
        <f>IFERROR(__xludf.DUMMYFUNCTION("MID(INDEX(SPLIT($F250,"",""),COLUMN()-6),2,300)"),"#REF!")</f>
        <v>#REF!</v>
      </c>
      <c r="K250" s="3">
        <f>IFERROR(__xludf.DUMMYFUNCTION("INDEX(SPLIT(G250,"" ""),1)"),1.0)</f>
        <v>1</v>
      </c>
      <c r="L250" s="3" t="str">
        <f>IFERROR(__xludf.DUMMYFUNCTION("REGEXEXTRACT(G250,"" [^ ]* [^ ]* "")")," dull silver ")</f>
        <v> dull silver </v>
      </c>
      <c r="M250" s="3" t="str">
        <f>IFERROR(__xludf.DUMMYFUNCTION("INDEX(SPLIT(H250,"" ""),1)"),"#REF!")</f>
        <v>#REF!</v>
      </c>
      <c r="N250" s="3" t="str">
        <f>IFERROR(__xludf.DUMMYFUNCTION("MID(REGEXEXTRACT(H250,"" [^ ]* [^ ]*""),2,300)"),"#REF!")</f>
        <v>#REF!</v>
      </c>
      <c r="O250" s="3" t="str">
        <f>IFERROR(__xludf.DUMMYFUNCTION("INDEX(SPLIT(I250,"" ""),1)"),"#REF!")</f>
        <v>#REF!</v>
      </c>
      <c r="P250" s="3" t="str">
        <f>IFERROR(__xludf.DUMMYFUNCTION("MID(REGEXEXTRACT(I250,"" [^ ]* [^ ]*""),2,300)"),"#REF!")</f>
        <v>#REF!</v>
      </c>
      <c r="Q250" s="3" t="str">
        <f>IFERROR(__xludf.DUMMYFUNCTION("INDEX(SPLIT(J250,"" ""),1)"),"#REF!")</f>
        <v>#REF!</v>
      </c>
      <c r="R250" s="3" t="str">
        <f>IFERROR(__xludf.DUMMYFUNCTION("MID(REGEXEXTRACT(J250,"" [^ ]* [^ ]*""),2,300)"),"#REF!")</f>
        <v>#REF!</v>
      </c>
      <c r="S250" s="3">
        <f t="shared" si="2"/>
        <v>1</v>
      </c>
      <c r="T250" s="3" t="str">
        <f t="shared" si="3"/>
        <v>dull silver</v>
      </c>
      <c r="U250" s="3" t="str">
        <f t="shared" si="4"/>
        <v/>
      </c>
      <c r="V250" s="3" t="str">
        <f t="shared" si="5"/>
        <v/>
      </c>
      <c r="W250" s="3" t="str">
        <f t="shared" si="6"/>
        <v/>
      </c>
      <c r="X250" s="3" t="str">
        <f t="shared" si="7"/>
        <v/>
      </c>
      <c r="Y250" s="3" t="str">
        <f t="shared" si="8"/>
        <v/>
      </c>
      <c r="Z250" s="3" t="str">
        <f t="shared" si="9"/>
        <v/>
      </c>
      <c r="AA250" s="13">
        <f t="shared" si="10"/>
        <v>105095086</v>
      </c>
      <c r="AB250" s="3">
        <f t="shared" si="11"/>
        <v>105095085</v>
      </c>
      <c r="AC250" s="3">
        <f t="shared" si="12"/>
        <v>1</v>
      </c>
      <c r="AD250" s="3">
        <f t="shared" si="13"/>
        <v>105095085</v>
      </c>
      <c r="AE250" s="3" t="str">
        <f t="shared" si="14"/>
        <v/>
      </c>
      <c r="AF250" s="3">
        <f t="shared" si="15"/>
        <v>0</v>
      </c>
      <c r="AG250" s="3" t="str">
        <f t="shared" si="16"/>
        <v/>
      </c>
      <c r="AH250" s="3">
        <f t="shared" si="17"/>
        <v>0</v>
      </c>
      <c r="AI250" s="3" t="str">
        <f t="shared" si="18"/>
        <v/>
      </c>
      <c r="AJ250" s="3">
        <f t="shared" si="19"/>
        <v>0</v>
      </c>
    </row>
    <row r="251">
      <c r="C251" s="6" t="s">
        <v>251</v>
      </c>
      <c r="D251" s="3">
        <f t="shared" si="1"/>
        <v>3</v>
      </c>
      <c r="E251" s="3" t="str">
        <f>IFERROR(__xludf.DUMMYFUNCTION("REGEXEXTRACT(C251,""[^ ]* [^ ]*"")"),"clear tan")</f>
        <v>clear tan</v>
      </c>
      <c r="F251" s="3" t="str">
        <f>IFERROR(__xludf.DUMMYFUNCTION("MID(REGEXEXTRACT(C251,""contain.*$""),9,300)"),"2 striped beige bags, 1 posh coral bag, 1 wavy teal bag, 2 faded plum bags.")</f>
        <v>2 striped beige bags, 1 posh coral bag, 1 wavy teal bag, 2 faded plum bags.</v>
      </c>
      <c r="G251" s="3" t="str">
        <f>IFERROR(__xludf.DUMMYFUNCTION("INDEX(SPLIT($F251,"",""),COLUMN()-6)"),"2 striped beige bags")</f>
        <v>2 striped beige bags</v>
      </c>
      <c r="H251" s="3" t="str">
        <f>IFERROR(__xludf.DUMMYFUNCTION("MID(INDEX(SPLIT($F251,"",""),COLUMN()-6),2,300)"),"1 posh coral bag")</f>
        <v>1 posh coral bag</v>
      </c>
      <c r="I251" s="3" t="str">
        <f>IFERROR(__xludf.DUMMYFUNCTION("MID(INDEX(SPLIT($F251,"",""),COLUMN()-6),2,300)"),"1 wavy teal bag")</f>
        <v>1 wavy teal bag</v>
      </c>
      <c r="J251" s="3" t="str">
        <f>IFERROR(__xludf.DUMMYFUNCTION("MID(INDEX(SPLIT($F251,"",""),COLUMN()-6),2,300)"),"2 faded plum bags.")</f>
        <v>2 faded plum bags.</v>
      </c>
      <c r="K251" s="3">
        <f>IFERROR(__xludf.DUMMYFUNCTION("INDEX(SPLIT(G251,"" ""),1)"),2.0)</f>
        <v>2</v>
      </c>
      <c r="L251" s="3" t="str">
        <f>IFERROR(__xludf.DUMMYFUNCTION("REGEXEXTRACT(G251,"" [^ ]* [^ ]* "")")," striped beige ")</f>
        <v> striped beige </v>
      </c>
      <c r="M251" s="3">
        <f>IFERROR(__xludf.DUMMYFUNCTION("INDEX(SPLIT(H251,"" ""),1)"),1.0)</f>
        <v>1</v>
      </c>
      <c r="N251" s="3" t="str">
        <f>IFERROR(__xludf.DUMMYFUNCTION("MID(REGEXEXTRACT(H251,"" [^ ]* [^ ]*""),2,300)"),"posh coral")</f>
        <v>posh coral</v>
      </c>
      <c r="O251" s="3">
        <f>IFERROR(__xludf.DUMMYFUNCTION("INDEX(SPLIT(I251,"" ""),1)"),1.0)</f>
        <v>1</v>
      </c>
      <c r="P251" s="3" t="str">
        <f>IFERROR(__xludf.DUMMYFUNCTION("MID(REGEXEXTRACT(I251,"" [^ ]* [^ ]*""),2,300)"),"wavy teal")</f>
        <v>wavy teal</v>
      </c>
      <c r="Q251" s="3">
        <f>IFERROR(__xludf.DUMMYFUNCTION("INDEX(SPLIT(J251,"" ""),1)"),2.0)</f>
        <v>2</v>
      </c>
      <c r="R251" s="3" t="str">
        <f>IFERROR(__xludf.DUMMYFUNCTION("MID(REGEXEXTRACT(J251,"" [^ ]* [^ ]*""),2,300)"),"faded plum")</f>
        <v>faded plum</v>
      </c>
      <c r="S251" s="3">
        <f t="shared" si="2"/>
        <v>2</v>
      </c>
      <c r="T251" s="3" t="str">
        <f t="shared" si="3"/>
        <v>striped beige</v>
      </c>
      <c r="U251" s="3">
        <f t="shared" si="4"/>
        <v>1</v>
      </c>
      <c r="V251" s="3" t="str">
        <f t="shared" si="5"/>
        <v>posh coral</v>
      </c>
      <c r="W251" s="3">
        <f t="shared" si="6"/>
        <v>1</v>
      </c>
      <c r="X251" s="3" t="str">
        <f t="shared" si="7"/>
        <v>wavy teal</v>
      </c>
      <c r="Y251" s="3">
        <f t="shared" si="8"/>
        <v>2</v>
      </c>
      <c r="Z251" s="3" t="str">
        <f t="shared" si="9"/>
        <v>faded plum</v>
      </c>
      <c r="AA251" s="13">
        <f t="shared" si="10"/>
        <v>3458330860</v>
      </c>
      <c r="AB251" s="3">
        <f t="shared" si="11"/>
        <v>3458330859</v>
      </c>
      <c r="AC251" s="3">
        <f t="shared" si="12"/>
        <v>2</v>
      </c>
      <c r="AD251" s="3">
        <f t="shared" si="13"/>
        <v>1728590198</v>
      </c>
      <c r="AE251" s="3">
        <f t="shared" si="14"/>
        <v>1</v>
      </c>
      <c r="AF251" s="3">
        <f t="shared" si="15"/>
        <v>1</v>
      </c>
      <c r="AG251" s="3">
        <f t="shared" si="16"/>
        <v>1</v>
      </c>
      <c r="AH251" s="3">
        <f t="shared" si="17"/>
        <v>84750</v>
      </c>
      <c r="AI251" s="3">
        <f t="shared" si="18"/>
        <v>2</v>
      </c>
      <c r="AJ251" s="3">
        <f t="shared" si="19"/>
        <v>532856</v>
      </c>
    </row>
    <row r="252">
      <c r="C252" s="6" t="s">
        <v>252</v>
      </c>
      <c r="D252" s="3">
        <f t="shared" si="1"/>
        <v>1</v>
      </c>
      <c r="E252" s="3" t="str">
        <f>IFERROR(__xludf.DUMMYFUNCTION("REGEXEXTRACT(C252,""[^ ]* [^ ]*"")"),"vibrant coral")</f>
        <v>vibrant coral</v>
      </c>
      <c r="F252" s="3" t="str">
        <f>IFERROR(__xludf.DUMMYFUNCTION("MID(REGEXEXTRACT(C252,""contain.*$""),9,300)"),"2 faded blue bags, 4 bright turquoise bags.")</f>
        <v>2 faded blue bags, 4 bright turquoise bags.</v>
      </c>
      <c r="G252" s="3" t="str">
        <f>IFERROR(__xludf.DUMMYFUNCTION("INDEX(SPLIT($F252,"",""),COLUMN()-6)"),"2 faded blue bags")</f>
        <v>2 faded blue bags</v>
      </c>
      <c r="H252" s="3" t="str">
        <f>IFERROR(__xludf.DUMMYFUNCTION("MID(INDEX(SPLIT($F252,"",""),COLUMN()-6),2,300)"),"4 bright turquoise bags.")</f>
        <v>4 bright turquoise bags.</v>
      </c>
      <c r="I252" s="3" t="str">
        <f>IFERROR(__xludf.DUMMYFUNCTION("MID(INDEX(SPLIT($F252,"",""),COLUMN()-6),2,300)"),"#REF!")</f>
        <v>#REF!</v>
      </c>
      <c r="J252" s="3" t="str">
        <f>IFERROR(__xludf.DUMMYFUNCTION("MID(INDEX(SPLIT($F252,"",""),COLUMN()-6),2,300)"),"#REF!")</f>
        <v>#REF!</v>
      </c>
      <c r="K252" s="3">
        <f>IFERROR(__xludf.DUMMYFUNCTION("INDEX(SPLIT(G252,"" ""),1)"),2.0)</f>
        <v>2</v>
      </c>
      <c r="L252" s="3" t="str">
        <f>IFERROR(__xludf.DUMMYFUNCTION("REGEXEXTRACT(G252,"" [^ ]* [^ ]* "")")," faded blue ")</f>
        <v> faded blue </v>
      </c>
      <c r="M252" s="3">
        <f>IFERROR(__xludf.DUMMYFUNCTION("INDEX(SPLIT(H252,"" ""),1)"),4.0)</f>
        <v>4</v>
      </c>
      <c r="N252" s="3" t="str">
        <f>IFERROR(__xludf.DUMMYFUNCTION("MID(REGEXEXTRACT(H252,"" [^ ]* [^ ]*""),2,300)"),"bright turquoise")</f>
        <v>bright turquoise</v>
      </c>
      <c r="O252" s="3" t="str">
        <f>IFERROR(__xludf.DUMMYFUNCTION("INDEX(SPLIT(I252,"" ""),1)"),"#REF!")</f>
        <v>#REF!</v>
      </c>
      <c r="P252" s="3" t="str">
        <f>IFERROR(__xludf.DUMMYFUNCTION("MID(REGEXEXTRACT(I252,"" [^ ]* [^ ]*""),2,300)"),"#REF!")</f>
        <v>#REF!</v>
      </c>
      <c r="Q252" s="3" t="str">
        <f>IFERROR(__xludf.DUMMYFUNCTION("INDEX(SPLIT(J252,"" ""),1)"),"#REF!")</f>
        <v>#REF!</v>
      </c>
      <c r="R252" s="3" t="str">
        <f>IFERROR(__xludf.DUMMYFUNCTION("MID(REGEXEXTRACT(J252,"" [^ ]* [^ ]*""),2,300)"),"#REF!")</f>
        <v>#REF!</v>
      </c>
      <c r="S252" s="3">
        <f t="shared" si="2"/>
        <v>2</v>
      </c>
      <c r="T252" s="3" t="str">
        <f t="shared" si="3"/>
        <v>faded blue</v>
      </c>
      <c r="U252" s="3">
        <f t="shared" si="4"/>
        <v>4</v>
      </c>
      <c r="V252" s="3" t="str">
        <f t="shared" si="5"/>
        <v>bright turquoise</v>
      </c>
      <c r="W252" s="3" t="str">
        <f t="shared" si="6"/>
        <v/>
      </c>
      <c r="X252" s="3" t="str">
        <f t="shared" si="7"/>
        <v/>
      </c>
      <c r="Y252" s="3" t="str">
        <f t="shared" si="8"/>
        <v/>
      </c>
      <c r="Z252" s="3" t="str">
        <f t="shared" si="9"/>
        <v/>
      </c>
      <c r="AA252" s="13">
        <f t="shared" si="10"/>
        <v>74172081</v>
      </c>
      <c r="AB252" s="3">
        <f t="shared" si="11"/>
        <v>74172080</v>
      </c>
      <c r="AC252" s="3">
        <f t="shared" si="12"/>
        <v>2</v>
      </c>
      <c r="AD252" s="3">
        <f t="shared" si="13"/>
        <v>12631028</v>
      </c>
      <c r="AE252" s="3">
        <f t="shared" si="14"/>
        <v>4</v>
      </c>
      <c r="AF252" s="3">
        <f t="shared" si="15"/>
        <v>12227506</v>
      </c>
      <c r="AG252" s="3" t="str">
        <f t="shared" si="16"/>
        <v/>
      </c>
      <c r="AH252" s="3">
        <f t="shared" si="17"/>
        <v>0</v>
      </c>
      <c r="AI252" s="3" t="str">
        <f t="shared" si="18"/>
        <v/>
      </c>
      <c r="AJ252" s="3">
        <f t="shared" si="19"/>
        <v>0</v>
      </c>
    </row>
    <row r="253">
      <c r="C253" s="6" t="s">
        <v>253</v>
      </c>
      <c r="D253" s="3">
        <f t="shared" si="1"/>
        <v>0</v>
      </c>
      <c r="E253" s="3" t="str">
        <f>IFERROR(__xludf.DUMMYFUNCTION("REGEXEXTRACT(C253,""[^ ]* [^ ]*"")"),"dark olive")</f>
        <v>dark olive</v>
      </c>
      <c r="F253" s="3" t="str">
        <f>IFERROR(__xludf.DUMMYFUNCTION("MID(REGEXEXTRACT(C253,""contain.*$""),9,300)"),"2 dark indigo bags.")</f>
        <v>2 dark indigo bags.</v>
      </c>
      <c r="G253" s="3" t="str">
        <f>IFERROR(__xludf.DUMMYFUNCTION("INDEX(SPLIT($F253,"",""),COLUMN()-6)"),"2 dark indigo bags.")</f>
        <v>2 dark indigo bags.</v>
      </c>
      <c r="H253" s="3" t="str">
        <f>IFERROR(__xludf.DUMMYFUNCTION("MID(INDEX(SPLIT($F253,"",""),COLUMN()-6),2,300)"),"#REF!")</f>
        <v>#REF!</v>
      </c>
      <c r="I253" s="3" t="str">
        <f>IFERROR(__xludf.DUMMYFUNCTION("MID(INDEX(SPLIT($F253,"",""),COLUMN()-6),2,300)"),"#REF!")</f>
        <v>#REF!</v>
      </c>
      <c r="J253" s="3" t="str">
        <f>IFERROR(__xludf.DUMMYFUNCTION("MID(INDEX(SPLIT($F253,"",""),COLUMN()-6),2,300)"),"#REF!")</f>
        <v>#REF!</v>
      </c>
      <c r="K253" s="3">
        <f>IFERROR(__xludf.DUMMYFUNCTION("INDEX(SPLIT(G253,"" ""),1)"),2.0)</f>
        <v>2</v>
      </c>
      <c r="L253" s="3" t="str">
        <f>IFERROR(__xludf.DUMMYFUNCTION("REGEXEXTRACT(G253,"" [^ ]* [^ ]* "")")," dark indigo ")</f>
        <v> dark indigo </v>
      </c>
      <c r="M253" s="3" t="str">
        <f>IFERROR(__xludf.DUMMYFUNCTION("INDEX(SPLIT(H253,"" ""),1)"),"#REF!")</f>
        <v>#REF!</v>
      </c>
      <c r="N253" s="3" t="str">
        <f>IFERROR(__xludf.DUMMYFUNCTION("MID(REGEXEXTRACT(H253,"" [^ ]* [^ ]*""),2,300)"),"#REF!")</f>
        <v>#REF!</v>
      </c>
      <c r="O253" s="3" t="str">
        <f>IFERROR(__xludf.DUMMYFUNCTION("INDEX(SPLIT(I253,"" ""),1)"),"#REF!")</f>
        <v>#REF!</v>
      </c>
      <c r="P253" s="3" t="str">
        <f>IFERROR(__xludf.DUMMYFUNCTION("MID(REGEXEXTRACT(I253,"" [^ ]* [^ ]*""),2,300)"),"#REF!")</f>
        <v>#REF!</v>
      </c>
      <c r="Q253" s="3" t="str">
        <f>IFERROR(__xludf.DUMMYFUNCTION("INDEX(SPLIT(J253,"" ""),1)"),"#REF!")</f>
        <v>#REF!</v>
      </c>
      <c r="R253" s="3" t="str">
        <f>IFERROR(__xludf.DUMMYFUNCTION("MID(REGEXEXTRACT(J253,"" [^ ]* [^ ]*""),2,300)"),"#REF!")</f>
        <v>#REF!</v>
      </c>
      <c r="S253" s="3">
        <f t="shared" si="2"/>
        <v>2</v>
      </c>
      <c r="T253" s="3" t="str">
        <f t="shared" si="3"/>
        <v>dark indigo</v>
      </c>
      <c r="U253" s="3" t="str">
        <f t="shared" si="4"/>
        <v/>
      </c>
      <c r="V253" s="3" t="str">
        <f t="shared" si="5"/>
        <v/>
      </c>
      <c r="W253" s="3" t="str">
        <f t="shared" si="6"/>
        <v/>
      </c>
      <c r="X253" s="3" t="str">
        <f t="shared" si="7"/>
        <v/>
      </c>
      <c r="Y253" s="3" t="str">
        <f t="shared" si="8"/>
        <v/>
      </c>
      <c r="Z253" s="3" t="str">
        <f t="shared" si="9"/>
        <v/>
      </c>
      <c r="AA253" s="13">
        <f t="shared" si="10"/>
        <v>1513927203</v>
      </c>
      <c r="AB253" s="3">
        <f t="shared" si="11"/>
        <v>1513927202</v>
      </c>
      <c r="AC253" s="3">
        <f t="shared" si="12"/>
        <v>2</v>
      </c>
      <c r="AD253" s="3">
        <f t="shared" si="13"/>
        <v>756963601</v>
      </c>
      <c r="AE253" s="3" t="str">
        <f t="shared" si="14"/>
        <v/>
      </c>
      <c r="AF253" s="3">
        <f t="shared" si="15"/>
        <v>0</v>
      </c>
      <c r="AG253" s="3" t="str">
        <f t="shared" si="16"/>
        <v/>
      </c>
      <c r="AH253" s="3">
        <f t="shared" si="17"/>
        <v>0</v>
      </c>
      <c r="AI253" s="3" t="str">
        <f t="shared" si="18"/>
        <v/>
      </c>
      <c r="AJ253" s="3">
        <f t="shared" si="19"/>
        <v>0</v>
      </c>
    </row>
    <row r="254">
      <c r="C254" s="6" t="s">
        <v>254</v>
      </c>
      <c r="D254" s="3">
        <f t="shared" si="1"/>
        <v>2</v>
      </c>
      <c r="E254" s="3" t="str">
        <f>IFERROR(__xludf.DUMMYFUNCTION("REGEXEXTRACT(C254,""[^ ]* [^ ]*"")"),"dotted blue")</f>
        <v>dotted blue</v>
      </c>
      <c r="F254" s="3" t="str">
        <f>IFERROR(__xludf.DUMMYFUNCTION("MID(REGEXEXTRACT(C254,""contain.*$""),9,300)"),"5 faded cyan bags, 4 striped aqua bags, 4 dotted gold bags.")</f>
        <v>5 faded cyan bags, 4 striped aqua bags, 4 dotted gold bags.</v>
      </c>
      <c r="G254" s="3" t="str">
        <f>IFERROR(__xludf.DUMMYFUNCTION("INDEX(SPLIT($F254,"",""),COLUMN()-6)"),"5 faded cyan bags")</f>
        <v>5 faded cyan bags</v>
      </c>
      <c r="H254" s="3" t="str">
        <f>IFERROR(__xludf.DUMMYFUNCTION("MID(INDEX(SPLIT($F254,"",""),COLUMN()-6),2,300)"),"4 striped aqua bags")</f>
        <v>4 striped aqua bags</v>
      </c>
      <c r="I254" s="3" t="str">
        <f>IFERROR(__xludf.DUMMYFUNCTION("MID(INDEX(SPLIT($F254,"",""),COLUMN()-6),2,300)"),"4 dotted gold bags.")</f>
        <v>4 dotted gold bags.</v>
      </c>
      <c r="J254" s="3" t="str">
        <f>IFERROR(__xludf.DUMMYFUNCTION("MID(INDEX(SPLIT($F254,"",""),COLUMN()-6),2,300)"),"#REF!")</f>
        <v>#REF!</v>
      </c>
      <c r="K254" s="3">
        <f>IFERROR(__xludf.DUMMYFUNCTION("INDEX(SPLIT(G254,"" ""),1)"),5.0)</f>
        <v>5</v>
      </c>
      <c r="L254" s="3" t="str">
        <f>IFERROR(__xludf.DUMMYFUNCTION("REGEXEXTRACT(G254,"" [^ ]* [^ ]* "")")," faded cyan ")</f>
        <v> faded cyan </v>
      </c>
      <c r="M254" s="3">
        <f>IFERROR(__xludf.DUMMYFUNCTION("INDEX(SPLIT(H254,"" ""),1)"),4.0)</f>
        <v>4</v>
      </c>
      <c r="N254" s="3" t="str">
        <f>IFERROR(__xludf.DUMMYFUNCTION("MID(REGEXEXTRACT(H254,"" [^ ]* [^ ]*""),2,300)"),"striped aqua")</f>
        <v>striped aqua</v>
      </c>
      <c r="O254" s="3">
        <f>IFERROR(__xludf.DUMMYFUNCTION("INDEX(SPLIT(I254,"" ""),1)"),4.0)</f>
        <v>4</v>
      </c>
      <c r="P254" s="3" t="str">
        <f>IFERROR(__xludf.DUMMYFUNCTION("MID(REGEXEXTRACT(I254,"" [^ ]* [^ ]*""),2,300)"),"dotted gold")</f>
        <v>dotted gold</v>
      </c>
      <c r="Q254" s="3" t="str">
        <f>IFERROR(__xludf.DUMMYFUNCTION("INDEX(SPLIT(J254,"" ""),1)"),"#REF!")</f>
        <v>#REF!</v>
      </c>
      <c r="R254" s="3" t="str">
        <f>IFERROR(__xludf.DUMMYFUNCTION("MID(REGEXEXTRACT(J254,"" [^ ]* [^ ]*""),2,300)"),"#REF!")</f>
        <v>#REF!</v>
      </c>
      <c r="S254" s="3">
        <f t="shared" si="2"/>
        <v>5</v>
      </c>
      <c r="T254" s="3" t="str">
        <f t="shared" si="3"/>
        <v>faded cyan</v>
      </c>
      <c r="U254" s="3">
        <f t="shared" si="4"/>
        <v>4</v>
      </c>
      <c r="V254" s="3" t="str">
        <f t="shared" si="5"/>
        <v>striped aqua</v>
      </c>
      <c r="W254" s="3">
        <f t="shared" si="6"/>
        <v>4</v>
      </c>
      <c r="X254" s="3" t="str">
        <f t="shared" si="7"/>
        <v>dotted gold</v>
      </c>
      <c r="Y254" s="3" t="str">
        <f t="shared" si="8"/>
        <v/>
      </c>
      <c r="Z254" s="3" t="str">
        <f t="shared" si="9"/>
        <v/>
      </c>
      <c r="AA254" s="13">
        <f t="shared" si="10"/>
        <v>5837626</v>
      </c>
      <c r="AB254" s="3">
        <f t="shared" si="11"/>
        <v>5837625</v>
      </c>
      <c r="AC254" s="3">
        <f t="shared" si="12"/>
        <v>5</v>
      </c>
      <c r="AD254" s="3">
        <f t="shared" si="13"/>
        <v>1017501</v>
      </c>
      <c r="AE254" s="3">
        <f t="shared" si="14"/>
        <v>4</v>
      </c>
      <c r="AF254" s="3">
        <f t="shared" si="15"/>
        <v>187520</v>
      </c>
      <c r="AG254" s="3">
        <f t="shared" si="16"/>
        <v>4</v>
      </c>
      <c r="AH254" s="3">
        <f t="shared" si="17"/>
        <v>10</v>
      </c>
      <c r="AI254" s="3" t="str">
        <f t="shared" si="18"/>
        <v/>
      </c>
      <c r="AJ254" s="3">
        <f t="shared" si="19"/>
        <v>0</v>
      </c>
    </row>
    <row r="255">
      <c r="C255" s="6" t="s">
        <v>255</v>
      </c>
      <c r="D255" s="3">
        <f t="shared" si="1"/>
        <v>3</v>
      </c>
      <c r="E255" s="3" t="str">
        <f>IFERROR(__xludf.DUMMYFUNCTION("REGEXEXTRACT(C255,""[^ ]* [^ ]*"")"),"bright maroon")</f>
        <v>bright maroon</v>
      </c>
      <c r="F255" s="3" t="str">
        <f>IFERROR(__xludf.DUMMYFUNCTION("MID(REGEXEXTRACT(C255,""contain.*$""),9,300)"),"1 dark bronze bag, 3 vibrant aqua bags, 4 dim magenta bags, 3 clear crimson bags.")</f>
        <v>1 dark bronze bag, 3 vibrant aqua bags, 4 dim magenta bags, 3 clear crimson bags.</v>
      </c>
      <c r="G255" s="3" t="str">
        <f>IFERROR(__xludf.DUMMYFUNCTION("INDEX(SPLIT($F255,"",""),COLUMN()-6)"),"1 dark bronze bag")</f>
        <v>1 dark bronze bag</v>
      </c>
      <c r="H255" s="3" t="str">
        <f>IFERROR(__xludf.DUMMYFUNCTION("MID(INDEX(SPLIT($F255,"",""),COLUMN()-6),2,300)"),"3 vibrant aqua bags")</f>
        <v>3 vibrant aqua bags</v>
      </c>
      <c r="I255" s="3" t="str">
        <f>IFERROR(__xludf.DUMMYFUNCTION("MID(INDEX(SPLIT($F255,"",""),COLUMN()-6),2,300)"),"4 dim magenta bags")</f>
        <v>4 dim magenta bags</v>
      </c>
      <c r="J255" s="3" t="str">
        <f>IFERROR(__xludf.DUMMYFUNCTION("MID(INDEX(SPLIT($F255,"",""),COLUMN()-6),2,300)"),"3 clear crimson bags.")</f>
        <v>3 clear crimson bags.</v>
      </c>
      <c r="K255" s="3">
        <f>IFERROR(__xludf.DUMMYFUNCTION("INDEX(SPLIT(G255,"" ""),1)"),1.0)</f>
        <v>1</v>
      </c>
      <c r="L255" s="3" t="str">
        <f>IFERROR(__xludf.DUMMYFUNCTION("REGEXEXTRACT(G255,"" [^ ]* [^ ]* "")")," dark bronze ")</f>
        <v> dark bronze </v>
      </c>
      <c r="M255" s="3">
        <f>IFERROR(__xludf.DUMMYFUNCTION("INDEX(SPLIT(H255,"" ""),1)"),3.0)</f>
        <v>3</v>
      </c>
      <c r="N255" s="3" t="str">
        <f>IFERROR(__xludf.DUMMYFUNCTION("MID(REGEXEXTRACT(H255,"" [^ ]* [^ ]*""),2,300)"),"vibrant aqua")</f>
        <v>vibrant aqua</v>
      </c>
      <c r="O255" s="3">
        <f>IFERROR(__xludf.DUMMYFUNCTION("INDEX(SPLIT(I255,"" ""),1)"),4.0)</f>
        <v>4</v>
      </c>
      <c r="P255" s="3" t="str">
        <f>IFERROR(__xludf.DUMMYFUNCTION("MID(REGEXEXTRACT(I255,"" [^ ]* [^ ]*""),2,300)"),"dim magenta")</f>
        <v>dim magenta</v>
      </c>
      <c r="Q255" s="3">
        <f>IFERROR(__xludf.DUMMYFUNCTION("INDEX(SPLIT(J255,"" ""),1)"),3.0)</f>
        <v>3</v>
      </c>
      <c r="R255" s="3" t="str">
        <f>IFERROR(__xludf.DUMMYFUNCTION("MID(REGEXEXTRACT(J255,"" [^ ]* [^ ]*""),2,300)"),"clear crimson")</f>
        <v>clear crimson</v>
      </c>
      <c r="S255" s="3">
        <f t="shared" si="2"/>
        <v>1</v>
      </c>
      <c r="T255" s="3" t="str">
        <f t="shared" si="3"/>
        <v>dark bronze</v>
      </c>
      <c r="U255" s="3">
        <f t="shared" si="4"/>
        <v>3</v>
      </c>
      <c r="V255" s="3" t="str">
        <f t="shared" si="5"/>
        <v>vibrant aqua</v>
      </c>
      <c r="W255" s="3">
        <f t="shared" si="6"/>
        <v>4</v>
      </c>
      <c r="X255" s="3" t="str">
        <f t="shared" si="7"/>
        <v>dim magenta</v>
      </c>
      <c r="Y255" s="3">
        <f t="shared" si="8"/>
        <v>3</v>
      </c>
      <c r="Z255" s="3" t="str">
        <f t="shared" si="9"/>
        <v>clear crimson</v>
      </c>
      <c r="AA255" s="13">
        <f t="shared" si="10"/>
        <v>84925614</v>
      </c>
      <c r="AB255" s="3">
        <f t="shared" si="11"/>
        <v>84925613</v>
      </c>
      <c r="AC255" s="3">
        <f t="shared" si="12"/>
        <v>1</v>
      </c>
      <c r="AD255" s="3">
        <f t="shared" si="13"/>
        <v>14835</v>
      </c>
      <c r="AE255" s="3">
        <f t="shared" si="14"/>
        <v>3</v>
      </c>
      <c r="AF255" s="3">
        <f t="shared" si="15"/>
        <v>1</v>
      </c>
      <c r="AG255" s="3">
        <f t="shared" si="16"/>
        <v>4</v>
      </c>
      <c r="AH255" s="3">
        <f t="shared" si="17"/>
        <v>2222594</v>
      </c>
      <c r="AI255" s="3">
        <f t="shared" si="18"/>
        <v>3</v>
      </c>
      <c r="AJ255" s="3">
        <f t="shared" si="19"/>
        <v>25340133</v>
      </c>
    </row>
    <row r="256">
      <c r="C256" s="6" t="s">
        <v>256</v>
      </c>
      <c r="D256" s="3">
        <f t="shared" si="1"/>
        <v>0</v>
      </c>
      <c r="E256" s="3" t="str">
        <f>IFERROR(__xludf.DUMMYFUNCTION("REGEXEXTRACT(C256,""[^ ]* [^ ]*"")"),"bright cyan")</f>
        <v>bright cyan</v>
      </c>
      <c r="F256" s="3" t="str">
        <f>IFERROR(__xludf.DUMMYFUNCTION("MID(REGEXEXTRACT(C256,""contain.*$""),9,300)"),"2 wavy tomato bags.")</f>
        <v>2 wavy tomato bags.</v>
      </c>
      <c r="G256" s="3" t="str">
        <f>IFERROR(__xludf.DUMMYFUNCTION("INDEX(SPLIT($F256,"",""),COLUMN()-6)"),"2 wavy tomato bags.")</f>
        <v>2 wavy tomato bags.</v>
      </c>
      <c r="H256" s="3" t="str">
        <f>IFERROR(__xludf.DUMMYFUNCTION("MID(INDEX(SPLIT($F256,"",""),COLUMN()-6),2,300)"),"#REF!")</f>
        <v>#REF!</v>
      </c>
      <c r="I256" s="3" t="str">
        <f>IFERROR(__xludf.DUMMYFUNCTION("MID(INDEX(SPLIT($F256,"",""),COLUMN()-6),2,300)"),"#REF!")</f>
        <v>#REF!</v>
      </c>
      <c r="J256" s="3" t="str">
        <f>IFERROR(__xludf.DUMMYFUNCTION("MID(INDEX(SPLIT($F256,"",""),COLUMN()-6),2,300)"),"#REF!")</f>
        <v>#REF!</v>
      </c>
      <c r="K256" s="3">
        <f>IFERROR(__xludf.DUMMYFUNCTION("INDEX(SPLIT(G256,"" ""),1)"),2.0)</f>
        <v>2</v>
      </c>
      <c r="L256" s="3" t="str">
        <f>IFERROR(__xludf.DUMMYFUNCTION("REGEXEXTRACT(G256,"" [^ ]* [^ ]* "")")," wavy tomato ")</f>
        <v> wavy tomato </v>
      </c>
      <c r="M256" s="3" t="str">
        <f>IFERROR(__xludf.DUMMYFUNCTION("INDEX(SPLIT(H256,"" ""),1)"),"#REF!")</f>
        <v>#REF!</v>
      </c>
      <c r="N256" s="3" t="str">
        <f>IFERROR(__xludf.DUMMYFUNCTION("MID(REGEXEXTRACT(H256,"" [^ ]* [^ ]*""),2,300)"),"#REF!")</f>
        <v>#REF!</v>
      </c>
      <c r="O256" s="3" t="str">
        <f>IFERROR(__xludf.DUMMYFUNCTION("INDEX(SPLIT(I256,"" ""),1)"),"#REF!")</f>
        <v>#REF!</v>
      </c>
      <c r="P256" s="3" t="str">
        <f>IFERROR(__xludf.DUMMYFUNCTION("MID(REGEXEXTRACT(I256,"" [^ ]* [^ ]*""),2,300)"),"#REF!")</f>
        <v>#REF!</v>
      </c>
      <c r="Q256" s="3" t="str">
        <f>IFERROR(__xludf.DUMMYFUNCTION("INDEX(SPLIT(J256,"" ""),1)"),"#REF!")</f>
        <v>#REF!</v>
      </c>
      <c r="R256" s="3" t="str">
        <f>IFERROR(__xludf.DUMMYFUNCTION("MID(REGEXEXTRACT(J256,"" [^ ]* [^ ]*""),2,300)"),"#REF!")</f>
        <v>#REF!</v>
      </c>
      <c r="S256" s="3">
        <f t="shared" si="2"/>
        <v>2</v>
      </c>
      <c r="T256" s="3" t="str">
        <f t="shared" si="3"/>
        <v>wavy tomato</v>
      </c>
      <c r="U256" s="3" t="str">
        <f t="shared" si="4"/>
        <v/>
      </c>
      <c r="V256" s="3" t="str">
        <f t="shared" si="5"/>
        <v/>
      </c>
      <c r="W256" s="3" t="str">
        <f t="shared" si="6"/>
        <v/>
      </c>
      <c r="X256" s="3" t="str">
        <f t="shared" si="7"/>
        <v/>
      </c>
      <c r="Y256" s="3" t="str">
        <f t="shared" si="8"/>
        <v/>
      </c>
      <c r="Z256" s="3" t="str">
        <f t="shared" si="9"/>
        <v/>
      </c>
      <c r="AA256" s="13">
        <f t="shared" si="10"/>
        <v>531</v>
      </c>
      <c r="AB256" s="3">
        <f t="shared" si="11"/>
        <v>530</v>
      </c>
      <c r="AC256" s="3">
        <f t="shared" si="12"/>
        <v>2</v>
      </c>
      <c r="AD256" s="3">
        <f t="shared" si="13"/>
        <v>265</v>
      </c>
      <c r="AE256" s="3" t="str">
        <f t="shared" si="14"/>
        <v/>
      </c>
      <c r="AF256" s="3">
        <f t="shared" si="15"/>
        <v>0</v>
      </c>
      <c r="AG256" s="3" t="str">
        <f t="shared" si="16"/>
        <v/>
      </c>
      <c r="AH256" s="3">
        <f t="shared" si="17"/>
        <v>0</v>
      </c>
      <c r="AI256" s="3" t="str">
        <f t="shared" si="18"/>
        <v/>
      </c>
      <c r="AJ256" s="3">
        <f t="shared" si="19"/>
        <v>0</v>
      </c>
    </row>
    <row r="257">
      <c r="C257" s="6" t="s">
        <v>257</v>
      </c>
      <c r="D257" s="3">
        <f t="shared" si="1"/>
        <v>3</v>
      </c>
      <c r="E257" s="3" t="str">
        <f>IFERROR(__xludf.DUMMYFUNCTION("REGEXEXTRACT(C257,""[^ ]* [^ ]*"")"),"plaid olive")</f>
        <v>plaid olive</v>
      </c>
      <c r="F257" s="3" t="str">
        <f>IFERROR(__xludf.DUMMYFUNCTION("MID(REGEXEXTRACT(C257,""contain.*$""),9,300)"),"3 striped indigo bags, 5 dim purple bags, 3 striped bronze bags, 2 light teal bags.")</f>
        <v>3 striped indigo bags, 5 dim purple bags, 3 striped bronze bags, 2 light teal bags.</v>
      </c>
      <c r="G257" s="3" t="str">
        <f>IFERROR(__xludf.DUMMYFUNCTION("INDEX(SPLIT($F257,"",""),COLUMN()-6)"),"3 striped indigo bags")</f>
        <v>3 striped indigo bags</v>
      </c>
      <c r="H257" s="3" t="str">
        <f>IFERROR(__xludf.DUMMYFUNCTION("MID(INDEX(SPLIT($F257,"",""),COLUMN()-6),2,300)"),"5 dim purple bags")</f>
        <v>5 dim purple bags</v>
      </c>
      <c r="I257" s="3" t="str">
        <f>IFERROR(__xludf.DUMMYFUNCTION("MID(INDEX(SPLIT($F257,"",""),COLUMN()-6),2,300)"),"3 striped bronze bags")</f>
        <v>3 striped bronze bags</v>
      </c>
      <c r="J257" s="3" t="str">
        <f>IFERROR(__xludf.DUMMYFUNCTION("MID(INDEX(SPLIT($F257,"",""),COLUMN()-6),2,300)"),"2 light teal bags.")</f>
        <v>2 light teal bags.</v>
      </c>
      <c r="K257" s="3">
        <f>IFERROR(__xludf.DUMMYFUNCTION("INDEX(SPLIT(G257,"" ""),1)"),3.0)</f>
        <v>3</v>
      </c>
      <c r="L257" s="3" t="str">
        <f>IFERROR(__xludf.DUMMYFUNCTION("REGEXEXTRACT(G257,"" [^ ]* [^ ]* "")")," striped indigo ")</f>
        <v> striped indigo </v>
      </c>
      <c r="M257" s="3">
        <f>IFERROR(__xludf.DUMMYFUNCTION("INDEX(SPLIT(H257,"" ""),1)"),5.0)</f>
        <v>5</v>
      </c>
      <c r="N257" s="3" t="str">
        <f>IFERROR(__xludf.DUMMYFUNCTION("MID(REGEXEXTRACT(H257,"" [^ ]* [^ ]*""),2,300)"),"dim purple")</f>
        <v>dim purple</v>
      </c>
      <c r="O257" s="3">
        <f>IFERROR(__xludf.DUMMYFUNCTION("INDEX(SPLIT(I257,"" ""),1)"),3.0)</f>
        <v>3</v>
      </c>
      <c r="P257" s="3" t="str">
        <f>IFERROR(__xludf.DUMMYFUNCTION("MID(REGEXEXTRACT(I257,"" [^ ]* [^ ]*""),2,300)"),"striped bronze")</f>
        <v>striped bronze</v>
      </c>
      <c r="Q257" s="3">
        <f>IFERROR(__xludf.DUMMYFUNCTION("INDEX(SPLIT(J257,"" ""),1)"),2.0)</f>
        <v>2</v>
      </c>
      <c r="R257" s="3" t="str">
        <f>IFERROR(__xludf.DUMMYFUNCTION("MID(REGEXEXTRACT(J257,"" [^ ]* [^ ]*""),2,300)"),"light teal")</f>
        <v>light teal</v>
      </c>
      <c r="S257" s="3">
        <f t="shared" si="2"/>
        <v>3</v>
      </c>
      <c r="T257" s="3" t="str">
        <f t="shared" si="3"/>
        <v>striped indigo</v>
      </c>
      <c r="U257" s="3">
        <f t="shared" si="4"/>
        <v>5</v>
      </c>
      <c r="V257" s="3" t="str">
        <f t="shared" si="5"/>
        <v>dim purple</v>
      </c>
      <c r="W257" s="3">
        <f t="shared" si="6"/>
        <v>3</v>
      </c>
      <c r="X257" s="3" t="str">
        <f t="shared" si="7"/>
        <v>striped bronze</v>
      </c>
      <c r="Y257" s="3">
        <f t="shared" si="8"/>
        <v>2</v>
      </c>
      <c r="Z257" s="3" t="str">
        <f t="shared" si="9"/>
        <v>light teal</v>
      </c>
      <c r="AA257" s="13">
        <f t="shared" si="10"/>
        <v>5659118184</v>
      </c>
      <c r="AB257" s="3">
        <f t="shared" si="11"/>
        <v>5659118183</v>
      </c>
      <c r="AC257" s="3">
        <f t="shared" si="12"/>
        <v>3</v>
      </c>
      <c r="AD257" s="3">
        <f t="shared" si="13"/>
        <v>1881044201</v>
      </c>
      <c r="AE257" s="3">
        <f t="shared" si="14"/>
        <v>5</v>
      </c>
      <c r="AF257" s="3">
        <f t="shared" si="15"/>
        <v>1160117</v>
      </c>
      <c r="AG257" s="3">
        <f t="shared" si="16"/>
        <v>3</v>
      </c>
      <c r="AH257" s="3">
        <f t="shared" si="17"/>
        <v>3362673</v>
      </c>
      <c r="AI257" s="3">
        <f t="shared" si="18"/>
        <v>2</v>
      </c>
      <c r="AJ257" s="3">
        <f t="shared" si="19"/>
        <v>48488</v>
      </c>
    </row>
    <row r="258">
      <c r="C258" s="6" t="s">
        <v>258</v>
      </c>
      <c r="D258" s="3">
        <f t="shared" si="1"/>
        <v>3</v>
      </c>
      <c r="E258" s="3" t="str">
        <f>IFERROR(__xludf.DUMMYFUNCTION("REGEXEXTRACT(C258,""[^ ]* [^ ]*"")"),"plaid chartreuse")</f>
        <v>plaid chartreuse</v>
      </c>
      <c r="F258" s="3" t="str">
        <f>IFERROR(__xludf.DUMMYFUNCTION("MID(REGEXEXTRACT(C258,""contain.*$""),9,300)"),"3 plaid yellow bags, 1 faded brown bag, 1 vibrant tan bag, 4 wavy fuchsia bags.")</f>
        <v>3 plaid yellow bags, 1 faded brown bag, 1 vibrant tan bag, 4 wavy fuchsia bags.</v>
      </c>
      <c r="G258" s="3" t="str">
        <f>IFERROR(__xludf.DUMMYFUNCTION("INDEX(SPLIT($F258,"",""),COLUMN()-6)"),"3 plaid yellow bags")</f>
        <v>3 plaid yellow bags</v>
      </c>
      <c r="H258" s="3" t="str">
        <f>IFERROR(__xludf.DUMMYFUNCTION("MID(INDEX(SPLIT($F258,"",""),COLUMN()-6),2,300)"),"1 faded brown bag")</f>
        <v>1 faded brown bag</v>
      </c>
      <c r="I258" s="3" t="str">
        <f>IFERROR(__xludf.DUMMYFUNCTION("MID(INDEX(SPLIT($F258,"",""),COLUMN()-6),2,300)"),"1 vibrant tan bag")</f>
        <v>1 vibrant tan bag</v>
      </c>
      <c r="J258" s="3" t="str">
        <f>IFERROR(__xludf.DUMMYFUNCTION("MID(INDEX(SPLIT($F258,"",""),COLUMN()-6),2,300)"),"4 wavy fuchsia bags.")</f>
        <v>4 wavy fuchsia bags.</v>
      </c>
      <c r="K258" s="3">
        <f>IFERROR(__xludf.DUMMYFUNCTION("INDEX(SPLIT(G258,"" ""),1)"),3.0)</f>
        <v>3</v>
      </c>
      <c r="L258" s="3" t="str">
        <f>IFERROR(__xludf.DUMMYFUNCTION("REGEXEXTRACT(G258,"" [^ ]* [^ ]* "")")," plaid yellow ")</f>
        <v> plaid yellow </v>
      </c>
      <c r="M258" s="3">
        <f>IFERROR(__xludf.DUMMYFUNCTION("INDEX(SPLIT(H258,"" ""),1)"),1.0)</f>
        <v>1</v>
      </c>
      <c r="N258" s="3" t="str">
        <f>IFERROR(__xludf.DUMMYFUNCTION("MID(REGEXEXTRACT(H258,"" [^ ]* [^ ]*""),2,300)"),"faded brown")</f>
        <v>faded brown</v>
      </c>
      <c r="O258" s="3">
        <f>IFERROR(__xludf.DUMMYFUNCTION("INDEX(SPLIT(I258,"" ""),1)"),1.0)</f>
        <v>1</v>
      </c>
      <c r="P258" s="3" t="str">
        <f>IFERROR(__xludf.DUMMYFUNCTION("MID(REGEXEXTRACT(I258,"" [^ ]* [^ ]*""),2,300)"),"vibrant tan")</f>
        <v>vibrant tan</v>
      </c>
      <c r="Q258" s="3">
        <f>IFERROR(__xludf.DUMMYFUNCTION("INDEX(SPLIT(J258,"" ""),1)"),4.0)</f>
        <v>4</v>
      </c>
      <c r="R258" s="3" t="str">
        <f>IFERROR(__xludf.DUMMYFUNCTION("MID(REGEXEXTRACT(J258,"" [^ ]* [^ ]*""),2,300)"),"wavy fuchsia")</f>
        <v>wavy fuchsia</v>
      </c>
      <c r="S258" s="3">
        <f t="shared" si="2"/>
        <v>3</v>
      </c>
      <c r="T258" s="3" t="str">
        <f t="shared" si="3"/>
        <v>plaid yellow</v>
      </c>
      <c r="U258" s="3">
        <f t="shared" si="4"/>
        <v>1</v>
      </c>
      <c r="V258" s="3" t="str">
        <f t="shared" si="5"/>
        <v>faded brown</v>
      </c>
      <c r="W258" s="3">
        <f t="shared" si="6"/>
        <v>1</v>
      </c>
      <c r="X258" s="3" t="str">
        <f t="shared" si="7"/>
        <v>vibrant tan</v>
      </c>
      <c r="Y258" s="3">
        <f t="shared" si="8"/>
        <v>4</v>
      </c>
      <c r="Z258" s="3" t="str">
        <f t="shared" si="9"/>
        <v>wavy fuchsia</v>
      </c>
      <c r="AA258" s="13">
        <f t="shared" si="10"/>
        <v>199699352</v>
      </c>
      <c r="AB258" s="3">
        <f t="shared" si="11"/>
        <v>199699351</v>
      </c>
      <c r="AC258" s="3">
        <f t="shared" si="12"/>
        <v>3</v>
      </c>
      <c r="AD258" s="3">
        <f t="shared" si="13"/>
        <v>57101279</v>
      </c>
      <c r="AE258" s="3">
        <f t="shared" si="14"/>
        <v>1</v>
      </c>
      <c r="AF258" s="3">
        <f t="shared" si="15"/>
        <v>13780679</v>
      </c>
      <c r="AG258" s="3">
        <f t="shared" si="16"/>
        <v>1</v>
      </c>
      <c r="AH258" s="3">
        <f t="shared" si="17"/>
        <v>229951</v>
      </c>
      <c r="AI258" s="3">
        <f t="shared" si="18"/>
        <v>4</v>
      </c>
      <c r="AJ258" s="3">
        <f t="shared" si="19"/>
        <v>3596221</v>
      </c>
    </row>
    <row r="259">
      <c r="C259" s="6" t="s">
        <v>259</v>
      </c>
      <c r="D259" s="3">
        <f t="shared" si="1"/>
        <v>0</v>
      </c>
      <c r="E259" s="3" t="str">
        <f>IFERROR(__xludf.DUMMYFUNCTION("REGEXEXTRACT(C259,""[^ ]* [^ ]*"")"),"dull maroon")</f>
        <v>dull maroon</v>
      </c>
      <c r="F259" s="3" t="str">
        <f>IFERROR(__xludf.DUMMYFUNCTION("MID(REGEXEXTRACT(C259,""contain.*$""),9,300)"),"3 muted yellow bags.")</f>
        <v>3 muted yellow bags.</v>
      </c>
      <c r="G259" s="3" t="str">
        <f>IFERROR(__xludf.DUMMYFUNCTION("INDEX(SPLIT($F259,"",""),COLUMN()-6)"),"3 muted yellow bags.")</f>
        <v>3 muted yellow bags.</v>
      </c>
      <c r="H259" s="3" t="str">
        <f>IFERROR(__xludf.DUMMYFUNCTION("MID(INDEX(SPLIT($F259,"",""),COLUMN()-6),2,300)"),"#REF!")</f>
        <v>#REF!</v>
      </c>
      <c r="I259" s="3" t="str">
        <f>IFERROR(__xludf.DUMMYFUNCTION("MID(INDEX(SPLIT($F259,"",""),COLUMN()-6),2,300)"),"#REF!")</f>
        <v>#REF!</v>
      </c>
      <c r="J259" s="3" t="str">
        <f>IFERROR(__xludf.DUMMYFUNCTION("MID(INDEX(SPLIT($F259,"",""),COLUMN()-6),2,300)"),"#REF!")</f>
        <v>#REF!</v>
      </c>
      <c r="K259" s="3">
        <f>IFERROR(__xludf.DUMMYFUNCTION("INDEX(SPLIT(G259,"" ""),1)"),3.0)</f>
        <v>3</v>
      </c>
      <c r="L259" s="3" t="str">
        <f>IFERROR(__xludf.DUMMYFUNCTION("REGEXEXTRACT(G259,"" [^ ]* [^ ]* "")")," muted yellow ")</f>
        <v> muted yellow </v>
      </c>
      <c r="M259" s="3" t="str">
        <f>IFERROR(__xludf.DUMMYFUNCTION("INDEX(SPLIT(H259,"" ""),1)"),"#REF!")</f>
        <v>#REF!</v>
      </c>
      <c r="N259" s="3" t="str">
        <f>IFERROR(__xludf.DUMMYFUNCTION("MID(REGEXEXTRACT(H259,"" [^ ]* [^ ]*""),2,300)"),"#REF!")</f>
        <v>#REF!</v>
      </c>
      <c r="O259" s="3" t="str">
        <f>IFERROR(__xludf.DUMMYFUNCTION("INDEX(SPLIT(I259,"" ""),1)"),"#REF!")</f>
        <v>#REF!</v>
      </c>
      <c r="P259" s="3" t="str">
        <f>IFERROR(__xludf.DUMMYFUNCTION("MID(REGEXEXTRACT(I259,"" [^ ]* [^ ]*""),2,300)"),"#REF!")</f>
        <v>#REF!</v>
      </c>
      <c r="Q259" s="3" t="str">
        <f>IFERROR(__xludf.DUMMYFUNCTION("INDEX(SPLIT(J259,"" ""),1)"),"#REF!")</f>
        <v>#REF!</v>
      </c>
      <c r="R259" s="3" t="str">
        <f>IFERROR(__xludf.DUMMYFUNCTION("MID(REGEXEXTRACT(J259,"" [^ ]* [^ ]*""),2,300)"),"#REF!")</f>
        <v>#REF!</v>
      </c>
      <c r="S259" s="3">
        <f t="shared" si="2"/>
        <v>3</v>
      </c>
      <c r="T259" s="3" t="str">
        <f t="shared" si="3"/>
        <v>muted yellow</v>
      </c>
      <c r="U259" s="3" t="str">
        <f t="shared" si="4"/>
        <v/>
      </c>
      <c r="V259" s="3" t="str">
        <f t="shared" si="5"/>
        <v/>
      </c>
      <c r="W259" s="3" t="str">
        <f t="shared" si="6"/>
        <v/>
      </c>
      <c r="X259" s="3" t="str">
        <f t="shared" si="7"/>
        <v/>
      </c>
      <c r="Y259" s="3" t="str">
        <f t="shared" si="8"/>
        <v/>
      </c>
      <c r="Z259" s="3" t="str">
        <f t="shared" si="9"/>
        <v/>
      </c>
      <c r="AA259" s="13">
        <f t="shared" si="10"/>
        <v>11485</v>
      </c>
      <c r="AB259" s="3">
        <f t="shared" si="11"/>
        <v>11484</v>
      </c>
      <c r="AC259" s="3">
        <f t="shared" si="12"/>
        <v>3</v>
      </c>
      <c r="AD259" s="3">
        <f t="shared" si="13"/>
        <v>3828</v>
      </c>
      <c r="AE259" s="3" t="str">
        <f t="shared" si="14"/>
        <v/>
      </c>
      <c r="AF259" s="3">
        <f t="shared" si="15"/>
        <v>0</v>
      </c>
      <c r="AG259" s="3" t="str">
        <f t="shared" si="16"/>
        <v/>
      </c>
      <c r="AH259" s="3">
        <f t="shared" si="17"/>
        <v>0</v>
      </c>
      <c r="AI259" s="3" t="str">
        <f t="shared" si="18"/>
        <v/>
      </c>
      <c r="AJ259" s="3">
        <f t="shared" si="19"/>
        <v>0</v>
      </c>
    </row>
    <row r="260">
      <c r="C260" s="6" t="s">
        <v>260</v>
      </c>
      <c r="D260" s="3">
        <f t="shared" si="1"/>
        <v>1</v>
      </c>
      <c r="E260" s="3" t="str">
        <f>IFERROR(__xludf.DUMMYFUNCTION("REGEXEXTRACT(C260,""[^ ]* [^ ]*"")"),"light fuchsia")</f>
        <v>light fuchsia</v>
      </c>
      <c r="F260" s="3" t="str">
        <f>IFERROR(__xludf.DUMMYFUNCTION("MID(REGEXEXTRACT(C260,""contain.*$""),9,300)"),"5 drab maroon bags, 5 muted silver bags.")</f>
        <v>5 drab maroon bags, 5 muted silver bags.</v>
      </c>
      <c r="G260" s="3" t="str">
        <f>IFERROR(__xludf.DUMMYFUNCTION("INDEX(SPLIT($F260,"",""),COLUMN()-6)"),"5 drab maroon bags")</f>
        <v>5 drab maroon bags</v>
      </c>
      <c r="H260" s="3" t="str">
        <f>IFERROR(__xludf.DUMMYFUNCTION("MID(INDEX(SPLIT($F260,"",""),COLUMN()-6),2,300)"),"5 muted silver bags.")</f>
        <v>5 muted silver bags.</v>
      </c>
      <c r="I260" s="3" t="str">
        <f>IFERROR(__xludf.DUMMYFUNCTION("MID(INDEX(SPLIT($F260,"",""),COLUMN()-6),2,300)"),"#REF!")</f>
        <v>#REF!</v>
      </c>
      <c r="J260" s="3" t="str">
        <f>IFERROR(__xludf.DUMMYFUNCTION("MID(INDEX(SPLIT($F260,"",""),COLUMN()-6),2,300)"),"#REF!")</f>
        <v>#REF!</v>
      </c>
      <c r="K260" s="3">
        <f>IFERROR(__xludf.DUMMYFUNCTION("INDEX(SPLIT(G260,"" ""),1)"),5.0)</f>
        <v>5</v>
      </c>
      <c r="L260" s="3" t="str">
        <f>IFERROR(__xludf.DUMMYFUNCTION("REGEXEXTRACT(G260,"" [^ ]* [^ ]* "")")," drab maroon ")</f>
        <v> drab maroon </v>
      </c>
      <c r="M260" s="3">
        <f>IFERROR(__xludf.DUMMYFUNCTION("INDEX(SPLIT(H260,"" ""),1)"),5.0)</f>
        <v>5</v>
      </c>
      <c r="N260" s="3" t="str">
        <f>IFERROR(__xludf.DUMMYFUNCTION("MID(REGEXEXTRACT(H260,"" [^ ]* [^ ]*""),2,300)"),"muted silver")</f>
        <v>muted silver</v>
      </c>
      <c r="O260" s="3" t="str">
        <f>IFERROR(__xludf.DUMMYFUNCTION("INDEX(SPLIT(I260,"" ""),1)"),"#REF!")</f>
        <v>#REF!</v>
      </c>
      <c r="P260" s="3" t="str">
        <f>IFERROR(__xludf.DUMMYFUNCTION("MID(REGEXEXTRACT(I260,"" [^ ]* [^ ]*""),2,300)"),"#REF!")</f>
        <v>#REF!</v>
      </c>
      <c r="Q260" s="3" t="str">
        <f>IFERROR(__xludf.DUMMYFUNCTION("INDEX(SPLIT(J260,"" ""),1)"),"#REF!")</f>
        <v>#REF!</v>
      </c>
      <c r="R260" s="3" t="str">
        <f>IFERROR(__xludf.DUMMYFUNCTION("MID(REGEXEXTRACT(J260,"" [^ ]* [^ ]*""),2,300)"),"#REF!")</f>
        <v>#REF!</v>
      </c>
      <c r="S260" s="3">
        <f t="shared" si="2"/>
        <v>5</v>
      </c>
      <c r="T260" s="3" t="str">
        <f t="shared" si="3"/>
        <v>drab maroon</v>
      </c>
      <c r="U260" s="3">
        <f t="shared" si="4"/>
        <v>5</v>
      </c>
      <c r="V260" s="3" t="str">
        <f t="shared" si="5"/>
        <v>muted silver</v>
      </c>
      <c r="W260" s="3" t="str">
        <f t="shared" si="6"/>
        <v/>
      </c>
      <c r="X260" s="3" t="str">
        <f t="shared" si="7"/>
        <v/>
      </c>
      <c r="Y260" s="3" t="str">
        <f t="shared" si="8"/>
        <v/>
      </c>
      <c r="Z260" s="3" t="str">
        <f t="shared" si="9"/>
        <v/>
      </c>
      <c r="AA260" s="13">
        <f t="shared" si="10"/>
        <v>26163792106</v>
      </c>
      <c r="AB260" s="3">
        <f t="shared" si="11"/>
        <v>26163792105</v>
      </c>
      <c r="AC260" s="3">
        <f t="shared" si="12"/>
        <v>5</v>
      </c>
      <c r="AD260" s="3">
        <f t="shared" si="13"/>
        <v>3597</v>
      </c>
      <c r="AE260" s="3">
        <f t="shared" si="14"/>
        <v>5</v>
      </c>
      <c r="AF260" s="3">
        <f t="shared" si="15"/>
        <v>5232754824</v>
      </c>
      <c r="AG260" s="3" t="str">
        <f t="shared" si="16"/>
        <v/>
      </c>
      <c r="AH260" s="3">
        <f t="shared" si="17"/>
        <v>0</v>
      </c>
      <c r="AI260" s="3" t="str">
        <f t="shared" si="18"/>
        <v/>
      </c>
      <c r="AJ260" s="3">
        <f t="shared" si="19"/>
        <v>0</v>
      </c>
    </row>
    <row r="261">
      <c r="C261" s="6" t="s">
        <v>261</v>
      </c>
      <c r="D261" s="3">
        <f t="shared" si="1"/>
        <v>2</v>
      </c>
      <c r="E261" s="3" t="str">
        <f>IFERROR(__xludf.DUMMYFUNCTION("REGEXEXTRACT(C261,""[^ ]* [^ ]*"")"),"dull orange")</f>
        <v>dull orange</v>
      </c>
      <c r="F261" s="3" t="str">
        <f>IFERROR(__xludf.DUMMYFUNCTION("MID(REGEXEXTRACT(C261,""contain.*$""),9,300)"),"4 dim indigo bags, 4 posh beige bags, 1 bright red bag.")</f>
        <v>4 dim indigo bags, 4 posh beige bags, 1 bright red bag.</v>
      </c>
      <c r="G261" s="3" t="str">
        <f>IFERROR(__xludf.DUMMYFUNCTION("INDEX(SPLIT($F261,"",""),COLUMN()-6)"),"4 dim indigo bags")</f>
        <v>4 dim indigo bags</v>
      </c>
      <c r="H261" s="3" t="str">
        <f>IFERROR(__xludf.DUMMYFUNCTION("MID(INDEX(SPLIT($F261,"",""),COLUMN()-6),2,300)"),"4 posh beige bags")</f>
        <v>4 posh beige bags</v>
      </c>
      <c r="I261" s="3" t="str">
        <f>IFERROR(__xludf.DUMMYFUNCTION("MID(INDEX(SPLIT($F261,"",""),COLUMN()-6),2,300)"),"1 bright red bag.")</f>
        <v>1 bright red bag.</v>
      </c>
      <c r="J261" s="3" t="str">
        <f>IFERROR(__xludf.DUMMYFUNCTION("MID(INDEX(SPLIT($F261,"",""),COLUMN()-6),2,300)"),"#REF!")</f>
        <v>#REF!</v>
      </c>
      <c r="K261" s="3">
        <f>IFERROR(__xludf.DUMMYFUNCTION("INDEX(SPLIT(G261,"" ""),1)"),4.0)</f>
        <v>4</v>
      </c>
      <c r="L261" s="3" t="str">
        <f>IFERROR(__xludf.DUMMYFUNCTION("REGEXEXTRACT(G261,"" [^ ]* [^ ]* "")")," dim indigo ")</f>
        <v> dim indigo </v>
      </c>
      <c r="M261" s="3">
        <f>IFERROR(__xludf.DUMMYFUNCTION("INDEX(SPLIT(H261,"" ""),1)"),4.0)</f>
        <v>4</v>
      </c>
      <c r="N261" s="3" t="str">
        <f>IFERROR(__xludf.DUMMYFUNCTION("MID(REGEXEXTRACT(H261,"" [^ ]* [^ ]*""),2,300)"),"posh beige")</f>
        <v>posh beige</v>
      </c>
      <c r="O261" s="3">
        <f>IFERROR(__xludf.DUMMYFUNCTION("INDEX(SPLIT(I261,"" ""),1)"),1.0)</f>
        <v>1</v>
      </c>
      <c r="P261" s="3" t="str">
        <f>IFERROR(__xludf.DUMMYFUNCTION("MID(REGEXEXTRACT(I261,"" [^ ]* [^ ]*""),2,300)"),"bright red")</f>
        <v>bright red</v>
      </c>
      <c r="Q261" s="3" t="str">
        <f>IFERROR(__xludf.DUMMYFUNCTION("INDEX(SPLIT(J261,"" ""),1)"),"#REF!")</f>
        <v>#REF!</v>
      </c>
      <c r="R261" s="3" t="str">
        <f>IFERROR(__xludf.DUMMYFUNCTION("MID(REGEXEXTRACT(J261,"" [^ ]* [^ ]*""),2,300)"),"#REF!")</f>
        <v>#REF!</v>
      </c>
      <c r="S261" s="3">
        <f t="shared" si="2"/>
        <v>4</v>
      </c>
      <c r="T261" s="3" t="str">
        <f t="shared" si="3"/>
        <v>dim indigo</v>
      </c>
      <c r="U261" s="3">
        <f t="shared" si="4"/>
        <v>4</v>
      </c>
      <c r="V261" s="3" t="str">
        <f t="shared" si="5"/>
        <v>posh beige</v>
      </c>
      <c r="W261" s="3">
        <f t="shared" si="6"/>
        <v>1</v>
      </c>
      <c r="X261" s="3" t="str">
        <f t="shared" si="7"/>
        <v>bright red</v>
      </c>
      <c r="Y261" s="3" t="str">
        <f t="shared" si="8"/>
        <v/>
      </c>
      <c r="Z261" s="3" t="str">
        <f t="shared" si="9"/>
        <v/>
      </c>
      <c r="AA261" s="13">
        <f t="shared" si="10"/>
        <v>5127959</v>
      </c>
      <c r="AB261" s="3">
        <f t="shared" si="11"/>
        <v>5127958</v>
      </c>
      <c r="AC261" s="3">
        <f t="shared" si="12"/>
        <v>4</v>
      </c>
      <c r="AD261" s="3">
        <f t="shared" si="13"/>
        <v>29637</v>
      </c>
      <c r="AE261" s="3">
        <f t="shared" si="14"/>
        <v>4</v>
      </c>
      <c r="AF261" s="3">
        <f t="shared" si="15"/>
        <v>461699</v>
      </c>
      <c r="AG261" s="3">
        <f t="shared" si="16"/>
        <v>1</v>
      </c>
      <c r="AH261" s="3">
        <f t="shared" si="17"/>
        <v>3162614</v>
      </c>
      <c r="AI261" s="3" t="str">
        <f t="shared" si="18"/>
        <v/>
      </c>
      <c r="AJ261" s="3">
        <f t="shared" si="19"/>
        <v>0</v>
      </c>
    </row>
    <row r="262">
      <c r="C262" s="6" t="s">
        <v>262</v>
      </c>
      <c r="D262" s="3">
        <f t="shared" si="1"/>
        <v>1</v>
      </c>
      <c r="E262" s="3" t="str">
        <f>IFERROR(__xludf.DUMMYFUNCTION("REGEXEXTRACT(C262,""[^ ]* [^ ]*"")"),"dull blue")</f>
        <v>dull blue</v>
      </c>
      <c r="F262" s="3" t="str">
        <f>IFERROR(__xludf.DUMMYFUNCTION("MID(REGEXEXTRACT(C262,""contain.*$""),9,300)"),"5 wavy yellow bags, 4 posh gray bags.")</f>
        <v>5 wavy yellow bags, 4 posh gray bags.</v>
      </c>
      <c r="G262" s="3" t="str">
        <f>IFERROR(__xludf.DUMMYFUNCTION("INDEX(SPLIT($F262,"",""),COLUMN()-6)"),"5 wavy yellow bags")</f>
        <v>5 wavy yellow bags</v>
      </c>
      <c r="H262" s="3" t="str">
        <f>IFERROR(__xludf.DUMMYFUNCTION("MID(INDEX(SPLIT($F262,"",""),COLUMN()-6),2,300)"),"4 posh gray bags.")</f>
        <v>4 posh gray bags.</v>
      </c>
      <c r="I262" s="3" t="str">
        <f>IFERROR(__xludf.DUMMYFUNCTION("MID(INDEX(SPLIT($F262,"",""),COLUMN()-6),2,300)"),"#REF!")</f>
        <v>#REF!</v>
      </c>
      <c r="J262" s="3" t="str">
        <f>IFERROR(__xludf.DUMMYFUNCTION("MID(INDEX(SPLIT($F262,"",""),COLUMN()-6),2,300)"),"#REF!")</f>
        <v>#REF!</v>
      </c>
      <c r="K262" s="3">
        <f>IFERROR(__xludf.DUMMYFUNCTION("INDEX(SPLIT(G262,"" ""),1)"),5.0)</f>
        <v>5</v>
      </c>
      <c r="L262" s="3" t="str">
        <f>IFERROR(__xludf.DUMMYFUNCTION("REGEXEXTRACT(G262,"" [^ ]* [^ ]* "")")," wavy yellow ")</f>
        <v> wavy yellow </v>
      </c>
      <c r="M262" s="3">
        <f>IFERROR(__xludf.DUMMYFUNCTION("INDEX(SPLIT(H262,"" ""),1)"),4.0)</f>
        <v>4</v>
      </c>
      <c r="N262" s="3" t="str">
        <f>IFERROR(__xludf.DUMMYFUNCTION("MID(REGEXEXTRACT(H262,"" [^ ]* [^ ]*""),2,300)"),"posh gray")</f>
        <v>posh gray</v>
      </c>
      <c r="O262" s="3" t="str">
        <f>IFERROR(__xludf.DUMMYFUNCTION("INDEX(SPLIT(I262,"" ""),1)"),"#REF!")</f>
        <v>#REF!</v>
      </c>
      <c r="P262" s="3" t="str">
        <f>IFERROR(__xludf.DUMMYFUNCTION("MID(REGEXEXTRACT(I262,"" [^ ]* [^ ]*""),2,300)"),"#REF!")</f>
        <v>#REF!</v>
      </c>
      <c r="Q262" s="3" t="str">
        <f>IFERROR(__xludf.DUMMYFUNCTION("INDEX(SPLIT(J262,"" ""),1)"),"#REF!")</f>
        <v>#REF!</v>
      </c>
      <c r="R262" s="3" t="str">
        <f>IFERROR(__xludf.DUMMYFUNCTION("MID(REGEXEXTRACT(J262,"" [^ ]* [^ ]*""),2,300)"),"#REF!")</f>
        <v>#REF!</v>
      </c>
      <c r="S262" s="3">
        <f t="shared" si="2"/>
        <v>5</v>
      </c>
      <c r="T262" s="3" t="str">
        <f t="shared" si="3"/>
        <v>wavy yellow</v>
      </c>
      <c r="U262" s="3">
        <f t="shared" si="4"/>
        <v>4</v>
      </c>
      <c r="V262" s="3" t="str">
        <f t="shared" si="5"/>
        <v>posh gray</v>
      </c>
      <c r="W262" s="3" t="str">
        <f t="shared" si="6"/>
        <v/>
      </c>
      <c r="X262" s="3" t="str">
        <f t="shared" si="7"/>
        <v/>
      </c>
      <c r="Y262" s="3" t="str">
        <f t="shared" si="8"/>
        <v/>
      </c>
      <c r="Z262" s="3" t="str">
        <f t="shared" si="9"/>
        <v/>
      </c>
      <c r="AA262" s="13">
        <f t="shared" si="10"/>
        <v>229339</v>
      </c>
      <c r="AB262" s="3">
        <f t="shared" si="11"/>
        <v>229338</v>
      </c>
      <c r="AC262" s="3">
        <f t="shared" si="12"/>
        <v>5</v>
      </c>
      <c r="AD262" s="3">
        <f t="shared" si="13"/>
        <v>25486</v>
      </c>
      <c r="AE262" s="3">
        <f t="shared" si="14"/>
        <v>4</v>
      </c>
      <c r="AF262" s="3">
        <f t="shared" si="15"/>
        <v>25477</v>
      </c>
      <c r="AG262" s="3" t="str">
        <f t="shared" si="16"/>
        <v/>
      </c>
      <c r="AH262" s="3">
        <f t="shared" si="17"/>
        <v>0</v>
      </c>
      <c r="AI262" s="3" t="str">
        <f t="shared" si="18"/>
        <v/>
      </c>
      <c r="AJ262" s="3">
        <f t="shared" si="19"/>
        <v>0</v>
      </c>
    </row>
    <row r="263">
      <c r="C263" s="6" t="s">
        <v>263</v>
      </c>
      <c r="D263" s="3">
        <f t="shared" si="1"/>
        <v>3</v>
      </c>
      <c r="E263" s="3" t="str">
        <f>IFERROR(__xludf.DUMMYFUNCTION("REGEXEXTRACT(C263,""[^ ]* [^ ]*"")"),"plaid yellow")</f>
        <v>plaid yellow</v>
      </c>
      <c r="F263" s="3" t="str">
        <f>IFERROR(__xludf.DUMMYFUNCTION("MID(REGEXEXTRACT(C263,""contain.*$""),9,300)"),"1 bright fuchsia bag, 1 faded beige bag, 1 wavy beige bag, 4 light green bags.")</f>
        <v>1 bright fuchsia bag, 1 faded beige bag, 1 wavy beige bag, 4 light green bags.</v>
      </c>
      <c r="G263" s="3" t="str">
        <f>IFERROR(__xludf.DUMMYFUNCTION("INDEX(SPLIT($F263,"",""),COLUMN()-6)"),"1 bright fuchsia bag")</f>
        <v>1 bright fuchsia bag</v>
      </c>
      <c r="H263" s="3" t="str">
        <f>IFERROR(__xludf.DUMMYFUNCTION("MID(INDEX(SPLIT($F263,"",""),COLUMN()-6),2,300)"),"1 faded beige bag")</f>
        <v>1 faded beige bag</v>
      </c>
      <c r="I263" s="3" t="str">
        <f>IFERROR(__xludf.DUMMYFUNCTION("MID(INDEX(SPLIT($F263,"",""),COLUMN()-6),2,300)"),"1 wavy beige bag")</f>
        <v>1 wavy beige bag</v>
      </c>
      <c r="J263" s="3" t="str">
        <f>IFERROR(__xludf.DUMMYFUNCTION("MID(INDEX(SPLIT($F263,"",""),COLUMN()-6),2,300)"),"4 light green bags.")</f>
        <v>4 light green bags.</v>
      </c>
      <c r="K263" s="3">
        <f>IFERROR(__xludf.DUMMYFUNCTION("INDEX(SPLIT(G263,"" ""),1)"),1.0)</f>
        <v>1</v>
      </c>
      <c r="L263" s="3" t="str">
        <f>IFERROR(__xludf.DUMMYFUNCTION("REGEXEXTRACT(G263,"" [^ ]* [^ ]* "")")," bright fuchsia ")</f>
        <v> bright fuchsia </v>
      </c>
      <c r="M263" s="3">
        <f>IFERROR(__xludf.DUMMYFUNCTION("INDEX(SPLIT(H263,"" ""),1)"),1.0)</f>
        <v>1</v>
      </c>
      <c r="N263" s="3" t="str">
        <f>IFERROR(__xludf.DUMMYFUNCTION("MID(REGEXEXTRACT(H263,"" [^ ]* [^ ]*""),2,300)"),"faded beige")</f>
        <v>faded beige</v>
      </c>
      <c r="O263" s="3">
        <f>IFERROR(__xludf.DUMMYFUNCTION("INDEX(SPLIT(I263,"" ""),1)"),1.0)</f>
        <v>1</v>
      </c>
      <c r="P263" s="3" t="str">
        <f>IFERROR(__xludf.DUMMYFUNCTION("MID(REGEXEXTRACT(I263,"" [^ ]* [^ ]*""),2,300)"),"wavy beige")</f>
        <v>wavy beige</v>
      </c>
      <c r="Q263" s="3">
        <f>IFERROR(__xludf.DUMMYFUNCTION("INDEX(SPLIT(J263,"" ""),1)"),4.0)</f>
        <v>4</v>
      </c>
      <c r="R263" s="3" t="str">
        <f>IFERROR(__xludf.DUMMYFUNCTION("MID(REGEXEXTRACT(J263,"" [^ ]* [^ ]*""),2,300)"),"light green")</f>
        <v>light green</v>
      </c>
      <c r="S263" s="3">
        <f t="shared" si="2"/>
        <v>1</v>
      </c>
      <c r="T263" s="3" t="str">
        <f t="shared" si="3"/>
        <v>bright fuchsia</v>
      </c>
      <c r="U263" s="3">
        <f t="shared" si="4"/>
        <v>1</v>
      </c>
      <c r="V263" s="3" t="str">
        <f t="shared" si="5"/>
        <v>faded beige</v>
      </c>
      <c r="W263" s="3">
        <f t="shared" si="6"/>
        <v>1</v>
      </c>
      <c r="X263" s="3" t="str">
        <f t="shared" si="7"/>
        <v>wavy beige</v>
      </c>
      <c r="Y263" s="3">
        <f t="shared" si="8"/>
        <v>4</v>
      </c>
      <c r="Z263" s="3" t="str">
        <f t="shared" si="9"/>
        <v>light green</v>
      </c>
      <c r="AA263" s="13">
        <f t="shared" si="10"/>
        <v>57101279</v>
      </c>
      <c r="AB263" s="3">
        <f t="shared" si="11"/>
        <v>57101278</v>
      </c>
      <c r="AC263" s="3">
        <f t="shared" si="12"/>
        <v>1</v>
      </c>
      <c r="AD263" s="3">
        <f t="shared" si="13"/>
        <v>12131</v>
      </c>
      <c r="AE263" s="3">
        <f t="shared" si="14"/>
        <v>1</v>
      </c>
      <c r="AF263" s="3">
        <f t="shared" si="15"/>
        <v>6373</v>
      </c>
      <c r="AG263" s="3">
        <f t="shared" si="16"/>
        <v>1</v>
      </c>
      <c r="AH263" s="3">
        <f t="shared" si="17"/>
        <v>44878</v>
      </c>
      <c r="AI263" s="3">
        <f t="shared" si="18"/>
        <v>4</v>
      </c>
      <c r="AJ263" s="3">
        <f t="shared" si="19"/>
        <v>14259474</v>
      </c>
    </row>
    <row r="264">
      <c r="C264" s="6" t="s">
        <v>264</v>
      </c>
      <c r="D264" s="3">
        <f t="shared" si="1"/>
        <v>0</v>
      </c>
      <c r="E264" s="3" t="str">
        <f>IFERROR(__xludf.DUMMYFUNCTION("REGEXEXTRACT(C264,""[^ ]* [^ ]*"")"),"clear black")</f>
        <v>clear black</v>
      </c>
      <c r="F264" s="3" t="str">
        <f>IFERROR(__xludf.DUMMYFUNCTION("MID(REGEXEXTRACT(C264,""contain.*$""),9,300)"),"1 dull tomato bag.")</f>
        <v>1 dull tomato bag.</v>
      </c>
      <c r="G264" s="3" t="str">
        <f>IFERROR(__xludf.DUMMYFUNCTION("INDEX(SPLIT($F264,"",""),COLUMN()-6)"),"1 dull tomato bag.")</f>
        <v>1 dull tomato bag.</v>
      </c>
      <c r="H264" s="3" t="str">
        <f>IFERROR(__xludf.DUMMYFUNCTION("MID(INDEX(SPLIT($F264,"",""),COLUMN()-6),2,300)"),"#REF!")</f>
        <v>#REF!</v>
      </c>
      <c r="I264" s="3" t="str">
        <f>IFERROR(__xludf.DUMMYFUNCTION("MID(INDEX(SPLIT($F264,"",""),COLUMN()-6),2,300)"),"#REF!")</f>
        <v>#REF!</v>
      </c>
      <c r="J264" s="3" t="str">
        <f>IFERROR(__xludf.DUMMYFUNCTION("MID(INDEX(SPLIT($F264,"",""),COLUMN()-6),2,300)"),"#REF!")</f>
        <v>#REF!</v>
      </c>
      <c r="K264" s="3">
        <f>IFERROR(__xludf.DUMMYFUNCTION("INDEX(SPLIT(G264,"" ""),1)"),1.0)</f>
        <v>1</v>
      </c>
      <c r="L264" s="3" t="str">
        <f>IFERROR(__xludf.DUMMYFUNCTION("REGEXEXTRACT(G264,"" [^ ]* [^ ]* "")")," dull tomato ")</f>
        <v> dull tomato </v>
      </c>
      <c r="M264" s="3" t="str">
        <f>IFERROR(__xludf.DUMMYFUNCTION("INDEX(SPLIT(H264,"" ""),1)"),"#REF!")</f>
        <v>#REF!</v>
      </c>
      <c r="N264" s="3" t="str">
        <f>IFERROR(__xludf.DUMMYFUNCTION("MID(REGEXEXTRACT(H264,"" [^ ]* [^ ]*""),2,300)"),"#REF!")</f>
        <v>#REF!</v>
      </c>
      <c r="O264" s="3" t="str">
        <f>IFERROR(__xludf.DUMMYFUNCTION("INDEX(SPLIT(I264,"" ""),1)"),"#REF!")</f>
        <v>#REF!</v>
      </c>
      <c r="P264" s="3" t="str">
        <f>IFERROR(__xludf.DUMMYFUNCTION("MID(REGEXEXTRACT(I264,"" [^ ]* [^ ]*""),2,300)"),"#REF!")</f>
        <v>#REF!</v>
      </c>
      <c r="Q264" s="3" t="str">
        <f>IFERROR(__xludf.DUMMYFUNCTION("INDEX(SPLIT(J264,"" ""),1)"),"#REF!")</f>
        <v>#REF!</v>
      </c>
      <c r="R264" s="3" t="str">
        <f>IFERROR(__xludf.DUMMYFUNCTION("MID(REGEXEXTRACT(J264,"" [^ ]* [^ ]*""),2,300)"),"#REF!")</f>
        <v>#REF!</v>
      </c>
      <c r="S264" s="3">
        <f t="shared" si="2"/>
        <v>1</v>
      </c>
      <c r="T264" s="3" t="str">
        <f t="shared" si="3"/>
        <v>dull tomato</v>
      </c>
      <c r="U264" s="3" t="str">
        <f t="shared" si="4"/>
        <v/>
      </c>
      <c r="V264" s="3" t="str">
        <f t="shared" si="5"/>
        <v/>
      </c>
      <c r="W264" s="3" t="str">
        <f t="shared" si="6"/>
        <v/>
      </c>
      <c r="X264" s="3" t="str">
        <f t="shared" si="7"/>
        <v/>
      </c>
      <c r="Y264" s="3" t="str">
        <f t="shared" si="8"/>
        <v/>
      </c>
      <c r="Z264" s="3" t="str">
        <f t="shared" si="9"/>
        <v/>
      </c>
      <c r="AA264" s="13">
        <f t="shared" si="10"/>
        <v>12</v>
      </c>
      <c r="AB264" s="3">
        <f t="shared" si="11"/>
        <v>11</v>
      </c>
      <c r="AC264" s="3">
        <f t="shared" si="12"/>
        <v>1</v>
      </c>
      <c r="AD264" s="3">
        <f t="shared" si="13"/>
        <v>11</v>
      </c>
      <c r="AE264" s="3" t="str">
        <f t="shared" si="14"/>
        <v/>
      </c>
      <c r="AF264" s="3">
        <f t="shared" si="15"/>
        <v>0</v>
      </c>
      <c r="AG264" s="3" t="str">
        <f t="shared" si="16"/>
        <v/>
      </c>
      <c r="AH264" s="3">
        <f t="shared" si="17"/>
        <v>0</v>
      </c>
      <c r="AI264" s="3" t="str">
        <f t="shared" si="18"/>
        <v/>
      </c>
      <c r="AJ264" s="3">
        <f t="shared" si="19"/>
        <v>0</v>
      </c>
    </row>
    <row r="265">
      <c r="C265" s="6" t="s">
        <v>265</v>
      </c>
      <c r="D265" s="3">
        <f t="shared" si="1"/>
        <v>0</v>
      </c>
      <c r="E265" s="3" t="str">
        <f>IFERROR(__xludf.DUMMYFUNCTION("REGEXEXTRACT(C265,""[^ ]* [^ ]*"")"),"muted coral")</f>
        <v>muted coral</v>
      </c>
      <c r="F265" s="3" t="str">
        <f>IFERROR(__xludf.DUMMYFUNCTION("MID(REGEXEXTRACT(C265,""contain.*$""),9,300)"),"5 drab indigo bags.")</f>
        <v>5 drab indigo bags.</v>
      </c>
      <c r="G265" s="3" t="str">
        <f>IFERROR(__xludf.DUMMYFUNCTION("INDEX(SPLIT($F265,"",""),COLUMN()-6)"),"5 drab indigo bags.")</f>
        <v>5 drab indigo bags.</v>
      </c>
      <c r="H265" s="3" t="str">
        <f>IFERROR(__xludf.DUMMYFUNCTION("MID(INDEX(SPLIT($F265,"",""),COLUMN()-6),2,300)"),"#REF!")</f>
        <v>#REF!</v>
      </c>
      <c r="I265" s="3" t="str">
        <f>IFERROR(__xludf.DUMMYFUNCTION("MID(INDEX(SPLIT($F265,"",""),COLUMN()-6),2,300)"),"#REF!")</f>
        <v>#REF!</v>
      </c>
      <c r="J265" s="3" t="str">
        <f>IFERROR(__xludf.DUMMYFUNCTION("MID(INDEX(SPLIT($F265,"",""),COLUMN()-6),2,300)"),"#REF!")</f>
        <v>#REF!</v>
      </c>
      <c r="K265" s="3">
        <f>IFERROR(__xludf.DUMMYFUNCTION("INDEX(SPLIT(G265,"" ""),1)"),5.0)</f>
        <v>5</v>
      </c>
      <c r="L265" s="3" t="str">
        <f>IFERROR(__xludf.DUMMYFUNCTION("REGEXEXTRACT(G265,"" [^ ]* [^ ]* "")")," drab indigo ")</f>
        <v> drab indigo </v>
      </c>
      <c r="M265" s="3" t="str">
        <f>IFERROR(__xludf.DUMMYFUNCTION("INDEX(SPLIT(H265,"" ""),1)"),"#REF!")</f>
        <v>#REF!</v>
      </c>
      <c r="N265" s="3" t="str">
        <f>IFERROR(__xludf.DUMMYFUNCTION("MID(REGEXEXTRACT(H265,"" [^ ]* [^ ]*""),2,300)"),"#REF!")</f>
        <v>#REF!</v>
      </c>
      <c r="O265" s="3" t="str">
        <f>IFERROR(__xludf.DUMMYFUNCTION("INDEX(SPLIT(I265,"" ""),1)"),"#REF!")</f>
        <v>#REF!</v>
      </c>
      <c r="P265" s="3" t="str">
        <f>IFERROR(__xludf.DUMMYFUNCTION("MID(REGEXEXTRACT(I265,"" [^ ]* [^ ]*""),2,300)"),"#REF!")</f>
        <v>#REF!</v>
      </c>
      <c r="Q265" s="3" t="str">
        <f>IFERROR(__xludf.DUMMYFUNCTION("INDEX(SPLIT(J265,"" ""),1)"),"#REF!")</f>
        <v>#REF!</v>
      </c>
      <c r="R265" s="3" t="str">
        <f>IFERROR(__xludf.DUMMYFUNCTION("MID(REGEXEXTRACT(J265,"" [^ ]* [^ ]*""),2,300)"),"#REF!")</f>
        <v>#REF!</v>
      </c>
      <c r="S265" s="3">
        <f t="shared" si="2"/>
        <v>5</v>
      </c>
      <c r="T265" s="3" t="str">
        <f t="shared" si="3"/>
        <v>drab indigo</v>
      </c>
      <c r="U265" s="3" t="str">
        <f t="shared" si="4"/>
        <v/>
      </c>
      <c r="V265" s="3" t="str">
        <f t="shared" si="5"/>
        <v/>
      </c>
      <c r="W265" s="3" t="str">
        <f t="shared" si="6"/>
        <v/>
      </c>
      <c r="X265" s="3" t="str">
        <f t="shared" si="7"/>
        <v/>
      </c>
      <c r="Y265" s="3" t="str">
        <f t="shared" si="8"/>
        <v/>
      </c>
      <c r="Z265" s="3" t="str">
        <f t="shared" si="9"/>
        <v/>
      </c>
      <c r="AA265" s="13">
        <f t="shared" si="10"/>
        <v>9875186</v>
      </c>
      <c r="AB265" s="3">
        <f t="shared" si="11"/>
        <v>9875185</v>
      </c>
      <c r="AC265" s="3">
        <f t="shared" si="12"/>
        <v>5</v>
      </c>
      <c r="AD265" s="3">
        <f t="shared" si="13"/>
        <v>1975037</v>
      </c>
      <c r="AE265" s="3" t="str">
        <f t="shared" si="14"/>
        <v/>
      </c>
      <c r="AF265" s="3">
        <f t="shared" si="15"/>
        <v>0</v>
      </c>
      <c r="AG265" s="3" t="str">
        <f t="shared" si="16"/>
        <v/>
      </c>
      <c r="AH265" s="3">
        <f t="shared" si="17"/>
        <v>0</v>
      </c>
      <c r="AI265" s="3" t="str">
        <f t="shared" si="18"/>
        <v/>
      </c>
      <c r="AJ265" s="3">
        <f t="shared" si="19"/>
        <v>0</v>
      </c>
    </row>
    <row r="266">
      <c r="C266" s="6" t="s">
        <v>266</v>
      </c>
      <c r="D266" s="3">
        <f t="shared" si="1"/>
        <v>0</v>
      </c>
      <c r="E266" s="3" t="str">
        <f>IFERROR(__xludf.DUMMYFUNCTION("REGEXEXTRACT(C266,""[^ ]* [^ ]*"")"),"plaid magenta")</f>
        <v>plaid magenta</v>
      </c>
      <c r="F266" s="3" t="str">
        <f>IFERROR(__xludf.DUMMYFUNCTION("MID(REGEXEXTRACT(C266,""contain.*$""),9,300)"),"3 posh salmon bags.")</f>
        <v>3 posh salmon bags.</v>
      </c>
      <c r="G266" s="3" t="str">
        <f>IFERROR(__xludf.DUMMYFUNCTION("INDEX(SPLIT($F266,"",""),COLUMN()-6)"),"3 posh salmon bags.")</f>
        <v>3 posh salmon bags.</v>
      </c>
      <c r="H266" s="3" t="str">
        <f>IFERROR(__xludf.DUMMYFUNCTION("MID(INDEX(SPLIT($F266,"",""),COLUMN()-6),2,300)"),"#REF!")</f>
        <v>#REF!</v>
      </c>
      <c r="I266" s="3" t="str">
        <f>IFERROR(__xludf.DUMMYFUNCTION("MID(INDEX(SPLIT($F266,"",""),COLUMN()-6),2,300)"),"#REF!")</f>
        <v>#REF!</v>
      </c>
      <c r="J266" s="3" t="str">
        <f>IFERROR(__xludf.DUMMYFUNCTION("MID(INDEX(SPLIT($F266,"",""),COLUMN()-6),2,300)"),"#REF!")</f>
        <v>#REF!</v>
      </c>
      <c r="K266" s="3">
        <f>IFERROR(__xludf.DUMMYFUNCTION("INDEX(SPLIT(G266,"" ""),1)"),3.0)</f>
        <v>3</v>
      </c>
      <c r="L266" s="3" t="str">
        <f>IFERROR(__xludf.DUMMYFUNCTION("REGEXEXTRACT(G266,"" [^ ]* [^ ]* "")")," posh salmon ")</f>
        <v> posh salmon </v>
      </c>
      <c r="M266" s="3" t="str">
        <f>IFERROR(__xludf.DUMMYFUNCTION("INDEX(SPLIT(H266,"" ""),1)"),"#REF!")</f>
        <v>#REF!</v>
      </c>
      <c r="N266" s="3" t="str">
        <f>IFERROR(__xludf.DUMMYFUNCTION("MID(REGEXEXTRACT(H266,"" [^ ]* [^ ]*""),2,300)"),"#REF!")</f>
        <v>#REF!</v>
      </c>
      <c r="O266" s="3" t="str">
        <f>IFERROR(__xludf.DUMMYFUNCTION("INDEX(SPLIT(I266,"" ""),1)"),"#REF!")</f>
        <v>#REF!</v>
      </c>
      <c r="P266" s="3" t="str">
        <f>IFERROR(__xludf.DUMMYFUNCTION("MID(REGEXEXTRACT(I266,"" [^ ]* [^ ]*""),2,300)"),"#REF!")</f>
        <v>#REF!</v>
      </c>
      <c r="Q266" s="3" t="str">
        <f>IFERROR(__xludf.DUMMYFUNCTION("INDEX(SPLIT(J266,"" ""),1)"),"#REF!")</f>
        <v>#REF!</v>
      </c>
      <c r="R266" s="3" t="str">
        <f>IFERROR(__xludf.DUMMYFUNCTION("MID(REGEXEXTRACT(J266,"" [^ ]* [^ ]*""),2,300)"),"#REF!")</f>
        <v>#REF!</v>
      </c>
      <c r="S266" s="3">
        <f t="shared" si="2"/>
        <v>3</v>
      </c>
      <c r="T266" s="3" t="str">
        <f t="shared" si="3"/>
        <v>posh salmon</v>
      </c>
      <c r="U266" s="3" t="str">
        <f t="shared" si="4"/>
        <v/>
      </c>
      <c r="V266" s="3" t="str">
        <f t="shared" si="5"/>
        <v/>
      </c>
      <c r="W266" s="3" t="str">
        <f t="shared" si="6"/>
        <v/>
      </c>
      <c r="X266" s="3" t="str">
        <f t="shared" si="7"/>
        <v/>
      </c>
      <c r="Y266" s="3" t="str">
        <f t="shared" si="8"/>
        <v/>
      </c>
      <c r="Z266" s="3" t="str">
        <f t="shared" si="9"/>
        <v/>
      </c>
      <c r="AA266" s="13">
        <f t="shared" si="10"/>
        <v>68564683</v>
      </c>
      <c r="AB266" s="3">
        <f t="shared" si="11"/>
        <v>68564682</v>
      </c>
      <c r="AC266" s="3">
        <f t="shared" si="12"/>
        <v>3</v>
      </c>
      <c r="AD266" s="3">
        <f t="shared" si="13"/>
        <v>22854894</v>
      </c>
      <c r="AE266" s="3" t="str">
        <f t="shared" si="14"/>
        <v/>
      </c>
      <c r="AF266" s="3">
        <f t="shared" si="15"/>
        <v>0</v>
      </c>
      <c r="AG266" s="3" t="str">
        <f t="shared" si="16"/>
        <v/>
      </c>
      <c r="AH266" s="3">
        <f t="shared" si="17"/>
        <v>0</v>
      </c>
      <c r="AI266" s="3" t="str">
        <f t="shared" si="18"/>
        <v/>
      </c>
      <c r="AJ266" s="3">
        <f t="shared" si="19"/>
        <v>0</v>
      </c>
    </row>
    <row r="267">
      <c r="C267" s="6" t="s">
        <v>267</v>
      </c>
      <c r="D267" s="3">
        <f t="shared" si="1"/>
        <v>2</v>
      </c>
      <c r="E267" s="3" t="str">
        <f>IFERROR(__xludf.DUMMYFUNCTION("REGEXEXTRACT(C267,""[^ ]* [^ ]*"")"),"clear tomato")</f>
        <v>clear tomato</v>
      </c>
      <c r="F267" s="3" t="str">
        <f>IFERROR(__xludf.DUMMYFUNCTION("MID(REGEXEXTRACT(C267,""contain.*$""),9,300)"),"5 dotted brown bags, 3 dim tomato bags, 3 drab brown bags.")</f>
        <v>5 dotted brown bags, 3 dim tomato bags, 3 drab brown bags.</v>
      </c>
      <c r="G267" s="3" t="str">
        <f>IFERROR(__xludf.DUMMYFUNCTION("INDEX(SPLIT($F267,"",""),COLUMN()-6)"),"5 dotted brown bags")</f>
        <v>5 dotted brown bags</v>
      </c>
      <c r="H267" s="3" t="str">
        <f>IFERROR(__xludf.DUMMYFUNCTION("MID(INDEX(SPLIT($F267,"",""),COLUMN()-6),2,300)"),"3 dim tomato bags")</f>
        <v>3 dim tomato bags</v>
      </c>
      <c r="I267" s="3" t="str">
        <f>IFERROR(__xludf.DUMMYFUNCTION("MID(INDEX(SPLIT($F267,"",""),COLUMN()-6),2,300)"),"3 drab brown bags.")</f>
        <v>3 drab brown bags.</v>
      </c>
      <c r="J267" s="3" t="str">
        <f>IFERROR(__xludf.DUMMYFUNCTION("MID(INDEX(SPLIT($F267,"",""),COLUMN()-6),2,300)"),"#REF!")</f>
        <v>#REF!</v>
      </c>
      <c r="K267" s="3">
        <f>IFERROR(__xludf.DUMMYFUNCTION("INDEX(SPLIT(G267,"" ""),1)"),5.0)</f>
        <v>5</v>
      </c>
      <c r="L267" s="3" t="str">
        <f>IFERROR(__xludf.DUMMYFUNCTION("REGEXEXTRACT(G267,"" [^ ]* [^ ]* "")")," dotted brown ")</f>
        <v> dotted brown </v>
      </c>
      <c r="M267" s="3">
        <f>IFERROR(__xludf.DUMMYFUNCTION("INDEX(SPLIT(H267,"" ""),1)"),3.0)</f>
        <v>3</v>
      </c>
      <c r="N267" s="3" t="str">
        <f>IFERROR(__xludf.DUMMYFUNCTION("MID(REGEXEXTRACT(H267,"" [^ ]* [^ ]*""),2,300)"),"dim tomato")</f>
        <v>dim tomato</v>
      </c>
      <c r="O267" s="3">
        <f>IFERROR(__xludf.DUMMYFUNCTION("INDEX(SPLIT(I267,"" ""),1)"),3.0)</f>
        <v>3</v>
      </c>
      <c r="P267" s="3" t="str">
        <f>IFERROR(__xludf.DUMMYFUNCTION("MID(REGEXEXTRACT(I267,"" [^ ]* [^ ]*""),2,300)"),"drab brown")</f>
        <v>drab brown</v>
      </c>
      <c r="Q267" s="3" t="str">
        <f>IFERROR(__xludf.DUMMYFUNCTION("INDEX(SPLIT(J267,"" ""),1)"),"#REF!")</f>
        <v>#REF!</v>
      </c>
      <c r="R267" s="3" t="str">
        <f>IFERROR(__xludf.DUMMYFUNCTION("MID(REGEXEXTRACT(J267,"" [^ ]* [^ ]*""),2,300)"),"#REF!")</f>
        <v>#REF!</v>
      </c>
      <c r="S267" s="3">
        <f t="shared" si="2"/>
        <v>5</v>
      </c>
      <c r="T267" s="3" t="str">
        <f t="shared" si="3"/>
        <v>dotted brown</v>
      </c>
      <c r="U267" s="3">
        <f t="shared" si="4"/>
        <v>3</v>
      </c>
      <c r="V267" s="3" t="str">
        <f t="shared" si="5"/>
        <v>dim tomato</v>
      </c>
      <c r="W267" s="3">
        <f t="shared" si="6"/>
        <v>3</v>
      </c>
      <c r="X267" s="3" t="str">
        <f t="shared" si="7"/>
        <v>drab brown</v>
      </c>
      <c r="Y267" s="3" t="str">
        <f t="shared" si="8"/>
        <v/>
      </c>
      <c r="Z267" s="3" t="str">
        <f t="shared" si="9"/>
        <v/>
      </c>
      <c r="AA267" s="13">
        <f t="shared" si="10"/>
        <v>558340508</v>
      </c>
      <c r="AB267" s="3">
        <f t="shared" si="11"/>
        <v>558340507</v>
      </c>
      <c r="AC267" s="3">
        <f t="shared" si="12"/>
        <v>5</v>
      </c>
      <c r="AD267" s="3">
        <f t="shared" si="13"/>
        <v>305</v>
      </c>
      <c r="AE267" s="3">
        <f t="shared" si="14"/>
        <v>3</v>
      </c>
      <c r="AF267" s="3">
        <f t="shared" si="15"/>
        <v>186016153</v>
      </c>
      <c r="AG267" s="3">
        <f t="shared" si="16"/>
        <v>3</v>
      </c>
      <c r="AH267" s="3">
        <f t="shared" si="17"/>
        <v>96841</v>
      </c>
      <c r="AI267" s="3" t="str">
        <f t="shared" si="18"/>
        <v/>
      </c>
      <c r="AJ267" s="3">
        <f t="shared" si="19"/>
        <v>0</v>
      </c>
    </row>
    <row r="268">
      <c r="C268" s="6" t="s">
        <v>268</v>
      </c>
      <c r="D268" s="3">
        <f t="shared" si="1"/>
        <v>1</v>
      </c>
      <c r="E268" s="3" t="str">
        <f>IFERROR(__xludf.DUMMYFUNCTION("REGEXEXTRACT(C268,""[^ ]* [^ ]*"")"),"clear yellow")</f>
        <v>clear yellow</v>
      </c>
      <c r="F268" s="3" t="str">
        <f>IFERROR(__xludf.DUMMYFUNCTION("MID(REGEXEXTRACT(C268,""contain.*$""),9,300)"),"3 clear black bags, 2 mirrored black bags.")</f>
        <v>3 clear black bags, 2 mirrored black bags.</v>
      </c>
      <c r="G268" s="3" t="str">
        <f>IFERROR(__xludf.DUMMYFUNCTION("INDEX(SPLIT($F268,"",""),COLUMN()-6)"),"3 clear black bags")</f>
        <v>3 clear black bags</v>
      </c>
      <c r="H268" s="3" t="str">
        <f>IFERROR(__xludf.DUMMYFUNCTION("MID(INDEX(SPLIT($F268,"",""),COLUMN()-6),2,300)"),"2 mirrored black bags.")</f>
        <v>2 mirrored black bags.</v>
      </c>
      <c r="I268" s="3" t="str">
        <f>IFERROR(__xludf.DUMMYFUNCTION("MID(INDEX(SPLIT($F268,"",""),COLUMN()-6),2,300)"),"#REF!")</f>
        <v>#REF!</v>
      </c>
      <c r="J268" s="3" t="str">
        <f>IFERROR(__xludf.DUMMYFUNCTION("MID(INDEX(SPLIT($F268,"",""),COLUMN()-6),2,300)"),"#REF!")</f>
        <v>#REF!</v>
      </c>
      <c r="K268" s="3">
        <f>IFERROR(__xludf.DUMMYFUNCTION("INDEX(SPLIT(G268,"" ""),1)"),3.0)</f>
        <v>3</v>
      </c>
      <c r="L268" s="3" t="str">
        <f>IFERROR(__xludf.DUMMYFUNCTION("REGEXEXTRACT(G268,"" [^ ]* [^ ]* "")")," clear black ")</f>
        <v> clear black </v>
      </c>
      <c r="M268" s="3">
        <f>IFERROR(__xludf.DUMMYFUNCTION("INDEX(SPLIT(H268,"" ""),1)"),2.0)</f>
        <v>2</v>
      </c>
      <c r="N268" s="3" t="str">
        <f>IFERROR(__xludf.DUMMYFUNCTION("MID(REGEXEXTRACT(H268,"" [^ ]* [^ ]*""),2,300)"),"mirrored black")</f>
        <v>mirrored black</v>
      </c>
      <c r="O268" s="3" t="str">
        <f>IFERROR(__xludf.DUMMYFUNCTION("INDEX(SPLIT(I268,"" ""),1)"),"#REF!")</f>
        <v>#REF!</v>
      </c>
      <c r="P268" s="3" t="str">
        <f>IFERROR(__xludf.DUMMYFUNCTION("MID(REGEXEXTRACT(I268,"" [^ ]* [^ ]*""),2,300)"),"#REF!")</f>
        <v>#REF!</v>
      </c>
      <c r="Q268" s="3" t="str">
        <f>IFERROR(__xludf.DUMMYFUNCTION("INDEX(SPLIT(J268,"" ""),1)"),"#REF!")</f>
        <v>#REF!</v>
      </c>
      <c r="R268" s="3" t="str">
        <f>IFERROR(__xludf.DUMMYFUNCTION("MID(REGEXEXTRACT(J268,"" [^ ]* [^ ]*""),2,300)"),"#REF!")</f>
        <v>#REF!</v>
      </c>
      <c r="S268" s="3">
        <f t="shared" si="2"/>
        <v>3</v>
      </c>
      <c r="T268" s="3" t="str">
        <f t="shared" si="3"/>
        <v>clear black</v>
      </c>
      <c r="U268" s="3">
        <f t="shared" si="4"/>
        <v>2</v>
      </c>
      <c r="V268" s="3" t="str">
        <f t="shared" si="5"/>
        <v>mirrored black</v>
      </c>
      <c r="W268" s="3" t="str">
        <f t="shared" si="6"/>
        <v/>
      </c>
      <c r="X268" s="3" t="str">
        <f t="shared" si="7"/>
        <v/>
      </c>
      <c r="Y268" s="3" t="str">
        <f t="shared" si="8"/>
        <v/>
      </c>
      <c r="Z268" s="3" t="str">
        <f t="shared" si="9"/>
        <v/>
      </c>
      <c r="AA268" s="13">
        <f t="shared" si="10"/>
        <v>18111</v>
      </c>
      <c r="AB268" s="3">
        <f t="shared" si="11"/>
        <v>18110</v>
      </c>
      <c r="AC268" s="3">
        <f t="shared" si="12"/>
        <v>3</v>
      </c>
      <c r="AD268" s="3">
        <f t="shared" si="13"/>
        <v>12</v>
      </c>
      <c r="AE268" s="3">
        <f t="shared" si="14"/>
        <v>2</v>
      </c>
      <c r="AF268" s="3">
        <f t="shared" si="15"/>
        <v>9037</v>
      </c>
      <c r="AG268" s="3" t="str">
        <f t="shared" si="16"/>
        <v/>
      </c>
      <c r="AH268" s="3">
        <f t="shared" si="17"/>
        <v>0</v>
      </c>
      <c r="AI268" s="3" t="str">
        <f t="shared" si="18"/>
        <v/>
      </c>
      <c r="AJ268" s="3">
        <f t="shared" si="19"/>
        <v>0</v>
      </c>
    </row>
    <row r="269">
      <c r="C269" s="6" t="s">
        <v>269</v>
      </c>
      <c r="D269" s="3">
        <f t="shared" si="1"/>
        <v>2</v>
      </c>
      <c r="E269" s="3" t="str">
        <f>IFERROR(__xludf.DUMMYFUNCTION("REGEXEXTRACT(C269,""[^ ]* [^ ]*"")"),"dark gray")</f>
        <v>dark gray</v>
      </c>
      <c r="F269" s="3" t="str">
        <f>IFERROR(__xludf.DUMMYFUNCTION("MID(REGEXEXTRACT(C269,""contain.*$""),9,300)"),"5 light bronze bags, 4 dotted coral bags, 4 dim chartreuse bags.")</f>
        <v>5 light bronze bags, 4 dotted coral bags, 4 dim chartreuse bags.</v>
      </c>
      <c r="G269" s="3" t="str">
        <f>IFERROR(__xludf.DUMMYFUNCTION("INDEX(SPLIT($F269,"",""),COLUMN()-6)"),"5 light bronze bags")</f>
        <v>5 light bronze bags</v>
      </c>
      <c r="H269" s="3" t="str">
        <f>IFERROR(__xludf.DUMMYFUNCTION("MID(INDEX(SPLIT($F269,"",""),COLUMN()-6),2,300)"),"4 dotted coral bags")</f>
        <v>4 dotted coral bags</v>
      </c>
      <c r="I269" s="3" t="str">
        <f>IFERROR(__xludf.DUMMYFUNCTION("MID(INDEX(SPLIT($F269,"",""),COLUMN()-6),2,300)"),"4 dim chartreuse bags.")</f>
        <v>4 dim chartreuse bags.</v>
      </c>
      <c r="J269" s="3" t="str">
        <f>IFERROR(__xludf.DUMMYFUNCTION("MID(INDEX(SPLIT($F269,"",""),COLUMN()-6),2,300)"),"#REF!")</f>
        <v>#REF!</v>
      </c>
      <c r="K269" s="3">
        <f>IFERROR(__xludf.DUMMYFUNCTION("INDEX(SPLIT(G269,"" ""),1)"),5.0)</f>
        <v>5</v>
      </c>
      <c r="L269" s="3" t="str">
        <f>IFERROR(__xludf.DUMMYFUNCTION("REGEXEXTRACT(G269,"" [^ ]* [^ ]* "")")," light bronze ")</f>
        <v> light bronze </v>
      </c>
      <c r="M269" s="3">
        <f>IFERROR(__xludf.DUMMYFUNCTION("INDEX(SPLIT(H269,"" ""),1)"),4.0)</f>
        <v>4</v>
      </c>
      <c r="N269" s="3" t="str">
        <f>IFERROR(__xludf.DUMMYFUNCTION("MID(REGEXEXTRACT(H269,"" [^ ]* [^ ]*""),2,300)"),"dotted coral")</f>
        <v>dotted coral</v>
      </c>
      <c r="O269" s="3">
        <f>IFERROR(__xludf.DUMMYFUNCTION("INDEX(SPLIT(I269,"" ""),1)"),4.0)</f>
        <v>4</v>
      </c>
      <c r="P269" s="3" t="str">
        <f>IFERROR(__xludf.DUMMYFUNCTION("MID(REGEXEXTRACT(I269,"" [^ ]* [^ ]*""),2,300)"),"dim chartreuse")</f>
        <v>dim chartreuse</v>
      </c>
      <c r="Q269" s="3" t="str">
        <f>IFERROR(__xludf.DUMMYFUNCTION("INDEX(SPLIT(J269,"" ""),1)"),"#REF!")</f>
        <v>#REF!</v>
      </c>
      <c r="R269" s="3" t="str">
        <f>IFERROR(__xludf.DUMMYFUNCTION("MID(REGEXEXTRACT(J269,"" [^ ]* [^ ]*""),2,300)"),"#REF!")</f>
        <v>#REF!</v>
      </c>
      <c r="S269" s="3">
        <f t="shared" si="2"/>
        <v>5</v>
      </c>
      <c r="T269" s="3" t="str">
        <f t="shared" si="3"/>
        <v>light bronze</v>
      </c>
      <c r="U269" s="3">
        <f t="shared" si="4"/>
        <v>4</v>
      </c>
      <c r="V269" s="3" t="str">
        <f t="shared" si="5"/>
        <v>dotted coral</v>
      </c>
      <c r="W269" s="3">
        <f t="shared" si="6"/>
        <v>4</v>
      </c>
      <c r="X269" s="3" t="str">
        <f t="shared" si="7"/>
        <v>dim chartreuse</v>
      </c>
      <c r="Y269" s="3" t="str">
        <f t="shared" si="8"/>
        <v/>
      </c>
      <c r="Z269" s="3" t="str">
        <f t="shared" si="9"/>
        <v/>
      </c>
      <c r="AA269" s="13">
        <f t="shared" si="10"/>
        <v>4571378507</v>
      </c>
      <c r="AB269" s="3">
        <f t="shared" si="11"/>
        <v>4571378506</v>
      </c>
      <c r="AC269" s="3">
        <f t="shared" si="12"/>
        <v>5</v>
      </c>
      <c r="AD269" s="3">
        <f t="shared" si="13"/>
        <v>32410</v>
      </c>
      <c r="AE269" s="3">
        <f t="shared" si="14"/>
        <v>4</v>
      </c>
      <c r="AF269" s="3">
        <f t="shared" si="15"/>
        <v>10803</v>
      </c>
      <c r="AG269" s="3">
        <f t="shared" si="16"/>
        <v>4</v>
      </c>
      <c r="AH269" s="3">
        <f t="shared" si="17"/>
        <v>1142793311</v>
      </c>
      <c r="AI269" s="3" t="str">
        <f t="shared" si="18"/>
        <v/>
      </c>
      <c r="AJ269" s="3">
        <f t="shared" si="19"/>
        <v>0</v>
      </c>
    </row>
    <row r="270">
      <c r="C270" s="6" t="s">
        <v>270</v>
      </c>
      <c r="D270" s="3">
        <f t="shared" si="1"/>
        <v>2</v>
      </c>
      <c r="E270" s="3" t="str">
        <f>IFERROR(__xludf.DUMMYFUNCTION("REGEXEXTRACT(C270,""[^ ]* [^ ]*"")"),"light magenta")</f>
        <v>light magenta</v>
      </c>
      <c r="F270" s="3" t="str">
        <f>IFERROR(__xludf.DUMMYFUNCTION("MID(REGEXEXTRACT(C270,""contain.*$""),9,300)"),"4 wavy turquoise bags, 1 mirrored green bag, 2 plaid chartreuse bags.")</f>
        <v>4 wavy turquoise bags, 1 mirrored green bag, 2 plaid chartreuse bags.</v>
      </c>
      <c r="G270" s="3" t="str">
        <f>IFERROR(__xludf.DUMMYFUNCTION("INDEX(SPLIT($F270,"",""),COLUMN()-6)"),"4 wavy turquoise bags")</f>
        <v>4 wavy turquoise bags</v>
      </c>
      <c r="H270" s="3" t="str">
        <f>IFERROR(__xludf.DUMMYFUNCTION("MID(INDEX(SPLIT($F270,"",""),COLUMN()-6),2,300)"),"1 mirrored green bag")</f>
        <v>1 mirrored green bag</v>
      </c>
      <c r="I270" s="3" t="str">
        <f>IFERROR(__xludf.DUMMYFUNCTION("MID(INDEX(SPLIT($F270,"",""),COLUMN()-6),2,300)"),"2 plaid chartreuse bags.")</f>
        <v>2 plaid chartreuse bags.</v>
      </c>
      <c r="J270" s="3" t="str">
        <f>IFERROR(__xludf.DUMMYFUNCTION("MID(INDEX(SPLIT($F270,"",""),COLUMN()-6),2,300)"),"#REF!")</f>
        <v>#REF!</v>
      </c>
      <c r="K270" s="3">
        <f>IFERROR(__xludf.DUMMYFUNCTION("INDEX(SPLIT(G270,"" ""),1)"),4.0)</f>
        <v>4</v>
      </c>
      <c r="L270" s="3" t="str">
        <f>IFERROR(__xludf.DUMMYFUNCTION("REGEXEXTRACT(G270,"" [^ ]* [^ ]* "")")," wavy turquoise ")</f>
        <v> wavy turquoise </v>
      </c>
      <c r="M270" s="3">
        <f>IFERROR(__xludf.DUMMYFUNCTION("INDEX(SPLIT(H270,"" ""),1)"),1.0)</f>
        <v>1</v>
      </c>
      <c r="N270" s="3" t="str">
        <f>IFERROR(__xludf.DUMMYFUNCTION("MID(REGEXEXTRACT(H270,"" [^ ]* [^ ]*""),2,300)"),"mirrored green")</f>
        <v>mirrored green</v>
      </c>
      <c r="O270" s="3">
        <f>IFERROR(__xludf.DUMMYFUNCTION("INDEX(SPLIT(I270,"" ""),1)"),2.0)</f>
        <v>2</v>
      </c>
      <c r="P270" s="3" t="str">
        <f>IFERROR(__xludf.DUMMYFUNCTION("MID(REGEXEXTRACT(I270,"" [^ ]* [^ ]*""),2,300)"),"plaid chartreuse")</f>
        <v>plaid chartreuse</v>
      </c>
      <c r="Q270" s="3" t="str">
        <f>IFERROR(__xludf.DUMMYFUNCTION("INDEX(SPLIT(J270,"" ""),1)"),"#REF!")</f>
        <v>#REF!</v>
      </c>
      <c r="R270" s="3" t="str">
        <f>IFERROR(__xludf.DUMMYFUNCTION("MID(REGEXEXTRACT(J270,"" [^ ]* [^ ]*""),2,300)"),"#REF!")</f>
        <v>#REF!</v>
      </c>
      <c r="S270" s="3">
        <f t="shared" si="2"/>
        <v>4</v>
      </c>
      <c r="T270" s="3" t="str">
        <f t="shared" si="3"/>
        <v>wavy turquoise</v>
      </c>
      <c r="U270" s="3">
        <f t="shared" si="4"/>
        <v>1</v>
      </c>
      <c r="V270" s="3" t="str">
        <f t="shared" si="5"/>
        <v>mirrored green</v>
      </c>
      <c r="W270" s="3">
        <f t="shared" si="6"/>
        <v>2</v>
      </c>
      <c r="X270" s="3" t="str">
        <f t="shared" si="7"/>
        <v>plaid chartreuse</v>
      </c>
      <c r="Y270" s="3" t="str">
        <f t="shared" si="8"/>
        <v/>
      </c>
      <c r="Z270" s="3" t="str">
        <f t="shared" si="9"/>
        <v/>
      </c>
      <c r="AA270" s="13">
        <f t="shared" si="10"/>
        <v>399844449</v>
      </c>
      <c r="AB270" s="3">
        <f t="shared" si="11"/>
        <v>399844448</v>
      </c>
      <c r="AC270" s="3">
        <f t="shared" si="12"/>
        <v>4</v>
      </c>
      <c r="AD270" s="3">
        <f t="shared" si="13"/>
        <v>11485</v>
      </c>
      <c r="AE270" s="3">
        <f t="shared" si="14"/>
        <v>1</v>
      </c>
      <c r="AF270" s="3">
        <f t="shared" si="15"/>
        <v>399804</v>
      </c>
      <c r="AG270" s="3">
        <f t="shared" si="16"/>
        <v>2</v>
      </c>
      <c r="AH270" s="3">
        <f t="shared" si="17"/>
        <v>199699352</v>
      </c>
      <c r="AI270" s="3" t="str">
        <f t="shared" si="18"/>
        <v/>
      </c>
      <c r="AJ270" s="3">
        <f t="shared" si="19"/>
        <v>0</v>
      </c>
    </row>
    <row r="271">
      <c r="C271" s="6" t="s">
        <v>271</v>
      </c>
      <c r="D271" s="3">
        <f t="shared" si="1"/>
        <v>3</v>
      </c>
      <c r="E271" s="3" t="str">
        <f>IFERROR(__xludf.DUMMYFUNCTION("REGEXEXTRACT(C271,""[^ ]* [^ ]*"")"),"shiny indigo")</f>
        <v>shiny indigo</v>
      </c>
      <c r="F271" s="3" t="str">
        <f>IFERROR(__xludf.DUMMYFUNCTION("MID(REGEXEXTRACT(C271,""contain.*$""),9,300)"),"1 bright silver bag, 2 pale tomato bags, 4 light teal bags, 4 posh coral bags.")</f>
        <v>1 bright silver bag, 2 pale tomato bags, 4 light teal bags, 4 posh coral bags.</v>
      </c>
      <c r="G271" s="3" t="str">
        <f>IFERROR(__xludf.DUMMYFUNCTION("INDEX(SPLIT($F271,"",""),COLUMN()-6)"),"1 bright silver bag")</f>
        <v>1 bright silver bag</v>
      </c>
      <c r="H271" s="3" t="str">
        <f>IFERROR(__xludf.DUMMYFUNCTION("MID(INDEX(SPLIT($F271,"",""),COLUMN()-6),2,300)"),"2 pale tomato bags")</f>
        <v>2 pale tomato bags</v>
      </c>
      <c r="I271" s="3" t="str">
        <f>IFERROR(__xludf.DUMMYFUNCTION("MID(INDEX(SPLIT($F271,"",""),COLUMN()-6),2,300)"),"4 light teal bags")</f>
        <v>4 light teal bags</v>
      </c>
      <c r="J271" s="3" t="str">
        <f>IFERROR(__xludf.DUMMYFUNCTION("MID(INDEX(SPLIT($F271,"",""),COLUMN()-6),2,300)"),"4 posh coral bags.")</f>
        <v>4 posh coral bags.</v>
      </c>
      <c r="K271" s="3">
        <f>IFERROR(__xludf.DUMMYFUNCTION("INDEX(SPLIT(G271,"" ""),1)"),1.0)</f>
        <v>1</v>
      </c>
      <c r="L271" s="3" t="str">
        <f>IFERROR(__xludf.DUMMYFUNCTION("REGEXEXTRACT(G271,"" [^ ]* [^ ]* "")")," bright silver ")</f>
        <v> bright silver </v>
      </c>
      <c r="M271" s="3">
        <f>IFERROR(__xludf.DUMMYFUNCTION("INDEX(SPLIT(H271,"" ""),1)"),2.0)</f>
        <v>2</v>
      </c>
      <c r="N271" s="3" t="str">
        <f>IFERROR(__xludf.DUMMYFUNCTION("MID(REGEXEXTRACT(H271,"" [^ ]* [^ ]*""),2,300)"),"pale tomato")</f>
        <v>pale tomato</v>
      </c>
      <c r="O271" s="3">
        <f>IFERROR(__xludf.DUMMYFUNCTION("INDEX(SPLIT(I271,"" ""),1)"),4.0)</f>
        <v>4</v>
      </c>
      <c r="P271" s="3" t="str">
        <f>IFERROR(__xludf.DUMMYFUNCTION("MID(REGEXEXTRACT(I271,"" [^ ]* [^ ]*""),2,300)"),"light teal")</f>
        <v>light teal</v>
      </c>
      <c r="Q271" s="3">
        <f>IFERROR(__xludf.DUMMYFUNCTION("INDEX(SPLIT(J271,"" ""),1)"),4.0)</f>
        <v>4</v>
      </c>
      <c r="R271" s="3" t="str">
        <f>IFERROR(__xludf.DUMMYFUNCTION("MID(REGEXEXTRACT(J271,"" [^ ]* [^ ]*""),2,300)"),"posh coral")</f>
        <v>posh coral</v>
      </c>
      <c r="S271" s="3">
        <f t="shared" si="2"/>
        <v>1</v>
      </c>
      <c r="T271" s="3" t="str">
        <f t="shared" si="3"/>
        <v>bright silver</v>
      </c>
      <c r="U271" s="3">
        <f t="shared" si="4"/>
        <v>2</v>
      </c>
      <c r="V271" s="3" t="str">
        <f t="shared" si="5"/>
        <v>pale tomato</v>
      </c>
      <c r="W271" s="3">
        <f t="shared" si="6"/>
        <v>4</v>
      </c>
      <c r="X271" s="3" t="str">
        <f t="shared" si="7"/>
        <v>light teal</v>
      </c>
      <c r="Y271" s="3">
        <f t="shared" si="8"/>
        <v>4</v>
      </c>
      <c r="Z271" s="3" t="str">
        <f t="shared" si="9"/>
        <v>posh coral</v>
      </c>
      <c r="AA271" s="13">
        <f t="shared" si="10"/>
        <v>754536</v>
      </c>
      <c r="AB271" s="3">
        <f t="shared" si="11"/>
        <v>754535</v>
      </c>
      <c r="AC271" s="3">
        <f t="shared" si="12"/>
        <v>1</v>
      </c>
      <c r="AD271" s="3">
        <f t="shared" si="13"/>
        <v>41</v>
      </c>
      <c r="AE271" s="3">
        <f t="shared" si="14"/>
        <v>2</v>
      </c>
      <c r="AF271" s="3">
        <f t="shared" si="15"/>
        <v>280269</v>
      </c>
      <c r="AG271" s="3">
        <f t="shared" si="16"/>
        <v>4</v>
      </c>
      <c r="AH271" s="3">
        <f t="shared" si="17"/>
        <v>48488</v>
      </c>
      <c r="AI271" s="3">
        <f t="shared" si="18"/>
        <v>4</v>
      </c>
      <c r="AJ271" s="3">
        <f t="shared" si="19"/>
        <v>1</v>
      </c>
    </row>
    <row r="272">
      <c r="C272" s="6" t="s">
        <v>272</v>
      </c>
      <c r="D272" s="3">
        <f t="shared" si="1"/>
        <v>3</v>
      </c>
      <c r="E272" s="3" t="str">
        <f>IFERROR(__xludf.DUMMYFUNCTION("REGEXEXTRACT(C272,""[^ ]* [^ ]*"")"),"muted gray")</f>
        <v>muted gray</v>
      </c>
      <c r="F272" s="3" t="str">
        <f>IFERROR(__xludf.DUMMYFUNCTION("MID(REGEXEXTRACT(C272,""contain.*$""),9,300)"),"3 faded beige bags, 1 dark teal bag, 3 muted violet bags, 3 muted white bags.")</f>
        <v>3 faded beige bags, 1 dark teal bag, 3 muted violet bags, 3 muted white bags.</v>
      </c>
      <c r="G272" s="3" t="str">
        <f>IFERROR(__xludf.DUMMYFUNCTION("INDEX(SPLIT($F272,"",""),COLUMN()-6)"),"3 faded beige bags")</f>
        <v>3 faded beige bags</v>
      </c>
      <c r="H272" s="3" t="str">
        <f>IFERROR(__xludf.DUMMYFUNCTION("MID(INDEX(SPLIT($F272,"",""),COLUMN()-6),2,300)"),"1 dark teal bag")</f>
        <v>1 dark teal bag</v>
      </c>
      <c r="I272" s="3" t="str">
        <f>IFERROR(__xludf.DUMMYFUNCTION("MID(INDEX(SPLIT($F272,"",""),COLUMN()-6),2,300)"),"3 muted violet bags")</f>
        <v>3 muted violet bags</v>
      </c>
      <c r="J272" s="3" t="str">
        <f>IFERROR(__xludf.DUMMYFUNCTION("MID(INDEX(SPLIT($F272,"",""),COLUMN()-6),2,300)"),"3 muted white bags.")</f>
        <v>3 muted white bags.</v>
      </c>
      <c r="K272" s="3">
        <f>IFERROR(__xludf.DUMMYFUNCTION("INDEX(SPLIT(G272,"" ""),1)"),3.0)</f>
        <v>3</v>
      </c>
      <c r="L272" s="3" t="str">
        <f>IFERROR(__xludf.DUMMYFUNCTION("REGEXEXTRACT(G272,"" [^ ]* [^ ]* "")")," faded beige ")</f>
        <v> faded beige </v>
      </c>
      <c r="M272" s="3">
        <f>IFERROR(__xludf.DUMMYFUNCTION("INDEX(SPLIT(H272,"" ""),1)"),1.0)</f>
        <v>1</v>
      </c>
      <c r="N272" s="3" t="str">
        <f>IFERROR(__xludf.DUMMYFUNCTION("MID(REGEXEXTRACT(H272,"" [^ ]* [^ ]*""),2,300)"),"dark teal")</f>
        <v>dark teal</v>
      </c>
      <c r="O272" s="3">
        <f>IFERROR(__xludf.DUMMYFUNCTION("INDEX(SPLIT(I272,"" ""),1)"),3.0)</f>
        <v>3</v>
      </c>
      <c r="P272" s="3" t="str">
        <f>IFERROR(__xludf.DUMMYFUNCTION("MID(REGEXEXTRACT(I272,"" [^ ]* [^ ]*""),2,300)"),"muted violet")</f>
        <v>muted violet</v>
      </c>
      <c r="Q272" s="3">
        <f>IFERROR(__xludf.DUMMYFUNCTION("INDEX(SPLIT(J272,"" ""),1)"),3.0)</f>
        <v>3</v>
      </c>
      <c r="R272" s="3" t="str">
        <f>IFERROR(__xludf.DUMMYFUNCTION("MID(REGEXEXTRACT(J272,"" [^ ]* [^ ]*""),2,300)"),"muted white")</f>
        <v>muted white</v>
      </c>
      <c r="S272" s="3">
        <f t="shared" si="2"/>
        <v>3</v>
      </c>
      <c r="T272" s="3" t="str">
        <f t="shared" si="3"/>
        <v>faded beige</v>
      </c>
      <c r="U272" s="3">
        <f t="shared" si="4"/>
        <v>1</v>
      </c>
      <c r="V272" s="3" t="str">
        <f t="shared" si="5"/>
        <v>dark teal</v>
      </c>
      <c r="W272" s="3">
        <f t="shared" si="6"/>
        <v>3</v>
      </c>
      <c r="X272" s="3" t="str">
        <f t="shared" si="7"/>
        <v>muted violet</v>
      </c>
      <c r="Y272" s="3">
        <f t="shared" si="8"/>
        <v>3</v>
      </c>
      <c r="Z272" s="3" t="str">
        <f t="shared" si="9"/>
        <v>muted white</v>
      </c>
      <c r="AA272" s="13">
        <f t="shared" si="10"/>
        <v>8714523</v>
      </c>
      <c r="AB272" s="3">
        <f t="shared" si="11"/>
        <v>8714522</v>
      </c>
      <c r="AC272" s="3">
        <f t="shared" si="12"/>
        <v>3</v>
      </c>
      <c r="AD272" s="3">
        <f t="shared" si="13"/>
        <v>6373</v>
      </c>
      <c r="AE272" s="3">
        <f t="shared" si="14"/>
        <v>1</v>
      </c>
      <c r="AF272" s="3">
        <f t="shared" si="15"/>
        <v>15041</v>
      </c>
      <c r="AG272" s="3">
        <f t="shared" si="16"/>
        <v>3</v>
      </c>
      <c r="AH272" s="3">
        <f t="shared" si="17"/>
        <v>4</v>
      </c>
      <c r="AI272" s="3">
        <f t="shared" si="18"/>
        <v>3</v>
      </c>
      <c r="AJ272" s="3">
        <f t="shared" si="19"/>
        <v>2893450</v>
      </c>
    </row>
    <row r="273">
      <c r="C273" s="6" t="s">
        <v>273</v>
      </c>
      <c r="D273" s="3">
        <f t="shared" si="1"/>
        <v>2</v>
      </c>
      <c r="E273" s="3" t="str">
        <f>IFERROR(__xludf.DUMMYFUNCTION("REGEXEXTRACT(C273,""[^ ]* [^ ]*"")"),"wavy lavender")</f>
        <v>wavy lavender</v>
      </c>
      <c r="F273" s="3" t="str">
        <f>IFERROR(__xludf.DUMMYFUNCTION("MID(REGEXEXTRACT(C273,""contain.*$""),9,300)"),"1 clear chartreuse bag, 2 clear maroon bags, 5 dull plum bags.")</f>
        <v>1 clear chartreuse bag, 2 clear maroon bags, 5 dull plum bags.</v>
      </c>
      <c r="G273" s="3" t="str">
        <f>IFERROR(__xludf.DUMMYFUNCTION("INDEX(SPLIT($F273,"",""),COLUMN()-6)"),"1 clear chartreuse bag")</f>
        <v>1 clear chartreuse bag</v>
      </c>
      <c r="H273" s="3" t="str">
        <f>IFERROR(__xludf.DUMMYFUNCTION("MID(INDEX(SPLIT($F273,"",""),COLUMN()-6),2,300)"),"2 clear maroon bags")</f>
        <v>2 clear maroon bags</v>
      </c>
      <c r="I273" s="3" t="str">
        <f>IFERROR(__xludf.DUMMYFUNCTION("MID(INDEX(SPLIT($F273,"",""),COLUMN()-6),2,300)"),"5 dull plum bags.")</f>
        <v>5 dull plum bags.</v>
      </c>
      <c r="J273" s="3" t="str">
        <f>IFERROR(__xludf.DUMMYFUNCTION("MID(INDEX(SPLIT($F273,"",""),COLUMN()-6),2,300)"),"#REF!")</f>
        <v>#REF!</v>
      </c>
      <c r="K273" s="3">
        <f>IFERROR(__xludf.DUMMYFUNCTION("INDEX(SPLIT(G273,"" ""),1)"),1.0)</f>
        <v>1</v>
      </c>
      <c r="L273" s="3" t="str">
        <f>IFERROR(__xludf.DUMMYFUNCTION("REGEXEXTRACT(G273,"" [^ ]* [^ ]* "")")," clear chartreuse ")</f>
        <v> clear chartreuse </v>
      </c>
      <c r="M273" s="3">
        <f>IFERROR(__xludf.DUMMYFUNCTION("INDEX(SPLIT(H273,"" ""),1)"),2.0)</f>
        <v>2</v>
      </c>
      <c r="N273" s="3" t="str">
        <f>IFERROR(__xludf.DUMMYFUNCTION("MID(REGEXEXTRACT(H273,"" [^ ]* [^ ]*""),2,300)"),"clear maroon")</f>
        <v>clear maroon</v>
      </c>
      <c r="O273" s="3">
        <f>IFERROR(__xludf.DUMMYFUNCTION("INDEX(SPLIT(I273,"" ""),1)"),5.0)</f>
        <v>5</v>
      </c>
      <c r="P273" s="3" t="str">
        <f>IFERROR(__xludf.DUMMYFUNCTION("MID(REGEXEXTRACT(I273,"" [^ ]* [^ ]*""),2,300)"),"dull plum")</f>
        <v>dull plum</v>
      </c>
      <c r="Q273" s="3" t="str">
        <f>IFERROR(__xludf.DUMMYFUNCTION("INDEX(SPLIT(J273,"" ""),1)"),"#REF!")</f>
        <v>#REF!</v>
      </c>
      <c r="R273" s="3" t="str">
        <f>IFERROR(__xludf.DUMMYFUNCTION("MID(REGEXEXTRACT(J273,"" [^ ]* [^ ]*""),2,300)"),"#REF!")</f>
        <v>#REF!</v>
      </c>
      <c r="S273" s="3">
        <f t="shared" si="2"/>
        <v>1</v>
      </c>
      <c r="T273" s="3" t="str">
        <f t="shared" si="3"/>
        <v>clear chartreuse</v>
      </c>
      <c r="U273" s="3">
        <f t="shared" si="4"/>
        <v>2</v>
      </c>
      <c r="V273" s="3" t="str">
        <f t="shared" si="5"/>
        <v>clear maroon</v>
      </c>
      <c r="W273" s="3">
        <f t="shared" si="6"/>
        <v>5</v>
      </c>
      <c r="X273" s="3" t="str">
        <f t="shared" si="7"/>
        <v>dull plum</v>
      </c>
      <c r="Y273" s="3" t="str">
        <f t="shared" si="8"/>
        <v/>
      </c>
      <c r="Z273" s="3" t="str">
        <f t="shared" si="9"/>
        <v/>
      </c>
      <c r="AA273" s="13">
        <f t="shared" si="10"/>
        <v>172871801</v>
      </c>
      <c r="AB273" s="3">
        <f t="shared" si="11"/>
        <v>172871800</v>
      </c>
      <c r="AC273" s="3">
        <f t="shared" si="12"/>
        <v>1</v>
      </c>
      <c r="AD273" s="3">
        <f t="shared" si="13"/>
        <v>52325344</v>
      </c>
      <c r="AE273" s="3">
        <f t="shared" si="14"/>
        <v>2</v>
      </c>
      <c r="AF273" s="3">
        <f t="shared" si="15"/>
        <v>26408808</v>
      </c>
      <c r="AG273" s="3">
        <f t="shared" si="16"/>
        <v>5</v>
      </c>
      <c r="AH273" s="3">
        <f t="shared" si="17"/>
        <v>13545768</v>
      </c>
      <c r="AI273" s="3" t="str">
        <f t="shared" si="18"/>
        <v/>
      </c>
      <c r="AJ273" s="3">
        <f t="shared" si="19"/>
        <v>0</v>
      </c>
    </row>
    <row r="274">
      <c r="C274" s="6" t="s">
        <v>274</v>
      </c>
      <c r="D274" s="3">
        <f t="shared" si="1"/>
        <v>2</v>
      </c>
      <c r="E274" s="3" t="str">
        <f>IFERROR(__xludf.DUMMYFUNCTION("REGEXEXTRACT(C274,""[^ ]* [^ ]*"")"),"faded olive")</f>
        <v>faded olive</v>
      </c>
      <c r="F274" s="3" t="str">
        <f>IFERROR(__xludf.DUMMYFUNCTION("MID(REGEXEXTRACT(C274,""contain.*$""),9,300)"),"4 mirrored yellow bags, 4 vibrant tomato bags, 5 muted olive bags.")</f>
        <v>4 mirrored yellow bags, 4 vibrant tomato bags, 5 muted olive bags.</v>
      </c>
      <c r="G274" s="3" t="str">
        <f>IFERROR(__xludf.DUMMYFUNCTION("INDEX(SPLIT($F274,"",""),COLUMN()-6)"),"4 mirrored yellow bags")</f>
        <v>4 mirrored yellow bags</v>
      </c>
      <c r="H274" s="3" t="str">
        <f>IFERROR(__xludf.DUMMYFUNCTION("MID(INDEX(SPLIT($F274,"",""),COLUMN()-6),2,300)"),"4 vibrant tomato bags")</f>
        <v>4 vibrant tomato bags</v>
      </c>
      <c r="I274" s="3" t="str">
        <f>IFERROR(__xludf.DUMMYFUNCTION("MID(INDEX(SPLIT($F274,"",""),COLUMN()-6),2,300)"),"5 muted olive bags.")</f>
        <v>5 muted olive bags.</v>
      </c>
      <c r="J274" s="3" t="str">
        <f>IFERROR(__xludf.DUMMYFUNCTION("MID(INDEX(SPLIT($F274,"",""),COLUMN()-6),2,300)"),"#REF!")</f>
        <v>#REF!</v>
      </c>
      <c r="K274" s="3">
        <f>IFERROR(__xludf.DUMMYFUNCTION("INDEX(SPLIT(G274,"" ""),1)"),4.0)</f>
        <v>4</v>
      </c>
      <c r="L274" s="3" t="str">
        <f>IFERROR(__xludf.DUMMYFUNCTION("REGEXEXTRACT(G274,"" [^ ]* [^ ]* "")")," mirrored yellow ")</f>
        <v> mirrored yellow </v>
      </c>
      <c r="M274" s="3">
        <f>IFERROR(__xludf.DUMMYFUNCTION("INDEX(SPLIT(H274,"" ""),1)"),4.0)</f>
        <v>4</v>
      </c>
      <c r="N274" s="3" t="str">
        <f>IFERROR(__xludf.DUMMYFUNCTION("MID(REGEXEXTRACT(H274,"" [^ ]* [^ ]*""),2,300)"),"vibrant tomato")</f>
        <v>vibrant tomato</v>
      </c>
      <c r="O274" s="3">
        <f>IFERROR(__xludf.DUMMYFUNCTION("INDEX(SPLIT(I274,"" ""),1)"),5.0)</f>
        <v>5</v>
      </c>
      <c r="P274" s="3" t="str">
        <f>IFERROR(__xludf.DUMMYFUNCTION("MID(REGEXEXTRACT(I274,"" [^ ]* [^ ]*""),2,300)"),"muted olive")</f>
        <v>muted olive</v>
      </c>
      <c r="Q274" s="3" t="str">
        <f>IFERROR(__xludf.DUMMYFUNCTION("INDEX(SPLIT(J274,"" ""),1)"),"#REF!")</f>
        <v>#REF!</v>
      </c>
      <c r="R274" s="3" t="str">
        <f>IFERROR(__xludf.DUMMYFUNCTION("MID(REGEXEXTRACT(J274,"" [^ ]* [^ ]*""),2,300)"),"#REF!")</f>
        <v>#REF!</v>
      </c>
      <c r="S274" s="3">
        <f t="shared" si="2"/>
        <v>4</v>
      </c>
      <c r="T274" s="3" t="str">
        <f t="shared" si="3"/>
        <v>mirrored yellow</v>
      </c>
      <c r="U274" s="3">
        <f t="shared" si="4"/>
        <v>4</v>
      </c>
      <c r="V274" s="3" t="str">
        <f t="shared" si="5"/>
        <v>vibrant tomato</v>
      </c>
      <c r="W274" s="3">
        <f t="shared" si="6"/>
        <v>5</v>
      </c>
      <c r="X274" s="3" t="str">
        <f t="shared" si="7"/>
        <v>muted olive</v>
      </c>
      <c r="Y274" s="3" t="str">
        <f t="shared" si="8"/>
        <v/>
      </c>
      <c r="Z274" s="3" t="str">
        <f t="shared" si="9"/>
        <v/>
      </c>
      <c r="AA274" s="13">
        <f t="shared" si="10"/>
        <v>211628595</v>
      </c>
      <c r="AB274" s="3">
        <f t="shared" si="11"/>
        <v>211628594</v>
      </c>
      <c r="AC274" s="3">
        <f t="shared" si="12"/>
        <v>4</v>
      </c>
      <c r="AD274" s="3">
        <f t="shared" si="13"/>
        <v>52501888</v>
      </c>
      <c r="AE274" s="3">
        <f t="shared" si="14"/>
        <v>4</v>
      </c>
      <c r="AF274" s="3">
        <f t="shared" si="15"/>
        <v>405253</v>
      </c>
      <c r="AG274" s="3">
        <f t="shared" si="16"/>
        <v>5</v>
      </c>
      <c r="AH274" s="3">
        <f t="shared" si="17"/>
        <v>6</v>
      </c>
      <c r="AI274" s="3" t="str">
        <f t="shared" si="18"/>
        <v/>
      </c>
      <c r="AJ274" s="3">
        <f t="shared" si="19"/>
        <v>0</v>
      </c>
    </row>
    <row r="275">
      <c r="C275" s="6" t="s">
        <v>275</v>
      </c>
      <c r="D275" s="3">
        <f t="shared" si="1"/>
        <v>1</v>
      </c>
      <c r="E275" s="3" t="str">
        <f>IFERROR(__xludf.DUMMYFUNCTION("REGEXEXTRACT(C275,""[^ ]* [^ ]*"")"),"muted crimson")</f>
        <v>muted crimson</v>
      </c>
      <c r="F275" s="3" t="str">
        <f>IFERROR(__xludf.DUMMYFUNCTION("MID(REGEXEXTRACT(C275,""contain.*$""),9,300)"),"1 mirrored gray bag, 4 dim violet bags.")</f>
        <v>1 mirrored gray bag, 4 dim violet bags.</v>
      </c>
      <c r="G275" s="3" t="str">
        <f>IFERROR(__xludf.DUMMYFUNCTION("INDEX(SPLIT($F275,"",""),COLUMN()-6)"),"1 mirrored gray bag")</f>
        <v>1 mirrored gray bag</v>
      </c>
      <c r="H275" s="3" t="str">
        <f>IFERROR(__xludf.DUMMYFUNCTION("MID(INDEX(SPLIT($F275,"",""),COLUMN()-6),2,300)"),"4 dim violet bags.")</f>
        <v>4 dim violet bags.</v>
      </c>
      <c r="I275" s="3" t="str">
        <f>IFERROR(__xludf.DUMMYFUNCTION("MID(INDEX(SPLIT($F275,"",""),COLUMN()-6),2,300)"),"#REF!")</f>
        <v>#REF!</v>
      </c>
      <c r="J275" s="3" t="str">
        <f>IFERROR(__xludf.DUMMYFUNCTION("MID(INDEX(SPLIT($F275,"",""),COLUMN()-6),2,300)"),"#REF!")</f>
        <v>#REF!</v>
      </c>
      <c r="K275" s="3">
        <f>IFERROR(__xludf.DUMMYFUNCTION("INDEX(SPLIT(G275,"" ""),1)"),1.0)</f>
        <v>1</v>
      </c>
      <c r="L275" s="3" t="str">
        <f>IFERROR(__xludf.DUMMYFUNCTION("REGEXEXTRACT(G275,"" [^ ]* [^ ]* "")")," mirrored gray ")</f>
        <v> mirrored gray </v>
      </c>
      <c r="M275" s="3">
        <f>IFERROR(__xludf.DUMMYFUNCTION("INDEX(SPLIT(H275,"" ""),1)"),4.0)</f>
        <v>4</v>
      </c>
      <c r="N275" s="3" t="str">
        <f>IFERROR(__xludf.DUMMYFUNCTION("MID(REGEXEXTRACT(H275,"" [^ ]* [^ ]*""),2,300)"),"dim violet")</f>
        <v>dim violet</v>
      </c>
      <c r="O275" s="3" t="str">
        <f>IFERROR(__xludf.DUMMYFUNCTION("INDEX(SPLIT(I275,"" ""),1)"),"#REF!")</f>
        <v>#REF!</v>
      </c>
      <c r="P275" s="3" t="str">
        <f>IFERROR(__xludf.DUMMYFUNCTION("MID(REGEXEXTRACT(I275,"" [^ ]* [^ ]*""),2,300)"),"#REF!")</f>
        <v>#REF!</v>
      </c>
      <c r="Q275" s="3" t="str">
        <f>IFERROR(__xludf.DUMMYFUNCTION("INDEX(SPLIT(J275,"" ""),1)"),"#REF!")</f>
        <v>#REF!</v>
      </c>
      <c r="R275" s="3" t="str">
        <f>IFERROR(__xludf.DUMMYFUNCTION("MID(REGEXEXTRACT(J275,"" [^ ]* [^ ]*""),2,300)"),"#REF!")</f>
        <v>#REF!</v>
      </c>
      <c r="S275" s="3">
        <f t="shared" si="2"/>
        <v>1</v>
      </c>
      <c r="T275" s="3" t="str">
        <f t="shared" si="3"/>
        <v>mirrored gray</v>
      </c>
      <c r="U275" s="3">
        <f t="shared" si="4"/>
        <v>4</v>
      </c>
      <c r="V275" s="3" t="str">
        <f t="shared" si="5"/>
        <v>dim violet</v>
      </c>
      <c r="W275" s="3" t="str">
        <f t="shared" si="6"/>
        <v/>
      </c>
      <c r="X275" s="3" t="str">
        <f t="shared" si="7"/>
        <v/>
      </c>
      <c r="Y275" s="3" t="str">
        <f t="shared" si="8"/>
        <v/>
      </c>
      <c r="Z275" s="3" t="str">
        <f t="shared" si="9"/>
        <v/>
      </c>
      <c r="AA275" s="13">
        <f t="shared" si="10"/>
        <v>621</v>
      </c>
      <c r="AB275" s="3">
        <f t="shared" si="11"/>
        <v>620</v>
      </c>
      <c r="AC275" s="3">
        <f t="shared" si="12"/>
        <v>1</v>
      </c>
      <c r="AD275" s="3">
        <f t="shared" si="13"/>
        <v>8</v>
      </c>
      <c r="AE275" s="3">
        <f t="shared" si="14"/>
        <v>4</v>
      </c>
      <c r="AF275" s="3">
        <f t="shared" si="15"/>
        <v>153</v>
      </c>
      <c r="AG275" s="3" t="str">
        <f t="shared" si="16"/>
        <v/>
      </c>
      <c r="AH275" s="3">
        <f t="shared" si="17"/>
        <v>0</v>
      </c>
      <c r="AI275" s="3" t="str">
        <f t="shared" si="18"/>
        <v/>
      </c>
      <c r="AJ275" s="3">
        <f t="shared" si="19"/>
        <v>0</v>
      </c>
    </row>
    <row r="276">
      <c r="C276" s="6" t="s">
        <v>276</v>
      </c>
      <c r="D276" s="3">
        <f t="shared" si="1"/>
        <v>1</v>
      </c>
      <c r="E276" s="3" t="str">
        <f>IFERROR(__xludf.DUMMYFUNCTION("REGEXEXTRACT(C276,""[^ ]* [^ ]*"")"),"drab chartreuse")</f>
        <v>drab chartreuse</v>
      </c>
      <c r="F276" s="3" t="str">
        <f>IFERROR(__xludf.DUMMYFUNCTION("MID(REGEXEXTRACT(C276,""contain.*$""),9,300)"),"1 pale olive bag, 1 vibrant plum bag.")</f>
        <v>1 pale olive bag, 1 vibrant plum bag.</v>
      </c>
      <c r="G276" s="3" t="str">
        <f>IFERROR(__xludf.DUMMYFUNCTION("INDEX(SPLIT($F276,"",""),COLUMN()-6)"),"1 pale olive bag")</f>
        <v>1 pale olive bag</v>
      </c>
      <c r="H276" s="3" t="str">
        <f>IFERROR(__xludf.DUMMYFUNCTION("MID(INDEX(SPLIT($F276,"",""),COLUMN()-6),2,300)"),"1 vibrant plum bag.")</f>
        <v>1 vibrant plum bag.</v>
      </c>
      <c r="I276" s="3" t="str">
        <f>IFERROR(__xludf.DUMMYFUNCTION("MID(INDEX(SPLIT($F276,"",""),COLUMN()-6),2,300)"),"#REF!")</f>
        <v>#REF!</v>
      </c>
      <c r="J276" s="3" t="str">
        <f>IFERROR(__xludf.DUMMYFUNCTION("MID(INDEX(SPLIT($F276,"",""),COLUMN()-6),2,300)"),"#REF!")</f>
        <v>#REF!</v>
      </c>
      <c r="K276" s="3">
        <f>IFERROR(__xludf.DUMMYFUNCTION("INDEX(SPLIT(G276,"" ""),1)"),1.0)</f>
        <v>1</v>
      </c>
      <c r="L276" s="3" t="str">
        <f>IFERROR(__xludf.DUMMYFUNCTION("REGEXEXTRACT(G276,"" [^ ]* [^ ]* "")")," pale olive ")</f>
        <v> pale olive </v>
      </c>
      <c r="M276" s="3">
        <f>IFERROR(__xludf.DUMMYFUNCTION("INDEX(SPLIT(H276,"" ""),1)"),1.0)</f>
        <v>1</v>
      </c>
      <c r="N276" s="3" t="str">
        <f>IFERROR(__xludf.DUMMYFUNCTION("MID(REGEXEXTRACT(H276,"" [^ ]* [^ ]*""),2,300)"),"vibrant plum")</f>
        <v>vibrant plum</v>
      </c>
      <c r="O276" s="3" t="str">
        <f>IFERROR(__xludf.DUMMYFUNCTION("INDEX(SPLIT(I276,"" ""),1)"),"#REF!")</f>
        <v>#REF!</v>
      </c>
      <c r="P276" s="3" t="str">
        <f>IFERROR(__xludf.DUMMYFUNCTION("MID(REGEXEXTRACT(I276,"" [^ ]* [^ ]*""),2,300)"),"#REF!")</f>
        <v>#REF!</v>
      </c>
      <c r="Q276" s="3" t="str">
        <f>IFERROR(__xludf.DUMMYFUNCTION("INDEX(SPLIT(J276,"" ""),1)"),"#REF!")</f>
        <v>#REF!</v>
      </c>
      <c r="R276" s="3" t="str">
        <f>IFERROR(__xludf.DUMMYFUNCTION("MID(REGEXEXTRACT(J276,"" [^ ]* [^ ]*""),2,300)"),"#REF!")</f>
        <v>#REF!</v>
      </c>
      <c r="S276" s="3">
        <f t="shared" si="2"/>
        <v>1</v>
      </c>
      <c r="T276" s="3" t="str">
        <f t="shared" si="3"/>
        <v>pale olive</v>
      </c>
      <c r="U276" s="3">
        <f t="shared" si="4"/>
        <v>1</v>
      </c>
      <c r="V276" s="3" t="str">
        <f t="shared" si="5"/>
        <v>vibrant plum</v>
      </c>
      <c r="W276" s="3" t="str">
        <f t="shared" si="6"/>
        <v/>
      </c>
      <c r="X276" s="3" t="str">
        <f t="shared" si="7"/>
        <v/>
      </c>
      <c r="Y276" s="3" t="str">
        <f t="shared" si="8"/>
        <v/>
      </c>
      <c r="Z276" s="3" t="str">
        <f t="shared" si="9"/>
        <v/>
      </c>
      <c r="AA276" s="13">
        <f t="shared" si="10"/>
        <v>26949</v>
      </c>
      <c r="AB276" s="3">
        <f t="shared" si="11"/>
        <v>26948</v>
      </c>
      <c r="AC276" s="3">
        <f t="shared" si="12"/>
        <v>1</v>
      </c>
      <c r="AD276" s="3">
        <f t="shared" si="13"/>
        <v>306</v>
      </c>
      <c r="AE276" s="3">
        <f t="shared" si="14"/>
        <v>1</v>
      </c>
      <c r="AF276" s="3">
        <f t="shared" si="15"/>
        <v>26642</v>
      </c>
      <c r="AG276" s="3" t="str">
        <f t="shared" si="16"/>
        <v/>
      </c>
      <c r="AH276" s="3">
        <f t="shared" si="17"/>
        <v>0</v>
      </c>
      <c r="AI276" s="3" t="str">
        <f t="shared" si="18"/>
        <v/>
      </c>
      <c r="AJ276" s="3">
        <f t="shared" si="19"/>
        <v>0</v>
      </c>
    </row>
    <row r="277">
      <c r="C277" s="6" t="s">
        <v>277</v>
      </c>
      <c r="D277" s="3">
        <f t="shared" si="1"/>
        <v>0</v>
      </c>
      <c r="E277" s="3" t="str">
        <f>IFERROR(__xludf.DUMMYFUNCTION("REGEXEXTRACT(C277,""[^ ]* [^ ]*"")"),"wavy cyan")</f>
        <v>wavy cyan</v>
      </c>
      <c r="F277" s="3" t="str">
        <f>IFERROR(__xludf.DUMMYFUNCTION("MID(REGEXEXTRACT(C277,""contain.*$""),9,300)"),"2 mirrored coral bags.")</f>
        <v>2 mirrored coral bags.</v>
      </c>
      <c r="G277" s="3" t="str">
        <f>IFERROR(__xludf.DUMMYFUNCTION("INDEX(SPLIT($F277,"",""),COLUMN()-6)"),"2 mirrored coral bags.")</f>
        <v>2 mirrored coral bags.</v>
      </c>
      <c r="H277" s="3" t="str">
        <f>IFERROR(__xludf.DUMMYFUNCTION("MID(INDEX(SPLIT($F277,"",""),COLUMN()-6),2,300)"),"#REF!")</f>
        <v>#REF!</v>
      </c>
      <c r="I277" s="3" t="str">
        <f>IFERROR(__xludf.DUMMYFUNCTION("MID(INDEX(SPLIT($F277,"",""),COLUMN()-6),2,300)"),"#REF!")</f>
        <v>#REF!</v>
      </c>
      <c r="J277" s="3" t="str">
        <f>IFERROR(__xludf.DUMMYFUNCTION("MID(INDEX(SPLIT($F277,"",""),COLUMN()-6),2,300)"),"#REF!")</f>
        <v>#REF!</v>
      </c>
      <c r="K277" s="3">
        <f>IFERROR(__xludf.DUMMYFUNCTION("INDEX(SPLIT(G277,"" ""),1)"),2.0)</f>
        <v>2</v>
      </c>
      <c r="L277" s="3" t="str">
        <f>IFERROR(__xludf.DUMMYFUNCTION("REGEXEXTRACT(G277,"" [^ ]* [^ ]* "")")," mirrored coral ")</f>
        <v> mirrored coral </v>
      </c>
      <c r="M277" s="3" t="str">
        <f>IFERROR(__xludf.DUMMYFUNCTION("INDEX(SPLIT(H277,"" ""),1)"),"#REF!")</f>
        <v>#REF!</v>
      </c>
      <c r="N277" s="3" t="str">
        <f>IFERROR(__xludf.DUMMYFUNCTION("MID(REGEXEXTRACT(H277,"" [^ ]* [^ ]*""),2,300)"),"#REF!")</f>
        <v>#REF!</v>
      </c>
      <c r="O277" s="3" t="str">
        <f>IFERROR(__xludf.DUMMYFUNCTION("INDEX(SPLIT(I277,"" ""),1)"),"#REF!")</f>
        <v>#REF!</v>
      </c>
      <c r="P277" s="3" t="str">
        <f>IFERROR(__xludf.DUMMYFUNCTION("MID(REGEXEXTRACT(I277,"" [^ ]* [^ ]*""),2,300)"),"#REF!")</f>
        <v>#REF!</v>
      </c>
      <c r="Q277" s="3" t="str">
        <f>IFERROR(__xludf.DUMMYFUNCTION("INDEX(SPLIT(J277,"" ""),1)"),"#REF!")</f>
        <v>#REF!</v>
      </c>
      <c r="R277" s="3" t="str">
        <f>IFERROR(__xludf.DUMMYFUNCTION("MID(REGEXEXTRACT(J277,"" [^ ]* [^ ]*""),2,300)"),"#REF!")</f>
        <v>#REF!</v>
      </c>
      <c r="S277" s="3">
        <f t="shared" si="2"/>
        <v>2</v>
      </c>
      <c r="T277" s="3" t="str">
        <f t="shared" si="3"/>
        <v>mirrored coral</v>
      </c>
      <c r="U277" s="3" t="str">
        <f t="shared" si="4"/>
        <v/>
      </c>
      <c r="V277" s="3" t="str">
        <f t="shared" si="5"/>
        <v/>
      </c>
      <c r="W277" s="3" t="str">
        <f t="shared" si="6"/>
        <v/>
      </c>
      <c r="X277" s="3" t="str">
        <f t="shared" si="7"/>
        <v/>
      </c>
      <c r="Y277" s="3" t="str">
        <f t="shared" si="8"/>
        <v/>
      </c>
      <c r="Z277" s="3" t="str">
        <f t="shared" si="9"/>
        <v/>
      </c>
      <c r="AA277" s="13">
        <f t="shared" si="10"/>
        <v>106571</v>
      </c>
      <c r="AB277" s="3">
        <f t="shared" si="11"/>
        <v>106570</v>
      </c>
      <c r="AC277" s="3">
        <f t="shared" si="12"/>
        <v>2</v>
      </c>
      <c r="AD277" s="3">
        <f t="shared" si="13"/>
        <v>53285</v>
      </c>
      <c r="AE277" s="3" t="str">
        <f t="shared" si="14"/>
        <v/>
      </c>
      <c r="AF277" s="3">
        <f t="shared" si="15"/>
        <v>0</v>
      </c>
      <c r="AG277" s="3" t="str">
        <f t="shared" si="16"/>
        <v/>
      </c>
      <c r="AH277" s="3">
        <f t="shared" si="17"/>
        <v>0</v>
      </c>
      <c r="AI277" s="3" t="str">
        <f t="shared" si="18"/>
        <v/>
      </c>
      <c r="AJ277" s="3">
        <f t="shared" si="19"/>
        <v>0</v>
      </c>
    </row>
    <row r="278">
      <c r="C278" s="6" t="s">
        <v>278</v>
      </c>
      <c r="D278" s="3">
        <f t="shared" si="1"/>
        <v>2</v>
      </c>
      <c r="E278" s="3" t="str">
        <f>IFERROR(__xludf.DUMMYFUNCTION("REGEXEXTRACT(C278,""[^ ]* [^ ]*"")"),"mirrored plum")</f>
        <v>mirrored plum</v>
      </c>
      <c r="F278" s="3" t="str">
        <f>IFERROR(__xludf.DUMMYFUNCTION("MID(REGEXEXTRACT(C278,""contain.*$""),9,300)"),"3 bright turquoise bags, 3 dark beige bags, 4 mirrored beige bags.")</f>
        <v>3 bright turquoise bags, 3 dark beige bags, 4 mirrored beige bags.</v>
      </c>
      <c r="G278" s="3" t="str">
        <f>IFERROR(__xludf.DUMMYFUNCTION("INDEX(SPLIT($F278,"",""),COLUMN()-6)"),"3 bright turquoise bags")</f>
        <v>3 bright turquoise bags</v>
      </c>
      <c r="H278" s="3" t="str">
        <f>IFERROR(__xludf.DUMMYFUNCTION("MID(INDEX(SPLIT($F278,"",""),COLUMN()-6),2,300)"),"3 dark beige bags")</f>
        <v>3 dark beige bags</v>
      </c>
      <c r="I278" s="3" t="str">
        <f>IFERROR(__xludf.DUMMYFUNCTION("MID(INDEX(SPLIT($F278,"",""),COLUMN()-6),2,300)"),"4 mirrored beige bags.")</f>
        <v>4 mirrored beige bags.</v>
      </c>
      <c r="J278" s="3" t="str">
        <f>IFERROR(__xludf.DUMMYFUNCTION("MID(INDEX(SPLIT($F278,"",""),COLUMN()-6),2,300)"),"#REF!")</f>
        <v>#REF!</v>
      </c>
      <c r="K278" s="3">
        <f>IFERROR(__xludf.DUMMYFUNCTION("INDEX(SPLIT(G278,"" ""),1)"),3.0)</f>
        <v>3</v>
      </c>
      <c r="L278" s="3" t="str">
        <f>IFERROR(__xludf.DUMMYFUNCTION("REGEXEXTRACT(G278,"" [^ ]* [^ ]* "")")," bright turquoise ")</f>
        <v> bright turquoise </v>
      </c>
      <c r="M278" s="3">
        <f>IFERROR(__xludf.DUMMYFUNCTION("INDEX(SPLIT(H278,"" ""),1)"),3.0)</f>
        <v>3</v>
      </c>
      <c r="N278" s="3" t="str">
        <f>IFERROR(__xludf.DUMMYFUNCTION("MID(REGEXEXTRACT(H278,"" [^ ]* [^ ]*""),2,300)"),"dark beige")</f>
        <v>dark beige</v>
      </c>
      <c r="O278" s="3">
        <f>IFERROR(__xludf.DUMMYFUNCTION("INDEX(SPLIT(I278,"" ""),1)"),4.0)</f>
        <v>4</v>
      </c>
      <c r="P278" s="3" t="str">
        <f>IFERROR(__xludf.DUMMYFUNCTION("MID(REGEXEXTRACT(I278,"" [^ ]* [^ ]*""),2,300)"),"mirrored beige")</f>
        <v>mirrored beige</v>
      </c>
      <c r="Q278" s="3" t="str">
        <f>IFERROR(__xludf.DUMMYFUNCTION("INDEX(SPLIT(J278,"" ""),1)"),"#REF!")</f>
        <v>#REF!</v>
      </c>
      <c r="R278" s="3" t="str">
        <f>IFERROR(__xludf.DUMMYFUNCTION("MID(REGEXEXTRACT(J278,"" [^ ]* [^ ]*""),2,300)"),"#REF!")</f>
        <v>#REF!</v>
      </c>
      <c r="S278" s="3">
        <f t="shared" si="2"/>
        <v>3</v>
      </c>
      <c r="T278" s="3" t="str">
        <f t="shared" si="3"/>
        <v>bright turquoise</v>
      </c>
      <c r="U278" s="3">
        <f t="shared" si="4"/>
        <v>3</v>
      </c>
      <c r="V278" s="3" t="str">
        <f t="shared" si="5"/>
        <v>dark beige</v>
      </c>
      <c r="W278" s="3">
        <f t="shared" si="6"/>
        <v>4</v>
      </c>
      <c r="X278" s="3" t="str">
        <f t="shared" si="7"/>
        <v>mirrored beige</v>
      </c>
      <c r="Y278" s="3" t="str">
        <f t="shared" si="8"/>
        <v/>
      </c>
      <c r="Z278" s="3" t="str">
        <f t="shared" si="9"/>
        <v/>
      </c>
      <c r="AA278" s="13">
        <f t="shared" si="10"/>
        <v>40818760</v>
      </c>
      <c r="AB278" s="3">
        <f t="shared" si="11"/>
        <v>40818759</v>
      </c>
      <c r="AC278" s="3">
        <f t="shared" si="12"/>
        <v>3</v>
      </c>
      <c r="AD278" s="3">
        <f t="shared" si="13"/>
        <v>12227506</v>
      </c>
      <c r="AE278" s="3">
        <f t="shared" si="14"/>
        <v>3</v>
      </c>
      <c r="AF278" s="3">
        <f t="shared" si="15"/>
        <v>581115</v>
      </c>
      <c r="AG278" s="3">
        <f t="shared" si="16"/>
        <v>4</v>
      </c>
      <c r="AH278" s="3">
        <f t="shared" si="17"/>
        <v>598224</v>
      </c>
      <c r="AI278" s="3" t="str">
        <f t="shared" si="18"/>
        <v/>
      </c>
      <c r="AJ278" s="3">
        <f t="shared" si="19"/>
        <v>0</v>
      </c>
    </row>
    <row r="279">
      <c r="C279" s="6" t="s">
        <v>279</v>
      </c>
      <c r="D279" s="3">
        <f t="shared" si="1"/>
        <v>0</v>
      </c>
      <c r="E279" s="3" t="str">
        <f>IFERROR(__xludf.DUMMYFUNCTION("REGEXEXTRACT(C279,""[^ ]* [^ ]*"")"),"plaid lavender")</f>
        <v>plaid lavender</v>
      </c>
      <c r="F279" s="3" t="str">
        <f>IFERROR(__xludf.DUMMYFUNCTION("MID(REGEXEXTRACT(C279,""contain.*$""),9,300)"),"1 drab white bag.")</f>
        <v>1 drab white bag.</v>
      </c>
      <c r="G279" s="3" t="str">
        <f>IFERROR(__xludf.DUMMYFUNCTION("INDEX(SPLIT($F279,"",""),COLUMN()-6)"),"1 drab white bag.")</f>
        <v>1 drab white bag.</v>
      </c>
      <c r="H279" s="3" t="str">
        <f>IFERROR(__xludf.DUMMYFUNCTION("MID(INDEX(SPLIT($F279,"",""),COLUMN()-6),2,300)"),"#REF!")</f>
        <v>#REF!</v>
      </c>
      <c r="I279" s="3" t="str">
        <f>IFERROR(__xludf.DUMMYFUNCTION("MID(INDEX(SPLIT($F279,"",""),COLUMN()-6),2,300)"),"#REF!")</f>
        <v>#REF!</v>
      </c>
      <c r="J279" s="3" t="str">
        <f>IFERROR(__xludf.DUMMYFUNCTION("MID(INDEX(SPLIT($F279,"",""),COLUMN()-6),2,300)"),"#REF!")</f>
        <v>#REF!</v>
      </c>
      <c r="K279" s="3">
        <f>IFERROR(__xludf.DUMMYFUNCTION("INDEX(SPLIT(G279,"" ""),1)"),1.0)</f>
        <v>1</v>
      </c>
      <c r="L279" s="3" t="str">
        <f>IFERROR(__xludf.DUMMYFUNCTION("REGEXEXTRACT(G279,"" [^ ]* [^ ]* "")")," drab white ")</f>
        <v> drab white </v>
      </c>
      <c r="M279" s="3" t="str">
        <f>IFERROR(__xludf.DUMMYFUNCTION("INDEX(SPLIT(H279,"" ""),1)"),"#REF!")</f>
        <v>#REF!</v>
      </c>
      <c r="N279" s="3" t="str">
        <f>IFERROR(__xludf.DUMMYFUNCTION("MID(REGEXEXTRACT(H279,"" [^ ]* [^ ]*""),2,300)"),"#REF!")</f>
        <v>#REF!</v>
      </c>
      <c r="O279" s="3" t="str">
        <f>IFERROR(__xludf.DUMMYFUNCTION("INDEX(SPLIT(I279,"" ""),1)"),"#REF!")</f>
        <v>#REF!</v>
      </c>
      <c r="P279" s="3" t="str">
        <f>IFERROR(__xludf.DUMMYFUNCTION("MID(REGEXEXTRACT(I279,"" [^ ]* [^ ]*""),2,300)"),"#REF!")</f>
        <v>#REF!</v>
      </c>
      <c r="Q279" s="3" t="str">
        <f>IFERROR(__xludf.DUMMYFUNCTION("INDEX(SPLIT(J279,"" ""),1)"),"#REF!")</f>
        <v>#REF!</v>
      </c>
      <c r="R279" s="3" t="str">
        <f>IFERROR(__xludf.DUMMYFUNCTION("MID(REGEXEXTRACT(J279,"" [^ ]* [^ ]*""),2,300)"),"#REF!")</f>
        <v>#REF!</v>
      </c>
      <c r="S279" s="3">
        <f t="shared" si="2"/>
        <v>1</v>
      </c>
      <c r="T279" s="3" t="str">
        <f t="shared" si="3"/>
        <v>drab white</v>
      </c>
      <c r="U279" s="3" t="str">
        <f t="shared" si="4"/>
        <v/>
      </c>
      <c r="V279" s="3" t="str">
        <f t="shared" si="5"/>
        <v/>
      </c>
      <c r="W279" s="3" t="str">
        <f t="shared" si="6"/>
        <v/>
      </c>
      <c r="X279" s="3" t="str">
        <f t="shared" si="7"/>
        <v/>
      </c>
      <c r="Y279" s="3" t="str">
        <f t="shared" si="8"/>
        <v/>
      </c>
      <c r="Z279" s="3" t="str">
        <f t="shared" si="9"/>
        <v/>
      </c>
      <c r="AA279" s="13">
        <f t="shared" si="10"/>
        <v>14962</v>
      </c>
      <c r="AB279" s="3">
        <f t="shared" si="11"/>
        <v>14961</v>
      </c>
      <c r="AC279" s="3">
        <f t="shared" si="12"/>
        <v>1</v>
      </c>
      <c r="AD279" s="3">
        <f t="shared" si="13"/>
        <v>14961</v>
      </c>
      <c r="AE279" s="3" t="str">
        <f t="shared" si="14"/>
        <v/>
      </c>
      <c r="AF279" s="3">
        <f t="shared" si="15"/>
        <v>0</v>
      </c>
      <c r="AG279" s="3" t="str">
        <f t="shared" si="16"/>
        <v/>
      </c>
      <c r="AH279" s="3">
        <f t="shared" si="17"/>
        <v>0</v>
      </c>
      <c r="AI279" s="3" t="str">
        <f t="shared" si="18"/>
        <v/>
      </c>
      <c r="AJ279" s="3">
        <f t="shared" si="19"/>
        <v>0</v>
      </c>
    </row>
    <row r="280">
      <c r="C280" s="6" t="s">
        <v>280</v>
      </c>
      <c r="D280" s="3">
        <f t="shared" si="1"/>
        <v>3</v>
      </c>
      <c r="E280" s="3" t="str">
        <f>IFERROR(__xludf.DUMMYFUNCTION("REGEXEXTRACT(C280,""[^ ]* [^ ]*"")"),"muted gold")</f>
        <v>muted gold</v>
      </c>
      <c r="F280" s="3" t="str">
        <f>IFERROR(__xludf.DUMMYFUNCTION("MID(REGEXEXTRACT(C280,""contain.*$""),9,300)"),"1 clear black bag, 2 light orange bags, 4 dotted red bags, 4 dull silver bags.")</f>
        <v>1 clear black bag, 2 light orange bags, 4 dotted red bags, 4 dull silver bags.</v>
      </c>
      <c r="G280" s="3" t="str">
        <f>IFERROR(__xludf.DUMMYFUNCTION("INDEX(SPLIT($F280,"",""),COLUMN()-6)"),"1 clear black bag")</f>
        <v>1 clear black bag</v>
      </c>
      <c r="H280" s="3" t="str">
        <f>IFERROR(__xludf.DUMMYFUNCTION("MID(INDEX(SPLIT($F280,"",""),COLUMN()-6),2,300)"),"2 light orange bags")</f>
        <v>2 light orange bags</v>
      </c>
      <c r="I280" s="3" t="str">
        <f>IFERROR(__xludf.DUMMYFUNCTION("MID(INDEX(SPLIT($F280,"",""),COLUMN()-6),2,300)"),"4 dotted red bags")</f>
        <v>4 dotted red bags</v>
      </c>
      <c r="J280" s="3" t="str">
        <f>IFERROR(__xludf.DUMMYFUNCTION("MID(INDEX(SPLIT($F280,"",""),COLUMN()-6),2,300)"),"4 dull silver bags.")</f>
        <v>4 dull silver bags.</v>
      </c>
      <c r="K280" s="3">
        <f>IFERROR(__xludf.DUMMYFUNCTION("INDEX(SPLIT(G280,"" ""),1)"),1.0)</f>
        <v>1</v>
      </c>
      <c r="L280" s="3" t="str">
        <f>IFERROR(__xludf.DUMMYFUNCTION("REGEXEXTRACT(G280,"" [^ ]* [^ ]* "")")," clear black ")</f>
        <v> clear black </v>
      </c>
      <c r="M280" s="3">
        <f>IFERROR(__xludf.DUMMYFUNCTION("INDEX(SPLIT(H280,"" ""),1)"),2.0)</f>
        <v>2</v>
      </c>
      <c r="N280" s="3" t="str">
        <f>IFERROR(__xludf.DUMMYFUNCTION("MID(REGEXEXTRACT(H280,"" [^ ]* [^ ]*""),2,300)"),"light orange")</f>
        <v>light orange</v>
      </c>
      <c r="O280" s="3">
        <f>IFERROR(__xludf.DUMMYFUNCTION("INDEX(SPLIT(I280,"" ""),1)"),4.0)</f>
        <v>4</v>
      </c>
      <c r="P280" s="3" t="str">
        <f>IFERROR(__xludf.DUMMYFUNCTION("MID(REGEXEXTRACT(I280,"" [^ ]* [^ ]*""),2,300)"),"dotted red")</f>
        <v>dotted red</v>
      </c>
      <c r="Q280" s="3">
        <f>IFERROR(__xludf.DUMMYFUNCTION("INDEX(SPLIT(J280,"" ""),1)"),4.0)</f>
        <v>4</v>
      </c>
      <c r="R280" s="3" t="str">
        <f>IFERROR(__xludf.DUMMYFUNCTION("MID(REGEXEXTRACT(J280,"" [^ ]* [^ ]*""),2,300)"),"dull silver")</f>
        <v>dull silver</v>
      </c>
      <c r="S280" s="3">
        <f t="shared" si="2"/>
        <v>1</v>
      </c>
      <c r="T280" s="3" t="str">
        <f t="shared" si="3"/>
        <v>clear black</v>
      </c>
      <c r="U280" s="3">
        <f t="shared" si="4"/>
        <v>2</v>
      </c>
      <c r="V280" s="3" t="str">
        <f t="shared" si="5"/>
        <v>light orange</v>
      </c>
      <c r="W280" s="3">
        <f t="shared" si="6"/>
        <v>4</v>
      </c>
      <c r="X280" s="3" t="str">
        <f t="shared" si="7"/>
        <v>dotted red</v>
      </c>
      <c r="Y280" s="3">
        <f t="shared" si="8"/>
        <v>4</v>
      </c>
      <c r="Z280" s="3" t="str">
        <f t="shared" si="9"/>
        <v>dull silver</v>
      </c>
      <c r="AA280" s="13">
        <f t="shared" si="10"/>
        <v>5405600651</v>
      </c>
      <c r="AB280" s="3">
        <f t="shared" si="11"/>
        <v>5405600650</v>
      </c>
      <c r="AC280" s="3">
        <f t="shared" si="12"/>
        <v>1</v>
      </c>
      <c r="AD280" s="3">
        <f t="shared" si="13"/>
        <v>12</v>
      </c>
      <c r="AE280" s="3">
        <f t="shared" si="14"/>
        <v>2</v>
      </c>
      <c r="AF280" s="3">
        <f t="shared" si="15"/>
        <v>4507599</v>
      </c>
      <c r="AG280" s="3">
        <f t="shared" si="16"/>
        <v>4</v>
      </c>
      <c r="AH280" s="3">
        <f t="shared" si="17"/>
        <v>1244051275</v>
      </c>
      <c r="AI280" s="3">
        <f t="shared" si="18"/>
        <v>4</v>
      </c>
      <c r="AJ280" s="3">
        <f t="shared" si="19"/>
        <v>105095085</v>
      </c>
    </row>
    <row r="281">
      <c r="C281" s="6" t="s">
        <v>281</v>
      </c>
      <c r="D281" s="3">
        <f t="shared" si="1"/>
        <v>0</v>
      </c>
      <c r="E281" s="3" t="str">
        <f>IFERROR(__xludf.DUMMYFUNCTION("REGEXEXTRACT(C281,""[^ ]* [^ ]*"")"),"faded bronze")</f>
        <v>faded bronze</v>
      </c>
      <c r="F281" s="3" t="str">
        <f>IFERROR(__xludf.DUMMYFUNCTION("MID(REGEXEXTRACT(C281,""contain.*$""),9,300)"),"4 posh plum bags.")</f>
        <v>4 posh plum bags.</v>
      </c>
      <c r="G281" s="3" t="str">
        <f>IFERROR(__xludf.DUMMYFUNCTION("INDEX(SPLIT($F281,"",""),COLUMN()-6)"),"4 posh plum bags.")</f>
        <v>4 posh plum bags.</v>
      </c>
      <c r="H281" s="3" t="str">
        <f>IFERROR(__xludf.DUMMYFUNCTION("MID(INDEX(SPLIT($F281,"",""),COLUMN()-6),2,300)"),"#REF!")</f>
        <v>#REF!</v>
      </c>
      <c r="I281" s="3" t="str">
        <f>IFERROR(__xludf.DUMMYFUNCTION("MID(INDEX(SPLIT($F281,"",""),COLUMN()-6),2,300)"),"#REF!")</f>
        <v>#REF!</v>
      </c>
      <c r="J281" s="3" t="str">
        <f>IFERROR(__xludf.DUMMYFUNCTION("MID(INDEX(SPLIT($F281,"",""),COLUMN()-6),2,300)"),"#REF!")</f>
        <v>#REF!</v>
      </c>
      <c r="K281" s="3">
        <f>IFERROR(__xludf.DUMMYFUNCTION("INDEX(SPLIT(G281,"" ""),1)"),4.0)</f>
        <v>4</v>
      </c>
      <c r="L281" s="3" t="str">
        <f>IFERROR(__xludf.DUMMYFUNCTION("REGEXEXTRACT(G281,"" [^ ]* [^ ]* "")")," posh plum ")</f>
        <v> posh plum </v>
      </c>
      <c r="M281" s="3" t="str">
        <f>IFERROR(__xludf.DUMMYFUNCTION("INDEX(SPLIT(H281,"" ""),1)"),"#REF!")</f>
        <v>#REF!</v>
      </c>
      <c r="N281" s="3" t="str">
        <f>IFERROR(__xludf.DUMMYFUNCTION("MID(REGEXEXTRACT(H281,"" [^ ]* [^ ]*""),2,300)"),"#REF!")</f>
        <v>#REF!</v>
      </c>
      <c r="O281" s="3" t="str">
        <f>IFERROR(__xludf.DUMMYFUNCTION("INDEX(SPLIT(I281,"" ""),1)"),"#REF!")</f>
        <v>#REF!</v>
      </c>
      <c r="P281" s="3" t="str">
        <f>IFERROR(__xludf.DUMMYFUNCTION("MID(REGEXEXTRACT(I281,"" [^ ]* [^ ]*""),2,300)"),"#REF!")</f>
        <v>#REF!</v>
      </c>
      <c r="Q281" s="3" t="str">
        <f>IFERROR(__xludf.DUMMYFUNCTION("INDEX(SPLIT(J281,"" ""),1)"),"#REF!")</f>
        <v>#REF!</v>
      </c>
      <c r="R281" s="3" t="str">
        <f>IFERROR(__xludf.DUMMYFUNCTION("MID(REGEXEXTRACT(J281,"" [^ ]* [^ ]*""),2,300)"),"#REF!")</f>
        <v>#REF!</v>
      </c>
      <c r="S281" s="3">
        <f t="shared" si="2"/>
        <v>4</v>
      </c>
      <c r="T281" s="3" t="str">
        <f t="shared" si="3"/>
        <v>posh plum</v>
      </c>
      <c r="U281" s="3" t="str">
        <f t="shared" si="4"/>
        <v/>
      </c>
      <c r="V281" s="3" t="str">
        <f t="shared" si="5"/>
        <v/>
      </c>
      <c r="W281" s="3" t="str">
        <f t="shared" si="6"/>
        <v/>
      </c>
      <c r="X281" s="3" t="str">
        <f t="shared" si="7"/>
        <v/>
      </c>
      <c r="Y281" s="3" t="str">
        <f t="shared" si="8"/>
        <v/>
      </c>
      <c r="Z281" s="3" t="str">
        <f t="shared" si="9"/>
        <v/>
      </c>
      <c r="AA281" s="13">
        <f t="shared" si="10"/>
        <v>24729</v>
      </c>
      <c r="AB281" s="3">
        <f t="shared" si="11"/>
        <v>24728</v>
      </c>
      <c r="AC281" s="3">
        <f t="shared" si="12"/>
        <v>4</v>
      </c>
      <c r="AD281" s="3">
        <f t="shared" si="13"/>
        <v>6182</v>
      </c>
      <c r="AE281" s="3" t="str">
        <f t="shared" si="14"/>
        <v/>
      </c>
      <c r="AF281" s="3">
        <f t="shared" si="15"/>
        <v>0</v>
      </c>
      <c r="AG281" s="3" t="str">
        <f t="shared" si="16"/>
        <v/>
      </c>
      <c r="AH281" s="3">
        <f t="shared" si="17"/>
        <v>0</v>
      </c>
      <c r="AI281" s="3" t="str">
        <f t="shared" si="18"/>
        <v/>
      </c>
      <c r="AJ281" s="3">
        <f t="shared" si="19"/>
        <v>0</v>
      </c>
    </row>
    <row r="282">
      <c r="C282" s="6" t="s">
        <v>282</v>
      </c>
      <c r="D282" s="3">
        <f t="shared" si="1"/>
        <v>2</v>
      </c>
      <c r="E282" s="3" t="str">
        <f>IFERROR(__xludf.DUMMYFUNCTION("REGEXEXTRACT(C282,""[^ ]* [^ ]*"")"),"clear turquoise")</f>
        <v>clear turquoise</v>
      </c>
      <c r="F282" s="3" t="str">
        <f>IFERROR(__xludf.DUMMYFUNCTION("MID(REGEXEXTRACT(C282,""contain.*$""),9,300)"),"1 light gold bag, 1 clear beige bag, 2 striped chartreuse bags.")</f>
        <v>1 light gold bag, 1 clear beige bag, 2 striped chartreuse bags.</v>
      </c>
      <c r="G282" s="3" t="str">
        <f>IFERROR(__xludf.DUMMYFUNCTION("INDEX(SPLIT($F282,"",""),COLUMN()-6)"),"1 light gold bag")</f>
        <v>1 light gold bag</v>
      </c>
      <c r="H282" s="3" t="str">
        <f>IFERROR(__xludf.DUMMYFUNCTION("MID(INDEX(SPLIT($F282,"",""),COLUMN()-6),2,300)"),"1 clear beige bag")</f>
        <v>1 clear beige bag</v>
      </c>
      <c r="I282" s="3" t="str">
        <f>IFERROR(__xludf.DUMMYFUNCTION("MID(INDEX(SPLIT($F282,"",""),COLUMN()-6),2,300)"),"2 striped chartreuse bags.")</f>
        <v>2 striped chartreuse bags.</v>
      </c>
      <c r="J282" s="3" t="str">
        <f>IFERROR(__xludf.DUMMYFUNCTION("MID(INDEX(SPLIT($F282,"",""),COLUMN()-6),2,300)"),"#REF!")</f>
        <v>#REF!</v>
      </c>
      <c r="K282" s="3">
        <f>IFERROR(__xludf.DUMMYFUNCTION("INDEX(SPLIT(G282,"" ""),1)"),1.0)</f>
        <v>1</v>
      </c>
      <c r="L282" s="3" t="str">
        <f>IFERROR(__xludf.DUMMYFUNCTION("REGEXEXTRACT(G282,"" [^ ]* [^ ]* "")")," light gold ")</f>
        <v> light gold </v>
      </c>
      <c r="M282" s="3">
        <f>IFERROR(__xludf.DUMMYFUNCTION("INDEX(SPLIT(H282,"" ""),1)"),1.0)</f>
        <v>1</v>
      </c>
      <c r="N282" s="3" t="str">
        <f>IFERROR(__xludf.DUMMYFUNCTION("MID(REGEXEXTRACT(H282,"" [^ ]* [^ ]*""),2,300)"),"clear beige")</f>
        <v>clear beige</v>
      </c>
      <c r="O282" s="3">
        <f>IFERROR(__xludf.DUMMYFUNCTION("INDEX(SPLIT(I282,"" ""),1)"),2.0)</f>
        <v>2</v>
      </c>
      <c r="P282" s="3" t="str">
        <f>IFERROR(__xludf.DUMMYFUNCTION("MID(REGEXEXTRACT(I282,"" [^ ]* [^ ]*""),2,300)"),"striped chartreuse")</f>
        <v>striped chartreuse</v>
      </c>
      <c r="Q282" s="3" t="str">
        <f>IFERROR(__xludf.DUMMYFUNCTION("INDEX(SPLIT(J282,"" ""),1)"),"#REF!")</f>
        <v>#REF!</v>
      </c>
      <c r="R282" s="3" t="str">
        <f>IFERROR(__xludf.DUMMYFUNCTION("MID(REGEXEXTRACT(J282,"" [^ ]* [^ ]*""),2,300)"),"#REF!")</f>
        <v>#REF!</v>
      </c>
      <c r="S282" s="3">
        <f t="shared" si="2"/>
        <v>1</v>
      </c>
      <c r="T282" s="3" t="str">
        <f t="shared" si="3"/>
        <v>light gold</v>
      </c>
      <c r="U282" s="3">
        <f t="shared" si="4"/>
        <v>1</v>
      </c>
      <c r="V282" s="3" t="str">
        <f t="shared" si="5"/>
        <v>clear beige</v>
      </c>
      <c r="W282" s="3">
        <f t="shared" si="6"/>
        <v>2</v>
      </c>
      <c r="X282" s="3" t="str">
        <f t="shared" si="7"/>
        <v>striped chartreuse</v>
      </c>
      <c r="Y282" s="3" t="str">
        <f t="shared" si="8"/>
        <v/>
      </c>
      <c r="Z282" s="3" t="str">
        <f t="shared" si="9"/>
        <v/>
      </c>
      <c r="AA282" s="13">
        <f t="shared" si="10"/>
        <v>269888361</v>
      </c>
      <c r="AB282" s="3">
        <f t="shared" si="11"/>
        <v>269888360</v>
      </c>
      <c r="AC282" s="3">
        <f t="shared" si="12"/>
        <v>1</v>
      </c>
      <c r="AD282" s="3">
        <f t="shared" si="13"/>
        <v>112904201</v>
      </c>
      <c r="AE282" s="3">
        <f t="shared" si="14"/>
        <v>1</v>
      </c>
      <c r="AF282" s="3">
        <f t="shared" si="15"/>
        <v>156976053</v>
      </c>
      <c r="AG282" s="3">
        <f t="shared" si="16"/>
        <v>2</v>
      </c>
      <c r="AH282" s="3">
        <f t="shared" si="17"/>
        <v>4053</v>
      </c>
      <c r="AI282" s="3" t="str">
        <f t="shared" si="18"/>
        <v/>
      </c>
      <c r="AJ282" s="3">
        <f t="shared" si="19"/>
        <v>0</v>
      </c>
    </row>
    <row r="283">
      <c r="C283" s="6" t="s">
        <v>283</v>
      </c>
      <c r="D283" s="3">
        <f t="shared" si="1"/>
        <v>0</v>
      </c>
      <c r="E283" s="3" t="str">
        <f>IFERROR(__xludf.DUMMYFUNCTION("REGEXEXTRACT(C283,""[^ ]* [^ ]*"")"),"vibrant gray")</f>
        <v>vibrant gray</v>
      </c>
      <c r="F283" s="3" t="str">
        <f>IFERROR(__xludf.DUMMYFUNCTION("MID(REGEXEXTRACT(C283,""contain.*$""),9,300)"),"1 plaid white bag.")</f>
        <v>1 plaid white bag.</v>
      </c>
      <c r="G283" s="3" t="str">
        <f>IFERROR(__xludf.DUMMYFUNCTION("INDEX(SPLIT($F283,"",""),COLUMN()-6)"),"1 plaid white bag.")</f>
        <v>1 plaid white bag.</v>
      </c>
      <c r="H283" s="3" t="str">
        <f>IFERROR(__xludf.DUMMYFUNCTION("MID(INDEX(SPLIT($F283,"",""),COLUMN()-6),2,300)"),"#REF!")</f>
        <v>#REF!</v>
      </c>
      <c r="I283" s="3" t="str">
        <f>IFERROR(__xludf.DUMMYFUNCTION("MID(INDEX(SPLIT($F283,"",""),COLUMN()-6),2,300)"),"#REF!")</f>
        <v>#REF!</v>
      </c>
      <c r="J283" s="3" t="str">
        <f>IFERROR(__xludf.DUMMYFUNCTION("MID(INDEX(SPLIT($F283,"",""),COLUMN()-6),2,300)"),"#REF!")</f>
        <v>#REF!</v>
      </c>
      <c r="K283" s="3">
        <f>IFERROR(__xludf.DUMMYFUNCTION("INDEX(SPLIT(G283,"" ""),1)"),1.0)</f>
        <v>1</v>
      </c>
      <c r="L283" s="3" t="str">
        <f>IFERROR(__xludf.DUMMYFUNCTION("REGEXEXTRACT(G283,"" [^ ]* [^ ]* "")")," plaid white ")</f>
        <v> plaid white </v>
      </c>
      <c r="M283" s="3" t="str">
        <f>IFERROR(__xludf.DUMMYFUNCTION("INDEX(SPLIT(H283,"" ""),1)"),"#REF!")</f>
        <v>#REF!</v>
      </c>
      <c r="N283" s="3" t="str">
        <f>IFERROR(__xludf.DUMMYFUNCTION("MID(REGEXEXTRACT(H283,"" [^ ]* [^ ]*""),2,300)"),"#REF!")</f>
        <v>#REF!</v>
      </c>
      <c r="O283" s="3" t="str">
        <f>IFERROR(__xludf.DUMMYFUNCTION("INDEX(SPLIT(I283,"" ""),1)"),"#REF!")</f>
        <v>#REF!</v>
      </c>
      <c r="P283" s="3" t="str">
        <f>IFERROR(__xludf.DUMMYFUNCTION("MID(REGEXEXTRACT(I283,"" [^ ]* [^ ]*""),2,300)"),"#REF!")</f>
        <v>#REF!</v>
      </c>
      <c r="Q283" s="3" t="str">
        <f>IFERROR(__xludf.DUMMYFUNCTION("INDEX(SPLIT(J283,"" ""),1)"),"#REF!")</f>
        <v>#REF!</v>
      </c>
      <c r="R283" s="3" t="str">
        <f>IFERROR(__xludf.DUMMYFUNCTION("MID(REGEXEXTRACT(J283,"" [^ ]* [^ ]*""),2,300)"),"#REF!")</f>
        <v>#REF!</v>
      </c>
      <c r="S283" s="3">
        <f t="shared" si="2"/>
        <v>1</v>
      </c>
      <c r="T283" s="3" t="str">
        <f t="shared" si="3"/>
        <v>plaid white</v>
      </c>
      <c r="U283" s="3" t="str">
        <f t="shared" si="4"/>
        <v/>
      </c>
      <c r="V283" s="3" t="str">
        <f t="shared" si="5"/>
        <v/>
      </c>
      <c r="W283" s="3" t="str">
        <f t="shared" si="6"/>
        <v/>
      </c>
      <c r="X283" s="3" t="str">
        <f t="shared" si="7"/>
        <v/>
      </c>
      <c r="Y283" s="3" t="str">
        <f t="shared" si="8"/>
        <v/>
      </c>
      <c r="Z283" s="3" t="str">
        <f t="shared" si="9"/>
        <v/>
      </c>
      <c r="AA283" s="13">
        <f t="shared" si="10"/>
        <v>825738</v>
      </c>
      <c r="AB283" s="3">
        <f t="shared" si="11"/>
        <v>825737</v>
      </c>
      <c r="AC283" s="3">
        <f t="shared" si="12"/>
        <v>1</v>
      </c>
      <c r="AD283" s="3">
        <f t="shared" si="13"/>
        <v>825737</v>
      </c>
      <c r="AE283" s="3" t="str">
        <f t="shared" si="14"/>
        <v/>
      </c>
      <c r="AF283" s="3">
        <f t="shared" si="15"/>
        <v>0</v>
      </c>
      <c r="AG283" s="3" t="str">
        <f t="shared" si="16"/>
        <v/>
      </c>
      <c r="AH283" s="3">
        <f t="shared" si="17"/>
        <v>0</v>
      </c>
      <c r="AI283" s="3" t="str">
        <f t="shared" si="18"/>
        <v/>
      </c>
      <c r="AJ283" s="3">
        <f t="shared" si="19"/>
        <v>0</v>
      </c>
    </row>
    <row r="284">
      <c r="C284" s="6" t="s">
        <v>284</v>
      </c>
      <c r="D284" s="3">
        <f t="shared" si="1"/>
        <v>2</v>
      </c>
      <c r="E284" s="3" t="str">
        <f>IFERROR(__xludf.DUMMYFUNCTION("REGEXEXTRACT(C284,""[^ ]* [^ ]*"")"),"bright tan")</f>
        <v>bright tan</v>
      </c>
      <c r="F284" s="3" t="str">
        <f>IFERROR(__xludf.DUMMYFUNCTION("MID(REGEXEXTRACT(C284,""contain.*$""),9,300)"),"3 drab silver bags, 2 faded yellow bags, 2 bright green bags.")</f>
        <v>3 drab silver bags, 2 faded yellow bags, 2 bright green bags.</v>
      </c>
      <c r="G284" s="3" t="str">
        <f>IFERROR(__xludf.DUMMYFUNCTION("INDEX(SPLIT($F284,"",""),COLUMN()-6)"),"3 drab silver bags")</f>
        <v>3 drab silver bags</v>
      </c>
      <c r="H284" s="3" t="str">
        <f>IFERROR(__xludf.DUMMYFUNCTION("MID(INDEX(SPLIT($F284,"",""),COLUMN()-6),2,300)"),"2 faded yellow bags")</f>
        <v>2 faded yellow bags</v>
      </c>
      <c r="I284" s="3" t="str">
        <f>IFERROR(__xludf.DUMMYFUNCTION("MID(INDEX(SPLIT($F284,"",""),COLUMN()-6),2,300)"),"2 bright green bags.")</f>
        <v>2 bright green bags.</v>
      </c>
      <c r="J284" s="3" t="str">
        <f>IFERROR(__xludf.DUMMYFUNCTION("MID(INDEX(SPLIT($F284,"",""),COLUMN()-6),2,300)"),"#REF!")</f>
        <v>#REF!</v>
      </c>
      <c r="K284" s="3">
        <f>IFERROR(__xludf.DUMMYFUNCTION("INDEX(SPLIT(G284,"" ""),1)"),3.0)</f>
        <v>3</v>
      </c>
      <c r="L284" s="3" t="str">
        <f>IFERROR(__xludf.DUMMYFUNCTION("REGEXEXTRACT(G284,"" [^ ]* [^ ]* "")")," drab silver ")</f>
        <v> drab silver </v>
      </c>
      <c r="M284" s="3">
        <f>IFERROR(__xludf.DUMMYFUNCTION("INDEX(SPLIT(H284,"" ""),1)"),2.0)</f>
        <v>2</v>
      </c>
      <c r="N284" s="3" t="str">
        <f>IFERROR(__xludf.DUMMYFUNCTION("MID(REGEXEXTRACT(H284,"" [^ ]* [^ ]*""),2,300)"),"faded yellow")</f>
        <v>faded yellow</v>
      </c>
      <c r="O284" s="3">
        <f>IFERROR(__xludf.DUMMYFUNCTION("INDEX(SPLIT(I284,"" ""),1)"),2.0)</f>
        <v>2</v>
      </c>
      <c r="P284" s="3" t="str">
        <f>IFERROR(__xludf.DUMMYFUNCTION("MID(REGEXEXTRACT(I284,"" [^ ]* [^ ]*""),2,300)"),"bright green")</f>
        <v>bright green</v>
      </c>
      <c r="Q284" s="3" t="str">
        <f>IFERROR(__xludf.DUMMYFUNCTION("INDEX(SPLIT(J284,"" ""),1)"),"#REF!")</f>
        <v>#REF!</v>
      </c>
      <c r="R284" s="3" t="str">
        <f>IFERROR(__xludf.DUMMYFUNCTION("MID(REGEXEXTRACT(J284,"" [^ ]* [^ ]*""),2,300)"),"#REF!")</f>
        <v>#REF!</v>
      </c>
      <c r="S284" s="3">
        <f t="shared" si="2"/>
        <v>3</v>
      </c>
      <c r="T284" s="3" t="str">
        <f t="shared" si="3"/>
        <v>drab silver</v>
      </c>
      <c r="U284" s="3">
        <f t="shared" si="4"/>
        <v>2</v>
      </c>
      <c r="V284" s="3" t="str">
        <f t="shared" si="5"/>
        <v>faded yellow</v>
      </c>
      <c r="W284" s="3">
        <f t="shared" si="6"/>
        <v>2</v>
      </c>
      <c r="X284" s="3" t="str">
        <f t="shared" si="7"/>
        <v>bright green</v>
      </c>
      <c r="Y284" s="3" t="str">
        <f t="shared" si="8"/>
        <v/>
      </c>
      <c r="Z284" s="3" t="str">
        <f t="shared" si="9"/>
        <v/>
      </c>
      <c r="AA284" s="13">
        <f t="shared" si="10"/>
        <v>393586</v>
      </c>
      <c r="AB284" s="3">
        <f t="shared" si="11"/>
        <v>393585</v>
      </c>
      <c r="AC284" s="3">
        <f t="shared" si="12"/>
        <v>3</v>
      </c>
      <c r="AD284" s="3">
        <f t="shared" si="13"/>
        <v>7557</v>
      </c>
      <c r="AE284" s="3">
        <f t="shared" si="14"/>
        <v>2</v>
      </c>
      <c r="AF284" s="3">
        <f t="shared" si="15"/>
        <v>50963</v>
      </c>
      <c r="AG284" s="3">
        <f t="shared" si="16"/>
        <v>2</v>
      </c>
      <c r="AH284" s="3">
        <f t="shared" si="17"/>
        <v>134494</v>
      </c>
      <c r="AI284" s="3" t="str">
        <f t="shared" si="18"/>
        <v/>
      </c>
      <c r="AJ284" s="3">
        <f t="shared" si="19"/>
        <v>0</v>
      </c>
    </row>
    <row r="285">
      <c r="C285" s="6" t="s">
        <v>285</v>
      </c>
      <c r="D285" s="3">
        <f t="shared" si="1"/>
        <v>3</v>
      </c>
      <c r="E285" s="3" t="str">
        <f>IFERROR(__xludf.DUMMYFUNCTION("REGEXEXTRACT(C285,""[^ ]* [^ ]*"")"),"pale bronze")</f>
        <v>pale bronze</v>
      </c>
      <c r="F285" s="3" t="str">
        <f>IFERROR(__xludf.DUMMYFUNCTION("MID(REGEXEXTRACT(C285,""contain.*$""),9,300)"),"5 posh coral bags, 4 clear coral bags, 1 dotted orange bag, 4 wavy chartreuse bags.")</f>
        <v>5 posh coral bags, 4 clear coral bags, 1 dotted orange bag, 4 wavy chartreuse bags.</v>
      </c>
      <c r="G285" s="3" t="str">
        <f>IFERROR(__xludf.DUMMYFUNCTION("INDEX(SPLIT($F285,"",""),COLUMN()-6)"),"5 posh coral bags")</f>
        <v>5 posh coral bags</v>
      </c>
      <c r="H285" s="3" t="str">
        <f>IFERROR(__xludf.DUMMYFUNCTION("MID(INDEX(SPLIT($F285,"",""),COLUMN()-6),2,300)"),"4 clear coral bags")</f>
        <v>4 clear coral bags</v>
      </c>
      <c r="I285" s="3" t="str">
        <f>IFERROR(__xludf.DUMMYFUNCTION("MID(INDEX(SPLIT($F285,"",""),COLUMN()-6),2,300)"),"1 dotted orange bag")</f>
        <v>1 dotted orange bag</v>
      </c>
      <c r="J285" s="3" t="str">
        <f>IFERROR(__xludf.DUMMYFUNCTION("MID(INDEX(SPLIT($F285,"",""),COLUMN()-6),2,300)"),"4 wavy chartreuse bags.")</f>
        <v>4 wavy chartreuse bags.</v>
      </c>
      <c r="K285" s="3">
        <f>IFERROR(__xludf.DUMMYFUNCTION("INDEX(SPLIT(G285,"" ""),1)"),5.0)</f>
        <v>5</v>
      </c>
      <c r="L285" s="3" t="str">
        <f>IFERROR(__xludf.DUMMYFUNCTION("REGEXEXTRACT(G285,"" [^ ]* [^ ]* "")")," posh coral ")</f>
        <v> posh coral </v>
      </c>
      <c r="M285" s="3">
        <f>IFERROR(__xludf.DUMMYFUNCTION("INDEX(SPLIT(H285,"" ""),1)"),4.0)</f>
        <v>4</v>
      </c>
      <c r="N285" s="3" t="str">
        <f>IFERROR(__xludf.DUMMYFUNCTION("MID(REGEXEXTRACT(H285,"" [^ ]* [^ ]*""),2,300)"),"clear coral")</f>
        <v>clear coral</v>
      </c>
      <c r="O285" s="3">
        <f>IFERROR(__xludf.DUMMYFUNCTION("INDEX(SPLIT(I285,"" ""),1)"),1.0)</f>
        <v>1</v>
      </c>
      <c r="P285" s="3" t="str">
        <f>IFERROR(__xludf.DUMMYFUNCTION("MID(REGEXEXTRACT(I285,"" [^ ]* [^ ]*""),2,300)"),"dotted orange")</f>
        <v>dotted orange</v>
      </c>
      <c r="Q285" s="3">
        <f>IFERROR(__xludf.DUMMYFUNCTION("INDEX(SPLIT(J285,"" ""),1)"),4.0)</f>
        <v>4</v>
      </c>
      <c r="R285" s="3" t="str">
        <f>IFERROR(__xludf.DUMMYFUNCTION("MID(REGEXEXTRACT(J285,"" [^ ]* [^ ]*""),2,300)"),"wavy chartreuse")</f>
        <v>wavy chartreuse</v>
      </c>
      <c r="S285" s="3">
        <f t="shared" si="2"/>
        <v>5</v>
      </c>
      <c r="T285" s="3" t="str">
        <f t="shared" si="3"/>
        <v>posh coral</v>
      </c>
      <c r="U285" s="3">
        <f t="shared" si="4"/>
        <v>4</v>
      </c>
      <c r="V285" s="3" t="str">
        <f t="shared" si="5"/>
        <v>clear coral</v>
      </c>
      <c r="W285" s="3">
        <f t="shared" si="6"/>
        <v>1</v>
      </c>
      <c r="X285" s="3" t="str">
        <f t="shared" si="7"/>
        <v>dotted orange</v>
      </c>
      <c r="Y285" s="3">
        <f t="shared" si="8"/>
        <v>4</v>
      </c>
      <c r="Z285" s="3" t="str">
        <f t="shared" si="9"/>
        <v>wavy chartreuse</v>
      </c>
      <c r="AA285" s="13">
        <f t="shared" si="10"/>
        <v>1794</v>
      </c>
      <c r="AB285" s="3">
        <f t="shared" si="11"/>
        <v>1793</v>
      </c>
      <c r="AC285" s="3">
        <f t="shared" si="12"/>
        <v>5</v>
      </c>
      <c r="AD285" s="3">
        <f t="shared" si="13"/>
        <v>1</v>
      </c>
      <c r="AE285" s="3">
        <f t="shared" si="14"/>
        <v>4</v>
      </c>
      <c r="AF285" s="3">
        <f t="shared" si="15"/>
        <v>1</v>
      </c>
      <c r="AG285" s="3">
        <f t="shared" si="16"/>
        <v>1</v>
      </c>
      <c r="AH285" s="3">
        <f t="shared" si="17"/>
        <v>1780</v>
      </c>
      <c r="AI285" s="3">
        <f t="shared" si="18"/>
        <v>4</v>
      </c>
      <c r="AJ285" s="3">
        <f t="shared" si="19"/>
        <v>1</v>
      </c>
    </row>
    <row r="286">
      <c r="C286" s="6" t="s">
        <v>286</v>
      </c>
      <c r="D286" s="3">
        <f t="shared" si="1"/>
        <v>1</v>
      </c>
      <c r="E286" s="3" t="str">
        <f>IFERROR(__xludf.DUMMYFUNCTION("REGEXEXTRACT(C286,""[^ ]* [^ ]*"")"),"clear plum")</f>
        <v>clear plum</v>
      </c>
      <c r="F286" s="3" t="str">
        <f>IFERROR(__xludf.DUMMYFUNCTION("MID(REGEXEXTRACT(C286,""contain.*$""),9,300)"),"1 dim plum bag, 4 light gold bags.")</f>
        <v>1 dim plum bag, 4 light gold bags.</v>
      </c>
      <c r="G286" s="3" t="str">
        <f>IFERROR(__xludf.DUMMYFUNCTION("INDEX(SPLIT($F286,"",""),COLUMN()-6)"),"1 dim plum bag")</f>
        <v>1 dim plum bag</v>
      </c>
      <c r="H286" s="3" t="str">
        <f>IFERROR(__xludf.DUMMYFUNCTION("MID(INDEX(SPLIT($F286,"",""),COLUMN()-6),2,300)"),"4 light gold bags.")</f>
        <v>4 light gold bags.</v>
      </c>
      <c r="I286" s="3" t="str">
        <f>IFERROR(__xludf.DUMMYFUNCTION("MID(INDEX(SPLIT($F286,"",""),COLUMN()-6),2,300)"),"#REF!")</f>
        <v>#REF!</v>
      </c>
      <c r="J286" s="3" t="str">
        <f>IFERROR(__xludf.DUMMYFUNCTION("MID(INDEX(SPLIT($F286,"",""),COLUMN()-6),2,300)"),"#REF!")</f>
        <v>#REF!</v>
      </c>
      <c r="K286" s="3">
        <f>IFERROR(__xludf.DUMMYFUNCTION("INDEX(SPLIT(G286,"" ""),1)"),1.0)</f>
        <v>1</v>
      </c>
      <c r="L286" s="3" t="str">
        <f>IFERROR(__xludf.DUMMYFUNCTION("REGEXEXTRACT(G286,"" [^ ]* [^ ]* "")")," dim plum ")</f>
        <v> dim plum </v>
      </c>
      <c r="M286" s="3">
        <f>IFERROR(__xludf.DUMMYFUNCTION("INDEX(SPLIT(H286,"" ""),1)"),4.0)</f>
        <v>4</v>
      </c>
      <c r="N286" s="3" t="str">
        <f>IFERROR(__xludf.DUMMYFUNCTION("MID(REGEXEXTRACT(H286,"" [^ ]* [^ ]*""),2,300)"),"light gold")</f>
        <v>light gold</v>
      </c>
      <c r="O286" s="3" t="str">
        <f>IFERROR(__xludf.DUMMYFUNCTION("INDEX(SPLIT(I286,"" ""),1)"),"#REF!")</f>
        <v>#REF!</v>
      </c>
      <c r="P286" s="3" t="str">
        <f>IFERROR(__xludf.DUMMYFUNCTION("MID(REGEXEXTRACT(I286,"" [^ ]* [^ ]*""),2,300)"),"#REF!")</f>
        <v>#REF!</v>
      </c>
      <c r="Q286" s="3" t="str">
        <f>IFERROR(__xludf.DUMMYFUNCTION("INDEX(SPLIT(J286,"" ""),1)"),"#REF!")</f>
        <v>#REF!</v>
      </c>
      <c r="R286" s="3" t="str">
        <f>IFERROR(__xludf.DUMMYFUNCTION("MID(REGEXEXTRACT(J286,"" [^ ]* [^ ]*""),2,300)"),"#REF!")</f>
        <v>#REF!</v>
      </c>
      <c r="S286" s="3">
        <f t="shared" si="2"/>
        <v>1</v>
      </c>
      <c r="T286" s="3" t="str">
        <f t="shared" si="3"/>
        <v>dim plum</v>
      </c>
      <c r="U286" s="3">
        <f t="shared" si="4"/>
        <v>4</v>
      </c>
      <c r="V286" s="3" t="str">
        <f t="shared" si="5"/>
        <v>light gold</v>
      </c>
      <c r="W286" s="3" t="str">
        <f t="shared" si="6"/>
        <v/>
      </c>
      <c r="X286" s="3" t="str">
        <f t="shared" si="7"/>
        <v/>
      </c>
      <c r="Y286" s="3" t="str">
        <f t="shared" si="8"/>
        <v/>
      </c>
      <c r="Z286" s="3" t="str">
        <f t="shared" si="9"/>
        <v/>
      </c>
      <c r="AA286" s="13">
        <f t="shared" si="10"/>
        <v>808490630</v>
      </c>
      <c r="AB286" s="3">
        <f t="shared" si="11"/>
        <v>808490629</v>
      </c>
      <c r="AC286" s="3">
        <f t="shared" si="12"/>
        <v>1</v>
      </c>
      <c r="AD286" s="3">
        <f t="shared" si="13"/>
        <v>356873825</v>
      </c>
      <c r="AE286" s="3">
        <f t="shared" si="14"/>
        <v>4</v>
      </c>
      <c r="AF286" s="3">
        <f t="shared" si="15"/>
        <v>112904201</v>
      </c>
      <c r="AG286" s="3" t="str">
        <f t="shared" si="16"/>
        <v/>
      </c>
      <c r="AH286" s="3">
        <f t="shared" si="17"/>
        <v>0</v>
      </c>
      <c r="AI286" s="3" t="str">
        <f t="shared" si="18"/>
        <v/>
      </c>
      <c r="AJ286" s="3">
        <f t="shared" si="19"/>
        <v>0</v>
      </c>
    </row>
    <row r="287">
      <c r="C287" s="6" t="s">
        <v>287</v>
      </c>
      <c r="D287" s="3">
        <f t="shared" si="1"/>
        <v>1</v>
      </c>
      <c r="E287" s="3" t="str">
        <f>IFERROR(__xludf.DUMMYFUNCTION("REGEXEXTRACT(C287,""[^ ]* [^ ]*"")"),"posh turquoise")</f>
        <v>posh turquoise</v>
      </c>
      <c r="F287" s="3" t="str">
        <f>IFERROR(__xludf.DUMMYFUNCTION("MID(REGEXEXTRACT(C287,""contain.*$""),9,300)"),"3 wavy bronze bags, 4 shiny purple bags.")</f>
        <v>3 wavy bronze bags, 4 shiny purple bags.</v>
      </c>
      <c r="G287" s="3" t="str">
        <f>IFERROR(__xludf.DUMMYFUNCTION("INDEX(SPLIT($F287,"",""),COLUMN()-6)"),"3 wavy bronze bags")</f>
        <v>3 wavy bronze bags</v>
      </c>
      <c r="H287" s="3" t="str">
        <f>IFERROR(__xludf.DUMMYFUNCTION("MID(INDEX(SPLIT($F287,"",""),COLUMN()-6),2,300)"),"4 shiny purple bags.")</f>
        <v>4 shiny purple bags.</v>
      </c>
      <c r="I287" s="3" t="str">
        <f>IFERROR(__xludf.DUMMYFUNCTION("MID(INDEX(SPLIT($F287,"",""),COLUMN()-6),2,300)"),"#REF!")</f>
        <v>#REF!</v>
      </c>
      <c r="J287" s="3" t="str">
        <f>IFERROR(__xludf.DUMMYFUNCTION("MID(INDEX(SPLIT($F287,"",""),COLUMN()-6),2,300)"),"#REF!")</f>
        <v>#REF!</v>
      </c>
      <c r="K287" s="3">
        <f>IFERROR(__xludf.DUMMYFUNCTION("INDEX(SPLIT(G287,"" ""),1)"),3.0)</f>
        <v>3</v>
      </c>
      <c r="L287" s="3" t="str">
        <f>IFERROR(__xludf.DUMMYFUNCTION("REGEXEXTRACT(G287,"" [^ ]* [^ ]* "")")," wavy bronze ")</f>
        <v> wavy bronze </v>
      </c>
      <c r="M287" s="3">
        <f>IFERROR(__xludf.DUMMYFUNCTION("INDEX(SPLIT(H287,"" ""),1)"),4.0)</f>
        <v>4</v>
      </c>
      <c r="N287" s="3" t="str">
        <f>IFERROR(__xludf.DUMMYFUNCTION("MID(REGEXEXTRACT(H287,"" [^ ]* [^ ]*""),2,300)"),"shiny purple")</f>
        <v>shiny purple</v>
      </c>
      <c r="O287" s="3" t="str">
        <f>IFERROR(__xludf.DUMMYFUNCTION("INDEX(SPLIT(I287,"" ""),1)"),"#REF!")</f>
        <v>#REF!</v>
      </c>
      <c r="P287" s="3" t="str">
        <f>IFERROR(__xludf.DUMMYFUNCTION("MID(REGEXEXTRACT(I287,"" [^ ]* [^ ]*""),2,300)"),"#REF!")</f>
        <v>#REF!</v>
      </c>
      <c r="Q287" s="3" t="str">
        <f>IFERROR(__xludf.DUMMYFUNCTION("INDEX(SPLIT(J287,"" ""),1)"),"#REF!")</f>
        <v>#REF!</v>
      </c>
      <c r="R287" s="3" t="str">
        <f>IFERROR(__xludf.DUMMYFUNCTION("MID(REGEXEXTRACT(J287,"" [^ ]* [^ ]*""),2,300)"),"#REF!")</f>
        <v>#REF!</v>
      </c>
      <c r="S287" s="3">
        <f t="shared" si="2"/>
        <v>3</v>
      </c>
      <c r="T287" s="3" t="str">
        <f t="shared" si="3"/>
        <v>wavy bronze</v>
      </c>
      <c r="U287" s="3">
        <f t="shared" si="4"/>
        <v>4</v>
      </c>
      <c r="V287" s="3" t="str">
        <f t="shared" si="5"/>
        <v>shiny purple</v>
      </c>
      <c r="W287" s="3" t="str">
        <f t="shared" si="6"/>
        <v/>
      </c>
      <c r="X287" s="3" t="str">
        <f t="shared" si="7"/>
        <v/>
      </c>
      <c r="Y287" s="3" t="str">
        <f t="shared" si="8"/>
        <v/>
      </c>
      <c r="Z287" s="3" t="str">
        <f t="shared" si="9"/>
        <v/>
      </c>
      <c r="AA287" s="13">
        <f t="shared" si="10"/>
        <v>35458689</v>
      </c>
      <c r="AB287" s="3">
        <f t="shared" si="11"/>
        <v>35458688</v>
      </c>
      <c r="AC287" s="3">
        <f t="shared" si="12"/>
        <v>3</v>
      </c>
      <c r="AD287" s="3">
        <f t="shared" si="13"/>
        <v>795360</v>
      </c>
      <c r="AE287" s="3">
        <f t="shared" si="14"/>
        <v>4</v>
      </c>
      <c r="AF287" s="3">
        <f t="shared" si="15"/>
        <v>8268152</v>
      </c>
      <c r="AG287" s="3" t="str">
        <f t="shared" si="16"/>
        <v/>
      </c>
      <c r="AH287" s="3">
        <f t="shared" si="17"/>
        <v>0</v>
      </c>
      <c r="AI287" s="3" t="str">
        <f t="shared" si="18"/>
        <v/>
      </c>
      <c r="AJ287" s="3">
        <f t="shared" si="19"/>
        <v>0</v>
      </c>
    </row>
    <row r="288">
      <c r="C288" s="6" t="s">
        <v>288</v>
      </c>
      <c r="D288" s="3">
        <f t="shared" si="1"/>
        <v>3</v>
      </c>
      <c r="E288" s="3" t="str">
        <f>IFERROR(__xludf.DUMMYFUNCTION("REGEXEXTRACT(C288,""[^ ]* [^ ]*"")"),"posh teal")</f>
        <v>posh teal</v>
      </c>
      <c r="F288" s="3" t="str">
        <f>IFERROR(__xludf.DUMMYFUNCTION("MID(REGEXEXTRACT(C288,""contain.*$""),9,300)"),"2 striped magenta bags, 3 dark magenta bags, 5 faded silver bags, 5 mirrored chartreuse bags.")</f>
        <v>2 striped magenta bags, 3 dark magenta bags, 5 faded silver bags, 5 mirrored chartreuse bags.</v>
      </c>
      <c r="G288" s="3" t="str">
        <f>IFERROR(__xludf.DUMMYFUNCTION("INDEX(SPLIT($F288,"",""),COLUMN()-6)"),"2 striped magenta bags")</f>
        <v>2 striped magenta bags</v>
      </c>
      <c r="H288" s="3" t="str">
        <f>IFERROR(__xludf.DUMMYFUNCTION("MID(INDEX(SPLIT($F288,"",""),COLUMN()-6),2,300)"),"3 dark magenta bags")</f>
        <v>3 dark magenta bags</v>
      </c>
      <c r="I288" s="3" t="str">
        <f>IFERROR(__xludf.DUMMYFUNCTION("MID(INDEX(SPLIT($F288,"",""),COLUMN()-6),2,300)"),"5 faded silver bags")</f>
        <v>5 faded silver bags</v>
      </c>
      <c r="J288" s="3" t="str">
        <f>IFERROR(__xludf.DUMMYFUNCTION("MID(INDEX(SPLIT($F288,"",""),COLUMN()-6),2,300)"),"5 mirrored chartreuse bags.")</f>
        <v>5 mirrored chartreuse bags.</v>
      </c>
      <c r="K288" s="3">
        <f>IFERROR(__xludf.DUMMYFUNCTION("INDEX(SPLIT(G288,"" ""),1)"),2.0)</f>
        <v>2</v>
      </c>
      <c r="L288" s="3" t="str">
        <f>IFERROR(__xludf.DUMMYFUNCTION("REGEXEXTRACT(G288,"" [^ ]* [^ ]* "")")," striped magenta ")</f>
        <v> striped magenta </v>
      </c>
      <c r="M288" s="3">
        <f>IFERROR(__xludf.DUMMYFUNCTION("INDEX(SPLIT(H288,"" ""),1)"),3.0)</f>
        <v>3</v>
      </c>
      <c r="N288" s="3" t="str">
        <f>IFERROR(__xludf.DUMMYFUNCTION("MID(REGEXEXTRACT(H288,"" [^ ]* [^ ]*""),2,300)"),"dark magenta")</f>
        <v>dark magenta</v>
      </c>
      <c r="O288" s="3">
        <f>IFERROR(__xludf.DUMMYFUNCTION("INDEX(SPLIT(I288,"" ""),1)"),5.0)</f>
        <v>5</v>
      </c>
      <c r="P288" s="3" t="str">
        <f>IFERROR(__xludf.DUMMYFUNCTION("MID(REGEXEXTRACT(I288,"" [^ ]* [^ ]*""),2,300)"),"faded silver")</f>
        <v>faded silver</v>
      </c>
      <c r="Q288" s="3">
        <f>IFERROR(__xludf.DUMMYFUNCTION("INDEX(SPLIT(J288,"" ""),1)"),5.0)</f>
        <v>5</v>
      </c>
      <c r="R288" s="3" t="str">
        <f>IFERROR(__xludf.DUMMYFUNCTION("MID(REGEXEXTRACT(J288,"" [^ ]* [^ ]*""),2,300)"),"mirrored chartreuse")</f>
        <v>mirrored chartreuse</v>
      </c>
      <c r="S288" s="3">
        <f t="shared" si="2"/>
        <v>2</v>
      </c>
      <c r="T288" s="3" t="str">
        <f t="shared" si="3"/>
        <v>striped magenta</v>
      </c>
      <c r="U288" s="3">
        <f t="shared" si="4"/>
        <v>3</v>
      </c>
      <c r="V288" s="3" t="str">
        <f t="shared" si="5"/>
        <v>dark magenta</v>
      </c>
      <c r="W288" s="3">
        <f t="shared" si="6"/>
        <v>5</v>
      </c>
      <c r="X288" s="3" t="str">
        <f t="shared" si="7"/>
        <v>faded silver</v>
      </c>
      <c r="Y288" s="3">
        <f t="shared" si="8"/>
        <v>5</v>
      </c>
      <c r="Z288" s="3" t="str">
        <f t="shared" si="9"/>
        <v>mirrored chartreuse</v>
      </c>
      <c r="AA288" s="13">
        <f t="shared" si="10"/>
        <v>701550841</v>
      </c>
      <c r="AB288" s="3">
        <f t="shared" si="11"/>
        <v>701550840</v>
      </c>
      <c r="AC288" s="3">
        <f t="shared" si="12"/>
        <v>2</v>
      </c>
      <c r="AD288" s="3">
        <f t="shared" si="13"/>
        <v>140015</v>
      </c>
      <c r="AE288" s="3">
        <f t="shared" si="14"/>
        <v>3</v>
      </c>
      <c r="AF288" s="3">
        <f t="shared" si="15"/>
        <v>229206490</v>
      </c>
      <c r="AG288" s="3">
        <f t="shared" si="16"/>
        <v>5</v>
      </c>
      <c r="AH288" s="3">
        <f t="shared" si="17"/>
        <v>2729963</v>
      </c>
      <c r="AI288" s="3">
        <f t="shared" si="18"/>
        <v>5</v>
      </c>
      <c r="AJ288" s="3">
        <f t="shared" si="19"/>
        <v>305</v>
      </c>
    </row>
    <row r="289">
      <c r="C289" s="6" t="s">
        <v>289</v>
      </c>
      <c r="D289" s="3">
        <f t="shared" si="1"/>
        <v>1</v>
      </c>
      <c r="E289" s="3" t="str">
        <f>IFERROR(__xludf.DUMMYFUNCTION("REGEXEXTRACT(C289,""[^ ]* [^ ]*"")"),"dim yellow")</f>
        <v>dim yellow</v>
      </c>
      <c r="F289" s="3" t="str">
        <f>IFERROR(__xludf.DUMMYFUNCTION("MID(REGEXEXTRACT(C289,""contain.*$""),9,300)"),"4 pale bronze bags, 3 shiny tan bags.")</f>
        <v>4 pale bronze bags, 3 shiny tan bags.</v>
      </c>
      <c r="G289" s="3" t="str">
        <f>IFERROR(__xludf.DUMMYFUNCTION("INDEX(SPLIT($F289,"",""),COLUMN()-6)"),"4 pale bronze bags")</f>
        <v>4 pale bronze bags</v>
      </c>
      <c r="H289" s="3" t="str">
        <f>IFERROR(__xludf.DUMMYFUNCTION("MID(INDEX(SPLIT($F289,"",""),COLUMN()-6),2,300)"),"3 shiny tan bags.")</f>
        <v>3 shiny tan bags.</v>
      </c>
      <c r="I289" s="3" t="str">
        <f>IFERROR(__xludf.DUMMYFUNCTION("MID(INDEX(SPLIT($F289,"",""),COLUMN()-6),2,300)"),"#REF!")</f>
        <v>#REF!</v>
      </c>
      <c r="J289" s="3" t="str">
        <f>IFERROR(__xludf.DUMMYFUNCTION("MID(INDEX(SPLIT($F289,"",""),COLUMN()-6),2,300)"),"#REF!")</f>
        <v>#REF!</v>
      </c>
      <c r="K289" s="3">
        <f>IFERROR(__xludf.DUMMYFUNCTION("INDEX(SPLIT(G289,"" ""),1)"),4.0)</f>
        <v>4</v>
      </c>
      <c r="L289" s="3" t="str">
        <f>IFERROR(__xludf.DUMMYFUNCTION("REGEXEXTRACT(G289,"" [^ ]* [^ ]* "")")," pale bronze ")</f>
        <v> pale bronze </v>
      </c>
      <c r="M289" s="3">
        <f>IFERROR(__xludf.DUMMYFUNCTION("INDEX(SPLIT(H289,"" ""),1)"),3.0)</f>
        <v>3</v>
      </c>
      <c r="N289" s="3" t="str">
        <f>IFERROR(__xludf.DUMMYFUNCTION("MID(REGEXEXTRACT(H289,"" [^ ]* [^ ]*""),2,300)"),"shiny tan")</f>
        <v>shiny tan</v>
      </c>
      <c r="O289" s="3" t="str">
        <f>IFERROR(__xludf.DUMMYFUNCTION("INDEX(SPLIT(I289,"" ""),1)"),"#REF!")</f>
        <v>#REF!</v>
      </c>
      <c r="P289" s="3" t="str">
        <f>IFERROR(__xludf.DUMMYFUNCTION("MID(REGEXEXTRACT(I289,"" [^ ]* [^ ]*""),2,300)"),"#REF!")</f>
        <v>#REF!</v>
      </c>
      <c r="Q289" s="3" t="str">
        <f>IFERROR(__xludf.DUMMYFUNCTION("INDEX(SPLIT(J289,"" ""),1)"),"#REF!")</f>
        <v>#REF!</v>
      </c>
      <c r="R289" s="3" t="str">
        <f>IFERROR(__xludf.DUMMYFUNCTION("MID(REGEXEXTRACT(J289,"" [^ ]* [^ ]*""),2,300)"),"#REF!")</f>
        <v>#REF!</v>
      </c>
      <c r="S289" s="3">
        <f t="shared" si="2"/>
        <v>4</v>
      </c>
      <c r="T289" s="3" t="str">
        <f t="shared" si="3"/>
        <v>pale bronze</v>
      </c>
      <c r="U289" s="3">
        <f t="shared" si="4"/>
        <v>3</v>
      </c>
      <c r="V289" s="3" t="str">
        <f t="shared" si="5"/>
        <v>shiny tan</v>
      </c>
      <c r="W289" s="3" t="str">
        <f t="shared" si="6"/>
        <v/>
      </c>
      <c r="X289" s="3" t="str">
        <f t="shared" si="7"/>
        <v/>
      </c>
      <c r="Y289" s="3" t="str">
        <f t="shared" si="8"/>
        <v/>
      </c>
      <c r="Z289" s="3" t="str">
        <f t="shared" si="9"/>
        <v/>
      </c>
      <c r="AA289" s="13">
        <f t="shared" si="10"/>
        <v>216745</v>
      </c>
      <c r="AB289" s="3">
        <f t="shared" si="11"/>
        <v>216744</v>
      </c>
      <c r="AC289" s="3">
        <f t="shared" si="12"/>
        <v>4</v>
      </c>
      <c r="AD289" s="3">
        <f t="shared" si="13"/>
        <v>1794</v>
      </c>
      <c r="AE289" s="3">
        <f t="shared" si="14"/>
        <v>3</v>
      </c>
      <c r="AF289" s="3">
        <f t="shared" si="15"/>
        <v>69856</v>
      </c>
      <c r="AG289" s="3" t="str">
        <f t="shared" si="16"/>
        <v/>
      </c>
      <c r="AH289" s="3">
        <f t="shared" si="17"/>
        <v>0</v>
      </c>
      <c r="AI289" s="3" t="str">
        <f t="shared" si="18"/>
        <v/>
      </c>
      <c r="AJ289" s="3">
        <f t="shared" si="19"/>
        <v>0</v>
      </c>
    </row>
    <row r="290">
      <c r="C290" s="6" t="s">
        <v>290</v>
      </c>
      <c r="D290" s="3">
        <f t="shared" si="1"/>
        <v>1</v>
      </c>
      <c r="E290" s="3" t="str">
        <f>IFERROR(__xludf.DUMMYFUNCTION("REGEXEXTRACT(C290,""[^ ]* [^ ]*"")"),"faded lavender")</f>
        <v>faded lavender</v>
      </c>
      <c r="F290" s="3" t="str">
        <f>IFERROR(__xludf.DUMMYFUNCTION("MID(REGEXEXTRACT(C290,""contain.*$""),9,300)"),"3 dull white bags, 3 striped teal bags.")</f>
        <v>3 dull white bags, 3 striped teal bags.</v>
      </c>
      <c r="G290" s="3" t="str">
        <f>IFERROR(__xludf.DUMMYFUNCTION("INDEX(SPLIT($F290,"",""),COLUMN()-6)"),"3 dull white bags")</f>
        <v>3 dull white bags</v>
      </c>
      <c r="H290" s="3" t="str">
        <f>IFERROR(__xludf.DUMMYFUNCTION("MID(INDEX(SPLIT($F290,"",""),COLUMN()-6),2,300)"),"3 striped teal bags.")</f>
        <v>3 striped teal bags.</v>
      </c>
      <c r="I290" s="3" t="str">
        <f>IFERROR(__xludf.DUMMYFUNCTION("MID(INDEX(SPLIT($F290,"",""),COLUMN()-6),2,300)"),"#REF!")</f>
        <v>#REF!</v>
      </c>
      <c r="J290" s="3" t="str">
        <f>IFERROR(__xludf.DUMMYFUNCTION("MID(INDEX(SPLIT($F290,"",""),COLUMN()-6),2,300)"),"#REF!")</f>
        <v>#REF!</v>
      </c>
      <c r="K290" s="3">
        <f>IFERROR(__xludf.DUMMYFUNCTION("INDEX(SPLIT(G290,"" ""),1)"),3.0)</f>
        <v>3</v>
      </c>
      <c r="L290" s="3" t="str">
        <f>IFERROR(__xludf.DUMMYFUNCTION("REGEXEXTRACT(G290,"" [^ ]* [^ ]* "")")," dull white ")</f>
        <v> dull white </v>
      </c>
      <c r="M290" s="3">
        <f>IFERROR(__xludf.DUMMYFUNCTION("INDEX(SPLIT(H290,"" ""),1)"),3.0)</f>
        <v>3</v>
      </c>
      <c r="N290" s="3" t="str">
        <f>IFERROR(__xludf.DUMMYFUNCTION("MID(REGEXEXTRACT(H290,"" [^ ]* [^ ]*""),2,300)"),"striped teal")</f>
        <v>striped teal</v>
      </c>
      <c r="O290" s="3" t="str">
        <f>IFERROR(__xludf.DUMMYFUNCTION("INDEX(SPLIT(I290,"" ""),1)"),"#REF!")</f>
        <v>#REF!</v>
      </c>
      <c r="P290" s="3" t="str">
        <f>IFERROR(__xludf.DUMMYFUNCTION("MID(REGEXEXTRACT(I290,"" [^ ]* [^ ]*""),2,300)"),"#REF!")</f>
        <v>#REF!</v>
      </c>
      <c r="Q290" s="3" t="str">
        <f>IFERROR(__xludf.DUMMYFUNCTION("INDEX(SPLIT(J290,"" ""),1)"),"#REF!")</f>
        <v>#REF!</v>
      </c>
      <c r="R290" s="3" t="str">
        <f>IFERROR(__xludf.DUMMYFUNCTION("MID(REGEXEXTRACT(J290,"" [^ ]* [^ ]*""),2,300)"),"#REF!")</f>
        <v>#REF!</v>
      </c>
      <c r="S290" s="3">
        <f t="shared" si="2"/>
        <v>3</v>
      </c>
      <c r="T290" s="3" t="str">
        <f t="shared" si="3"/>
        <v>dull white</v>
      </c>
      <c r="U290" s="3">
        <f t="shared" si="4"/>
        <v>3</v>
      </c>
      <c r="V290" s="3" t="str">
        <f t="shared" si="5"/>
        <v>striped teal</v>
      </c>
      <c r="W290" s="3" t="str">
        <f t="shared" si="6"/>
        <v/>
      </c>
      <c r="X290" s="3" t="str">
        <f t="shared" si="7"/>
        <v/>
      </c>
      <c r="Y290" s="3" t="str">
        <f t="shared" si="8"/>
        <v/>
      </c>
      <c r="Z290" s="3" t="str">
        <f t="shared" si="9"/>
        <v/>
      </c>
      <c r="AA290" s="13">
        <f t="shared" si="10"/>
        <v>2392869184</v>
      </c>
      <c r="AB290" s="3">
        <f t="shared" si="11"/>
        <v>2392869183</v>
      </c>
      <c r="AC290" s="3">
        <f t="shared" si="12"/>
        <v>3</v>
      </c>
      <c r="AD290" s="3">
        <f t="shared" si="13"/>
        <v>797608672</v>
      </c>
      <c r="AE290" s="3">
        <f t="shared" si="14"/>
        <v>3</v>
      </c>
      <c r="AF290" s="3">
        <f t="shared" si="15"/>
        <v>14389</v>
      </c>
      <c r="AG290" s="3" t="str">
        <f t="shared" si="16"/>
        <v/>
      </c>
      <c r="AH290" s="3">
        <f t="shared" si="17"/>
        <v>0</v>
      </c>
      <c r="AI290" s="3" t="str">
        <f t="shared" si="18"/>
        <v/>
      </c>
      <c r="AJ290" s="3">
        <f t="shared" si="19"/>
        <v>0</v>
      </c>
    </row>
    <row r="291">
      <c r="C291" s="6" t="s">
        <v>291</v>
      </c>
      <c r="D291" s="3">
        <f t="shared" si="1"/>
        <v>1</v>
      </c>
      <c r="E291" s="3" t="str">
        <f>IFERROR(__xludf.DUMMYFUNCTION("REGEXEXTRACT(C291,""[^ ]* [^ ]*"")"),"wavy magenta")</f>
        <v>wavy magenta</v>
      </c>
      <c r="F291" s="3" t="str">
        <f>IFERROR(__xludf.DUMMYFUNCTION("MID(REGEXEXTRACT(C291,""contain.*$""),9,300)"),"2 pale aqua bags, 4 shiny indigo bags.")</f>
        <v>2 pale aqua bags, 4 shiny indigo bags.</v>
      </c>
      <c r="G291" s="3" t="str">
        <f>IFERROR(__xludf.DUMMYFUNCTION("INDEX(SPLIT($F291,"",""),COLUMN()-6)"),"2 pale aqua bags")</f>
        <v>2 pale aqua bags</v>
      </c>
      <c r="H291" s="3" t="str">
        <f>IFERROR(__xludf.DUMMYFUNCTION("MID(INDEX(SPLIT($F291,"",""),COLUMN()-6),2,300)"),"4 shiny indigo bags.")</f>
        <v>4 shiny indigo bags.</v>
      </c>
      <c r="I291" s="3" t="str">
        <f>IFERROR(__xludf.DUMMYFUNCTION("MID(INDEX(SPLIT($F291,"",""),COLUMN()-6),2,300)"),"#REF!")</f>
        <v>#REF!</v>
      </c>
      <c r="J291" s="3" t="str">
        <f>IFERROR(__xludf.DUMMYFUNCTION("MID(INDEX(SPLIT($F291,"",""),COLUMN()-6),2,300)"),"#REF!")</f>
        <v>#REF!</v>
      </c>
      <c r="K291" s="3">
        <f>IFERROR(__xludf.DUMMYFUNCTION("INDEX(SPLIT(G291,"" ""),1)"),2.0)</f>
        <v>2</v>
      </c>
      <c r="L291" s="3" t="str">
        <f>IFERROR(__xludf.DUMMYFUNCTION("REGEXEXTRACT(G291,"" [^ ]* [^ ]* "")")," pale aqua ")</f>
        <v> pale aqua </v>
      </c>
      <c r="M291" s="3">
        <f>IFERROR(__xludf.DUMMYFUNCTION("INDEX(SPLIT(H291,"" ""),1)"),4.0)</f>
        <v>4</v>
      </c>
      <c r="N291" s="3" t="str">
        <f>IFERROR(__xludf.DUMMYFUNCTION("MID(REGEXEXTRACT(H291,"" [^ ]* [^ ]*""),2,300)"),"shiny indigo")</f>
        <v>shiny indigo</v>
      </c>
      <c r="O291" s="3" t="str">
        <f>IFERROR(__xludf.DUMMYFUNCTION("INDEX(SPLIT(I291,"" ""),1)"),"#REF!")</f>
        <v>#REF!</v>
      </c>
      <c r="P291" s="3" t="str">
        <f>IFERROR(__xludf.DUMMYFUNCTION("MID(REGEXEXTRACT(I291,"" [^ ]* [^ ]*""),2,300)"),"#REF!")</f>
        <v>#REF!</v>
      </c>
      <c r="Q291" s="3" t="str">
        <f>IFERROR(__xludf.DUMMYFUNCTION("INDEX(SPLIT(J291,"" ""),1)"),"#REF!")</f>
        <v>#REF!</v>
      </c>
      <c r="R291" s="3" t="str">
        <f>IFERROR(__xludf.DUMMYFUNCTION("MID(REGEXEXTRACT(J291,"" [^ ]* [^ ]*""),2,300)"),"#REF!")</f>
        <v>#REF!</v>
      </c>
      <c r="S291" s="3">
        <f t="shared" si="2"/>
        <v>2</v>
      </c>
      <c r="T291" s="3" t="str">
        <f t="shared" si="3"/>
        <v>pale aqua</v>
      </c>
      <c r="U291" s="3">
        <f t="shared" si="4"/>
        <v>4</v>
      </c>
      <c r="V291" s="3" t="str">
        <f t="shared" si="5"/>
        <v>shiny indigo</v>
      </c>
      <c r="W291" s="3" t="str">
        <f t="shared" si="6"/>
        <v/>
      </c>
      <c r="X291" s="3" t="str">
        <f t="shared" si="7"/>
        <v/>
      </c>
      <c r="Y291" s="3" t="str">
        <f t="shared" si="8"/>
        <v/>
      </c>
      <c r="Z291" s="3" t="str">
        <f t="shared" si="9"/>
        <v/>
      </c>
      <c r="AA291" s="13">
        <f t="shared" si="10"/>
        <v>6174577</v>
      </c>
      <c r="AB291" s="3">
        <f t="shared" si="11"/>
        <v>6174576</v>
      </c>
      <c r="AC291" s="3">
        <f t="shared" si="12"/>
        <v>2</v>
      </c>
      <c r="AD291" s="3">
        <f t="shared" si="13"/>
        <v>1578216</v>
      </c>
      <c r="AE291" s="3">
        <f t="shared" si="14"/>
        <v>4</v>
      </c>
      <c r="AF291" s="3">
        <f t="shared" si="15"/>
        <v>754536</v>
      </c>
      <c r="AG291" s="3" t="str">
        <f t="shared" si="16"/>
        <v/>
      </c>
      <c r="AH291" s="3">
        <f t="shared" si="17"/>
        <v>0</v>
      </c>
      <c r="AI291" s="3" t="str">
        <f t="shared" si="18"/>
        <v/>
      </c>
      <c r="AJ291" s="3">
        <f t="shared" si="19"/>
        <v>0</v>
      </c>
    </row>
    <row r="292">
      <c r="C292" s="6" t="s">
        <v>292</v>
      </c>
      <c r="D292" s="3">
        <f t="shared" si="1"/>
        <v>3</v>
      </c>
      <c r="E292" s="3" t="str">
        <f>IFERROR(__xludf.DUMMYFUNCTION("REGEXEXTRACT(C292,""[^ ]* [^ ]*"")"),"dim brown")</f>
        <v>dim brown</v>
      </c>
      <c r="F292" s="3" t="str">
        <f>IFERROR(__xludf.DUMMYFUNCTION("MID(REGEXEXTRACT(C292,""contain.*$""),9,300)"),"2 bright brown bags, 3 striped chartreuse bags, 5 dull purple bags, 1 light cyan bag.")</f>
        <v>2 bright brown bags, 3 striped chartreuse bags, 5 dull purple bags, 1 light cyan bag.</v>
      </c>
      <c r="G292" s="3" t="str">
        <f>IFERROR(__xludf.DUMMYFUNCTION("INDEX(SPLIT($F292,"",""),COLUMN()-6)"),"2 bright brown bags")</f>
        <v>2 bright brown bags</v>
      </c>
      <c r="H292" s="3" t="str">
        <f>IFERROR(__xludf.DUMMYFUNCTION("MID(INDEX(SPLIT($F292,"",""),COLUMN()-6),2,300)"),"3 striped chartreuse bags")</f>
        <v>3 striped chartreuse bags</v>
      </c>
      <c r="I292" s="3" t="str">
        <f>IFERROR(__xludf.DUMMYFUNCTION("MID(INDEX(SPLIT($F292,"",""),COLUMN()-6),2,300)"),"5 dull purple bags")</f>
        <v>5 dull purple bags</v>
      </c>
      <c r="J292" s="3" t="str">
        <f>IFERROR(__xludf.DUMMYFUNCTION("MID(INDEX(SPLIT($F292,"",""),COLUMN()-6),2,300)"),"1 light cyan bag.")</f>
        <v>1 light cyan bag.</v>
      </c>
      <c r="K292" s="3">
        <f>IFERROR(__xludf.DUMMYFUNCTION("INDEX(SPLIT(G292,"" ""),1)"),2.0)</f>
        <v>2</v>
      </c>
      <c r="L292" s="3" t="str">
        <f>IFERROR(__xludf.DUMMYFUNCTION("REGEXEXTRACT(G292,"" [^ ]* [^ ]* "")")," bright brown ")</f>
        <v> bright brown </v>
      </c>
      <c r="M292" s="3">
        <f>IFERROR(__xludf.DUMMYFUNCTION("INDEX(SPLIT(H292,"" ""),1)"),3.0)</f>
        <v>3</v>
      </c>
      <c r="N292" s="3" t="str">
        <f>IFERROR(__xludf.DUMMYFUNCTION("MID(REGEXEXTRACT(H292,"" [^ ]* [^ ]*""),2,300)"),"striped chartreuse")</f>
        <v>striped chartreuse</v>
      </c>
      <c r="O292" s="3">
        <f>IFERROR(__xludf.DUMMYFUNCTION("INDEX(SPLIT(I292,"" ""),1)"),5.0)</f>
        <v>5</v>
      </c>
      <c r="P292" s="3" t="str">
        <f>IFERROR(__xludf.DUMMYFUNCTION("MID(REGEXEXTRACT(I292,"" [^ ]* [^ ]*""),2,300)"),"dull purple")</f>
        <v>dull purple</v>
      </c>
      <c r="Q292" s="3">
        <f>IFERROR(__xludf.DUMMYFUNCTION("INDEX(SPLIT(J292,"" ""),1)"),1.0)</f>
        <v>1</v>
      </c>
      <c r="R292" s="3" t="str">
        <f>IFERROR(__xludf.DUMMYFUNCTION("MID(REGEXEXTRACT(J292,"" [^ ]* [^ ]*""),2,300)"),"light cyan")</f>
        <v>light cyan</v>
      </c>
      <c r="S292" s="3">
        <f t="shared" si="2"/>
        <v>2</v>
      </c>
      <c r="T292" s="3" t="str">
        <f t="shared" si="3"/>
        <v>bright brown</v>
      </c>
      <c r="U292" s="3">
        <f t="shared" si="4"/>
        <v>3</v>
      </c>
      <c r="V292" s="3" t="str">
        <f t="shared" si="5"/>
        <v>striped chartreuse</v>
      </c>
      <c r="W292" s="3">
        <f t="shared" si="6"/>
        <v>5</v>
      </c>
      <c r="X292" s="3" t="str">
        <f t="shared" si="7"/>
        <v>dull purple</v>
      </c>
      <c r="Y292" s="3">
        <f t="shared" si="8"/>
        <v>1</v>
      </c>
      <c r="Z292" s="3" t="str">
        <f t="shared" si="9"/>
        <v>light cyan</v>
      </c>
      <c r="AA292" s="13">
        <f t="shared" si="10"/>
        <v>23857</v>
      </c>
      <c r="AB292" s="3">
        <f t="shared" si="11"/>
        <v>23856</v>
      </c>
      <c r="AC292" s="3">
        <f t="shared" si="12"/>
        <v>2</v>
      </c>
      <c r="AD292" s="3">
        <f t="shared" si="13"/>
        <v>1</v>
      </c>
      <c r="AE292" s="3">
        <f t="shared" si="14"/>
        <v>3</v>
      </c>
      <c r="AF292" s="3">
        <f t="shared" si="15"/>
        <v>4053</v>
      </c>
      <c r="AG292" s="3">
        <f t="shared" si="16"/>
        <v>5</v>
      </c>
      <c r="AH292" s="3">
        <f t="shared" si="17"/>
        <v>1589</v>
      </c>
      <c r="AI292" s="3">
        <f t="shared" si="18"/>
        <v>1</v>
      </c>
      <c r="AJ292" s="3">
        <f t="shared" si="19"/>
        <v>3750</v>
      </c>
    </row>
    <row r="293">
      <c r="C293" s="6" t="s">
        <v>293</v>
      </c>
      <c r="D293" s="3">
        <f t="shared" si="1"/>
        <v>2</v>
      </c>
      <c r="E293" s="3" t="str">
        <f>IFERROR(__xludf.DUMMYFUNCTION("REGEXEXTRACT(C293,""[^ ]* [^ ]*"")"),"light lime")</f>
        <v>light lime</v>
      </c>
      <c r="F293" s="3" t="str">
        <f>IFERROR(__xludf.DUMMYFUNCTION("MID(REGEXEXTRACT(C293,""contain.*$""),9,300)"),"5 clear crimson bags, 4 plaid indigo bags, 1 pale silver bag.")</f>
        <v>5 clear crimson bags, 4 plaid indigo bags, 1 pale silver bag.</v>
      </c>
      <c r="G293" s="3" t="str">
        <f>IFERROR(__xludf.DUMMYFUNCTION("INDEX(SPLIT($F293,"",""),COLUMN()-6)"),"5 clear crimson bags")</f>
        <v>5 clear crimson bags</v>
      </c>
      <c r="H293" s="3" t="str">
        <f>IFERROR(__xludf.DUMMYFUNCTION("MID(INDEX(SPLIT($F293,"",""),COLUMN()-6),2,300)"),"4 plaid indigo bags")</f>
        <v>4 plaid indigo bags</v>
      </c>
      <c r="I293" s="3" t="str">
        <f>IFERROR(__xludf.DUMMYFUNCTION("MID(INDEX(SPLIT($F293,"",""),COLUMN()-6),2,300)"),"1 pale silver bag.")</f>
        <v>1 pale silver bag.</v>
      </c>
      <c r="J293" s="3" t="str">
        <f>IFERROR(__xludf.DUMMYFUNCTION("MID(INDEX(SPLIT($F293,"",""),COLUMN()-6),2,300)"),"#REF!")</f>
        <v>#REF!</v>
      </c>
      <c r="K293" s="3">
        <f>IFERROR(__xludf.DUMMYFUNCTION("INDEX(SPLIT(G293,"" ""),1)"),5.0)</f>
        <v>5</v>
      </c>
      <c r="L293" s="3" t="str">
        <f>IFERROR(__xludf.DUMMYFUNCTION("REGEXEXTRACT(G293,"" [^ ]* [^ ]* "")")," clear crimson ")</f>
        <v> clear crimson </v>
      </c>
      <c r="M293" s="3">
        <f>IFERROR(__xludf.DUMMYFUNCTION("INDEX(SPLIT(H293,"" ""),1)"),4.0)</f>
        <v>4</v>
      </c>
      <c r="N293" s="3" t="str">
        <f>IFERROR(__xludf.DUMMYFUNCTION("MID(REGEXEXTRACT(H293,"" [^ ]* [^ ]*""),2,300)"),"plaid indigo")</f>
        <v>plaid indigo</v>
      </c>
      <c r="O293" s="3">
        <f>IFERROR(__xludf.DUMMYFUNCTION("INDEX(SPLIT(I293,"" ""),1)"),1.0)</f>
        <v>1</v>
      </c>
      <c r="P293" s="3" t="str">
        <f>IFERROR(__xludf.DUMMYFUNCTION("MID(REGEXEXTRACT(I293,"" [^ ]* [^ ]*""),2,300)"),"pale silver")</f>
        <v>pale silver</v>
      </c>
      <c r="Q293" s="3" t="str">
        <f>IFERROR(__xludf.DUMMYFUNCTION("INDEX(SPLIT(J293,"" ""),1)"),"#REF!")</f>
        <v>#REF!</v>
      </c>
      <c r="R293" s="3" t="str">
        <f>IFERROR(__xludf.DUMMYFUNCTION("MID(REGEXEXTRACT(J293,"" [^ ]* [^ ]*""),2,300)"),"#REF!")</f>
        <v>#REF!</v>
      </c>
      <c r="S293" s="3">
        <f t="shared" si="2"/>
        <v>5</v>
      </c>
      <c r="T293" s="3" t="str">
        <f t="shared" si="3"/>
        <v>clear crimson</v>
      </c>
      <c r="U293" s="3">
        <f t="shared" si="4"/>
        <v>4</v>
      </c>
      <c r="V293" s="3" t="str">
        <f t="shared" si="5"/>
        <v>plaid indigo</v>
      </c>
      <c r="W293" s="3">
        <f t="shared" si="6"/>
        <v>1</v>
      </c>
      <c r="X293" s="3" t="str">
        <f t="shared" si="7"/>
        <v>pale silver</v>
      </c>
      <c r="Y293" s="3" t="str">
        <f t="shared" si="8"/>
        <v/>
      </c>
      <c r="Z293" s="3" t="str">
        <f t="shared" si="9"/>
        <v/>
      </c>
      <c r="AA293" s="13">
        <f t="shared" si="10"/>
        <v>147338859</v>
      </c>
      <c r="AB293" s="3">
        <f t="shared" si="11"/>
        <v>147338858</v>
      </c>
      <c r="AC293" s="3">
        <f t="shared" si="12"/>
        <v>5</v>
      </c>
      <c r="AD293" s="3">
        <f t="shared" si="13"/>
        <v>25340133</v>
      </c>
      <c r="AE293" s="3">
        <f t="shared" si="14"/>
        <v>4</v>
      </c>
      <c r="AF293" s="3">
        <f t="shared" si="15"/>
        <v>1545306</v>
      </c>
      <c r="AG293" s="3">
        <f t="shared" si="16"/>
        <v>1</v>
      </c>
      <c r="AH293" s="3">
        <f t="shared" si="17"/>
        <v>14456969</v>
      </c>
      <c r="AI293" s="3" t="str">
        <f t="shared" si="18"/>
        <v/>
      </c>
      <c r="AJ293" s="3">
        <f t="shared" si="19"/>
        <v>0</v>
      </c>
    </row>
    <row r="294">
      <c r="C294" s="6" t="s">
        <v>294</v>
      </c>
      <c r="D294" s="3">
        <f t="shared" si="1"/>
        <v>2</v>
      </c>
      <c r="E294" s="3" t="str">
        <f>IFERROR(__xludf.DUMMYFUNCTION("REGEXEXTRACT(C294,""[^ ]* [^ ]*"")"),"striped silver")</f>
        <v>striped silver</v>
      </c>
      <c r="F294" s="3" t="str">
        <f>IFERROR(__xludf.DUMMYFUNCTION("MID(REGEXEXTRACT(C294,""contain.*$""),9,300)"),"3 posh green bags, 3 muted violet bags, 1 drab green bag.")</f>
        <v>3 posh green bags, 3 muted violet bags, 1 drab green bag.</v>
      </c>
      <c r="G294" s="3" t="str">
        <f>IFERROR(__xludf.DUMMYFUNCTION("INDEX(SPLIT($F294,"",""),COLUMN()-6)"),"3 posh green bags")</f>
        <v>3 posh green bags</v>
      </c>
      <c r="H294" s="3" t="str">
        <f>IFERROR(__xludf.DUMMYFUNCTION("MID(INDEX(SPLIT($F294,"",""),COLUMN()-6),2,300)"),"3 muted violet bags")</f>
        <v>3 muted violet bags</v>
      </c>
      <c r="I294" s="3" t="str">
        <f>IFERROR(__xludf.DUMMYFUNCTION("MID(INDEX(SPLIT($F294,"",""),COLUMN()-6),2,300)"),"1 drab green bag.")</f>
        <v>1 drab green bag.</v>
      </c>
      <c r="J294" s="3" t="str">
        <f>IFERROR(__xludf.DUMMYFUNCTION("MID(INDEX(SPLIT($F294,"",""),COLUMN()-6),2,300)"),"#REF!")</f>
        <v>#REF!</v>
      </c>
      <c r="K294" s="3">
        <f>IFERROR(__xludf.DUMMYFUNCTION("INDEX(SPLIT(G294,"" ""),1)"),3.0)</f>
        <v>3</v>
      </c>
      <c r="L294" s="3" t="str">
        <f>IFERROR(__xludf.DUMMYFUNCTION("REGEXEXTRACT(G294,"" [^ ]* [^ ]* "")")," posh green ")</f>
        <v> posh green </v>
      </c>
      <c r="M294" s="3">
        <f>IFERROR(__xludf.DUMMYFUNCTION("INDEX(SPLIT(H294,"" ""),1)"),3.0)</f>
        <v>3</v>
      </c>
      <c r="N294" s="3" t="str">
        <f>IFERROR(__xludf.DUMMYFUNCTION("MID(REGEXEXTRACT(H294,"" [^ ]* [^ ]*""),2,300)"),"muted violet")</f>
        <v>muted violet</v>
      </c>
      <c r="O294" s="3">
        <f>IFERROR(__xludf.DUMMYFUNCTION("INDEX(SPLIT(I294,"" ""),1)"),1.0)</f>
        <v>1</v>
      </c>
      <c r="P294" s="3" t="str">
        <f>IFERROR(__xludf.DUMMYFUNCTION("MID(REGEXEXTRACT(I294,"" [^ ]* [^ ]*""),2,300)"),"drab green")</f>
        <v>drab green</v>
      </c>
      <c r="Q294" s="3" t="str">
        <f>IFERROR(__xludf.DUMMYFUNCTION("INDEX(SPLIT(J294,"" ""),1)"),"#REF!")</f>
        <v>#REF!</v>
      </c>
      <c r="R294" s="3" t="str">
        <f>IFERROR(__xludf.DUMMYFUNCTION("MID(REGEXEXTRACT(J294,"" [^ ]* [^ ]*""),2,300)"),"#REF!")</f>
        <v>#REF!</v>
      </c>
      <c r="S294" s="3">
        <f t="shared" si="2"/>
        <v>3</v>
      </c>
      <c r="T294" s="3" t="str">
        <f t="shared" si="3"/>
        <v>posh green</v>
      </c>
      <c r="U294" s="3">
        <f t="shared" si="4"/>
        <v>3</v>
      </c>
      <c r="V294" s="3" t="str">
        <f t="shared" si="5"/>
        <v>muted violet</v>
      </c>
      <c r="W294" s="3">
        <f t="shared" si="6"/>
        <v>1</v>
      </c>
      <c r="X294" s="3" t="str">
        <f t="shared" si="7"/>
        <v>drab green</v>
      </c>
      <c r="Y294" s="3" t="str">
        <f t="shared" si="8"/>
        <v/>
      </c>
      <c r="Z294" s="3" t="str">
        <f t="shared" si="9"/>
        <v/>
      </c>
      <c r="AA294" s="13">
        <f t="shared" si="10"/>
        <v>19119</v>
      </c>
      <c r="AB294" s="3">
        <f t="shared" si="11"/>
        <v>19118</v>
      </c>
      <c r="AC294" s="3">
        <f t="shared" si="12"/>
        <v>3</v>
      </c>
      <c r="AD294" s="3">
        <f t="shared" si="13"/>
        <v>6367</v>
      </c>
      <c r="AE294" s="3">
        <f t="shared" si="14"/>
        <v>3</v>
      </c>
      <c r="AF294" s="3">
        <f t="shared" si="15"/>
        <v>4</v>
      </c>
      <c r="AG294" s="3">
        <f t="shared" si="16"/>
        <v>1</v>
      </c>
      <c r="AH294" s="3">
        <f t="shared" si="17"/>
        <v>5</v>
      </c>
      <c r="AI294" s="3" t="str">
        <f t="shared" si="18"/>
        <v/>
      </c>
      <c r="AJ294" s="3">
        <f t="shared" si="19"/>
        <v>0</v>
      </c>
    </row>
    <row r="295">
      <c r="C295" s="6" t="s">
        <v>295</v>
      </c>
      <c r="D295" s="3">
        <f t="shared" si="1"/>
        <v>0</v>
      </c>
      <c r="E295" s="3" t="str">
        <f>IFERROR(__xludf.DUMMYFUNCTION("REGEXEXTRACT(C295,""[^ ]* [^ ]*"")"),"bright brown")</f>
        <v>bright brown</v>
      </c>
      <c r="F295" s="3" t="str">
        <f>IFERROR(__xludf.DUMMYFUNCTION("MID(REGEXEXTRACT(C295,""contain.*$""),9,300)"),"no other bags.")</f>
        <v>no other bags.</v>
      </c>
      <c r="G295" s="3" t="str">
        <f>IFERROR(__xludf.DUMMYFUNCTION("INDEX(SPLIT($F295,"",""),COLUMN()-6)"),"no other bags.")</f>
        <v>no other bags.</v>
      </c>
      <c r="H295" s="3" t="str">
        <f>IFERROR(__xludf.DUMMYFUNCTION("MID(INDEX(SPLIT($F295,"",""),COLUMN()-6),2,300)"),"#REF!")</f>
        <v>#REF!</v>
      </c>
      <c r="I295" s="3" t="str">
        <f>IFERROR(__xludf.DUMMYFUNCTION("MID(INDEX(SPLIT($F295,"",""),COLUMN()-6),2,300)"),"#REF!")</f>
        <v>#REF!</v>
      </c>
      <c r="J295" s="3" t="str">
        <f>IFERROR(__xludf.DUMMYFUNCTION("MID(INDEX(SPLIT($F295,"",""),COLUMN()-6),2,300)"),"#REF!")</f>
        <v>#REF!</v>
      </c>
      <c r="K295" s="3" t="str">
        <f>IFERROR(__xludf.DUMMYFUNCTION("INDEX(SPLIT(G295,"" ""),1)"),"no")</f>
        <v>no</v>
      </c>
      <c r="L295" s="3" t="str">
        <f>IFERROR(__xludf.DUMMYFUNCTION("REGEXEXTRACT(G295,"" [^ ]* [^ ]* "")"),"#N/A")</f>
        <v>#N/A</v>
      </c>
      <c r="M295" s="3" t="str">
        <f>IFERROR(__xludf.DUMMYFUNCTION("INDEX(SPLIT(H295,"" ""),1)"),"#REF!")</f>
        <v>#REF!</v>
      </c>
      <c r="N295" s="3" t="str">
        <f>IFERROR(__xludf.DUMMYFUNCTION("MID(REGEXEXTRACT(H295,"" [^ ]* [^ ]*""),2,300)"),"#REF!")</f>
        <v>#REF!</v>
      </c>
      <c r="O295" s="3" t="str">
        <f>IFERROR(__xludf.DUMMYFUNCTION("INDEX(SPLIT(I295,"" ""),1)"),"#REF!")</f>
        <v>#REF!</v>
      </c>
      <c r="P295" s="3" t="str">
        <f>IFERROR(__xludf.DUMMYFUNCTION("MID(REGEXEXTRACT(I295,"" [^ ]* [^ ]*""),2,300)"),"#REF!")</f>
        <v>#REF!</v>
      </c>
      <c r="Q295" s="3" t="str">
        <f>IFERROR(__xludf.DUMMYFUNCTION("INDEX(SPLIT(J295,"" ""),1)"),"#REF!")</f>
        <v>#REF!</v>
      </c>
      <c r="R295" s="3" t="str">
        <f>IFERROR(__xludf.DUMMYFUNCTION("MID(REGEXEXTRACT(J295,"" [^ ]* [^ ]*""),2,300)"),"#REF!")</f>
        <v>#REF!</v>
      </c>
      <c r="S295" s="3" t="str">
        <f t="shared" si="2"/>
        <v/>
      </c>
      <c r="T295" s="3" t="str">
        <f t="shared" si="3"/>
        <v/>
      </c>
      <c r="U295" s="3" t="str">
        <f t="shared" si="4"/>
        <v/>
      </c>
      <c r="V295" s="3" t="str">
        <f t="shared" si="5"/>
        <v/>
      </c>
      <c r="W295" s="3" t="str">
        <f t="shared" si="6"/>
        <v/>
      </c>
      <c r="X295" s="3" t="str">
        <f t="shared" si="7"/>
        <v/>
      </c>
      <c r="Y295" s="3" t="str">
        <f t="shared" si="8"/>
        <v/>
      </c>
      <c r="Z295" s="3" t="str">
        <f t="shared" si="9"/>
        <v/>
      </c>
      <c r="AA295" s="13">
        <f t="shared" si="10"/>
        <v>1</v>
      </c>
      <c r="AB295" s="3">
        <f t="shared" si="11"/>
        <v>0</v>
      </c>
      <c r="AC295" s="3" t="str">
        <f t="shared" si="12"/>
        <v/>
      </c>
      <c r="AD295" s="3">
        <f t="shared" si="13"/>
        <v>0</v>
      </c>
      <c r="AE295" s="3" t="str">
        <f t="shared" si="14"/>
        <v/>
      </c>
      <c r="AF295" s="3">
        <f t="shared" si="15"/>
        <v>0</v>
      </c>
      <c r="AG295" s="3" t="str">
        <f t="shared" si="16"/>
        <v/>
      </c>
      <c r="AH295" s="3">
        <f t="shared" si="17"/>
        <v>0</v>
      </c>
      <c r="AI295" s="3" t="str">
        <f t="shared" si="18"/>
        <v/>
      </c>
      <c r="AJ295" s="3">
        <f t="shared" si="19"/>
        <v>0</v>
      </c>
    </row>
    <row r="296">
      <c r="C296" s="6" t="s">
        <v>296</v>
      </c>
      <c r="D296" s="3">
        <f t="shared" si="1"/>
        <v>3</v>
      </c>
      <c r="E296" s="3" t="str">
        <f>IFERROR(__xludf.DUMMYFUNCTION("REGEXEXTRACT(C296,""[^ ]* [^ ]*"")"),"vibrant fuchsia")</f>
        <v>vibrant fuchsia</v>
      </c>
      <c r="F296" s="3" t="str">
        <f>IFERROR(__xludf.DUMMYFUNCTION("MID(REGEXEXTRACT(C296,""contain.*$""),9,300)"),"4 dull olive bags, 2 mirrored gold bags, 3 mirrored bronze bags, 1 posh crimson bag.")</f>
        <v>4 dull olive bags, 2 mirrored gold bags, 3 mirrored bronze bags, 1 posh crimson bag.</v>
      </c>
      <c r="G296" s="3" t="str">
        <f>IFERROR(__xludf.DUMMYFUNCTION("INDEX(SPLIT($F296,"",""),COLUMN()-6)"),"4 dull olive bags")</f>
        <v>4 dull olive bags</v>
      </c>
      <c r="H296" s="3" t="str">
        <f>IFERROR(__xludf.DUMMYFUNCTION("MID(INDEX(SPLIT($F296,"",""),COLUMN()-6),2,300)"),"2 mirrored gold bags")</f>
        <v>2 mirrored gold bags</v>
      </c>
      <c r="I296" s="3" t="str">
        <f>IFERROR(__xludf.DUMMYFUNCTION("MID(INDEX(SPLIT($F296,"",""),COLUMN()-6),2,300)"),"3 mirrored bronze bags")</f>
        <v>3 mirrored bronze bags</v>
      </c>
      <c r="J296" s="3" t="str">
        <f>IFERROR(__xludf.DUMMYFUNCTION("MID(INDEX(SPLIT($F296,"",""),COLUMN()-6),2,300)"),"1 posh crimson bag.")</f>
        <v>1 posh crimson bag.</v>
      </c>
      <c r="K296" s="3">
        <f>IFERROR(__xludf.DUMMYFUNCTION("INDEX(SPLIT(G296,"" ""),1)"),4.0)</f>
        <v>4</v>
      </c>
      <c r="L296" s="3" t="str">
        <f>IFERROR(__xludf.DUMMYFUNCTION("REGEXEXTRACT(G296,"" [^ ]* [^ ]* "")")," dull olive ")</f>
        <v> dull olive </v>
      </c>
      <c r="M296" s="3">
        <f>IFERROR(__xludf.DUMMYFUNCTION("INDEX(SPLIT(H296,"" ""),1)"),2.0)</f>
        <v>2</v>
      </c>
      <c r="N296" s="3" t="str">
        <f>IFERROR(__xludf.DUMMYFUNCTION("MID(REGEXEXTRACT(H296,"" [^ ]* [^ ]*""),2,300)"),"mirrored gold")</f>
        <v>mirrored gold</v>
      </c>
      <c r="O296" s="3">
        <f>IFERROR(__xludf.DUMMYFUNCTION("INDEX(SPLIT(I296,"" ""),1)"),3.0)</f>
        <v>3</v>
      </c>
      <c r="P296" s="3" t="str">
        <f>IFERROR(__xludf.DUMMYFUNCTION("MID(REGEXEXTRACT(I296,"" [^ ]* [^ ]*""),2,300)"),"mirrored bronze")</f>
        <v>mirrored bronze</v>
      </c>
      <c r="Q296" s="3">
        <f>IFERROR(__xludf.DUMMYFUNCTION("INDEX(SPLIT(J296,"" ""),1)"),1.0)</f>
        <v>1</v>
      </c>
      <c r="R296" s="3" t="str">
        <f>IFERROR(__xludf.DUMMYFUNCTION("MID(REGEXEXTRACT(J296,"" [^ ]* [^ ]*""),2,300)"),"posh crimson")</f>
        <v>posh crimson</v>
      </c>
      <c r="S296" s="3">
        <f t="shared" si="2"/>
        <v>4</v>
      </c>
      <c r="T296" s="3" t="str">
        <f t="shared" si="3"/>
        <v>dull olive</v>
      </c>
      <c r="U296" s="3">
        <f t="shared" si="4"/>
        <v>2</v>
      </c>
      <c r="V296" s="3" t="str">
        <f t="shared" si="5"/>
        <v>mirrored gold</v>
      </c>
      <c r="W296" s="3">
        <f t="shared" si="6"/>
        <v>3</v>
      </c>
      <c r="X296" s="3" t="str">
        <f t="shared" si="7"/>
        <v>mirrored bronze</v>
      </c>
      <c r="Y296" s="3">
        <f t="shared" si="8"/>
        <v>1</v>
      </c>
      <c r="Z296" s="3" t="str">
        <f t="shared" si="9"/>
        <v>posh crimson</v>
      </c>
      <c r="AA296" s="13">
        <f t="shared" si="10"/>
        <v>1425428413</v>
      </c>
      <c r="AB296" s="3">
        <f t="shared" si="11"/>
        <v>1425428412</v>
      </c>
      <c r="AC296" s="3">
        <f t="shared" si="12"/>
        <v>4</v>
      </c>
      <c r="AD296" s="3">
        <f t="shared" si="13"/>
        <v>262509449</v>
      </c>
      <c r="AE296" s="3">
        <f t="shared" si="14"/>
        <v>2</v>
      </c>
      <c r="AF296" s="3">
        <f t="shared" si="15"/>
        <v>821</v>
      </c>
      <c r="AG296" s="3">
        <f t="shared" si="16"/>
        <v>3</v>
      </c>
      <c r="AH296" s="3">
        <f t="shared" si="17"/>
        <v>29923</v>
      </c>
      <c r="AI296" s="3">
        <f t="shared" si="18"/>
        <v>1</v>
      </c>
      <c r="AJ296" s="3">
        <f t="shared" si="19"/>
        <v>375299205</v>
      </c>
    </row>
    <row r="297">
      <c r="C297" s="6" t="s">
        <v>297</v>
      </c>
      <c r="D297" s="3">
        <f t="shared" si="1"/>
        <v>2</v>
      </c>
      <c r="E297" s="3" t="str">
        <f>IFERROR(__xludf.DUMMYFUNCTION("REGEXEXTRACT(C297,""[^ ]* [^ ]*"")"),"plaid purple")</f>
        <v>plaid purple</v>
      </c>
      <c r="F297" s="3" t="str">
        <f>IFERROR(__xludf.DUMMYFUNCTION("MID(REGEXEXTRACT(C297,""contain.*$""),9,300)"),"3 faded beige bags, 1 drab green bag, 2 striped chartreuse bags.")</f>
        <v>3 faded beige bags, 1 drab green bag, 2 striped chartreuse bags.</v>
      </c>
      <c r="G297" s="3" t="str">
        <f>IFERROR(__xludf.DUMMYFUNCTION("INDEX(SPLIT($F297,"",""),COLUMN()-6)"),"3 faded beige bags")</f>
        <v>3 faded beige bags</v>
      </c>
      <c r="H297" s="3" t="str">
        <f>IFERROR(__xludf.DUMMYFUNCTION("MID(INDEX(SPLIT($F297,"",""),COLUMN()-6),2,300)"),"1 drab green bag")</f>
        <v>1 drab green bag</v>
      </c>
      <c r="I297" s="3" t="str">
        <f>IFERROR(__xludf.DUMMYFUNCTION("MID(INDEX(SPLIT($F297,"",""),COLUMN()-6),2,300)"),"2 striped chartreuse bags.")</f>
        <v>2 striped chartreuse bags.</v>
      </c>
      <c r="J297" s="3" t="str">
        <f>IFERROR(__xludf.DUMMYFUNCTION("MID(INDEX(SPLIT($F297,"",""),COLUMN()-6),2,300)"),"#REF!")</f>
        <v>#REF!</v>
      </c>
      <c r="K297" s="3">
        <f>IFERROR(__xludf.DUMMYFUNCTION("INDEX(SPLIT(G297,"" ""),1)"),3.0)</f>
        <v>3</v>
      </c>
      <c r="L297" s="3" t="str">
        <f>IFERROR(__xludf.DUMMYFUNCTION("REGEXEXTRACT(G297,"" [^ ]* [^ ]* "")")," faded beige ")</f>
        <v> faded beige </v>
      </c>
      <c r="M297" s="3">
        <f>IFERROR(__xludf.DUMMYFUNCTION("INDEX(SPLIT(H297,"" ""),1)"),1.0)</f>
        <v>1</v>
      </c>
      <c r="N297" s="3" t="str">
        <f>IFERROR(__xludf.DUMMYFUNCTION("MID(REGEXEXTRACT(H297,"" [^ ]* [^ ]*""),2,300)"),"drab green")</f>
        <v>drab green</v>
      </c>
      <c r="O297" s="3">
        <f>IFERROR(__xludf.DUMMYFUNCTION("INDEX(SPLIT(I297,"" ""),1)"),2.0)</f>
        <v>2</v>
      </c>
      <c r="P297" s="3" t="str">
        <f>IFERROR(__xludf.DUMMYFUNCTION("MID(REGEXEXTRACT(I297,"" [^ ]* [^ ]*""),2,300)"),"striped chartreuse")</f>
        <v>striped chartreuse</v>
      </c>
      <c r="Q297" s="3" t="str">
        <f>IFERROR(__xludf.DUMMYFUNCTION("INDEX(SPLIT(J297,"" ""),1)"),"#REF!")</f>
        <v>#REF!</v>
      </c>
      <c r="R297" s="3" t="str">
        <f>IFERROR(__xludf.DUMMYFUNCTION("MID(REGEXEXTRACT(J297,"" [^ ]* [^ ]*""),2,300)"),"#REF!")</f>
        <v>#REF!</v>
      </c>
      <c r="S297" s="3">
        <f t="shared" si="2"/>
        <v>3</v>
      </c>
      <c r="T297" s="3" t="str">
        <f t="shared" si="3"/>
        <v>faded beige</v>
      </c>
      <c r="U297" s="3">
        <f t="shared" si="4"/>
        <v>1</v>
      </c>
      <c r="V297" s="3" t="str">
        <f t="shared" si="5"/>
        <v>drab green</v>
      </c>
      <c r="W297" s="3">
        <f t="shared" si="6"/>
        <v>2</v>
      </c>
      <c r="X297" s="3" t="str">
        <f t="shared" si="7"/>
        <v>striped chartreuse</v>
      </c>
      <c r="Y297" s="3" t="str">
        <f t="shared" si="8"/>
        <v/>
      </c>
      <c r="Z297" s="3" t="str">
        <f t="shared" si="9"/>
        <v/>
      </c>
      <c r="AA297" s="13">
        <f t="shared" si="10"/>
        <v>27231</v>
      </c>
      <c r="AB297" s="3">
        <f t="shared" si="11"/>
        <v>27230</v>
      </c>
      <c r="AC297" s="3">
        <f t="shared" si="12"/>
        <v>3</v>
      </c>
      <c r="AD297" s="3">
        <f t="shared" si="13"/>
        <v>6373</v>
      </c>
      <c r="AE297" s="3">
        <f t="shared" si="14"/>
        <v>1</v>
      </c>
      <c r="AF297" s="3">
        <f t="shared" si="15"/>
        <v>5</v>
      </c>
      <c r="AG297" s="3">
        <f t="shared" si="16"/>
        <v>2</v>
      </c>
      <c r="AH297" s="3">
        <f t="shared" si="17"/>
        <v>4053</v>
      </c>
      <c r="AI297" s="3" t="str">
        <f t="shared" si="18"/>
        <v/>
      </c>
      <c r="AJ297" s="3">
        <f t="shared" si="19"/>
        <v>0</v>
      </c>
    </row>
    <row r="298">
      <c r="C298" s="6" t="s">
        <v>298</v>
      </c>
      <c r="D298" s="3">
        <f t="shared" si="1"/>
        <v>1</v>
      </c>
      <c r="E298" s="3" t="str">
        <f>IFERROR(__xludf.DUMMYFUNCTION("REGEXEXTRACT(C298,""[^ ]* [^ ]*"")"),"wavy violet")</f>
        <v>wavy violet</v>
      </c>
      <c r="F298" s="3" t="str">
        <f>IFERROR(__xludf.DUMMYFUNCTION("MID(REGEXEXTRACT(C298,""contain.*$""),9,300)"),"2 vibrant gray bags, 5 wavy fuchsia bags.")</f>
        <v>2 vibrant gray bags, 5 wavy fuchsia bags.</v>
      </c>
      <c r="G298" s="3" t="str">
        <f>IFERROR(__xludf.DUMMYFUNCTION("INDEX(SPLIT($F298,"",""),COLUMN()-6)"),"2 vibrant gray bags")</f>
        <v>2 vibrant gray bags</v>
      </c>
      <c r="H298" s="3" t="str">
        <f>IFERROR(__xludf.DUMMYFUNCTION("MID(INDEX(SPLIT($F298,"",""),COLUMN()-6),2,300)"),"5 wavy fuchsia bags.")</f>
        <v>5 wavy fuchsia bags.</v>
      </c>
      <c r="I298" s="3" t="str">
        <f>IFERROR(__xludf.DUMMYFUNCTION("MID(INDEX(SPLIT($F298,"",""),COLUMN()-6),2,300)"),"#REF!")</f>
        <v>#REF!</v>
      </c>
      <c r="J298" s="3" t="str">
        <f>IFERROR(__xludf.DUMMYFUNCTION("MID(INDEX(SPLIT($F298,"",""),COLUMN()-6),2,300)"),"#REF!")</f>
        <v>#REF!</v>
      </c>
      <c r="K298" s="3">
        <f>IFERROR(__xludf.DUMMYFUNCTION("INDEX(SPLIT(G298,"" ""),1)"),2.0)</f>
        <v>2</v>
      </c>
      <c r="L298" s="3" t="str">
        <f>IFERROR(__xludf.DUMMYFUNCTION("REGEXEXTRACT(G298,"" [^ ]* [^ ]* "")")," vibrant gray ")</f>
        <v> vibrant gray </v>
      </c>
      <c r="M298" s="3">
        <f>IFERROR(__xludf.DUMMYFUNCTION("INDEX(SPLIT(H298,"" ""),1)"),5.0)</f>
        <v>5</v>
      </c>
      <c r="N298" s="3" t="str">
        <f>IFERROR(__xludf.DUMMYFUNCTION("MID(REGEXEXTRACT(H298,"" [^ ]* [^ ]*""),2,300)"),"wavy fuchsia")</f>
        <v>wavy fuchsia</v>
      </c>
      <c r="O298" s="3" t="str">
        <f>IFERROR(__xludf.DUMMYFUNCTION("INDEX(SPLIT(I298,"" ""),1)"),"#REF!")</f>
        <v>#REF!</v>
      </c>
      <c r="P298" s="3" t="str">
        <f>IFERROR(__xludf.DUMMYFUNCTION("MID(REGEXEXTRACT(I298,"" [^ ]* [^ ]*""),2,300)"),"#REF!")</f>
        <v>#REF!</v>
      </c>
      <c r="Q298" s="3" t="str">
        <f>IFERROR(__xludf.DUMMYFUNCTION("INDEX(SPLIT(J298,"" ""),1)"),"#REF!")</f>
        <v>#REF!</v>
      </c>
      <c r="R298" s="3" t="str">
        <f>IFERROR(__xludf.DUMMYFUNCTION("MID(REGEXEXTRACT(J298,"" [^ ]* [^ ]*""),2,300)"),"#REF!")</f>
        <v>#REF!</v>
      </c>
      <c r="S298" s="3">
        <f t="shared" si="2"/>
        <v>2</v>
      </c>
      <c r="T298" s="3" t="str">
        <f t="shared" si="3"/>
        <v>vibrant gray</v>
      </c>
      <c r="U298" s="3">
        <f t="shared" si="4"/>
        <v>5</v>
      </c>
      <c r="V298" s="3" t="str">
        <f t="shared" si="5"/>
        <v>wavy fuchsia</v>
      </c>
      <c r="W298" s="3" t="str">
        <f t="shared" si="6"/>
        <v/>
      </c>
      <c r="X298" s="3" t="str">
        <f t="shared" si="7"/>
        <v/>
      </c>
      <c r="Y298" s="3" t="str">
        <f t="shared" si="8"/>
        <v/>
      </c>
      <c r="Z298" s="3" t="str">
        <f t="shared" si="9"/>
        <v/>
      </c>
      <c r="AA298" s="13">
        <f t="shared" si="10"/>
        <v>19632582</v>
      </c>
      <c r="AB298" s="3">
        <f t="shared" si="11"/>
        <v>19632581</v>
      </c>
      <c r="AC298" s="3">
        <f t="shared" si="12"/>
        <v>2</v>
      </c>
      <c r="AD298" s="3">
        <f t="shared" si="13"/>
        <v>825738</v>
      </c>
      <c r="AE298" s="3">
        <f t="shared" si="14"/>
        <v>5</v>
      </c>
      <c r="AF298" s="3">
        <f t="shared" si="15"/>
        <v>3596221</v>
      </c>
      <c r="AG298" s="3" t="str">
        <f t="shared" si="16"/>
        <v/>
      </c>
      <c r="AH298" s="3">
        <f t="shared" si="17"/>
        <v>0</v>
      </c>
      <c r="AI298" s="3" t="str">
        <f t="shared" si="18"/>
        <v/>
      </c>
      <c r="AJ298" s="3">
        <f t="shared" si="19"/>
        <v>0</v>
      </c>
    </row>
    <row r="299">
      <c r="C299" s="6" t="s">
        <v>299</v>
      </c>
      <c r="D299" s="3">
        <f t="shared" si="1"/>
        <v>1</v>
      </c>
      <c r="E299" s="3" t="str">
        <f>IFERROR(__xludf.DUMMYFUNCTION("REGEXEXTRACT(C299,""[^ ]* [^ ]*"")"),"dark maroon")</f>
        <v>dark maroon</v>
      </c>
      <c r="F299" s="3" t="str">
        <f>IFERROR(__xludf.DUMMYFUNCTION("MID(REGEXEXTRACT(C299,""contain.*$""),9,300)"),"5 pale chartreuse bags, 5 striped brown bags.")</f>
        <v>5 pale chartreuse bags, 5 striped brown bags.</v>
      </c>
      <c r="G299" s="3" t="str">
        <f>IFERROR(__xludf.DUMMYFUNCTION("INDEX(SPLIT($F299,"",""),COLUMN()-6)"),"5 pale chartreuse bags")</f>
        <v>5 pale chartreuse bags</v>
      </c>
      <c r="H299" s="3" t="str">
        <f>IFERROR(__xludf.DUMMYFUNCTION("MID(INDEX(SPLIT($F299,"",""),COLUMN()-6),2,300)"),"5 striped brown bags.")</f>
        <v>5 striped brown bags.</v>
      </c>
      <c r="I299" s="3" t="str">
        <f>IFERROR(__xludf.DUMMYFUNCTION("MID(INDEX(SPLIT($F299,"",""),COLUMN()-6),2,300)"),"#REF!")</f>
        <v>#REF!</v>
      </c>
      <c r="J299" s="3" t="str">
        <f>IFERROR(__xludf.DUMMYFUNCTION("MID(INDEX(SPLIT($F299,"",""),COLUMN()-6),2,300)"),"#REF!")</f>
        <v>#REF!</v>
      </c>
      <c r="K299" s="3">
        <f>IFERROR(__xludf.DUMMYFUNCTION("INDEX(SPLIT(G299,"" ""),1)"),5.0)</f>
        <v>5</v>
      </c>
      <c r="L299" s="3" t="str">
        <f>IFERROR(__xludf.DUMMYFUNCTION("REGEXEXTRACT(G299,"" [^ ]* [^ ]* "")")," pale chartreuse ")</f>
        <v> pale chartreuse </v>
      </c>
      <c r="M299" s="3">
        <f>IFERROR(__xludf.DUMMYFUNCTION("INDEX(SPLIT(H299,"" ""),1)"),5.0)</f>
        <v>5</v>
      </c>
      <c r="N299" s="3" t="str">
        <f>IFERROR(__xludf.DUMMYFUNCTION("MID(REGEXEXTRACT(H299,"" [^ ]* [^ ]*""),2,300)"),"striped brown")</f>
        <v>striped brown</v>
      </c>
      <c r="O299" s="3" t="str">
        <f>IFERROR(__xludf.DUMMYFUNCTION("INDEX(SPLIT(I299,"" ""),1)"),"#REF!")</f>
        <v>#REF!</v>
      </c>
      <c r="P299" s="3" t="str">
        <f>IFERROR(__xludf.DUMMYFUNCTION("MID(REGEXEXTRACT(I299,"" [^ ]* [^ ]*""),2,300)"),"#REF!")</f>
        <v>#REF!</v>
      </c>
      <c r="Q299" s="3" t="str">
        <f>IFERROR(__xludf.DUMMYFUNCTION("INDEX(SPLIT(J299,"" ""),1)"),"#REF!")</f>
        <v>#REF!</v>
      </c>
      <c r="R299" s="3" t="str">
        <f>IFERROR(__xludf.DUMMYFUNCTION("MID(REGEXEXTRACT(J299,"" [^ ]* [^ ]*""),2,300)"),"#REF!")</f>
        <v>#REF!</v>
      </c>
      <c r="S299" s="3">
        <f t="shared" si="2"/>
        <v>5</v>
      </c>
      <c r="T299" s="3" t="str">
        <f t="shared" si="3"/>
        <v>pale chartreuse</v>
      </c>
      <c r="U299" s="3">
        <f t="shared" si="4"/>
        <v>5</v>
      </c>
      <c r="V299" s="3" t="str">
        <f t="shared" si="5"/>
        <v>striped brown</v>
      </c>
      <c r="W299" s="3" t="str">
        <f t="shared" si="6"/>
        <v/>
      </c>
      <c r="X299" s="3" t="str">
        <f t="shared" si="7"/>
        <v/>
      </c>
      <c r="Y299" s="3" t="str">
        <f t="shared" si="8"/>
        <v/>
      </c>
      <c r="Z299" s="3" t="str">
        <f t="shared" si="9"/>
        <v/>
      </c>
      <c r="AA299" s="13">
        <f t="shared" si="10"/>
        <v>1572433006</v>
      </c>
      <c r="AB299" s="3">
        <f t="shared" si="11"/>
        <v>1572433005</v>
      </c>
      <c r="AC299" s="3">
        <f t="shared" si="12"/>
        <v>5</v>
      </c>
      <c r="AD299" s="3">
        <f t="shared" si="13"/>
        <v>157505668</v>
      </c>
      <c r="AE299" s="3">
        <f t="shared" si="14"/>
        <v>5</v>
      </c>
      <c r="AF299" s="3">
        <f t="shared" si="15"/>
        <v>156980933</v>
      </c>
      <c r="AG299" s="3" t="str">
        <f t="shared" si="16"/>
        <v/>
      </c>
      <c r="AH299" s="3">
        <f t="shared" si="17"/>
        <v>0</v>
      </c>
      <c r="AI299" s="3" t="str">
        <f t="shared" si="18"/>
        <v/>
      </c>
      <c r="AJ299" s="3">
        <f t="shared" si="19"/>
        <v>0</v>
      </c>
    </row>
    <row r="300">
      <c r="C300" s="6" t="s">
        <v>300</v>
      </c>
      <c r="D300" s="3">
        <f t="shared" si="1"/>
        <v>0</v>
      </c>
      <c r="E300" s="3" t="str">
        <f>IFERROR(__xludf.DUMMYFUNCTION("REGEXEXTRACT(C300,""[^ ]* [^ ]*"")"),"pale coral")</f>
        <v>pale coral</v>
      </c>
      <c r="F300" s="3" t="str">
        <f>IFERROR(__xludf.DUMMYFUNCTION("MID(REGEXEXTRACT(C300,""contain.*$""),9,300)"),"3 vibrant plum bags.")</f>
        <v>3 vibrant plum bags.</v>
      </c>
      <c r="G300" s="3" t="str">
        <f>IFERROR(__xludf.DUMMYFUNCTION("INDEX(SPLIT($F300,"",""),COLUMN()-6)"),"3 vibrant plum bags.")</f>
        <v>3 vibrant plum bags.</v>
      </c>
      <c r="H300" s="3" t="str">
        <f>IFERROR(__xludf.DUMMYFUNCTION("MID(INDEX(SPLIT($F300,"",""),COLUMN()-6),2,300)"),"#REF!")</f>
        <v>#REF!</v>
      </c>
      <c r="I300" s="3" t="str">
        <f>IFERROR(__xludf.DUMMYFUNCTION("MID(INDEX(SPLIT($F300,"",""),COLUMN()-6),2,300)"),"#REF!")</f>
        <v>#REF!</v>
      </c>
      <c r="J300" s="3" t="str">
        <f>IFERROR(__xludf.DUMMYFUNCTION("MID(INDEX(SPLIT($F300,"",""),COLUMN()-6),2,300)"),"#REF!")</f>
        <v>#REF!</v>
      </c>
      <c r="K300" s="3">
        <f>IFERROR(__xludf.DUMMYFUNCTION("INDEX(SPLIT(G300,"" ""),1)"),3.0)</f>
        <v>3</v>
      </c>
      <c r="L300" s="3" t="str">
        <f>IFERROR(__xludf.DUMMYFUNCTION("REGEXEXTRACT(G300,"" [^ ]* [^ ]* "")")," vibrant plum ")</f>
        <v> vibrant plum </v>
      </c>
      <c r="M300" s="3" t="str">
        <f>IFERROR(__xludf.DUMMYFUNCTION("INDEX(SPLIT(H300,"" ""),1)"),"#REF!")</f>
        <v>#REF!</v>
      </c>
      <c r="N300" s="3" t="str">
        <f>IFERROR(__xludf.DUMMYFUNCTION("MID(REGEXEXTRACT(H300,"" [^ ]* [^ ]*""),2,300)"),"#REF!")</f>
        <v>#REF!</v>
      </c>
      <c r="O300" s="3" t="str">
        <f>IFERROR(__xludf.DUMMYFUNCTION("INDEX(SPLIT(I300,"" ""),1)"),"#REF!")</f>
        <v>#REF!</v>
      </c>
      <c r="P300" s="3" t="str">
        <f>IFERROR(__xludf.DUMMYFUNCTION("MID(REGEXEXTRACT(I300,"" [^ ]* [^ ]*""),2,300)"),"#REF!")</f>
        <v>#REF!</v>
      </c>
      <c r="Q300" s="3" t="str">
        <f>IFERROR(__xludf.DUMMYFUNCTION("INDEX(SPLIT(J300,"" ""),1)"),"#REF!")</f>
        <v>#REF!</v>
      </c>
      <c r="R300" s="3" t="str">
        <f>IFERROR(__xludf.DUMMYFUNCTION("MID(REGEXEXTRACT(J300,"" [^ ]* [^ ]*""),2,300)"),"#REF!")</f>
        <v>#REF!</v>
      </c>
      <c r="S300" s="3">
        <f t="shared" si="2"/>
        <v>3</v>
      </c>
      <c r="T300" s="3" t="str">
        <f t="shared" si="3"/>
        <v>vibrant plum</v>
      </c>
      <c r="U300" s="3" t="str">
        <f t="shared" si="4"/>
        <v/>
      </c>
      <c r="V300" s="3" t="str">
        <f t="shared" si="5"/>
        <v/>
      </c>
      <c r="W300" s="3" t="str">
        <f t="shared" si="6"/>
        <v/>
      </c>
      <c r="X300" s="3" t="str">
        <f t="shared" si="7"/>
        <v/>
      </c>
      <c r="Y300" s="3" t="str">
        <f t="shared" si="8"/>
        <v/>
      </c>
      <c r="Z300" s="3" t="str">
        <f t="shared" si="9"/>
        <v/>
      </c>
      <c r="AA300" s="13">
        <f t="shared" si="10"/>
        <v>79927</v>
      </c>
      <c r="AB300" s="3">
        <f t="shared" si="11"/>
        <v>79926</v>
      </c>
      <c r="AC300" s="3">
        <f t="shared" si="12"/>
        <v>3</v>
      </c>
      <c r="AD300" s="3">
        <f t="shared" si="13"/>
        <v>26642</v>
      </c>
      <c r="AE300" s="3" t="str">
        <f t="shared" si="14"/>
        <v/>
      </c>
      <c r="AF300" s="3">
        <f t="shared" si="15"/>
        <v>0</v>
      </c>
      <c r="AG300" s="3" t="str">
        <f t="shared" si="16"/>
        <v/>
      </c>
      <c r="AH300" s="3">
        <f t="shared" si="17"/>
        <v>0</v>
      </c>
      <c r="AI300" s="3" t="str">
        <f t="shared" si="18"/>
        <v/>
      </c>
      <c r="AJ300" s="3">
        <f t="shared" si="19"/>
        <v>0</v>
      </c>
    </row>
    <row r="301">
      <c r="C301" s="6" t="s">
        <v>301</v>
      </c>
      <c r="D301" s="3">
        <f t="shared" si="1"/>
        <v>1</v>
      </c>
      <c r="E301" s="3" t="str">
        <f>IFERROR(__xludf.DUMMYFUNCTION("REGEXEXTRACT(C301,""[^ ]* [^ ]*"")"),"dark black")</f>
        <v>dark black</v>
      </c>
      <c r="F301" s="3" t="str">
        <f>IFERROR(__xludf.DUMMYFUNCTION("MID(REGEXEXTRACT(C301,""contain.*$""),9,300)"),"4 striped salmon bags, 4 dim bronze bags.")</f>
        <v>4 striped salmon bags, 4 dim bronze bags.</v>
      </c>
      <c r="G301" s="3" t="str">
        <f>IFERROR(__xludf.DUMMYFUNCTION("INDEX(SPLIT($F301,"",""),COLUMN()-6)"),"4 striped salmon bags")</f>
        <v>4 striped salmon bags</v>
      </c>
      <c r="H301" s="3" t="str">
        <f>IFERROR(__xludf.DUMMYFUNCTION("MID(INDEX(SPLIT($F301,"",""),COLUMN()-6),2,300)"),"4 dim bronze bags.")</f>
        <v>4 dim bronze bags.</v>
      </c>
      <c r="I301" s="3" t="str">
        <f>IFERROR(__xludf.DUMMYFUNCTION("MID(INDEX(SPLIT($F301,"",""),COLUMN()-6),2,300)"),"#REF!")</f>
        <v>#REF!</v>
      </c>
      <c r="J301" s="3" t="str">
        <f>IFERROR(__xludf.DUMMYFUNCTION("MID(INDEX(SPLIT($F301,"",""),COLUMN()-6),2,300)"),"#REF!")</f>
        <v>#REF!</v>
      </c>
      <c r="K301" s="3">
        <f>IFERROR(__xludf.DUMMYFUNCTION("INDEX(SPLIT(G301,"" ""),1)"),4.0)</f>
        <v>4</v>
      </c>
      <c r="L301" s="3" t="str">
        <f>IFERROR(__xludf.DUMMYFUNCTION("REGEXEXTRACT(G301,"" [^ ]* [^ ]* "")")," striped salmon ")</f>
        <v> striped salmon </v>
      </c>
      <c r="M301" s="3">
        <f>IFERROR(__xludf.DUMMYFUNCTION("INDEX(SPLIT(H301,"" ""),1)"),4.0)</f>
        <v>4</v>
      </c>
      <c r="N301" s="3" t="str">
        <f>IFERROR(__xludf.DUMMYFUNCTION("MID(REGEXEXTRACT(H301,"" [^ ]* [^ ]*""),2,300)"),"dim bronze")</f>
        <v>dim bronze</v>
      </c>
      <c r="O301" s="3" t="str">
        <f>IFERROR(__xludf.DUMMYFUNCTION("INDEX(SPLIT(I301,"" ""),1)"),"#REF!")</f>
        <v>#REF!</v>
      </c>
      <c r="P301" s="3" t="str">
        <f>IFERROR(__xludf.DUMMYFUNCTION("MID(REGEXEXTRACT(I301,"" [^ ]* [^ ]*""),2,300)"),"#REF!")</f>
        <v>#REF!</v>
      </c>
      <c r="Q301" s="3" t="str">
        <f>IFERROR(__xludf.DUMMYFUNCTION("INDEX(SPLIT(J301,"" ""),1)"),"#REF!")</f>
        <v>#REF!</v>
      </c>
      <c r="R301" s="3" t="str">
        <f>IFERROR(__xludf.DUMMYFUNCTION("MID(REGEXEXTRACT(J301,"" [^ ]* [^ ]*""),2,300)"),"#REF!")</f>
        <v>#REF!</v>
      </c>
      <c r="S301" s="3">
        <f t="shared" si="2"/>
        <v>4</v>
      </c>
      <c r="T301" s="3" t="str">
        <f t="shared" si="3"/>
        <v>striped salmon</v>
      </c>
      <c r="U301" s="3">
        <f t="shared" si="4"/>
        <v>4</v>
      </c>
      <c r="V301" s="3" t="str">
        <f t="shared" si="5"/>
        <v>dim bronze</v>
      </c>
      <c r="W301" s="3" t="str">
        <f t="shared" si="6"/>
        <v/>
      </c>
      <c r="X301" s="3" t="str">
        <f t="shared" si="7"/>
        <v/>
      </c>
      <c r="Y301" s="3" t="str">
        <f t="shared" si="8"/>
        <v/>
      </c>
      <c r="Z301" s="3" t="str">
        <f t="shared" si="9"/>
        <v/>
      </c>
      <c r="AA301" s="13">
        <f t="shared" si="10"/>
        <v>80455925</v>
      </c>
      <c r="AB301" s="3">
        <f t="shared" si="11"/>
        <v>80455924</v>
      </c>
      <c r="AC301" s="3">
        <f t="shared" si="12"/>
        <v>4</v>
      </c>
      <c r="AD301" s="3">
        <f t="shared" si="13"/>
        <v>19556960</v>
      </c>
      <c r="AE301" s="3">
        <f t="shared" si="14"/>
        <v>4</v>
      </c>
      <c r="AF301" s="3">
        <f t="shared" si="15"/>
        <v>557021</v>
      </c>
      <c r="AG301" s="3" t="str">
        <f t="shared" si="16"/>
        <v/>
      </c>
      <c r="AH301" s="3">
        <f t="shared" si="17"/>
        <v>0</v>
      </c>
      <c r="AI301" s="3" t="str">
        <f t="shared" si="18"/>
        <v/>
      </c>
      <c r="AJ301" s="3">
        <f t="shared" si="19"/>
        <v>0</v>
      </c>
    </row>
    <row r="302">
      <c r="C302" s="6" t="s">
        <v>302</v>
      </c>
      <c r="D302" s="3">
        <f t="shared" si="1"/>
        <v>3</v>
      </c>
      <c r="E302" s="3" t="str">
        <f>IFERROR(__xludf.DUMMYFUNCTION("REGEXEXTRACT(C302,""[^ ]* [^ ]*"")"),"plaid bronze")</f>
        <v>plaid bronze</v>
      </c>
      <c r="F302" s="3" t="str">
        <f>IFERROR(__xludf.DUMMYFUNCTION("MID(REGEXEXTRACT(C302,""contain.*$""),9,300)"),"2 mirrored black bags, 1 drab bronze bag, 4 plaid purple bags, 5 dull tomato bags.")</f>
        <v>2 mirrored black bags, 1 drab bronze bag, 4 plaid purple bags, 5 dull tomato bags.</v>
      </c>
      <c r="G302" s="3" t="str">
        <f>IFERROR(__xludf.DUMMYFUNCTION("INDEX(SPLIT($F302,"",""),COLUMN()-6)"),"2 mirrored black bags")</f>
        <v>2 mirrored black bags</v>
      </c>
      <c r="H302" s="3" t="str">
        <f>IFERROR(__xludf.DUMMYFUNCTION("MID(INDEX(SPLIT($F302,"",""),COLUMN()-6),2,300)"),"1 drab bronze bag")</f>
        <v>1 drab bronze bag</v>
      </c>
      <c r="I302" s="3" t="str">
        <f>IFERROR(__xludf.DUMMYFUNCTION("MID(INDEX(SPLIT($F302,"",""),COLUMN()-6),2,300)"),"4 plaid purple bags")</f>
        <v>4 plaid purple bags</v>
      </c>
      <c r="J302" s="3" t="str">
        <f>IFERROR(__xludf.DUMMYFUNCTION("MID(INDEX(SPLIT($F302,"",""),COLUMN()-6),2,300)"),"5 dull tomato bags.")</f>
        <v>5 dull tomato bags.</v>
      </c>
      <c r="K302" s="3">
        <f>IFERROR(__xludf.DUMMYFUNCTION("INDEX(SPLIT(G302,"" ""),1)"),2.0)</f>
        <v>2</v>
      </c>
      <c r="L302" s="3" t="str">
        <f>IFERROR(__xludf.DUMMYFUNCTION("REGEXEXTRACT(G302,"" [^ ]* [^ ]* "")")," mirrored black ")</f>
        <v> mirrored black </v>
      </c>
      <c r="M302" s="3">
        <f>IFERROR(__xludf.DUMMYFUNCTION("INDEX(SPLIT(H302,"" ""),1)"),1.0)</f>
        <v>1</v>
      </c>
      <c r="N302" s="3" t="str">
        <f>IFERROR(__xludf.DUMMYFUNCTION("MID(REGEXEXTRACT(H302,"" [^ ]* [^ ]*""),2,300)"),"drab bronze")</f>
        <v>drab bronze</v>
      </c>
      <c r="O302" s="3">
        <f>IFERROR(__xludf.DUMMYFUNCTION("INDEX(SPLIT(I302,"" ""),1)"),4.0)</f>
        <v>4</v>
      </c>
      <c r="P302" s="3" t="str">
        <f>IFERROR(__xludf.DUMMYFUNCTION("MID(REGEXEXTRACT(I302,"" [^ ]* [^ ]*""),2,300)"),"plaid purple")</f>
        <v>plaid purple</v>
      </c>
      <c r="Q302" s="3">
        <f>IFERROR(__xludf.DUMMYFUNCTION("INDEX(SPLIT(J302,"" ""),1)"),5.0)</f>
        <v>5</v>
      </c>
      <c r="R302" s="3" t="str">
        <f>IFERROR(__xludf.DUMMYFUNCTION("MID(REGEXEXTRACT(J302,"" [^ ]* [^ ]*""),2,300)"),"dull tomato")</f>
        <v>dull tomato</v>
      </c>
      <c r="S302" s="3">
        <f t="shared" si="2"/>
        <v>2</v>
      </c>
      <c r="T302" s="3" t="str">
        <f t="shared" si="3"/>
        <v>mirrored black</v>
      </c>
      <c r="U302" s="3">
        <f t="shared" si="4"/>
        <v>1</v>
      </c>
      <c r="V302" s="3" t="str">
        <f t="shared" si="5"/>
        <v>drab bronze</v>
      </c>
      <c r="W302" s="3">
        <f t="shared" si="6"/>
        <v>4</v>
      </c>
      <c r="X302" s="3" t="str">
        <f t="shared" si="7"/>
        <v>plaid purple</v>
      </c>
      <c r="Y302" s="3">
        <f t="shared" si="8"/>
        <v>5</v>
      </c>
      <c r="Z302" s="3" t="str">
        <f t="shared" si="9"/>
        <v>dull tomato</v>
      </c>
      <c r="AA302" s="13">
        <f t="shared" si="10"/>
        <v>206997</v>
      </c>
      <c r="AB302" s="3">
        <f t="shared" si="11"/>
        <v>206996</v>
      </c>
      <c r="AC302" s="3">
        <f t="shared" si="12"/>
        <v>2</v>
      </c>
      <c r="AD302" s="3">
        <f t="shared" si="13"/>
        <v>9037</v>
      </c>
      <c r="AE302" s="3">
        <f t="shared" si="14"/>
        <v>1</v>
      </c>
      <c r="AF302" s="3">
        <f t="shared" si="15"/>
        <v>79943</v>
      </c>
      <c r="AG302" s="3">
        <f t="shared" si="16"/>
        <v>4</v>
      </c>
      <c r="AH302" s="3">
        <f t="shared" si="17"/>
        <v>27231</v>
      </c>
      <c r="AI302" s="3">
        <f t="shared" si="18"/>
        <v>5</v>
      </c>
      <c r="AJ302" s="3">
        <f t="shared" si="19"/>
        <v>11</v>
      </c>
    </row>
    <row r="303">
      <c r="C303" s="6" t="s">
        <v>303</v>
      </c>
      <c r="D303" s="3">
        <f t="shared" si="1"/>
        <v>0</v>
      </c>
      <c r="E303" s="3" t="str">
        <f>IFERROR(__xludf.DUMMYFUNCTION("REGEXEXTRACT(C303,""[^ ]* [^ ]*"")"),"faded orange")</f>
        <v>faded orange</v>
      </c>
      <c r="F303" s="3" t="str">
        <f>IFERROR(__xludf.DUMMYFUNCTION("MID(REGEXEXTRACT(C303,""contain.*$""),9,300)"),"5 plaid indigo bags.")</f>
        <v>5 plaid indigo bags.</v>
      </c>
      <c r="G303" s="3" t="str">
        <f>IFERROR(__xludf.DUMMYFUNCTION("INDEX(SPLIT($F303,"",""),COLUMN()-6)"),"5 plaid indigo bags.")</f>
        <v>5 plaid indigo bags.</v>
      </c>
      <c r="H303" s="3" t="str">
        <f>IFERROR(__xludf.DUMMYFUNCTION("MID(INDEX(SPLIT($F303,"",""),COLUMN()-6),2,300)"),"#REF!")</f>
        <v>#REF!</v>
      </c>
      <c r="I303" s="3" t="str">
        <f>IFERROR(__xludf.DUMMYFUNCTION("MID(INDEX(SPLIT($F303,"",""),COLUMN()-6),2,300)"),"#REF!")</f>
        <v>#REF!</v>
      </c>
      <c r="J303" s="3" t="str">
        <f>IFERROR(__xludf.DUMMYFUNCTION("MID(INDEX(SPLIT($F303,"",""),COLUMN()-6),2,300)"),"#REF!")</f>
        <v>#REF!</v>
      </c>
      <c r="K303" s="3">
        <f>IFERROR(__xludf.DUMMYFUNCTION("INDEX(SPLIT(G303,"" ""),1)"),5.0)</f>
        <v>5</v>
      </c>
      <c r="L303" s="3" t="str">
        <f>IFERROR(__xludf.DUMMYFUNCTION("REGEXEXTRACT(G303,"" [^ ]* [^ ]* "")")," plaid indigo ")</f>
        <v> plaid indigo </v>
      </c>
      <c r="M303" s="3" t="str">
        <f>IFERROR(__xludf.DUMMYFUNCTION("INDEX(SPLIT(H303,"" ""),1)"),"#REF!")</f>
        <v>#REF!</v>
      </c>
      <c r="N303" s="3" t="str">
        <f>IFERROR(__xludf.DUMMYFUNCTION("MID(REGEXEXTRACT(H303,"" [^ ]* [^ ]*""),2,300)"),"#REF!")</f>
        <v>#REF!</v>
      </c>
      <c r="O303" s="3" t="str">
        <f>IFERROR(__xludf.DUMMYFUNCTION("INDEX(SPLIT(I303,"" ""),1)"),"#REF!")</f>
        <v>#REF!</v>
      </c>
      <c r="P303" s="3" t="str">
        <f>IFERROR(__xludf.DUMMYFUNCTION("MID(REGEXEXTRACT(I303,"" [^ ]* [^ ]*""),2,300)"),"#REF!")</f>
        <v>#REF!</v>
      </c>
      <c r="Q303" s="3" t="str">
        <f>IFERROR(__xludf.DUMMYFUNCTION("INDEX(SPLIT(J303,"" ""),1)"),"#REF!")</f>
        <v>#REF!</v>
      </c>
      <c r="R303" s="3" t="str">
        <f>IFERROR(__xludf.DUMMYFUNCTION("MID(REGEXEXTRACT(J303,"" [^ ]* [^ ]*""),2,300)"),"#REF!")</f>
        <v>#REF!</v>
      </c>
      <c r="S303" s="3">
        <f t="shared" si="2"/>
        <v>5</v>
      </c>
      <c r="T303" s="3" t="str">
        <f t="shared" si="3"/>
        <v>plaid indigo</v>
      </c>
      <c r="U303" s="3" t="str">
        <f t="shared" si="4"/>
        <v/>
      </c>
      <c r="V303" s="3" t="str">
        <f t="shared" si="5"/>
        <v/>
      </c>
      <c r="W303" s="3" t="str">
        <f t="shared" si="6"/>
        <v/>
      </c>
      <c r="X303" s="3" t="str">
        <f t="shared" si="7"/>
        <v/>
      </c>
      <c r="Y303" s="3" t="str">
        <f t="shared" si="8"/>
        <v/>
      </c>
      <c r="Z303" s="3" t="str">
        <f t="shared" si="9"/>
        <v/>
      </c>
      <c r="AA303" s="13">
        <f t="shared" si="10"/>
        <v>7726531</v>
      </c>
      <c r="AB303" s="3">
        <f t="shared" si="11"/>
        <v>7726530</v>
      </c>
      <c r="AC303" s="3">
        <f t="shared" si="12"/>
        <v>5</v>
      </c>
      <c r="AD303" s="3">
        <f t="shared" si="13"/>
        <v>1545306</v>
      </c>
      <c r="AE303" s="3" t="str">
        <f t="shared" si="14"/>
        <v/>
      </c>
      <c r="AF303" s="3">
        <f t="shared" si="15"/>
        <v>0</v>
      </c>
      <c r="AG303" s="3" t="str">
        <f t="shared" si="16"/>
        <v/>
      </c>
      <c r="AH303" s="3">
        <f t="shared" si="17"/>
        <v>0</v>
      </c>
      <c r="AI303" s="3" t="str">
        <f t="shared" si="18"/>
        <v/>
      </c>
      <c r="AJ303" s="3">
        <f t="shared" si="19"/>
        <v>0</v>
      </c>
    </row>
    <row r="304">
      <c r="C304" s="6" t="s">
        <v>304</v>
      </c>
      <c r="D304" s="3">
        <f t="shared" si="1"/>
        <v>2</v>
      </c>
      <c r="E304" s="3" t="str">
        <f>IFERROR(__xludf.DUMMYFUNCTION("REGEXEXTRACT(C304,""[^ ]* [^ ]*"")"),"light lavender")</f>
        <v>light lavender</v>
      </c>
      <c r="F304" s="3" t="str">
        <f>IFERROR(__xludf.DUMMYFUNCTION("MID(REGEXEXTRACT(C304,""contain.*$""),9,300)"),"2 shiny magenta bags, 5 dim lavender bags, 1 dotted crimson bag.")</f>
        <v>2 shiny magenta bags, 5 dim lavender bags, 1 dotted crimson bag.</v>
      </c>
      <c r="G304" s="3" t="str">
        <f>IFERROR(__xludf.DUMMYFUNCTION("INDEX(SPLIT($F304,"",""),COLUMN()-6)"),"2 shiny magenta bags")</f>
        <v>2 shiny magenta bags</v>
      </c>
      <c r="H304" s="3" t="str">
        <f>IFERROR(__xludf.DUMMYFUNCTION("MID(INDEX(SPLIT($F304,"",""),COLUMN()-6),2,300)"),"5 dim lavender bags")</f>
        <v>5 dim lavender bags</v>
      </c>
      <c r="I304" s="3" t="str">
        <f>IFERROR(__xludf.DUMMYFUNCTION("MID(INDEX(SPLIT($F304,"",""),COLUMN()-6),2,300)"),"1 dotted crimson bag.")</f>
        <v>1 dotted crimson bag.</v>
      </c>
      <c r="J304" s="3" t="str">
        <f>IFERROR(__xludf.DUMMYFUNCTION("MID(INDEX(SPLIT($F304,"",""),COLUMN()-6),2,300)"),"#REF!")</f>
        <v>#REF!</v>
      </c>
      <c r="K304" s="3">
        <f>IFERROR(__xludf.DUMMYFUNCTION("INDEX(SPLIT(G304,"" ""),1)"),2.0)</f>
        <v>2</v>
      </c>
      <c r="L304" s="3" t="str">
        <f>IFERROR(__xludf.DUMMYFUNCTION("REGEXEXTRACT(G304,"" [^ ]* [^ ]* "")")," shiny magenta ")</f>
        <v> shiny magenta </v>
      </c>
      <c r="M304" s="3">
        <f>IFERROR(__xludf.DUMMYFUNCTION("INDEX(SPLIT(H304,"" ""),1)"),5.0)</f>
        <v>5</v>
      </c>
      <c r="N304" s="3" t="str">
        <f>IFERROR(__xludf.DUMMYFUNCTION("MID(REGEXEXTRACT(H304,"" [^ ]* [^ ]*""),2,300)"),"dim lavender")</f>
        <v>dim lavender</v>
      </c>
      <c r="O304" s="3">
        <f>IFERROR(__xludf.DUMMYFUNCTION("INDEX(SPLIT(I304,"" ""),1)"),1.0)</f>
        <v>1</v>
      </c>
      <c r="P304" s="3" t="str">
        <f>IFERROR(__xludf.DUMMYFUNCTION("MID(REGEXEXTRACT(I304,"" [^ ]* [^ ]*""),2,300)"),"dotted crimson")</f>
        <v>dotted crimson</v>
      </c>
      <c r="Q304" s="3" t="str">
        <f>IFERROR(__xludf.DUMMYFUNCTION("INDEX(SPLIT(J304,"" ""),1)"),"#REF!")</f>
        <v>#REF!</v>
      </c>
      <c r="R304" s="3" t="str">
        <f>IFERROR(__xludf.DUMMYFUNCTION("MID(REGEXEXTRACT(J304,"" [^ ]* [^ ]*""),2,300)"),"#REF!")</f>
        <v>#REF!</v>
      </c>
      <c r="S304" s="3">
        <f t="shared" si="2"/>
        <v>2</v>
      </c>
      <c r="T304" s="3" t="str">
        <f t="shared" si="3"/>
        <v>shiny magenta</v>
      </c>
      <c r="U304" s="3">
        <f t="shared" si="4"/>
        <v>5</v>
      </c>
      <c r="V304" s="3" t="str">
        <f t="shared" si="5"/>
        <v>dim lavender</v>
      </c>
      <c r="W304" s="3">
        <f t="shared" si="6"/>
        <v>1</v>
      </c>
      <c r="X304" s="3" t="str">
        <f t="shared" si="7"/>
        <v>dotted crimson</v>
      </c>
      <c r="Y304" s="3" t="str">
        <f t="shared" si="8"/>
        <v/>
      </c>
      <c r="Z304" s="3" t="str">
        <f t="shared" si="9"/>
        <v/>
      </c>
      <c r="AA304" s="13">
        <f t="shared" si="10"/>
        <v>3872851</v>
      </c>
      <c r="AB304" s="3">
        <f t="shared" si="11"/>
        <v>3872850</v>
      </c>
      <c r="AC304" s="3">
        <f t="shared" si="12"/>
        <v>2</v>
      </c>
      <c r="AD304" s="3">
        <f t="shared" si="13"/>
        <v>7288</v>
      </c>
      <c r="AE304" s="3">
        <f t="shared" si="14"/>
        <v>5</v>
      </c>
      <c r="AF304" s="3">
        <f t="shared" si="15"/>
        <v>771399</v>
      </c>
      <c r="AG304" s="3">
        <f t="shared" si="16"/>
        <v>1</v>
      </c>
      <c r="AH304" s="3">
        <f t="shared" si="17"/>
        <v>1279</v>
      </c>
      <c r="AI304" s="3" t="str">
        <f t="shared" si="18"/>
        <v/>
      </c>
      <c r="AJ304" s="3">
        <f t="shared" si="19"/>
        <v>0</v>
      </c>
    </row>
    <row r="305">
      <c r="C305" s="6" t="s">
        <v>305</v>
      </c>
      <c r="D305" s="3">
        <f t="shared" si="1"/>
        <v>0</v>
      </c>
      <c r="E305" s="3" t="str">
        <f>IFERROR(__xludf.DUMMYFUNCTION("REGEXEXTRACT(C305,""[^ ]* [^ ]*"")"),"dull chartreuse")</f>
        <v>dull chartreuse</v>
      </c>
      <c r="F305" s="3" t="str">
        <f>IFERROR(__xludf.DUMMYFUNCTION("MID(REGEXEXTRACT(C305,""contain.*$""),9,300)"),"4 clear lime bags.")</f>
        <v>4 clear lime bags.</v>
      </c>
      <c r="G305" s="3" t="str">
        <f>IFERROR(__xludf.DUMMYFUNCTION("INDEX(SPLIT($F305,"",""),COLUMN()-6)"),"4 clear lime bags.")</f>
        <v>4 clear lime bags.</v>
      </c>
      <c r="H305" s="3" t="str">
        <f>IFERROR(__xludf.DUMMYFUNCTION("MID(INDEX(SPLIT($F305,"",""),COLUMN()-6),2,300)"),"#REF!")</f>
        <v>#REF!</v>
      </c>
      <c r="I305" s="3" t="str">
        <f>IFERROR(__xludf.DUMMYFUNCTION("MID(INDEX(SPLIT($F305,"",""),COLUMN()-6),2,300)"),"#REF!")</f>
        <v>#REF!</v>
      </c>
      <c r="J305" s="3" t="str">
        <f>IFERROR(__xludf.DUMMYFUNCTION("MID(INDEX(SPLIT($F305,"",""),COLUMN()-6),2,300)"),"#REF!")</f>
        <v>#REF!</v>
      </c>
      <c r="K305" s="3">
        <f>IFERROR(__xludf.DUMMYFUNCTION("INDEX(SPLIT(G305,"" ""),1)"),4.0)</f>
        <v>4</v>
      </c>
      <c r="L305" s="3" t="str">
        <f>IFERROR(__xludf.DUMMYFUNCTION("REGEXEXTRACT(G305,"" [^ ]* [^ ]* "")")," clear lime ")</f>
        <v> clear lime </v>
      </c>
      <c r="M305" s="3" t="str">
        <f>IFERROR(__xludf.DUMMYFUNCTION("INDEX(SPLIT(H305,"" ""),1)"),"#REF!")</f>
        <v>#REF!</v>
      </c>
      <c r="N305" s="3" t="str">
        <f>IFERROR(__xludf.DUMMYFUNCTION("MID(REGEXEXTRACT(H305,"" [^ ]* [^ ]*""),2,300)"),"#REF!")</f>
        <v>#REF!</v>
      </c>
      <c r="O305" s="3" t="str">
        <f>IFERROR(__xludf.DUMMYFUNCTION("INDEX(SPLIT(I305,"" ""),1)"),"#REF!")</f>
        <v>#REF!</v>
      </c>
      <c r="P305" s="3" t="str">
        <f>IFERROR(__xludf.DUMMYFUNCTION("MID(REGEXEXTRACT(I305,"" [^ ]* [^ ]*""),2,300)"),"#REF!")</f>
        <v>#REF!</v>
      </c>
      <c r="Q305" s="3" t="str">
        <f>IFERROR(__xludf.DUMMYFUNCTION("INDEX(SPLIT(J305,"" ""),1)"),"#REF!")</f>
        <v>#REF!</v>
      </c>
      <c r="R305" s="3" t="str">
        <f>IFERROR(__xludf.DUMMYFUNCTION("MID(REGEXEXTRACT(J305,"" [^ ]* [^ ]*""),2,300)"),"#REF!")</f>
        <v>#REF!</v>
      </c>
      <c r="S305" s="3">
        <f t="shared" si="2"/>
        <v>4</v>
      </c>
      <c r="T305" s="3" t="str">
        <f t="shared" si="3"/>
        <v>clear lime</v>
      </c>
      <c r="U305" s="3" t="str">
        <f t="shared" si="4"/>
        <v/>
      </c>
      <c r="V305" s="3" t="str">
        <f t="shared" si="5"/>
        <v/>
      </c>
      <c r="W305" s="3" t="str">
        <f t="shared" si="6"/>
        <v/>
      </c>
      <c r="X305" s="3" t="str">
        <f t="shared" si="7"/>
        <v/>
      </c>
      <c r="Y305" s="3" t="str">
        <f t="shared" si="8"/>
        <v/>
      </c>
      <c r="Z305" s="3" t="str">
        <f t="shared" si="9"/>
        <v/>
      </c>
      <c r="AA305" s="13">
        <f t="shared" si="10"/>
        <v>3090501</v>
      </c>
      <c r="AB305" s="3">
        <f t="shared" si="11"/>
        <v>3090500</v>
      </c>
      <c r="AC305" s="3">
        <f t="shared" si="12"/>
        <v>4</v>
      </c>
      <c r="AD305" s="3">
        <f t="shared" si="13"/>
        <v>772625</v>
      </c>
      <c r="AE305" s="3" t="str">
        <f t="shared" si="14"/>
        <v/>
      </c>
      <c r="AF305" s="3">
        <f t="shared" si="15"/>
        <v>0</v>
      </c>
      <c r="AG305" s="3" t="str">
        <f t="shared" si="16"/>
        <v/>
      </c>
      <c r="AH305" s="3">
        <f t="shared" si="17"/>
        <v>0</v>
      </c>
      <c r="AI305" s="3" t="str">
        <f t="shared" si="18"/>
        <v/>
      </c>
      <c r="AJ305" s="3">
        <f t="shared" si="19"/>
        <v>0</v>
      </c>
    </row>
    <row r="306">
      <c r="C306" s="6" t="s">
        <v>306</v>
      </c>
      <c r="D306" s="3">
        <f t="shared" si="1"/>
        <v>0</v>
      </c>
      <c r="E306" s="3" t="str">
        <f>IFERROR(__xludf.DUMMYFUNCTION("REGEXEXTRACT(C306,""[^ ]* [^ ]*"")"),"dark gold")</f>
        <v>dark gold</v>
      </c>
      <c r="F306" s="3" t="str">
        <f>IFERROR(__xludf.DUMMYFUNCTION("MID(REGEXEXTRACT(C306,""contain.*$""),9,300)"),"4 light magenta bags.")</f>
        <v>4 light magenta bags.</v>
      </c>
      <c r="G306" s="3" t="str">
        <f>IFERROR(__xludf.DUMMYFUNCTION("INDEX(SPLIT($F306,"",""),COLUMN()-6)"),"4 light magenta bags.")</f>
        <v>4 light magenta bags.</v>
      </c>
      <c r="H306" s="3" t="str">
        <f>IFERROR(__xludf.DUMMYFUNCTION("MID(INDEX(SPLIT($F306,"",""),COLUMN()-6),2,300)"),"#REF!")</f>
        <v>#REF!</v>
      </c>
      <c r="I306" s="3" t="str">
        <f>IFERROR(__xludf.DUMMYFUNCTION("MID(INDEX(SPLIT($F306,"",""),COLUMN()-6),2,300)"),"#REF!")</f>
        <v>#REF!</v>
      </c>
      <c r="J306" s="3" t="str">
        <f>IFERROR(__xludf.DUMMYFUNCTION("MID(INDEX(SPLIT($F306,"",""),COLUMN()-6),2,300)"),"#REF!")</f>
        <v>#REF!</v>
      </c>
      <c r="K306" s="3">
        <f>IFERROR(__xludf.DUMMYFUNCTION("INDEX(SPLIT(G306,"" ""),1)"),4.0)</f>
        <v>4</v>
      </c>
      <c r="L306" s="3" t="str">
        <f>IFERROR(__xludf.DUMMYFUNCTION("REGEXEXTRACT(G306,"" [^ ]* [^ ]* "")")," light magenta ")</f>
        <v> light magenta </v>
      </c>
      <c r="M306" s="3" t="str">
        <f>IFERROR(__xludf.DUMMYFUNCTION("INDEX(SPLIT(H306,"" ""),1)"),"#REF!")</f>
        <v>#REF!</v>
      </c>
      <c r="N306" s="3" t="str">
        <f>IFERROR(__xludf.DUMMYFUNCTION("MID(REGEXEXTRACT(H306,"" [^ ]* [^ ]*""),2,300)"),"#REF!")</f>
        <v>#REF!</v>
      </c>
      <c r="O306" s="3" t="str">
        <f>IFERROR(__xludf.DUMMYFUNCTION("INDEX(SPLIT(I306,"" ""),1)"),"#REF!")</f>
        <v>#REF!</v>
      </c>
      <c r="P306" s="3" t="str">
        <f>IFERROR(__xludf.DUMMYFUNCTION("MID(REGEXEXTRACT(I306,"" [^ ]* [^ ]*""),2,300)"),"#REF!")</f>
        <v>#REF!</v>
      </c>
      <c r="Q306" s="3" t="str">
        <f>IFERROR(__xludf.DUMMYFUNCTION("INDEX(SPLIT(J306,"" ""),1)"),"#REF!")</f>
        <v>#REF!</v>
      </c>
      <c r="R306" s="3" t="str">
        <f>IFERROR(__xludf.DUMMYFUNCTION("MID(REGEXEXTRACT(J306,"" [^ ]* [^ ]*""),2,300)"),"#REF!")</f>
        <v>#REF!</v>
      </c>
      <c r="S306" s="3">
        <f t="shared" si="2"/>
        <v>4</v>
      </c>
      <c r="T306" s="3" t="str">
        <f t="shared" si="3"/>
        <v>light magenta</v>
      </c>
      <c r="U306" s="3" t="str">
        <f t="shared" si="4"/>
        <v/>
      </c>
      <c r="V306" s="3" t="str">
        <f t="shared" si="5"/>
        <v/>
      </c>
      <c r="W306" s="3" t="str">
        <f t="shared" si="6"/>
        <v/>
      </c>
      <c r="X306" s="3" t="str">
        <f t="shared" si="7"/>
        <v/>
      </c>
      <c r="Y306" s="3" t="str">
        <f t="shared" si="8"/>
        <v/>
      </c>
      <c r="Z306" s="3" t="str">
        <f t="shared" si="9"/>
        <v/>
      </c>
      <c r="AA306" s="13">
        <f t="shared" si="10"/>
        <v>1599377797</v>
      </c>
      <c r="AB306" s="3">
        <f t="shared" si="11"/>
        <v>1599377796</v>
      </c>
      <c r="AC306" s="3">
        <f t="shared" si="12"/>
        <v>4</v>
      </c>
      <c r="AD306" s="3">
        <f t="shared" si="13"/>
        <v>399844449</v>
      </c>
      <c r="AE306" s="3" t="str">
        <f t="shared" si="14"/>
        <v/>
      </c>
      <c r="AF306" s="3">
        <f t="shared" si="15"/>
        <v>0</v>
      </c>
      <c r="AG306" s="3" t="str">
        <f t="shared" si="16"/>
        <v/>
      </c>
      <c r="AH306" s="3">
        <f t="shared" si="17"/>
        <v>0</v>
      </c>
      <c r="AI306" s="3" t="str">
        <f t="shared" si="18"/>
        <v/>
      </c>
      <c r="AJ306" s="3">
        <f t="shared" si="19"/>
        <v>0</v>
      </c>
    </row>
    <row r="307">
      <c r="C307" s="6" t="s">
        <v>307</v>
      </c>
      <c r="D307" s="3">
        <f t="shared" si="1"/>
        <v>1</v>
      </c>
      <c r="E307" s="3" t="str">
        <f>IFERROR(__xludf.DUMMYFUNCTION("REGEXEXTRACT(C307,""[^ ]* [^ ]*"")"),"dim black")</f>
        <v>dim black</v>
      </c>
      <c r="F307" s="3" t="str">
        <f>IFERROR(__xludf.DUMMYFUNCTION("MID(REGEXEXTRACT(C307,""contain.*$""),9,300)"),"4 shiny silver bags, 1 dull tomato bag.")</f>
        <v>4 shiny silver bags, 1 dull tomato bag.</v>
      </c>
      <c r="G307" s="3" t="str">
        <f>IFERROR(__xludf.DUMMYFUNCTION("INDEX(SPLIT($F307,"",""),COLUMN()-6)"),"4 shiny silver bags")</f>
        <v>4 shiny silver bags</v>
      </c>
      <c r="H307" s="3" t="str">
        <f>IFERROR(__xludf.DUMMYFUNCTION("MID(INDEX(SPLIT($F307,"",""),COLUMN()-6),2,300)"),"1 dull tomato bag.")</f>
        <v>1 dull tomato bag.</v>
      </c>
      <c r="I307" s="3" t="str">
        <f>IFERROR(__xludf.DUMMYFUNCTION("MID(INDEX(SPLIT($F307,"",""),COLUMN()-6),2,300)"),"#REF!")</f>
        <v>#REF!</v>
      </c>
      <c r="J307" s="3" t="str">
        <f>IFERROR(__xludf.DUMMYFUNCTION("MID(INDEX(SPLIT($F307,"",""),COLUMN()-6),2,300)"),"#REF!")</f>
        <v>#REF!</v>
      </c>
      <c r="K307" s="3">
        <f>IFERROR(__xludf.DUMMYFUNCTION("INDEX(SPLIT(G307,"" ""),1)"),4.0)</f>
        <v>4</v>
      </c>
      <c r="L307" s="3" t="str">
        <f>IFERROR(__xludf.DUMMYFUNCTION("REGEXEXTRACT(G307,"" [^ ]* [^ ]* "")")," shiny silver ")</f>
        <v> shiny silver </v>
      </c>
      <c r="M307" s="3">
        <f>IFERROR(__xludf.DUMMYFUNCTION("INDEX(SPLIT(H307,"" ""),1)"),1.0)</f>
        <v>1</v>
      </c>
      <c r="N307" s="3" t="str">
        <f>IFERROR(__xludf.DUMMYFUNCTION("MID(REGEXEXTRACT(H307,"" [^ ]* [^ ]*""),2,300)"),"dull tomato")</f>
        <v>dull tomato</v>
      </c>
      <c r="O307" s="3" t="str">
        <f>IFERROR(__xludf.DUMMYFUNCTION("INDEX(SPLIT(I307,"" ""),1)"),"#REF!")</f>
        <v>#REF!</v>
      </c>
      <c r="P307" s="3" t="str">
        <f>IFERROR(__xludf.DUMMYFUNCTION("MID(REGEXEXTRACT(I307,"" [^ ]* [^ ]*""),2,300)"),"#REF!")</f>
        <v>#REF!</v>
      </c>
      <c r="Q307" s="3" t="str">
        <f>IFERROR(__xludf.DUMMYFUNCTION("INDEX(SPLIT(J307,"" ""),1)"),"#REF!")</f>
        <v>#REF!</v>
      </c>
      <c r="R307" s="3" t="str">
        <f>IFERROR(__xludf.DUMMYFUNCTION("MID(REGEXEXTRACT(J307,"" [^ ]* [^ ]*""),2,300)"),"#REF!")</f>
        <v>#REF!</v>
      </c>
      <c r="S307" s="3">
        <f t="shared" si="2"/>
        <v>4</v>
      </c>
      <c r="T307" s="3" t="str">
        <f t="shared" si="3"/>
        <v>shiny silver</v>
      </c>
      <c r="U307" s="3">
        <f t="shared" si="4"/>
        <v>1</v>
      </c>
      <c r="V307" s="3" t="str">
        <f t="shared" si="5"/>
        <v>dull tomato</v>
      </c>
      <c r="W307" s="3" t="str">
        <f t="shared" si="6"/>
        <v/>
      </c>
      <c r="X307" s="3" t="str">
        <f t="shared" si="7"/>
        <v/>
      </c>
      <c r="Y307" s="3" t="str">
        <f t="shared" si="8"/>
        <v/>
      </c>
      <c r="Z307" s="3" t="str">
        <f t="shared" si="9"/>
        <v/>
      </c>
      <c r="AA307" s="13">
        <f t="shared" si="10"/>
        <v>117480</v>
      </c>
      <c r="AB307" s="3">
        <f t="shared" si="11"/>
        <v>117479</v>
      </c>
      <c r="AC307" s="3">
        <f t="shared" si="12"/>
        <v>4</v>
      </c>
      <c r="AD307" s="3">
        <f t="shared" si="13"/>
        <v>29367</v>
      </c>
      <c r="AE307" s="3">
        <f t="shared" si="14"/>
        <v>1</v>
      </c>
      <c r="AF307" s="3">
        <f t="shared" si="15"/>
        <v>11</v>
      </c>
      <c r="AG307" s="3" t="str">
        <f t="shared" si="16"/>
        <v/>
      </c>
      <c r="AH307" s="3">
        <f t="shared" si="17"/>
        <v>0</v>
      </c>
      <c r="AI307" s="3" t="str">
        <f t="shared" si="18"/>
        <v/>
      </c>
      <c r="AJ307" s="3">
        <f t="shared" si="19"/>
        <v>0</v>
      </c>
    </row>
    <row r="308">
      <c r="C308" s="6" t="s">
        <v>308</v>
      </c>
      <c r="D308" s="3">
        <f t="shared" si="1"/>
        <v>2</v>
      </c>
      <c r="E308" s="3" t="str">
        <f>IFERROR(__xludf.DUMMYFUNCTION("REGEXEXTRACT(C308,""[^ ]* [^ ]*"")"),"plaid salmon")</f>
        <v>plaid salmon</v>
      </c>
      <c r="F308" s="3" t="str">
        <f>IFERROR(__xludf.DUMMYFUNCTION("MID(REGEXEXTRACT(C308,""contain.*$""),9,300)"),"3 light magenta bags, 4 dull fuchsia bags, 2 striped salmon bags.")</f>
        <v>3 light magenta bags, 4 dull fuchsia bags, 2 striped salmon bags.</v>
      </c>
      <c r="G308" s="3" t="str">
        <f>IFERROR(__xludf.DUMMYFUNCTION("INDEX(SPLIT($F308,"",""),COLUMN()-6)"),"3 light magenta bags")</f>
        <v>3 light magenta bags</v>
      </c>
      <c r="H308" s="3" t="str">
        <f>IFERROR(__xludf.DUMMYFUNCTION("MID(INDEX(SPLIT($F308,"",""),COLUMN()-6),2,300)"),"4 dull fuchsia bags")</f>
        <v>4 dull fuchsia bags</v>
      </c>
      <c r="I308" s="3" t="str">
        <f>IFERROR(__xludf.DUMMYFUNCTION("MID(INDEX(SPLIT($F308,"",""),COLUMN()-6),2,300)"),"2 striped salmon bags.")</f>
        <v>2 striped salmon bags.</v>
      </c>
      <c r="J308" s="3" t="str">
        <f>IFERROR(__xludf.DUMMYFUNCTION("MID(INDEX(SPLIT($F308,"",""),COLUMN()-6),2,300)"),"#REF!")</f>
        <v>#REF!</v>
      </c>
      <c r="K308" s="3">
        <f>IFERROR(__xludf.DUMMYFUNCTION("INDEX(SPLIT(G308,"" ""),1)"),3.0)</f>
        <v>3</v>
      </c>
      <c r="L308" s="3" t="str">
        <f>IFERROR(__xludf.DUMMYFUNCTION("REGEXEXTRACT(G308,"" [^ ]* [^ ]* "")")," light magenta ")</f>
        <v> light magenta </v>
      </c>
      <c r="M308" s="3">
        <f>IFERROR(__xludf.DUMMYFUNCTION("INDEX(SPLIT(H308,"" ""),1)"),4.0)</f>
        <v>4</v>
      </c>
      <c r="N308" s="3" t="str">
        <f>IFERROR(__xludf.DUMMYFUNCTION("MID(REGEXEXTRACT(H308,"" [^ ]* [^ ]*""),2,300)"),"dull fuchsia")</f>
        <v>dull fuchsia</v>
      </c>
      <c r="O308" s="3">
        <f>IFERROR(__xludf.DUMMYFUNCTION("INDEX(SPLIT(I308,"" ""),1)"),2.0)</f>
        <v>2</v>
      </c>
      <c r="P308" s="3" t="str">
        <f>IFERROR(__xludf.DUMMYFUNCTION("MID(REGEXEXTRACT(I308,"" [^ ]* [^ ]*""),2,300)"),"striped salmon")</f>
        <v>striped salmon</v>
      </c>
      <c r="Q308" s="3" t="str">
        <f>IFERROR(__xludf.DUMMYFUNCTION("INDEX(SPLIT(J308,"" ""),1)"),"#REF!")</f>
        <v>#REF!</v>
      </c>
      <c r="R308" s="3" t="str">
        <f>IFERROR(__xludf.DUMMYFUNCTION("MID(REGEXEXTRACT(J308,"" [^ ]* [^ ]*""),2,300)"),"#REF!")</f>
        <v>#REF!</v>
      </c>
      <c r="S308" s="3">
        <f t="shared" si="2"/>
        <v>3</v>
      </c>
      <c r="T308" s="3" t="str">
        <f t="shared" si="3"/>
        <v>light magenta</v>
      </c>
      <c r="U308" s="3">
        <f t="shared" si="4"/>
        <v>4</v>
      </c>
      <c r="V308" s="3" t="str">
        <f t="shared" si="5"/>
        <v>dull fuchsia</v>
      </c>
      <c r="W308" s="3">
        <f t="shared" si="6"/>
        <v>2</v>
      </c>
      <c r="X308" s="3" t="str">
        <f t="shared" si="7"/>
        <v>striped salmon</v>
      </c>
      <c r="Y308" s="3" t="str">
        <f t="shared" si="8"/>
        <v/>
      </c>
      <c r="Z308" s="3" t="str">
        <f t="shared" si="9"/>
        <v/>
      </c>
      <c r="AA308" s="13">
        <f t="shared" si="10"/>
        <v>2820787120</v>
      </c>
      <c r="AB308" s="3">
        <f t="shared" si="11"/>
        <v>2820787119</v>
      </c>
      <c r="AC308" s="3">
        <f t="shared" si="12"/>
        <v>3</v>
      </c>
      <c r="AD308" s="3">
        <f t="shared" si="13"/>
        <v>399844449</v>
      </c>
      <c r="AE308" s="3">
        <f t="shared" si="14"/>
        <v>4</v>
      </c>
      <c r="AF308" s="3">
        <f t="shared" si="15"/>
        <v>395534963</v>
      </c>
      <c r="AG308" s="3">
        <f t="shared" si="16"/>
        <v>2</v>
      </c>
      <c r="AH308" s="3">
        <f t="shared" si="17"/>
        <v>19556960</v>
      </c>
      <c r="AI308" s="3" t="str">
        <f t="shared" si="18"/>
        <v/>
      </c>
      <c r="AJ308" s="3">
        <f t="shared" si="19"/>
        <v>0</v>
      </c>
    </row>
    <row r="309">
      <c r="C309" s="6" t="s">
        <v>309</v>
      </c>
      <c r="D309" s="3">
        <f t="shared" si="1"/>
        <v>1</v>
      </c>
      <c r="E309" s="3" t="str">
        <f>IFERROR(__xludf.DUMMYFUNCTION("REGEXEXTRACT(C309,""[^ ]* [^ ]*"")"),"vibrant bronze")</f>
        <v>vibrant bronze</v>
      </c>
      <c r="F309" s="3" t="str">
        <f>IFERROR(__xludf.DUMMYFUNCTION("MID(REGEXEXTRACT(C309,""contain.*$""),9,300)"),"5 mirrored white bags, 1 dull coral bag.")</f>
        <v>5 mirrored white bags, 1 dull coral bag.</v>
      </c>
      <c r="G309" s="3" t="str">
        <f>IFERROR(__xludf.DUMMYFUNCTION("INDEX(SPLIT($F309,"",""),COLUMN()-6)"),"5 mirrored white bags")</f>
        <v>5 mirrored white bags</v>
      </c>
      <c r="H309" s="3" t="str">
        <f>IFERROR(__xludf.DUMMYFUNCTION("MID(INDEX(SPLIT($F309,"",""),COLUMN()-6),2,300)"),"1 dull coral bag.")</f>
        <v>1 dull coral bag.</v>
      </c>
      <c r="I309" s="3" t="str">
        <f>IFERROR(__xludf.DUMMYFUNCTION("MID(INDEX(SPLIT($F309,"",""),COLUMN()-6),2,300)"),"#REF!")</f>
        <v>#REF!</v>
      </c>
      <c r="J309" s="3" t="str">
        <f>IFERROR(__xludf.DUMMYFUNCTION("MID(INDEX(SPLIT($F309,"",""),COLUMN()-6),2,300)"),"#REF!")</f>
        <v>#REF!</v>
      </c>
      <c r="K309" s="3">
        <f>IFERROR(__xludf.DUMMYFUNCTION("INDEX(SPLIT(G309,"" ""),1)"),5.0)</f>
        <v>5</v>
      </c>
      <c r="L309" s="3" t="str">
        <f>IFERROR(__xludf.DUMMYFUNCTION("REGEXEXTRACT(G309,"" [^ ]* [^ ]* "")")," mirrored white ")</f>
        <v> mirrored white </v>
      </c>
      <c r="M309" s="3">
        <f>IFERROR(__xludf.DUMMYFUNCTION("INDEX(SPLIT(H309,"" ""),1)"),1.0)</f>
        <v>1</v>
      </c>
      <c r="N309" s="3" t="str">
        <f>IFERROR(__xludf.DUMMYFUNCTION("MID(REGEXEXTRACT(H309,"" [^ ]* [^ ]*""),2,300)"),"dull coral")</f>
        <v>dull coral</v>
      </c>
      <c r="O309" s="3" t="str">
        <f>IFERROR(__xludf.DUMMYFUNCTION("INDEX(SPLIT(I309,"" ""),1)"),"#REF!")</f>
        <v>#REF!</v>
      </c>
      <c r="P309" s="3" t="str">
        <f>IFERROR(__xludf.DUMMYFUNCTION("MID(REGEXEXTRACT(I309,"" [^ ]* [^ ]*""),2,300)"),"#REF!")</f>
        <v>#REF!</v>
      </c>
      <c r="Q309" s="3" t="str">
        <f>IFERROR(__xludf.DUMMYFUNCTION("INDEX(SPLIT(J309,"" ""),1)"),"#REF!")</f>
        <v>#REF!</v>
      </c>
      <c r="R309" s="3" t="str">
        <f>IFERROR(__xludf.DUMMYFUNCTION("MID(REGEXEXTRACT(J309,"" [^ ]* [^ ]*""),2,300)"),"#REF!")</f>
        <v>#REF!</v>
      </c>
      <c r="S309" s="3">
        <f t="shared" si="2"/>
        <v>5</v>
      </c>
      <c r="T309" s="3" t="str">
        <f t="shared" si="3"/>
        <v>mirrored white</v>
      </c>
      <c r="U309" s="3">
        <f t="shared" si="4"/>
        <v>1</v>
      </c>
      <c r="V309" s="3" t="str">
        <f t="shared" si="5"/>
        <v>dull coral</v>
      </c>
      <c r="W309" s="3" t="str">
        <f t="shared" si="6"/>
        <v/>
      </c>
      <c r="X309" s="3" t="str">
        <f t="shared" si="7"/>
        <v/>
      </c>
      <c r="Y309" s="3" t="str">
        <f t="shared" si="8"/>
        <v/>
      </c>
      <c r="Z309" s="3" t="str">
        <f t="shared" si="9"/>
        <v/>
      </c>
      <c r="AA309" s="13">
        <f t="shared" si="10"/>
        <v>2520</v>
      </c>
      <c r="AB309" s="3">
        <f t="shared" si="11"/>
        <v>2519</v>
      </c>
      <c r="AC309" s="3">
        <f t="shared" si="12"/>
        <v>5</v>
      </c>
      <c r="AD309" s="3">
        <f t="shared" si="13"/>
        <v>319</v>
      </c>
      <c r="AE309" s="3">
        <f t="shared" si="14"/>
        <v>1</v>
      </c>
      <c r="AF309" s="3">
        <f t="shared" si="15"/>
        <v>924</v>
      </c>
      <c r="AG309" s="3" t="str">
        <f t="shared" si="16"/>
        <v/>
      </c>
      <c r="AH309" s="3">
        <f t="shared" si="17"/>
        <v>0</v>
      </c>
      <c r="AI309" s="3" t="str">
        <f t="shared" si="18"/>
        <v/>
      </c>
      <c r="AJ309" s="3">
        <f t="shared" si="19"/>
        <v>0</v>
      </c>
    </row>
    <row r="310">
      <c r="C310" s="6" t="s">
        <v>310</v>
      </c>
      <c r="D310" s="3">
        <f t="shared" si="1"/>
        <v>3</v>
      </c>
      <c r="E310" s="3" t="str">
        <f>IFERROR(__xludf.DUMMYFUNCTION("REGEXEXTRACT(C310,""[^ ]* [^ ]*"")"),"wavy brown")</f>
        <v>wavy brown</v>
      </c>
      <c r="F310" s="3" t="str">
        <f>IFERROR(__xludf.DUMMYFUNCTION("MID(REGEXEXTRACT(C310,""contain.*$""),9,300)"),"1 light gold bag, 4 drab purple bags, 3 muted violet bags, 4 muted fuchsia bags.")</f>
        <v>1 light gold bag, 4 drab purple bags, 3 muted violet bags, 4 muted fuchsia bags.</v>
      </c>
      <c r="G310" s="3" t="str">
        <f>IFERROR(__xludf.DUMMYFUNCTION("INDEX(SPLIT($F310,"",""),COLUMN()-6)"),"1 light gold bag")</f>
        <v>1 light gold bag</v>
      </c>
      <c r="H310" s="3" t="str">
        <f>IFERROR(__xludf.DUMMYFUNCTION("MID(INDEX(SPLIT($F310,"",""),COLUMN()-6),2,300)"),"4 drab purple bags")</f>
        <v>4 drab purple bags</v>
      </c>
      <c r="I310" s="3" t="str">
        <f>IFERROR(__xludf.DUMMYFUNCTION("MID(INDEX(SPLIT($F310,"",""),COLUMN()-6),2,300)"),"3 muted violet bags")</f>
        <v>3 muted violet bags</v>
      </c>
      <c r="J310" s="3" t="str">
        <f>IFERROR(__xludf.DUMMYFUNCTION("MID(INDEX(SPLIT($F310,"",""),COLUMN()-6),2,300)"),"4 muted fuchsia bags.")</f>
        <v>4 muted fuchsia bags.</v>
      </c>
      <c r="K310" s="3">
        <f>IFERROR(__xludf.DUMMYFUNCTION("INDEX(SPLIT(G310,"" ""),1)"),1.0)</f>
        <v>1</v>
      </c>
      <c r="L310" s="3" t="str">
        <f>IFERROR(__xludf.DUMMYFUNCTION("REGEXEXTRACT(G310,"" [^ ]* [^ ]* "")")," light gold ")</f>
        <v> light gold </v>
      </c>
      <c r="M310" s="3">
        <f>IFERROR(__xludf.DUMMYFUNCTION("INDEX(SPLIT(H310,"" ""),1)"),4.0)</f>
        <v>4</v>
      </c>
      <c r="N310" s="3" t="str">
        <f>IFERROR(__xludf.DUMMYFUNCTION("MID(REGEXEXTRACT(H310,"" [^ ]* [^ ]*""),2,300)"),"drab purple")</f>
        <v>drab purple</v>
      </c>
      <c r="O310" s="3">
        <f>IFERROR(__xludf.DUMMYFUNCTION("INDEX(SPLIT(I310,"" ""),1)"),3.0)</f>
        <v>3</v>
      </c>
      <c r="P310" s="3" t="str">
        <f>IFERROR(__xludf.DUMMYFUNCTION("MID(REGEXEXTRACT(I310,"" [^ ]* [^ ]*""),2,300)"),"muted violet")</f>
        <v>muted violet</v>
      </c>
      <c r="Q310" s="3">
        <f>IFERROR(__xludf.DUMMYFUNCTION("INDEX(SPLIT(J310,"" ""),1)"),4.0)</f>
        <v>4</v>
      </c>
      <c r="R310" s="3" t="str">
        <f>IFERROR(__xludf.DUMMYFUNCTION("MID(REGEXEXTRACT(J310,"" [^ ]* [^ ]*""),2,300)"),"muted fuchsia")</f>
        <v>muted fuchsia</v>
      </c>
      <c r="S310" s="3">
        <f t="shared" si="2"/>
        <v>1</v>
      </c>
      <c r="T310" s="3" t="str">
        <f t="shared" si="3"/>
        <v>light gold</v>
      </c>
      <c r="U310" s="3">
        <f t="shared" si="4"/>
        <v>4</v>
      </c>
      <c r="V310" s="3" t="str">
        <f t="shared" si="5"/>
        <v>drab purple</v>
      </c>
      <c r="W310" s="3">
        <f t="shared" si="6"/>
        <v>3</v>
      </c>
      <c r="X310" s="3" t="str">
        <f t="shared" si="7"/>
        <v>muted violet</v>
      </c>
      <c r="Y310" s="3">
        <f t="shared" si="8"/>
        <v>4</v>
      </c>
      <c r="Z310" s="3" t="str">
        <f t="shared" si="9"/>
        <v>muted fuchsia</v>
      </c>
      <c r="AA310" s="13">
        <f t="shared" si="10"/>
        <v>112998622</v>
      </c>
      <c r="AB310" s="3">
        <f t="shared" si="11"/>
        <v>112998621</v>
      </c>
      <c r="AC310" s="3">
        <f t="shared" si="12"/>
        <v>1</v>
      </c>
      <c r="AD310" s="3">
        <f t="shared" si="13"/>
        <v>112904201</v>
      </c>
      <c r="AE310" s="3">
        <f t="shared" si="14"/>
        <v>4</v>
      </c>
      <c r="AF310" s="3">
        <f t="shared" si="15"/>
        <v>4335</v>
      </c>
      <c r="AG310" s="3">
        <f t="shared" si="16"/>
        <v>3</v>
      </c>
      <c r="AH310" s="3">
        <f t="shared" si="17"/>
        <v>4</v>
      </c>
      <c r="AI310" s="3">
        <f t="shared" si="18"/>
        <v>4</v>
      </c>
      <c r="AJ310" s="3">
        <f t="shared" si="19"/>
        <v>19267</v>
      </c>
    </row>
    <row r="311">
      <c r="C311" s="6" t="s">
        <v>311</v>
      </c>
      <c r="D311" s="3">
        <f t="shared" si="1"/>
        <v>1</v>
      </c>
      <c r="E311" s="3" t="str">
        <f>IFERROR(__xludf.DUMMYFUNCTION("REGEXEXTRACT(C311,""[^ ]* [^ ]*"")"),"dotted lavender")</f>
        <v>dotted lavender</v>
      </c>
      <c r="F311" s="3" t="str">
        <f>IFERROR(__xludf.DUMMYFUNCTION("MID(REGEXEXTRACT(C311,""contain.*$""),9,300)"),"4 dotted indigo bags, 2 dull lavender bags.")</f>
        <v>4 dotted indigo bags, 2 dull lavender bags.</v>
      </c>
      <c r="G311" s="3" t="str">
        <f>IFERROR(__xludf.DUMMYFUNCTION("INDEX(SPLIT($F311,"",""),COLUMN()-6)"),"4 dotted indigo bags")</f>
        <v>4 dotted indigo bags</v>
      </c>
      <c r="H311" s="3" t="str">
        <f>IFERROR(__xludf.DUMMYFUNCTION("MID(INDEX(SPLIT($F311,"",""),COLUMN()-6),2,300)"),"2 dull lavender bags.")</f>
        <v>2 dull lavender bags.</v>
      </c>
      <c r="I311" s="3" t="str">
        <f>IFERROR(__xludf.DUMMYFUNCTION("MID(INDEX(SPLIT($F311,"",""),COLUMN()-6),2,300)"),"#REF!")</f>
        <v>#REF!</v>
      </c>
      <c r="J311" s="3" t="str">
        <f>IFERROR(__xludf.DUMMYFUNCTION("MID(INDEX(SPLIT($F311,"",""),COLUMN()-6),2,300)"),"#REF!")</f>
        <v>#REF!</v>
      </c>
      <c r="K311" s="3">
        <f>IFERROR(__xludf.DUMMYFUNCTION("INDEX(SPLIT(G311,"" ""),1)"),4.0)</f>
        <v>4</v>
      </c>
      <c r="L311" s="3" t="str">
        <f>IFERROR(__xludf.DUMMYFUNCTION("REGEXEXTRACT(G311,"" [^ ]* [^ ]* "")")," dotted indigo ")</f>
        <v> dotted indigo </v>
      </c>
      <c r="M311" s="3">
        <f>IFERROR(__xludf.DUMMYFUNCTION("INDEX(SPLIT(H311,"" ""),1)"),2.0)</f>
        <v>2</v>
      </c>
      <c r="N311" s="3" t="str">
        <f>IFERROR(__xludf.DUMMYFUNCTION("MID(REGEXEXTRACT(H311,"" [^ ]* [^ ]*""),2,300)"),"dull lavender")</f>
        <v>dull lavender</v>
      </c>
      <c r="O311" s="3" t="str">
        <f>IFERROR(__xludf.DUMMYFUNCTION("INDEX(SPLIT(I311,"" ""),1)"),"#REF!")</f>
        <v>#REF!</v>
      </c>
      <c r="P311" s="3" t="str">
        <f>IFERROR(__xludf.DUMMYFUNCTION("MID(REGEXEXTRACT(I311,"" [^ ]* [^ ]*""),2,300)"),"#REF!")</f>
        <v>#REF!</v>
      </c>
      <c r="Q311" s="3" t="str">
        <f>IFERROR(__xludf.DUMMYFUNCTION("INDEX(SPLIT(J311,"" ""),1)"),"#REF!")</f>
        <v>#REF!</v>
      </c>
      <c r="R311" s="3" t="str">
        <f>IFERROR(__xludf.DUMMYFUNCTION("MID(REGEXEXTRACT(J311,"" [^ ]* [^ ]*""),2,300)"),"#REF!")</f>
        <v>#REF!</v>
      </c>
      <c r="S311" s="3">
        <f t="shared" si="2"/>
        <v>4</v>
      </c>
      <c r="T311" s="3" t="str">
        <f t="shared" si="3"/>
        <v>dotted indigo</v>
      </c>
      <c r="U311" s="3">
        <f t="shared" si="4"/>
        <v>2</v>
      </c>
      <c r="V311" s="3" t="str">
        <f t="shared" si="5"/>
        <v>dull lavender</v>
      </c>
      <c r="W311" s="3" t="str">
        <f t="shared" si="6"/>
        <v/>
      </c>
      <c r="X311" s="3" t="str">
        <f t="shared" si="7"/>
        <v/>
      </c>
      <c r="Y311" s="3" t="str">
        <f t="shared" si="8"/>
        <v/>
      </c>
      <c r="Z311" s="3" t="str">
        <f t="shared" si="9"/>
        <v/>
      </c>
      <c r="AA311" s="13">
        <f t="shared" si="10"/>
        <v>3014999971</v>
      </c>
      <c r="AB311" s="3">
        <f t="shared" si="11"/>
        <v>3014999970</v>
      </c>
      <c r="AC311" s="3">
        <f t="shared" si="12"/>
        <v>4</v>
      </c>
      <c r="AD311" s="3">
        <f t="shared" si="13"/>
        <v>745224695</v>
      </c>
      <c r="AE311" s="3">
        <f t="shared" si="14"/>
        <v>2</v>
      </c>
      <c r="AF311" s="3">
        <f t="shared" si="15"/>
        <v>17050595</v>
      </c>
      <c r="AG311" s="3" t="str">
        <f t="shared" si="16"/>
        <v/>
      </c>
      <c r="AH311" s="3">
        <f t="shared" si="17"/>
        <v>0</v>
      </c>
      <c r="AI311" s="3" t="str">
        <f t="shared" si="18"/>
        <v/>
      </c>
      <c r="AJ311" s="3">
        <f t="shared" si="19"/>
        <v>0</v>
      </c>
    </row>
    <row r="312">
      <c r="C312" s="6" t="s">
        <v>312</v>
      </c>
      <c r="D312" s="3">
        <f t="shared" si="1"/>
        <v>1</v>
      </c>
      <c r="E312" s="3" t="str">
        <f>IFERROR(__xludf.DUMMYFUNCTION("REGEXEXTRACT(C312,""[^ ]* [^ ]*"")"),"dotted gold")</f>
        <v>dotted gold</v>
      </c>
      <c r="F312" s="3" t="str">
        <f>IFERROR(__xludf.DUMMYFUNCTION("MID(REGEXEXTRACT(C312,""contain.*$""),9,300)"),"1 posh magenta bag, 2 posh yellow bags.")</f>
        <v>1 posh magenta bag, 2 posh yellow bags.</v>
      </c>
      <c r="G312" s="3" t="str">
        <f>IFERROR(__xludf.DUMMYFUNCTION("INDEX(SPLIT($F312,"",""),COLUMN()-6)"),"1 posh magenta bag")</f>
        <v>1 posh magenta bag</v>
      </c>
      <c r="H312" s="3" t="str">
        <f>IFERROR(__xludf.DUMMYFUNCTION("MID(INDEX(SPLIT($F312,"",""),COLUMN()-6),2,300)"),"2 posh yellow bags.")</f>
        <v>2 posh yellow bags.</v>
      </c>
      <c r="I312" s="3" t="str">
        <f>IFERROR(__xludf.DUMMYFUNCTION("MID(INDEX(SPLIT($F312,"",""),COLUMN()-6),2,300)"),"#REF!")</f>
        <v>#REF!</v>
      </c>
      <c r="J312" s="3" t="str">
        <f>IFERROR(__xludf.DUMMYFUNCTION("MID(INDEX(SPLIT($F312,"",""),COLUMN()-6),2,300)"),"#REF!")</f>
        <v>#REF!</v>
      </c>
      <c r="K312" s="3">
        <f>IFERROR(__xludf.DUMMYFUNCTION("INDEX(SPLIT(G312,"" ""),1)"),1.0)</f>
        <v>1</v>
      </c>
      <c r="L312" s="3" t="str">
        <f>IFERROR(__xludf.DUMMYFUNCTION("REGEXEXTRACT(G312,"" [^ ]* [^ ]* "")")," posh magenta ")</f>
        <v> posh magenta </v>
      </c>
      <c r="M312" s="3">
        <f>IFERROR(__xludf.DUMMYFUNCTION("INDEX(SPLIT(H312,"" ""),1)"),2.0)</f>
        <v>2</v>
      </c>
      <c r="N312" s="3" t="str">
        <f>IFERROR(__xludf.DUMMYFUNCTION("MID(REGEXEXTRACT(H312,"" [^ ]* [^ ]*""),2,300)"),"posh yellow")</f>
        <v>posh yellow</v>
      </c>
      <c r="O312" s="3" t="str">
        <f>IFERROR(__xludf.DUMMYFUNCTION("INDEX(SPLIT(I312,"" ""),1)"),"#REF!")</f>
        <v>#REF!</v>
      </c>
      <c r="P312" s="3" t="str">
        <f>IFERROR(__xludf.DUMMYFUNCTION("MID(REGEXEXTRACT(I312,"" [^ ]* [^ ]*""),2,300)"),"#REF!")</f>
        <v>#REF!</v>
      </c>
      <c r="Q312" s="3" t="str">
        <f>IFERROR(__xludf.DUMMYFUNCTION("INDEX(SPLIT(J312,"" ""),1)"),"#REF!")</f>
        <v>#REF!</v>
      </c>
      <c r="R312" s="3" t="str">
        <f>IFERROR(__xludf.DUMMYFUNCTION("MID(REGEXEXTRACT(J312,"" [^ ]* [^ ]*""),2,300)"),"#REF!")</f>
        <v>#REF!</v>
      </c>
      <c r="S312" s="3">
        <f t="shared" si="2"/>
        <v>1</v>
      </c>
      <c r="T312" s="3" t="str">
        <f t="shared" si="3"/>
        <v>posh magenta</v>
      </c>
      <c r="U312" s="3">
        <f t="shared" si="4"/>
        <v>2</v>
      </c>
      <c r="V312" s="3" t="str">
        <f t="shared" si="5"/>
        <v>posh yellow</v>
      </c>
      <c r="W312" s="3" t="str">
        <f t="shared" si="6"/>
        <v/>
      </c>
      <c r="X312" s="3" t="str">
        <f t="shared" si="7"/>
        <v/>
      </c>
      <c r="Y312" s="3" t="str">
        <f t="shared" si="8"/>
        <v/>
      </c>
      <c r="Z312" s="3" t="str">
        <f t="shared" si="9"/>
        <v/>
      </c>
      <c r="AA312" s="13">
        <f t="shared" si="10"/>
        <v>10</v>
      </c>
      <c r="AB312" s="3">
        <f t="shared" si="11"/>
        <v>9</v>
      </c>
      <c r="AC312" s="3">
        <f t="shared" si="12"/>
        <v>1</v>
      </c>
      <c r="AD312" s="3">
        <f t="shared" si="13"/>
        <v>1</v>
      </c>
      <c r="AE312" s="3">
        <f t="shared" si="14"/>
        <v>2</v>
      </c>
      <c r="AF312" s="3">
        <f t="shared" si="15"/>
        <v>4</v>
      </c>
      <c r="AG312" s="3" t="str">
        <f t="shared" si="16"/>
        <v/>
      </c>
      <c r="AH312" s="3">
        <f t="shared" si="17"/>
        <v>0</v>
      </c>
      <c r="AI312" s="3" t="str">
        <f t="shared" si="18"/>
        <v/>
      </c>
      <c r="AJ312" s="3">
        <f t="shared" si="19"/>
        <v>0</v>
      </c>
    </row>
    <row r="313">
      <c r="C313" s="6" t="s">
        <v>313</v>
      </c>
      <c r="D313" s="3">
        <f t="shared" si="1"/>
        <v>1</v>
      </c>
      <c r="E313" s="3" t="str">
        <f>IFERROR(__xludf.DUMMYFUNCTION("REGEXEXTRACT(C313,""[^ ]* [^ ]*"")"),"faded brown")</f>
        <v>faded brown</v>
      </c>
      <c r="F313" s="3" t="str">
        <f>IFERROR(__xludf.DUMMYFUNCTION("MID(REGEXEXTRACT(C313,""contain.*$""),9,300)"),"4 muted blue bags, 3 wavy teal bags.")</f>
        <v>4 muted blue bags, 3 wavy teal bags.</v>
      </c>
      <c r="G313" s="3" t="str">
        <f>IFERROR(__xludf.DUMMYFUNCTION("INDEX(SPLIT($F313,"",""),COLUMN()-6)"),"4 muted blue bags")</f>
        <v>4 muted blue bags</v>
      </c>
      <c r="H313" s="3" t="str">
        <f>IFERROR(__xludf.DUMMYFUNCTION("MID(INDEX(SPLIT($F313,"",""),COLUMN()-6),2,300)"),"3 wavy teal bags.")</f>
        <v>3 wavy teal bags.</v>
      </c>
      <c r="I313" s="3" t="str">
        <f>IFERROR(__xludf.DUMMYFUNCTION("MID(INDEX(SPLIT($F313,"",""),COLUMN()-6),2,300)"),"#REF!")</f>
        <v>#REF!</v>
      </c>
      <c r="J313" s="3" t="str">
        <f>IFERROR(__xludf.DUMMYFUNCTION("MID(INDEX(SPLIT($F313,"",""),COLUMN()-6),2,300)"),"#REF!")</f>
        <v>#REF!</v>
      </c>
      <c r="K313" s="3">
        <f>IFERROR(__xludf.DUMMYFUNCTION("INDEX(SPLIT(G313,"" ""),1)"),4.0)</f>
        <v>4</v>
      </c>
      <c r="L313" s="3" t="str">
        <f>IFERROR(__xludf.DUMMYFUNCTION("REGEXEXTRACT(G313,"" [^ ]* [^ ]* "")")," muted blue ")</f>
        <v> muted blue </v>
      </c>
      <c r="M313" s="3">
        <f>IFERROR(__xludf.DUMMYFUNCTION("INDEX(SPLIT(H313,"" ""),1)"),3.0)</f>
        <v>3</v>
      </c>
      <c r="N313" s="3" t="str">
        <f>IFERROR(__xludf.DUMMYFUNCTION("MID(REGEXEXTRACT(H313,"" [^ ]* [^ ]*""),2,300)"),"wavy teal")</f>
        <v>wavy teal</v>
      </c>
      <c r="O313" s="3" t="str">
        <f>IFERROR(__xludf.DUMMYFUNCTION("INDEX(SPLIT(I313,"" ""),1)"),"#REF!")</f>
        <v>#REF!</v>
      </c>
      <c r="P313" s="3" t="str">
        <f>IFERROR(__xludf.DUMMYFUNCTION("MID(REGEXEXTRACT(I313,"" [^ ]* [^ ]*""),2,300)"),"#REF!")</f>
        <v>#REF!</v>
      </c>
      <c r="Q313" s="3" t="str">
        <f>IFERROR(__xludf.DUMMYFUNCTION("INDEX(SPLIT(J313,"" ""),1)"),"#REF!")</f>
        <v>#REF!</v>
      </c>
      <c r="R313" s="3" t="str">
        <f>IFERROR(__xludf.DUMMYFUNCTION("MID(REGEXEXTRACT(J313,"" [^ ]* [^ ]*""),2,300)"),"#REF!")</f>
        <v>#REF!</v>
      </c>
      <c r="S313" s="3">
        <f t="shared" si="2"/>
        <v>4</v>
      </c>
      <c r="T313" s="3" t="str">
        <f t="shared" si="3"/>
        <v>muted blue</v>
      </c>
      <c r="U313" s="3">
        <f t="shared" si="4"/>
        <v>3</v>
      </c>
      <c r="V313" s="3" t="str">
        <f t="shared" si="5"/>
        <v>wavy teal</v>
      </c>
      <c r="W313" s="3" t="str">
        <f t="shared" si="6"/>
        <v/>
      </c>
      <c r="X313" s="3" t="str">
        <f t="shared" si="7"/>
        <v/>
      </c>
      <c r="Y313" s="3" t="str">
        <f t="shared" si="8"/>
        <v/>
      </c>
      <c r="Z313" s="3" t="str">
        <f t="shared" si="9"/>
        <v/>
      </c>
      <c r="AA313" s="13">
        <f t="shared" si="10"/>
        <v>13780679</v>
      </c>
      <c r="AB313" s="3">
        <f t="shared" si="11"/>
        <v>13780678</v>
      </c>
      <c r="AC313" s="3">
        <f t="shared" si="12"/>
        <v>4</v>
      </c>
      <c r="AD313" s="3">
        <f t="shared" si="13"/>
        <v>3381607</v>
      </c>
      <c r="AE313" s="3">
        <f t="shared" si="14"/>
        <v>3</v>
      </c>
      <c r="AF313" s="3">
        <f t="shared" si="15"/>
        <v>84750</v>
      </c>
      <c r="AG313" s="3" t="str">
        <f t="shared" si="16"/>
        <v/>
      </c>
      <c r="AH313" s="3">
        <f t="shared" si="17"/>
        <v>0</v>
      </c>
      <c r="AI313" s="3" t="str">
        <f t="shared" si="18"/>
        <v/>
      </c>
      <c r="AJ313" s="3">
        <f t="shared" si="19"/>
        <v>0</v>
      </c>
    </row>
    <row r="314">
      <c r="C314" s="6" t="s">
        <v>314</v>
      </c>
      <c r="D314" s="3">
        <f t="shared" si="1"/>
        <v>1</v>
      </c>
      <c r="E314" s="3" t="str">
        <f>IFERROR(__xludf.DUMMYFUNCTION("REGEXEXTRACT(C314,""[^ ]* [^ ]*"")"),"light yellow")</f>
        <v>light yellow</v>
      </c>
      <c r="F314" s="3" t="str">
        <f>IFERROR(__xludf.DUMMYFUNCTION("MID(REGEXEXTRACT(C314,""contain.*$""),9,300)"),"3 clear black bags, 1 dotted crimson bag.")</f>
        <v>3 clear black bags, 1 dotted crimson bag.</v>
      </c>
      <c r="G314" s="3" t="str">
        <f>IFERROR(__xludf.DUMMYFUNCTION("INDEX(SPLIT($F314,"",""),COLUMN()-6)"),"3 clear black bags")</f>
        <v>3 clear black bags</v>
      </c>
      <c r="H314" s="3" t="str">
        <f>IFERROR(__xludf.DUMMYFUNCTION("MID(INDEX(SPLIT($F314,"",""),COLUMN()-6),2,300)"),"1 dotted crimson bag.")</f>
        <v>1 dotted crimson bag.</v>
      </c>
      <c r="I314" s="3" t="str">
        <f>IFERROR(__xludf.DUMMYFUNCTION("MID(INDEX(SPLIT($F314,"",""),COLUMN()-6),2,300)"),"#REF!")</f>
        <v>#REF!</v>
      </c>
      <c r="J314" s="3" t="str">
        <f>IFERROR(__xludf.DUMMYFUNCTION("MID(INDEX(SPLIT($F314,"",""),COLUMN()-6),2,300)"),"#REF!")</f>
        <v>#REF!</v>
      </c>
      <c r="K314" s="3">
        <f>IFERROR(__xludf.DUMMYFUNCTION("INDEX(SPLIT(G314,"" ""),1)"),3.0)</f>
        <v>3</v>
      </c>
      <c r="L314" s="3" t="str">
        <f>IFERROR(__xludf.DUMMYFUNCTION("REGEXEXTRACT(G314,"" [^ ]* [^ ]* "")")," clear black ")</f>
        <v> clear black </v>
      </c>
      <c r="M314" s="3">
        <f>IFERROR(__xludf.DUMMYFUNCTION("INDEX(SPLIT(H314,"" ""),1)"),1.0)</f>
        <v>1</v>
      </c>
      <c r="N314" s="3" t="str">
        <f>IFERROR(__xludf.DUMMYFUNCTION("MID(REGEXEXTRACT(H314,"" [^ ]* [^ ]*""),2,300)"),"dotted crimson")</f>
        <v>dotted crimson</v>
      </c>
      <c r="O314" s="3" t="str">
        <f>IFERROR(__xludf.DUMMYFUNCTION("INDEX(SPLIT(I314,"" ""),1)"),"#REF!")</f>
        <v>#REF!</v>
      </c>
      <c r="P314" s="3" t="str">
        <f>IFERROR(__xludf.DUMMYFUNCTION("MID(REGEXEXTRACT(I314,"" [^ ]* [^ ]*""),2,300)"),"#REF!")</f>
        <v>#REF!</v>
      </c>
      <c r="Q314" s="3" t="str">
        <f>IFERROR(__xludf.DUMMYFUNCTION("INDEX(SPLIT(J314,"" ""),1)"),"#REF!")</f>
        <v>#REF!</v>
      </c>
      <c r="R314" s="3" t="str">
        <f>IFERROR(__xludf.DUMMYFUNCTION("MID(REGEXEXTRACT(J314,"" [^ ]* [^ ]*""),2,300)"),"#REF!")</f>
        <v>#REF!</v>
      </c>
      <c r="S314" s="3">
        <f t="shared" si="2"/>
        <v>3</v>
      </c>
      <c r="T314" s="3" t="str">
        <f t="shared" si="3"/>
        <v>clear black</v>
      </c>
      <c r="U314" s="3">
        <f t="shared" si="4"/>
        <v>1</v>
      </c>
      <c r="V314" s="3" t="str">
        <f t="shared" si="5"/>
        <v>dotted crimson</v>
      </c>
      <c r="W314" s="3" t="str">
        <f t="shared" si="6"/>
        <v/>
      </c>
      <c r="X314" s="3" t="str">
        <f t="shared" si="7"/>
        <v/>
      </c>
      <c r="Y314" s="3" t="str">
        <f t="shared" si="8"/>
        <v/>
      </c>
      <c r="Z314" s="3" t="str">
        <f t="shared" si="9"/>
        <v/>
      </c>
      <c r="AA314" s="13">
        <f t="shared" si="10"/>
        <v>1316</v>
      </c>
      <c r="AB314" s="3">
        <f t="shared" si="11"/>
        <v>1315</v>
      </c>
      <c r="AC314" s="3">
        <f t="shared" si="12"/>
        <v>3</v>
      </c>
      <c r="AD314" s="3">
        <f t="shared" si="13"/>
        <v>12</v>
      </c>
      <c r="AE314" s="3">
        <f t="shared" si="14"/>
        <v>1</v>
      </c>
      <c r="AF314" s="3">
        <f t="shared" si="15"/>
        <v>1279</v>
      </c>
      <c r="AG314" s="3" t="str">
        <f t="shared" si="16"/>
        <v/>
      </c>
      <c r="AH314" s="3">
        <f t="shared" si="17"/>
        <v>0</v>
      </c>
      <c r="AI314" s="3" t="str">
        <f t="shared" si="18"/>
        <v/>
      </c>
      <c r="AJ314" s="3">
        <f t="shared" si="19"/>
        <v>0</v>
      </c>
    </row>
    <row r="315">
      <c r="C315" s="6" t="s">
        <v>315</v>
      </c>
      <c r="D315" s="3">
        <f t="shared" si="1"/>
        <v>3</v>
      </c>
      <c r="E315" s="3" t="str">
        <f>IFERROR(__xludf.DUMMYFUNCTION("REGEXEXTRACT(C315,""[^ ]* [^ ]*"")"),"striped salmon")</f>
        <v>striped salmon</v>
      </c>
      <c r="F315" s="3" t="str">
        <f>IFERROR(__xludf.DUMMYFUNCTION("MID(REGEXEXTRACT(C315,""contain.*$""),9,300)"),"1 dull yellow bag, 5 mirrored gray bags, 5 light lavender bags, 5 mirrored brown bags.")</f>
        <v>1 dull yellow bag, 5 mirrored gray bags, 5 light lavender bags, 5 mirrored brown bags.</v>
      </c>
      <c r="G315" s="3" t="str">
        <f>IFERROR(__xludf.DUMMYFUNCTION("INDEX(SPLIT($F315,"",""),COLUMN()-6)"),"1 dull yellow bag")</f>
        <v>1 dull yellow bag</v>
      </c>
      <c r="H315" s="3" t="str">
        <f>IFERROR(__xludf.DUMMYFUNCTION("MID(INDEX(SPLIT($F315,"",""),COLUMN()-6),2,300)"),"5 mirrored gray bags")</f>
        <v>5 mirrored gray bags</v>
      </c>
      <c r="I315" s="3" t="str">
        <f>IFERROR(__xludf.DUMMYFUNCTION("MID(INDEX(SPLIT($F315,"",""),COLUMN()-6),2,300)"),"5 light lavender bags")</f>
        <v>5 light lavender bags</v>
      </c>
      <c r="J315" s="3" t="str">
        <f>IFERROR(__xludf.DUMMYFUNCTION("MID(INDEX(SPLIT($F315,"",""),COLUMN()-6),2,300)"),"5 mirrored brown bags.")</f>
        <v>5 mirrored brown bags.</v>
      </c>
      <c r="K315" s="3">
        <f>IFERROR(__xludf.DUMMYFUNCTION("INDEX(SPLIT(G315,"" ""),1)"),1.0)</f>
        <v>1</v>
      </c>
      <c r="L315" s="3" t="str">
        <f>IFERROR(__xludf.DUMMYFUNCTION("REGEXEXTRACT(G315,"" [^ ]* [^ ]* "")")," dull yellow ")</f>
        <v> dull yellow </v>
      </c>
      <c r="M315" s="3">
        <f>IFERROR(__xludf.DUMMYFUNCTION("INDEX(SPLIT(H315,"" ""),1)"),5.0)</f>
        <v>5</v>
      </c>
      <c r="N315" s="3" t="str">
        <f>IFERROR(__xludf.DUMMYFUNCTION("MID(REGEXEXTRACT(H315,"" [^ ]* [^ ]*""),2,300)"),"mirrored gray")</f>
        <v>mirrored gray</v>
      </c>
      <c r="O315" s="3">
        <f>IFERROR(__xludf.DUMMYFUNCTION("INDEX(SPLIT(I315,"" ""),1)"),5.0)</f>
        <v>5</v>
      </c>
      <c r="P315" s="3" t="str">
        <f>IFERROR(__xludf.DUMMYFUNCTION("MID(REGEXEXTRACT(I315,"" [^ ]* [^ ]*""),2,300)"),"light lavender")</f>
        <v>light lavender</v>
      </c>
      <c r="Q315" s="3">
        <f>IFERROR(__xludf.DUMMYFUNCTION("INDEX(SPLIT(J315,"" ""),1)"),5.0)</f>
        <v>5</v>
      </c>
      <c r="R315" s="3" t="str">
        <f>IFERROR(__xludf.DUMMYFUNCTION("MID(REGEXEXTRACT(J315,"" [^ ]* [^ ]*""),2,300)"),"mirrored brown")</f>
        <v>mirrored brown</v>
      </c>
      <c r="S315" s="3">
        <f t="shared" si="2"/>
        <v>1</v>
      </c>
      <c r="T315" s="3" t="str">
        <f t="shared" si="3"/>
        <v>dull yellow</v>
      </c>
      <c r="U315" s="3">
        <f t="shared" si="4"/>
        <v>5</v>
      </c>
      <c r="V315" s="3" t="str">
        <f t="shared" si="5"/>
        <v>mirrored gray</v>
      </c>
      <c r="W315" s="3">
        <f t="shared" si="6"/>
        <v>5</v>
      </c>
      <c r="X315" s="3" t="str">
        <f t="shared" si="7"/>
        <v>light lavender</v>
      </c>
      <c r="Y315" s="3">
        <f t="shared" si="8"/>
        <v>5</v>
      </c>
      <c r="Z315" s="3" t="str">
        <f t="shared" si="9"/>
        <v>mirrored brown</v>
      </c>
      <c r="AA315" s="13">
        <f t="shared" si="10"/>
        <v>19556960</v>
      </c>
      <c r="AB315" s="3">
        <f t="shared" si="11"/>
        <v>19556959</v>
      </c>
      <c r="AC315" s="3">
        <f t="shared" si="12"/>
        <v>1</v>
      </c>
      <c r="AD315" s="3">
        <f t="shared" si="13"/>
        <v>190019</v>
      </c>
      <c r="AE315" s="3">
        <f t="shared" si="14"/>
        <v>5</v>
      </c>
      <c r="AF315" s="3">
        <f t="shared" si="15"/>
        <v>8</v>
      </c>
      <c r="AG315" s="3">
        <f t="shared" si="16"/>
        <v>5</v>
      </c>
      <c r="AH315" s="3">
        <f t="shared" si="17"/>
        <v>3872851</v>
      </c>
      <c r="AI315" s="3">
        <f t="shared" si="18"/>
        <v>5</v>
      </c>
      <c r="AJ315" s="3">
        <f t="shared" si="19"/>
        <v>529</v>
      </c>
    </row>
    <row r="316">
      <c r="C316" s="6" t="s">
        <v>316</v>
      </c>
      <c r="D316" s="3">
        <f t="shared" si="1"/>
        <v>2</v>
      </c>
      <c r="E316" s="3" t="str">
        <f>IFERROR(__xludf.DUMMYFUNCTION("REGEXEXTRACT(C316,""[^ ]* [^ ]*"")"),"light blue")</f>
        <v>light blue</v>
      </c>
      <c r="F316" s="3" t="str">
        <f>IFERROR(__xludf.DUMMYFUNCTION("MID(REGEXEXTRACT(C316,""contain.*$""),9,300)"),"5 mirrored purple bags, 3 dim violet bags, 2 pale tomato bags.")</f>
        <v>5 mirrored purple bags, 3 dim violet bags, 2 pale tomato bags.</v>
      </c>
      <c r="G316" s="3" t="str">
        <f>IFERROR(__xludf.DUMMYFUNCTION("INDEX(SPLIT($F316,"",""),COLUMN()-6)"),"5 mirrored purple bags")</f>
        <v>5 mirrored purple bags</v>
      </c>
      <c r="H316" s="3" t="str">
        <f>IFERROR(__xludf.DUMMYFUNCTION("MID(INDEX(SPLIT($F316,"",""),COLUMN()-6),2,300)"),"3 dim violet bags")</f>
        <v>3 dim violet bags</v>
      </c>
      <c r="I316" s="3" t="str">
        <f>IFERROR(__xludf.DUMMYFUNCTION("MID(INDEX(SPLIT($F316,"",""),COLUMN()-6),2,300)"),"2 pale tomato bags.")</f>
        <v>2 pale tomato bags.</v>
      </c>
      <c r="J316" s="3" t="str">
        <f>IFERROR(__xludf.DUMMYFUNCTION("MID(INDEX(SPLIT($F316,"",""),COLUMN()-6),2,300)"),"#REF!")</f>
        <v>#REF!</v>
      </c>
      <c r="K316" s="3">
        <f>IFERROR(__xludf.DUMMYFUNCTION("INDEX(SPLIT(G316,"" ""),1)"),5.0)</f>
        <v>5</v>
      </c>
      <c r="L316" s="3" t="str">
        <f>IFERROR(__xludf.DUMMYFUNCTION("REGEXEXTRACT(G316,"" [^ ]* [^ ]* "")")," mirrored purple ")</f>
        <v> mirrored purple </v>
      </c>
      <c r="M316" s="3">
        <f>IFERROR(__xludf.DUMMYFUNCTION("INDEX(SPLIT(H316,"" ""),1)"),3.0)</f>
        <v>3</v>
      </c>
      <c r="N316" s="3" t="str">
        <f>IFERROR(__xludf.DUMMYFUNCTION("MID(REGEXEXTRACT(H316,"" [^ ]* [^ ]*""),2,300)"),"dim violet")</f>
        <v>dim violet</v>
      </c>
      <c r="O316" s="3">
        <f>IFERROR(__xludf.DUMMYFUNCTION("INDEX(SPLIT(I316,"" ""),1)"),2.0)</f>
        <v>2</v>
      </c>
      <c r="P316" s="3" t="str">
        <f>IFERROR(__xludf.DUMMYFUNCTION("MID(REGEXEXTRACT(I316,"" [^ ]* [^ ]*""),2,300)"),"pale tomato")</f>
        <v>pale tomato</v>
      </c>
      <c r="Q316" s="3" t="str">
        <f>IFERROR(__xludf.DUMMYFUNCTION("INDEX(SPLIT(J316,"" ""),1)"),"#REF!")</f>
        <v>#REF!</v>
      </c>
      <c r="R316" s="3" t="str">
        <f>IFERROR(__xludf.DUMMYFUNCTION("MID(REGEXEXTRACT(J316,"" [^ ]* [^ ]*""),2,300)"),"#REF!")</f>
        <v>#REF!</v>
      </c>
      <c r="S316" s="3">
        <f t="shared" si="2"/>
        <v>5</v>
      </c>
      <c r="T316" s="3" t="str">
        <f t="shared" si="3"/>
        <v>mirrored purple</v>
      </c>
      <c r="U316" s="3">
        <f t="shared" si="4"/>
        <v>3</v>
      </c>
      <c r="V316" s="3" t="str">
        <f t="shared" si="5"/>
        <v>dim violet</v>
      </c>
      <c r="W316" s="3">
        <f t="shared" si="6"/>
        <v>2</v>
      </c>
      <c r="X316" s="3" t="str">
        <f t="shared" si="7"/>
        <v>pale tomato</v>
      </c>
      <c r="Y316" s="3" t="str">
        <f t="shared" si="8"/>
        <v/>
      </c>
      <c r="Z316" s="3" t="str">
        <f t="shared" si="9"/>
        <v/>
      </c>
      <c r="AA316" s="13">
        <f t="shared" si="10"/>
        <v>235778078</v>
      </c>
      <c r="AB316" s="3">
        <f t="shared" si="11"/>
        <v>235778077</v>
      </c>
      <c r="AC316" s="3">
        <f t="shared" si="12"/>
        <v>5</v>
      </c>
      <c r="AD316" s="3">
        <f t="shared" si="13"/>
        <v>47043416</v>
      </c>
      <c r="AE316" s="3">
        <f t="shared" si="14"/>
        <v>3</v>
      </c>
      <c r="AF316" s="3">
        <f t="shared" si="15"/>
        <v>153</v>
      </c>
      <c r="AG316" s="3">
        <f t="shared" si="16"/>
        <v>2</v>
      </c>
      <c r="AH316" s="3">
        <f t="shared" si="17"/>
        <v>280269</v>
      </c>
      <c r="AI316" s="3" t="str">
        <f t="shared" si="18"/>
        <v/>
      </c>
      <c r="AJ316" s="3">
        <f t="shared" si="19"/>
        <v>0</v>
      </c>
    </row>
    <row r="317">
      <c r="C317" s="6" t="s">
        <v>317</v>
      </c>
      <c r="D317" s="3">
        <f t="shared" si="1"/>
        <v>0</v>
      </c>
      <c r="E317" s="3" t="str">
        <f>IFERROR(__xludf.DUMMYFUNCTION("REGEXEXTRACT(C317,""[^ ]* [^ ]*"")"),"faded gold")</f>
        <v>faded gold</v>
      </c>
      <c r="F317" s="3" t="str">
        <f>IFERROR(__xludf.DUMMYFUNCTION("MID(REGEXEXTRACT(C317,""contain.*$""),9,300)"),"3 plaid gray bags.")</f>
        <v>3 plaid gray bags.</v>
      </c>
      <c r="G317" s="3" t="str">
        <f>IFERROR(__xludf.DUMMYFUNCTION("INDEX(SPLIT($F317,"",""),COLUMN()-6)"),"3 plaid gray bags.")</f>
        <v>3 plaid gray bags.</v>
      </c>
      <c r="H317" s="3" t="str">
        <f>IFERROR(__xludf.DUMMYFUNCTION("MID(INDEX(SPLIT($F317,"",""),COLUMN()-6),2,300)"),"#REF!")</f>
        <v>#REF!</v>
      </c>
      <c r="I317" s="3" t="str">
        <f>IFERROR(__xludf.DUMMYFUNCTION("MID(INDEX(SPLIT($F317,"",""),COLUMN()-6),2,300)"),"#REF!")</f>
        <v>#REF!</v>
      </c>
      <c r="J317" s="3" t="str">
        <f>IFERROR(__xludf.DUMMYFUNCTION("MID(INDEX(SPLIT($F317,"",""),COLUMN()-6),2,300)"),"#REF!")</f>
        <v>#REF!</v>
      </c>
      <c r="K317" s="3">
        <f>IFERROR(__xludf.DUMMYFUNCTION("INDEX(SPLIT(G317,"" ""),1)"),3.0)</f>
        <v>3</v>
      </c>
      <c r="L317" s="3" t="str">
        <f>IFERROR(__xludf.DUMMYFUNCTION("REGEXEXTRACT(G317,"" [^ ]* [^ ]* "")")," plaid gray ")</f>
        <v> plaid gray </v>
      </c>
      <c r="M317" s="3" t="str">
        <f>IFERROR(__xludf.DUMMYFUNCTION("INDEX(SPLIT(H317,"" ""),1)"),"#REF!")</f>
        <v>#REF!</v>
      </c>
      <c r="N317" s="3" t="str">
        <f>IFERROR(__xludf.DUMMYFUNCTION("MID(REGEXEXTRACT(H317,"" [^ ]* [^ ]*""),2,300)"),"#REF!")</f>
        <v>#REF!</v>
      </c>
      <c r="O317" s="3" t="str">
        <f>IFERROR(__xludf.DUMMYFUNCTION("INDEX(SPLIT(I317,"" ""),1)"),"#REF!")</f>
        <v>#REF!</v>
      </c>
      <c r="P317" s="3" t="str">
        <f>IFERROR(__xludf.DUMMYFUNCTION("MID(REGEXEXTRACT(I317,"" [^ ]* [^ ]*""),2,300)"),"#REF!")</f>
        <v>#REF!</v>
      </c>
      <c r="Q317" s="3" t="str">
        <f>IFERROR(__xludf.DUMMYFUNCTION("INDEX(SPLIT(J317,"" ""),1)"),"#REF!")</f>
        <v>#REF!</v>
      </c>
      <c r="R317" s="3" t="str">
        <f>IFERROR(__xludf.DUMMYFUNCTION("MID(REGEXEXTRACT(J317,"" [^ ]* [^ ]*""),2,300)"),"#REF!")</f>
        <v>#REF!</v>
      </c>
      <c r="S317" s="3">
        <f t="shared" si="2"/>
        <v>3</v>
      </c>
      <c r="T317" s="3" t="str">
        <f t="shared" si="3"/>
        <v>plaid gray</v>
      </c>
      <c r="U317" s="3" t="str">
        <f t="shared" si="4"/>
        <v/>
      </c>
      <c r="V317" s="3" t="str">
        <f t="shared" si="5"/>
        <v/>
      </c>
      <c r="W317" s="3" t="str">
        <f t="shared" si="6"/>
        <v/>
      </c>
      <c r="X317" s="3" t="str">
        <f t="shared" si="7"/>
        <v/>
      </c>
      <c r="Y317" s="3" t="str">
        <f t="shared" si="8"/>
        <v/>
      </c>
      <c r="Z317" s="3" t="str">
        <f t="shared" si="9"/>
        <v/>
      </c>
      <c r="AA317" s="13">
        <f t="shared" si="10"/>
        <v>163</v>
      </c>
      <c r="AB317" s="3">
        <f t="shared" si="11"/>
        <v>162</v>
      </c>
      <c r="AC317" s="3">
        <f t="shared" si="12"/>
        <v>3</v>
      </c>
      <c r="AD317" s="3">
        <f t="shared" si="13"/>
        <v>54</v>
      </c>
      <c r="AE317" s="3" t="str">
        <f t="shared" si="14"/>
        <v/>
      </c>
      <c r="AF317" s="3">
        <f t="shared" si="15"/>
        <v>0</v>
      </c>
      <c r="AG317" s="3" t="str">
        <f t="shared" si="16"/>
        <v/>
      </c>
      <c r="AH317" s="3">
        <f t="shared" si="17"/>
        <v>0</v>
      </c>
      <c r="AI317" s="3" t="str">
        <f t="shared" si="18"/>
        <v/>
      </c>
      <c r="AJ317" s="3">
        <f t="shared" si="19"/>
        <v>0</v>
      </c>
    </row>
    <row r="318">
      <c r="C318" s="6" t="s">
        <v>318</v>
      </c>
      <c r="D318" s="3">
        <f t="shared" si="1"/>
        <v>1</v>
      </c>
      <c r="E318" s="3" t="str">
        <f>IFERROR(__xludf.DUMMYFUNCTION("REGEXEXTRACT(C318,""[^ ]* [^ ]*"")"),"shiny aqua")</f>
        <v>shiny aqua</v>
      </c>
      <c r="F318" s="3" t="str">
        <f>IFERROR(__xludf.DUMMYFUNCTION("MID(REGEXEXTRACT(C318,""contain.*$""),9,300)"),"1 striped crimson bag, 5 pale black bags.")</f>
        <v>1 striped crimson bag, 5 pale black bags.</v>
      </c>
      <c r="G318" s="3" t="str">
        <f>IFERROR(__xludf.DUMMYFUNCTION("INDEX(SPLIT($F318,"",""),COLUMN()-6)"),"1 striped crimson bag")</f>
        <v>1 striped crimson bag</v>
      </c>
      <c r="H318" s="3" t="str">
        <f>IFERROR(__xludf.DUMMYFUNCTION("MID(INDEX(SPLIT($F318,"",""),COLUMN()-6),2,300)"),"5 pale black bags.")</f>
        <v>5 pale black bags.</v>
      </c>
      <c r="I318" s="3" t="str">
        <f>IFERROR(__xludf.DUMMYFUNCTION("MID(INDEX(SPLIT($F318,"",""),COLUMN()-6),2,300)"),"#REF!")</f>
        <v>#REF!</v>
      </c>
      <c r="J318" s="3" t="str">
        <f>IFERROR(__xludf.DUMMYFUNCTION("MID(INDEX(SPLIT($F318,"",""),COLUMN()-6),2,300)"),"#REF!")</f>
        <v>#REF!</v>
      </c>
      <c r="K318" s="3">
        <f>IFERROR(__xludf.DUMMYFUNCTION("INDEX(SPLIT(G318,"" ""),1)"),1.0)</f>
        <v>1</v>
      </c>
      <c r="L318" s="3" t="str">
        <f>IFERROR(__xludf.DUMMYFUNCTION("REGEXEXTRACT(G318,"" [^ ]* [^ ]* "")")," striped crimson ")</f>
        <v> striped crimson </v>
      </c>
      <c r="M318" s="3">
        <f>IFERROR(__xludf.DUMMYFUNCTION("INDEX(SPLIT(H318,"" ""),1)"),5.0)</f>
        <v>5</v>
      </c>
      <c r="N318" s="3" t="str">
        <f>IFERROR(__xludf.DUMMYFUNCTION("MID(REGEXEXTRACT(H318,"" [^ ]* [^ ]*""),2,300)"),"pale black")</f>
        <v>pale black</v>
      </c>
      <c r="O318" s="3" t="str">
        <f>IFERROR(__xludf.DUMMYFUNCTION("INDEX(SPLIT(I318,"" ""),1)"),"#REF!")</f>
        <v>#REF!</v>
      </c>
      <c r="P318" s="3" t="str">
        <f>IFERROR(__xludf.DUMMYFUNCTION("MID(REGEXEXTRACT(I318,"" [^ ]* [^ ]*""),2,300)"),"#REF!")</f>
        <v>#REF!</v>
      </c>
      <c r="Q318" s="3" t="str">
        <f>IFERROR(__xludf.DUMMYFUNCTION("INDEX(SPLIT(J318,"" ""),1)"),"#REF!")</f>
        <v>#REF!</v>
      </c>
      <c r="R318" s="3" t="str">
        <f>IFERROR(__xludf.DUMMYFUNCTION("MID(REGEXEXTRACT(J318,"" [^ ]* [^ ]*""),2,300)"),"#REF!")</f>
        <v>#REF!</v>
      </c>
      <c r="S318" s="3">
        <f t="shared" si="2"/>
        <v>1</v>
      </c>
      <c r="T318" s="3" t="str">
        <f t="shared" si="3"/>
        <v>striped crimson</v>
      </c>
      <c r="U318" s="3">
        <f t="shared" si="4"/>
        <v>5</v>
      </c>
      <c r="V318" s="3" t="str">
        <f t="shared" si="5"/>
        <v>pale black</v>
      </c>
      <c r="W318" s="3" t="str">
        <f t="shared" si="6"/>
        <v/>
      </c>
      <c r="X318" s="3" t="str">
        <f t="shared" si="7"/>
        <v/>
      </c>
      <c r="Y318" s="3" t="str">
        <f t="shared" si="8"/>
        <v/>
      </c>
      <c r="Z318" s="3" t="str">
        <f t="shared" si="9"/>
        <v/>
      </c>
      <c r="AA318" s="13">
        <f t="shared" si="10"/>
        <v>32451</v>
      </c>
      <c r="AB318" s="3">
        <f t="shared" si="11"/>
        <v>32450</v>
      </c>
      <c r="AC318" s="3">
        <f t="shared" si="12"/>
        <v>1</v>
      </c>
      <c r="AD318" s="3">
        <f t="shared" si="13"/>
        <v>32410</v>
      </c>
      <c r="AE318" s="3">
        <f t="shared" si="14"/>
        <v>5</v>
      </c>
      <c r="AF318" s="3">
        <f t="shared" si="15"/>
        <v>8</v>
      </c>
      <c r="AG318" s="3" t="str">
        <f t="shared" si="16"/>
        <v/>
      </c>
      <c r="AH318" s="3">
        <f t="shared" si="17"/>
        <v>0</v>
      </c>
      <c r="AI318" s="3" t="str">
        <f t="shared" si="18"/>
        <v/>
      </c>
      <c r="AJ318" s="3">
        <f t="shared" si="19"/>
        <v>0</v>
      </c>
    </row>
    <row r="319">
      <c r="C319" s="6" t="s">
        <v>319</v>
      </c>
      <c r="D319" s="3">
        <f t="shared" si="1"/>
        <v>0</v>
      </c>
      <c r="E319" s="3" t="str">
        <f>IFERROR(__xludf.DUMMYFUNCTION("REGEXEXTRACT(C319,""[^ ]* [^ ]*"")"),"shiny lime")</f>
        <v>shiny lime</v>
      </c>
      <c r="F319" s="3" t="str">
        <f>IFERROR(__xludf.DUMMYFUNCTION("MID(REGEXEXTRACT(C319,""contain.*$""),9,300)"),"4 dark green bags.")</f>
        <v>4 dark green bags.</v>
      </c>
      <c r="G319" s="3" t="str">
        <f>IFERROR(__xludf.DUMMYFUNCTION("INDEX(SPLIT($F319,"",""),COLUMN()-6)"),"4 dark green bags.")</f>
        <v>4 dark green bags.</v>
      </c>
      <c r="H319" s="3" t="str">
        <f>IFERROR(__xludf.DUMMYFUNCTION("MID(INDEX(SPLIT($F319,"",""),COLUMN()-6),2,300)"),"#REF!")</f>
        <v>#REF!</v>
      </c>
      <c r="I319" s="3" t="str">
        <f>IFERROR(__xludf.DUMMYFUNCTION("MID(INDEX(SPLIT($F319,"",""),COLUMN()-6),2,300)"),"#REF!")</f>
        <v>#REF!</v>
      </c>
      <c r="J319" s="3" t="str">
        <f>IFERROR(__xludf.DUMMYFUNCTION("MID(INDEX(SPLIT($F319,"",""),COLUMN()-6),2,300)"),"#REF!")</f>
        <v>#REF!</v>
      </c>
      <c r="K319" s="3">
        <f>IFERROR(__xludf.DUMMYFUNCTION("INDEX(SPLIT(G319,"" ""),1)"),4.0)</f>
        <v>4</v>
      </c>
      <c r="L319" s="3" t="str">
        <f>IFERROR(__xludf.DUMMYFUNCTION("REGEXEXTRACT(G319,"" [^ ]* [^ ]* "")")," dark green ")</f>
        <v> dark green </v>
      </c>
      <c r="M319" s="3" t="str">
        <f>IFERROR(__xludf.DUMMYFUNCTION("INDEX(SPLIT(H319,"" ""),1)"),"#REF!")</f>
        <v>#REF!</v>
      </c>
      <c r="N319" s="3" t="str">
        <f>IFERROR(__xludf.DUMMYFUNCTION("MID(REGEXEXTRACT(H319,"" [^ ]* [^ ]*""),2,300)"),"#REF!")</f>
        <v>#REF!</v>
      </c>
      <c r="O319" s="3" t="str">
        <f>IFERROR(__xludf.DUMMYFUNCTION("INDEX(SPLIT(I319,"" ""),1)"),"#REF!")</f>
        <v>#REF!</v>
      </c>
      <c r="P319" s="3" t="str">
        <f>IFERROR(__xludf.DUMMYFUNCTION("MID(REGEXEXTRACT(I319,"" [^ ]* [^ ]*""),2,300)"),"#REF!")</f>
        <v>#REF!</v>
      </c>
      <c r="Q319" s="3" t="str">
        <f>IFERROR(__xludf.DUMMYFUNCTION("INDEX(SPLIT(J319,"" ""),1)"),"#REF!")</f>
        <v>#REF!</v>
      </c>
      <c r="R319" s="3" t="str">
        <f>IFERROR(__xludf.DUMMYFUNCTION("MID(REGEXEXTRACT(J319,"" [^ ]* [^ ]*""),2,300)"),"#REF!")</f>
        <v>#REF!</v>
      </c>
      <c r="S319" s="3">
        <f t="shared" si="2"/>
        <v>4</v>
      </c>
      <c r="T319" s="3" t="str">
        <f t="shared" si="3"/>
        <v>dark green</v>
      </c>
      <c r="U319" s="3" t="str">
        <f t="shared" si="4"/>
        <v/>
      </c>
      <c r="V319" s="3" t="str">
        <f t="shared" si="5"/>
        <v/>
      </c>
      <c r="W319" s="3" t="str">
        <f t="shared" si="6"/>
        <v/>
      </c>
      <c r="X319" s="3" t="str">
        <f t="shared" si="7"/>
        <v/>
      </c>
      <c r="Y319" s="3" t="str">
        <f t="shared" si="8"/>
        <v/>
      </c>
      <c r="Z319" s="3" t="str">
        <f t="shared" si="9"/>
        <v/>
      </c>
      <c r="AA319" s="13">
        <f t="shared" si="10"/>
        <v>23630893</v>
      </c>
      <c r="AB319" s="3">
        <f t="shared" si="11"/>
        <v>23630892</v>
      </c>
      <c r="AC319" s="3">
        <f t="shared" si="12"/>
        <v>4</v>
      </c>
      <c r="AD319" s="3">
        <f t="shared" si="13"/>
        <v>5907723</v>
      </c>
      <c r="AE319" s="3" t="str">
        <f t="shared" si="14"/>
        <v/>
      </c>
      <c r="AF319" s="3">
        <f t="shared" si="15"/>
        <v>0</v>
      </c>
      <c r="AG319" s="3" t="str">
        <f t="shared" si="16"/>
        <v/>
      </c>
      <c r="AH319" s="3">
        <f t="shared" si="17"/>
        <v>0</v>
      </c>
      <c r="AI319" s="3" t="str">
        <f t="shared" si="18"/>
        <v/>
      </c>
      <c r="AJ319" s="3">
        <f t="shared" si="19"/>
        <v>0</v>
      </c>
    </row>
    <row r="320">
      <c r="C320" s="6" t="s">
        <v>320</v>
      </c>
      <c r="D320" s="3">
        <f t="shared" si="1"/>
        <v>1</v>
      </c>
      <c r="E320" s="3" t="str">
        <f>IFERROR(__xludf.DUMMYFUNCTION("REGEXEXTRACT(C320,""[^ ]* [^ ]*"")"),"vibrant tan")</f>
        <v>vibrant tan</v>
      </c>
      <c r="F320" s="3" t="str">
        <f>IFERROR(__xludf.DUMMYFUNCTION("MID(REGEXEXTRACT(C320,""contain.*$""),9,300)"),"3 clear silver bags, 3 pale white bags.")</f>
        <v>3 clear silver bags, 3 pale white bags.</v>
      </c>
      <c r="G320" s="3" t="str">
        <f>IFERROR(__xludf.DUMMYFUNCTION("INDEX(SPLIT($F320,"",""),COLUMN()-6)"),"3 clear silver bags")</f>
        <v>3 clear silver bags</v>
      </c>
      <c r="H320" s="3" t="str">
        <f>IFERROR(__xludf.DUMMYFUNCTION("MID(INDEX(SPLIT($F320,"",""),COLUMN()-6),2,300)"),"3 pale white bags.")</f>
        <v>3 pale white bags.</v>
      </c>
      <c r="I320" s="3" t="str">
        <f>IFERROR(__xludf.DUMMYFUNCTION("MID(INDEX(SPLIT($F320,"",""),COLUMN()-6),2,300)"),"#REF!")</f>
        <v>#REF!</v>
      </c>
      <c r="J320" s="3" t="str">
        <f>IFERROR(__xludf.DUMMYFUNCTION("MID(INDEX(SPLIT($F320,"",""),COLUMN()-6),2,300)"),"#REF!")</f>
        <v>#REF!</v>
      </c>
      <c r="K320" s="3">
        <f>IFERROR(__xludf.DUMMYFUNCTION("INDEX(SPLIT(G320,"" ""),1)"),3.0)</f>
        <v>3</v>
      </c>
      <c r="L320" s="3" t="str">
        <f>IFERROR(__xludf.DUMMYFUNCTION("REGEXEXTRACT(G320,"" [^ ]* [^ ]* "")")," clear silver ")</f>
        <v> clear silver </v>
      </c>
      <c r="M320" s="3">
        <f>IFERROR(__xludf.DUMMYFUNCTION("INDEX(SPLIT(H320,"" ""),1)"),3.0)</f>
        <v>3</v>
      </c>
      <c r="N320" s="3" t="str">
        <f>IFERROR(__xludf.DUMMYFUNCTION("MID(REGEXEXTRACT(H320,"" [^ ]* [^ ]*""),2,300)"),"pale white")</f>
        <v>pale white</v>
      </c>
      <c r="O320" s="3" t="str">
        <f>IFERROR(__xludf.DUMMYFUNCTION("INDEX(SPLIT(I320,"" ""),1)"),"#REF!")</f>
        <v>#REF!</v>
      </c>
      <c r="P320" s="3" t="str">
        <f>IFERROR(__xludf.DUMMYFUNCTION("MID(REGEXEXTRACT(I320,"" [^ ]* [^ ]*""),2,300)"),"#REF!")</f>
        <v>#REF!</v>
      </c>
      <c r="Q320" s="3" t="str">
        <f>IFERROR(__xludf.DUMMYFUNCTION("INDEX(SPLIT(J320,"" ""),1)"),"#REF!")</f>
        <v>#REF!</v>
      </c>
      <c r="R320" s="3" t="str">
        <f>IFERROR(__xludf.DUMMYFUNCTION("MID(REGEXEXTRACT(J320,"" [^ ]* [^ ]*""),2,300)"),"#REF!")</f>
        <v>#REF!</v>
      </c>
      <c r="S320" s="3">
        <f t="shared" si="2"/>
        <v>3</v>
      </c>
      <c r="T320" s="3" t="str">
        <f t="shared" si="3"/>
        <v>clear silver</v>
      </c>
      <c r="U320" s="3">
        <f t="shared" si="4"/>
        <v>3</v>
      </c>
      <c r="V320" s="3" t="str">
        <f t="shared" si="5"/>
        <v>pale white</v>
      </c>
      <c r="W320" s="3" t="str">
        <f t="shared" si="6"/>
        <v/>
      </c>
      <c r="X320" s="3" t="str">
        <f t="shared" si="7"/>
        <v/>
      </c>
      <c r="Y320" s="3" t="str">
        <f t="shared" si="8"/>
        <v/>
      </c>
      <c r="Z320" s="3" t="str">
        <f t="shared" si="9"/>
        <v/>
      </c>
      <c r="AA320" s="13">
        <f t="shared" si="10"/>
        <v>229951</v>
      </c>
      <c r="AB320" s="3">
        <f t="shared" si="11"/>
        <v>229950</v>
      </c>
      <c r="AC320" s="3">
        <f t="shared" si="12"/>
        <v>3</v>
      </c>
      <c r="AD320" s="3">
        <f t="shared" si="13"/>
        <v>217</v>
      </c>
      <c r="AE320" s="3">
        <f t="shared" si="14"/>
        <v>3</v>
      </c>
      <c r="AF320" s="3">
        <f t="shared" si="15"/>
        <v>76433</v>
      </c>
      <c r="AG320" s="3" t="str">
        <f t="shared" si="16"/>
        <v/>
      </c>
      <c r="AH320" s="3">
        <f t="shared" si="17"/>
        <v>0</v>
      </c>
      <c r="AI320" s="3" t="str">
        <f t="shared" si="18"/>
        <v/>
      </c>
      <c r="AJ320" s="3">
        <f t="shared" si="19"/>
        <v>0</v>
      </c>
    </row>
    <row r="321">
      <c r="C321" s="6" t="s">
        <v>321</v>
      </c>
      <c r="D321" s="3">
        <f t="shared" si="1"/>
        <v>0</v>
      </c>
      <c r="E321" s="3" t="str">
        <f>IFERROR(__xludf.DUMMYFUNCTION("REGEXEXTRACT(C321,""[^ ]* [^ ]*"")"),"vibrant aqua")</f>
        <v>vibrant aqua</v>
      </c>
      <c r="F321" s="3" t="str">
        <f>IFERROR(__xludf.DUMMYFUNCTION("MID(REGEXEXTRACT(C321,""contain.*$""),9,300)"),"no other bags.")</f>
        <v>no other bags.</v>
      </c>
      <c r="G321" s="3" t="str">
        <f>IFERROR(__xludf.DUMMYFUNCTION("INDEX(SPLIT($F321,"",""),COLUMN()-6)"),"no other bags.")</f>
        <v>no other bags.</v>
      </c>
      <c r="H321" s="3" t="str">
        <f>IFERROR(__xludf.DUMMYFUNCTION("MID(INDEX(SPLIT($F321,"",""),COLUMN()-6),2,300)"),"#REF!")</f>
        <v>#REF!</v>
      </c>
      <c r="I321" s="3" t="str">
        <f>IFERROR(__xludf.DUMMYFUNCTION("MID(INDEX(SPLIT($F321,"",""),COLUMN()-6),2,300)"),"#REF!")</f>
        <v>#REF!</v>
      </c>
      <c r="J321" s="3" t="str">
        <f>IFERROR(__xludf.DUMMYFUNCTION("MID(INDEX(SPLIT($F321,"",""),COLUMN()-6),2,300)"),"#REF!")</f>
        <v>#REF!</v>
      </c>
      <c r="K321" s="3" t="str">
        <f>IFERROR(__xludf.DUMMYFUNCTION("INDEX(SPLIT(G321,"" ""),1)"),"no")</f>
        <v>no</v>
      </c>
      <c r="L321" s="3" t="str">
        <f>IFERROR(__xludf.DUMMYFUNCTION("REGEXEXTRACT(G321,"" [^ ]* [^ ]* "")"),"#N/A")</f>
        <v>#N/A</v>
      </c>
      <c r="M321" s="3" t="str">
        <f>IFERROR(__xludf.DUMMYFUNCTION("INDEX(SPLIT(H321,"" ""),1)"),"#REF!")</f>
        <v>#REF!</v>
      </c>
      <c r="N321" s="3" t="str">
        <f>IFERROR(__xludf.DUMMYFUNCTION("MID(REGEXEXTRACT(H321,"" [^ ]* [^ ]*""),2,300)"),"#REF!")</f>
        <v>#REF!</v>
      </c>
      <c r="O321" s="3" t="str">
        <f>IFERROR(__xludf.DUMMYFUNCTION("INDEX(SPLIT(I321,"" ""),1)"),"#REF!")</f>
        <v>#REF!</v>
      </c>
      <c r="P321" s="3" t="str">
        <f>IFERROR(__xludf.DUMMYFUNCTION("MID(REGEXEXTRACT(I321,"" [^ ]* [^ ]*""),2,300)"),"#REF!")</f>
        <v>#REF!</v>
      </c>
      <c r="Q321" s="3" t="str">
        <f>IFERROR(__xludf.DUMMYFUNCTION("INDEX(SPLIT(J321,"" ""),1)"),"#REF!")</f>
        <v>#REF!</v>
      </c>
      <c r="R321" s="3" t="str">
        <f>IFERROR(__xludf.DUMMYFUNCTION("MID(REGEXEXTRACT(J321,"" [^ ]* [^ ]*""),2,300)"),"#REF!")</f>
        <v>#REF!</v>
      </c>
      <c r="S321" s="3" t="str">
        <f t="shared" si="2"/>
        <v/>
      </c>
      <c r="T321" s="3" t="str">
        <f t="shared" si="3"/>
        <v/>
      </c>
      <c r="U321" s="3" t="str">
        <f t="shared" si="4"/>
        <v/>
      </c>
      <c r="V321" s="3" t="str">
        <f t="shared" si="5"/>
        <v/>
      </c>
      <c r="W321" s="3" t="str">
        <f t="shared" si="6"/>
        <v/>
      </c>
      <c r="X321" s="3" t="str">
        <f t="shared" si="7"/>
        <v/>
      </c>
      <c r="Y321" s="3" t="str">
        <f t="shared" si="8"/>
        <v/>
      </c>
      <c r="Z321" s="3" t="str">
        <f t="shared" si="9"/>
        <v/>
      </c>
      <c r="AA321" s="13">
        <f t="shared" si="10"/>
        <v>1</v>
      </c>
      <c r="AB321" s="3">
        <f t="shared" si="11"/>
        <v>0</v>
      </c>
      <c r="AC321" s="3" t="str">
        <f t="shared" si="12"/>
        <v/>
      </c>
      <c r="AD321" s="3">
        <f t="shared" si="13"/>
        <v>0</v>
      </c>
      <c r="AE321" s="3" t="str">
        <f t="shared" si="14"/>
        <v/>
      </c>
      <c r="AF321" s="3">
        <f t="shared" si="15"/>
        <v>0</v>
      </c>
      <c r="AG321" s="3" t="str">
        <f t="shared" si="16"/>
        <v/>
      </c>
      <c r="AH321" s="3">
        <f t="shared" si="17"/>
        <v>0</v>
      </c>
      <c r="AI321" s="3" t="str">
        <f t="shared" si="18"/>
        <v/>
      </c>
      <c r="AJ321" s="3">
        <f t="shared" si="19"/>
        <v>0</v>
      </c>
    </row>
    <row r="322">
      <c r="C322" s="6" t="s">
        <v>322</v>
      </c>
      <c r="D322" s="3">
        <f t="shared" si="1"/>
        <v>0</v>
      </c>
      <c r="E322" s="3" t="str">
        <f>IFERROR(__xludf.DUMMYFUNCTION("REGEXEXTRACT(C322,""[^ ]* [^ ]*"")"),"vibrant teal")</f>
        <v>vibrant teal</v>
      </c>
      <c r="F322" s="3" t="str">
        <f>IFERROR(__xludf.DUMMYFUNCTION("MID(REGEXEXTRACT(C322,""contain.*$""),9,300)"),"3 wavy tan bags.")</f>
        <v>3 wavy tan bags.</v>
      </c>
      <c r="G322" s="3" t="str">
        <f>IFERROR(__xludf.DUMMYFUNCTION("INDEX(SPLIT($F322,"",""),COLUMN()-6)"),"3 wavy tan bags.")</f>
        <v>3 wavy tan bags.</v>
      </c>
      <c r="H322" s="3" t="str">
        <f>IFERROR(__xludf.DUMMYFUNCTION("MID(INDEX(SPLIT($F322,"",""),COLUMN()-6),2,300)"),"#REF!")</f>
        <v>#REF!</v>
      </c>
      <c r="I322" s="3" t="str">
        <f>IFERROR(__xludf.DUMMYFUNCTION("MID(INDEX(SPLIT($F322,"",""),COLUMN()-6),2,300)"),"#REF!")</f>
        <v>#REF!</v>
      </c>
      <c r="J322" s="3" t="str">
        <f>IFERROR(__xludf.DUMMYFUNCTION("MID(INDEX(SPLIT($F322,"",""),COLUMN()-6),2,300)"),"#REF!")</f>
        <v>#REF!</v>
      </c>
      <c r="K322" s="3">
        <f>IFERROR(__xludf.DUMMYFUNCTION("INDEX(SPLIT(G322,"" ""),1)"),3.0)</f>
        <v>3</v>
      </c>
      <c r="L322" s="3" t="str">
        <f>IFERROR(__xludf.DUMMYFUNCTION("REGEXEXTRACT(G322,"" [^ ]* [^ ]* "")")," wavy tan ")</f>
        <v> wavy tan </v>
      </c>
      <c r="M322" s="3" t="str">
        <f>IFERROR(__xludf.DUMMYFUNCTION("INDEX(SPLIT(H322,"" ""),1)"),"#REF!")</f>
        <v>#REF!</v>
      </c>
      <c r="N322" s="3" t="str">
        <f>IFERROR(__xludf.DUMMYFUNCTION("MID(REGEXEXTRACT(H322,"" [^ ]* [^ ]*""),2,300)"),"#REF!")</f>
        <v>#REF!</v>
      </c>
      <c r="O322" s="3" t="str">
        <f>IFERROR(__xludf.DUMMYFUNCTION("INDEX(SPLIT(I322,"" ""),1)"),"#REF!")</f>
        <v>#REF!</v>
      </c>
      <c r="P322" s="3" t="str">
        <f>IFERROR(__xludf.DUMMYFUNCTION("MID(REGEXEXTRACT(I322,"" [^ ]* [^ ]*""),2,300)"),"#REF!")</f>
        <v>#REF!</v>
      </c>
      <c r="Q322" s="3" t="str">
        <f>IFERROR(__xludf.DUMMYFUNCTION("INDEX(SPLIT(J322,"" ""),1)"),"#REF!")</f>
        <v>#REF!</v>
      </c>
      <c r="R322" s="3" t="str">
        <f>IFERROR(__xludf.DUMMYFUNCTION("MID(REGEXEXTRACT(J322,"" [^ ]* [^ ]*""),2,300)"),"#REF!")</f>
        <v>#REF!</v>
      </c>
      <c r="S322" s="3">
        <f t="shared" si="2"/>
        <v>3</v>
      </c>
      <c r="T322" s="3" t="str">
        <f t="shared" si="3"/>
        <v>wavy tan</v>
      </c>
      <c r="U322" s="3" t="str">
        <f t="shared" si="4"/>
        <v/>
      </c>
      <c r="V322" s="3" t="str">
        <f t="shared" si="5"/>
        <v/>
      </c>
      <c r="W322" s="3" t="str">
        <f t="shared" si="6"/>
        <v/>
      </c>
      <c r="X322" s="3" t="str">
        <f t="shared" si="7"/>
        <v/>
      </c>
      <c r="Y322" s="3" t="str">
        <f t="shared" si="8"/>
        <v/>
      </c>
      <c r="Z322" s="3" t="str">
        <f t="shared" si="9"/>
        <v/>
      </c>
      <c r="AA322" s="13">
        <f t="shared" si="10"/>
        <v>59785</v>
      </c>
      <c r="AB322" s="3">
        <f t="shared" si="11"/>
        <v>59784</v>
      </c>
      <c r="AC322" s="3">
        <f t="shared" si="12"/>
        <v>3</v>
      </c>
      <c r="AD322" s="3">
        <f t="shared" si="13"/>
        <v>19928</v>
      </c>
      <c r="AE322" s="3" t="str">
        <f t="shared" si="14"/>
        <v/>
      </c>
      <c r="AF322" s="3">
        <f t="shared" si="15"/>
        <v>0</v>
      </c>
      <c r="AG322" s="3" t="str">
        <f t="shared" si="16"/>
        <v/>
      </c>
      <c r="AH322" s="3">
        <f t="shared" si="17"/>
        <v>0</v>
      </c>
      <c r="AI322" s="3" t="str">
        <f t="shared" si="18"/>
        <v/>
      </c>
      <c r="AJ322" s="3">
        <f t="shared" si="19"/>
        <v>0</v>
      </c>
    </row>
    <row r="323">
      <c r="C323" s="6" t="s">
        <v>323</v>
      </c>
      <c r="D323" s="3">
        <f t="shared" si="1"/>
        <v>0</v>
      </c>
      <c r="E323" s="3" t="str">
        <f>IFERROR(__xludf.DUMMYFUNCTION("REGEXEXTRACT(C323,""[^ ]* [^ ]*"")"),"light maroon")</f>
        <v>light maroon</v>
      </c>
      <c r="F323" s="3" t="str">
        <f>IFERROR(__xludf.DUMMYFUNCTION("MID(REGEXEXTRACT(C323,""contain.*$""),9,300)"),"3 vibrant silver bags.")</f>
        <v>3 vibrant silver bags.</v>
      </c>
      <c r="G323" s="3" t="str">
        <f>IFERROR(__xludf.DUMMYFUNCTION("INDEX(SPLIT($F323,"",""),COLUMN()-6)"),"3 vibrant silver bags.")</f>
        <v>3 vibrant silver bags.</v>
      </c>
      <c r="H323" s="3" t="str">
        <f>IFERROR(__xludf.DUMMYFUNCTION("MID(INDEX(SPLIT($F323,"",""),COLUMN()-6),2,300)"),"#REF!")</f>
        <v>#REF!</v>
      </c>
      <c r="I323" s="3" t="str">
        <f>IFERROR(__xludf.DUMMYFUNCTION("MID(INDEX(SPLIT($F323,"",""),COLUMN()-6),2,300)"),"#REF!")</f>
        <v>#REF!</v>
      </c>
      <c r="J323" s="3" t="str">
        <f>IFERROR(__xludf.DUMMYFUNCTION("MID(INDEX(SPLIT($F323,"",""),COLUMN()-6),2,300)"),"#REF!")</f>
        <v>#REF!</v>
      </c>
      <c r="K323" s="3">
        <f>IFERROR(__xludf.DUMMYFUNCTION("INDEX(SPLIT(G323,"" ""),1)"),3.0)</f>
        <v>3</v>
      </c>
      <c r="L323" s="3" t="str">
        <f>IFERROR(__xludf.DUMMYFUNCTION("REGEXEXTRACT(G323,"" [^ ]* [^ ]* "")")," vibrant silver ")</f>
        <v> vibrant silver </v>
      </c>
      <c r="M323" s="3" t="str">
        <f>IFERROR(__xludf.DUMMYFUNCTION("INDEX(SPLIT(H323,"" ""),1)"),"#REF!")</f>
        <v>#REF!</v>
      </c>
      <c r="N323" s="3" t="str">
        <f>IFERROR(__xludf.DUMMYFUNCTION("MID(REGEXEXTRACT(H323,"" [^ ]* [^ ]*""),2,300)"),"#REF!")</f>
        <v>#REF!</v>
      </c>
      <c r="O323" s="3" t="str">
        <f>IFERROR(__xludf.DUMMYFUNCTION("INDEX(SPLIT(I323,"" ""),1)"),"#REF!")</f>
        <v>#REF!</v>
      </c>
      <c r="P323" s="3" t="str">
        <f>IFERROR(__xludf.DUMMYFUNCTION("MID(REGEXEXTRACT(I323,"" [^ ]* [^ ]*""),2,300)"),"#REF!")</f>
        <v>#REF!</v>
      </c>
      <c r="Q323" s="3" t="str">
        <f>IFERROR(__xludf.DUMMYFUNCTION("INDEX(SPLIT(J323,"" ""),1)"),"#REF!")</f>
        <v>#REF!</v>
      </c>
      <c r="R323" s="3" t="str">
        <f>IFERROR(__xludf.DUMMYFUNCTION("MID(REGEXEXTRACT(J323,"" [^ ]* [^ ]*""),2,300)"),"#REF!")</f>
        <v>#REF!</v>
      </c>
      <c r="S323" s="3">
        <f t="shared" si="2"/>
        <v>3</v>
      </c>
      <c r="T323" s="3" t="str">
        <f t="shared" si="3"/>
        <v>vibrant silver</v>
      </c>
      <c r="U323" s="3" t="str">
        <f t="shared" si="4"/>
        <v/>
      </c>
      <c r="V323" s="3" t="str">
        <f t="shared" si="5"/>
        <v/>
      </c>
      <c r="W323" s="3" t="str">
        <f t="shared" si="6"/>
        <v/>
      </c>
      <c r="X323" s="3" t="str">
        <f t="shared" si="7"/>
        <v/>
      </c>
      <c r="Y323" s="3" t="str">
        <f t="shared" si="8"/>
        <v/>
      </c>
      <c r="Z323" s="3" t="str">
        <f t="shared" si="9"/>
        <v/>
      </c>
      <c r="AA323" s="13">
        <f t="shared" si="10"/>
        <v>28226050</v>
      </c>
      <c r="AB323" s="3">
        <f t="shared" si="11"/>
        <v>28226049</v>
      </c>
      <c r="AC323" s="3">
        <f t="shared" si="12"/>
        <v>3</v>
      </c>
      <c r="AD323" s="3">
        <f t="shared" si="13"/>
        <v>9408683</v>
      </c>
      <c r="AE323" s="3" t="str">
        <f t="shared" si="14"/>
        <v/>
      </c>
      <c r="AF323" s="3">
        <f t="shared" si="15"/>
        <v>0</v>
      </c>
      <c r="AG323" s="3" t="str">
        <f t="shared" si="16"/>
        <v/>
      </c>
      <c r="AH323" s="3">
        <f t="shared" si="17"/>
        <v>0</v>
      </c>
      <c r="AI323" s="3" t="str">
        <f t="shared" si="18"/>
        <v/>
      </c>
      <c r="AJ323" s="3">
        <f t="shared" si="19"/>
        <v>0</v>
      </c>
    </row>
    <row r="324">
      <c r="C324" s="6" t="s">
        <v>324</v>
      </c>
      <c r="D324" s="3">
        <f t="shared" si="1"/>
        <v>0</v>
      </c>
      <c r="E324" s="3" t="str">
        <f>IFERROR(__xludf.DUMMYFUNCTION("REGEXEXTRACT(C324,""[^ ]* [^ ]*"")"),"faded crimson")</f>
        <v>faded crimson</v>
      </c>
      <c r="F324" s="3" t="str">
        <f>IFERROR(__xludf.DUMMYFUNCTION("MID(REGEXEXTRACT(C324,""contain.*$""),9,300)"),"3 plaid red bags.")</f>
        <v>3 plaid red bags.</v>
      </c>
      <c r="G324" s="3" t="str">
        <f>IFERROR(__xludf.DUMMYFUNCTION("INDEX(SPLIT($F324,"",""),COLUMN()-6)"),"3 plaid red bags.")</f>
        <v>3 plaid red bags.</v>
      </c>
      <c r="H324" s="3" t="str">
        <f>IFERROR(__xludf.DUMMYFUNCTION("MID(INDEX(SPLIT($F324,"",""),COLUMN()-6),2,300)"),"#REF!")</f>
        <v>#REF!</v>
      </c>
      <c r="I324" s="3" t="str">
        <f>IFERROR(__xludf.DUMMYFUNCTION("MID(INDEX(SPLIT($F324,"",""),COLUMN()-6),2,300)"),"#REF!")</f>
        <v>#REF!</v>
      </c>
      <c r="J324" s="3" t="str">
        <f>IFERROR(__xludf.DUMMYFUNCTION("MID(INDEX(SPLIT($F324,"",""),COLUMN()-6),2,300)"),"#REF!")</f>
        <v>#REF!</v>
      </c>
      <c r="K324" s="3">
        <f>IFERROR(__xludf.DUMMYFUNCTION("INDEX(SPLIT(G324,"" ""),1)"),3.0)</f>
        <v>3</v>
      </c>
      <c r="L324" s="3" t="str">
        <f>IFERROR(__xludf.DUMMYFUNCTION("REGEXEXTRACT(G324,"" [^ ]* [^ ]* "")")," plaid red ")</f>
        <v> plaid red </v>
      </c>
      <c r="M324" s="3" t="str">
        <f>IFERROR(__xludf.DUMMYFUNCTION("INDEX(SPLIT(H324,"" ""),1)"),"#REF!")</f>
        <v>#REF!</v>
      </c>
      <c r="N324" s="3" t="str">
        <f>IFERROR(__xludf.DUMMYFUNCTION("MID(REGEXEXTRACT(H324,"" [^ ]* [^ ]*""),2,300)"),"#REF!")</f>
        <v>#REF!</v>
      </c>
      <c r="O324" s="3" t="str">
        <f>IFERROR(__xludf.DUMMYFUNCTION("INDEX(SPLIT(I324,"" ""),1)"),"#REF!")</f>
        <v>#REF!</v>
      </c>
      <c r="P324" s="3" t="str">
        <f>IFERROR(__xludf.DUMMYFUNCTION("MID(REGEXEXTRACT(I324,"" [^ ]* [^ ]*""),2,300)"),"#REF!")</f>
        <v>#REF!</v>
      </c>
      <c r="Q324" s="3" t="str">
        <f>IFERROR(__xludf.DUMMYFUNCTION("INDEX(SPLIT(J324,"" ""),1)"),"#REF!")</f>
        <v>#REF!</v>
      </c>
      <c r="R324" s="3" t="str">
        <f>IFERROR(__xludf.DUMMYFUNCTION("MID(REGEXEXTRACT(J324,"" [^ ]* [^ ]*""),2,300)"),"#REF!")</f>
        <v>#REF!</v>
      </c>
      <c r="S324" s="3">
        <f t="shared" si="2"/>
        <v>3</v>
      </c>
      <c r="T324" s="3" t="str">
        <f t="shared" si="3"/>
        <v>plaid red</v>
      </c>
      <c r="U324" s="3" t="str">
        <f t="shared" si="4"/>
        <v/>
      </c>
      <c r="V324" s="3" t="str">
        <f t="shared" si="5"/>
        <v/>
      </c>
      <c r="W324" s="3" t="str">
        <f t="shared" si="6"/>
        <v/>
      </c>
      <c r="X324" s="3" t="str">
        <f t="shared" si="7"/>
        <v/>
      </c>
      <c r="Y324" s="3" t="str">
        <f t="shared" si="8"/>
        <v/>
      </c>
      <c r="Z324" s="3" t="str">
        <f t="shared" si="9"/>
        <v/>
      </c>
      <c r="AA324" s="13">
        <f t="shared" si="10"/>
        <v>450697810</v>
      </c>
      <c r="AB324" s="3">
        <f t="shared" si="11"/>
        <v>450697809</v>
      </c>
      <c r="AC324" s="3">
        <f t="shared" si="12"/>
        <v>3</v>
      </c>
      <c r="AD324" s="3">
        <f t="shared" si="13"/>
        <v>150232603</v>
      </c>
      <c r="AE324" s="3" t="str">
        <f t="shared" si="14"/>
        <v/>
      </c>
      <c r="AF324" s="3">
        <f t="shared" si="15"/>
        <v>0</v>
      </c>
      <c r="AG324" s="3" t="str">
        <f t="shared" si="16"/>
        <v/>
      </c>
      <c r="AH324" s="3">
        <f t="shared" si="17"/>
        <v>0</v>
      </c>
      <c r="AI324" s="3" t="str">
        <f t="shared" si="18"/>
        <v/>
      </c>
      <c r="AJ324" s="3">
        <f t="shared" si="19"/>
        <v>0</v>
      </c>
    </row>
    <row r="325">
      <c r="C325" s="6" t="s">
        <v>325</v>
      </c>
      <c r="D325" s="3">
        <f t="shared" si="1"/>
        <v>2</v>
      </c>
      <c r="E325" s="3" t="str">
        <f>IFERROR(__xludf.DUMMYFUNCTION("REGEXEXTRACT(C325,""[^ ]* [^ ]*"")"),"light teal")</f>
        <v>light teal</v>
      </c>
      <c r="F325" s="3" t="str">
        <f>IFERROR(__xludf.DUMMYFUNCTION("MID(REGEXEXTRACT(C325,""contain.*$""),9,300)"),"2 dark teal bags, 1 faded beige bag, 4 dull cyan bags.")</f>
        <v>2 dark teal bags, 1 faded beige bag, 4 dull cyan bags.</v>
      </c>
      <c r="G325" s="3" t="str">
        <f>IFERROR(__xludf.DUMMYFUNCTION("INDEX(SPLIT($F325,"",""),COLUMN()-6)"),"2 dark teal bags")</f>
        <v>2 dark teal bags</v>
      </c>
      <c r="H325" s="3" t="str">
        <f>IFERROR(__xludf.DUMMYFUNCTION("MID(INDEX(SPLIT($F325,"",""),COLUMN()-6),2,300)"),"1 faded beige bag")</f>
        <v>1 faded beige bag</v>
      </c>
      <c r="I325" s="3" t="str">
        <f>IFERROR(__xludf.DUMMYFUNCTION("MID(INDEX(SPLIT($F325,"",""),COLUMN()-6),2,300)"),"4 dull cyan bags.")</f>
        <v>4 dull cyan bags.</v>
      </c>
      <c r="J325" s="3" t="str">
        <f>IFERROR(__xludf.DUMMYFUNCTION("MID(INDEX(SPLIT($F325,"",""),COLUMN()-6),2,300)"),"#REF!")</f>
        <v>#REF!</v>
      </c>
      <c r="K325" s="3">
        <f>IFERROR(__xludf.DUMMYFUNCTION("INDEX(SPLIT(G325,"" ""),1)"),2.0)</f>
        <v>2</v>
      </c>
      <c r="L325" s="3" t="str">
        <f>IFERROR(__xludf.DUMMYFUNCTION("REGEXEXTRACT(G325,"" [^ ]* [^ ]* "")")," dark teal ")</f>
        <v> dark teal </v>
      </c>
      <c r="M325" s="3">
        <f>IFERROR(__xludf.DUMMYFUNCTION("INDEX(SPLIT(H325,"" ""),1)"),1.0)</f>
        <v>1</v>
      </c>
      <c r="N325" s="3" t="str">
        <f>IFERROR(__xludf.DUMMYFUNCTION("MID(REGEXEXTRACT(H325,"" [^ ]* [^ ]*""),2,300)"),"faded beige")</f>
        <v>faded beige</v>
      </c>
      <c r="O325" s="3">
        <f>IFERROR(__xludf.DUMMYFUNCTION("INDEX(SPLIT(I325,"" ""),1)"),4.0)</f>
        <v>4</v>
      </c>
      <c r="P325" s="3" t="str">
        <f>IFERROR(__xludf.DUMMYFUNCTION("MID(REGEXEXTRACT(I325,"" [^ ]* [^ ]*""),2,300)"),"dull cyan")</f>
        <v>dull cyan</v>
      </c>
      <c r="Q325" s="3" t="str">
        <f>IFERROR(__xludf.DUMMYFUNCTION("INDEX(SPLIT(J325,"" ""),1)"),"#REF!")</f>
        <v>#REF!</v>
      </c>
      <c r="R325" s="3" t="str">
        <f>IFERROR(__xludf.DUMMYFUNCTION("MID(REGEXEXTRACT(J325,"" [^ ]* [^ ]*""),2,300)"),"#REF!")</f>
        <v>#REF!</v>
      </c>
      <c r="S325" s="3">
        <f t="shared" si="2"/>
        <v>2</v>
      </c>
      <c r="T325" s="3" t="str">
        <f t="shared" si="3"/>
        <v>dark teal</v>
      </c>
      <c r="U325" s="3">
        <f t="shared" si="4"/>
        <v>1</v>
      </c>
      <c r="V325" s="3" t="str">
        <f t="shared" si="5"/>
        <v>faded beige</v>
      </c>
      <c r="W325" s="3">
        <f t="shared" si="6"/>
        <v>4</v>
      </c>
      <c r="X325" s="3" t="str">
        <f t="shared" si="7"/>
        <v>dull cyan</v>
      </c>
      <c r="Y325" s="3" t="str">
        <f t="shared" si="8"/>
        <v/>
      </c>
      <c r="Z325" s="3" t="str">
        <f t="shared" si="9"/>
        <v/>
      </c>
      <c r="AA325" s="13">
        <f t="shared" si="10"/>
        <v>48488</v>
      </c>
      <c r="AB325" s="3">
        <f t="shared" si="11"/>
        <v>48487</v>
      </c>
      <c r="AC325" s="3">
        <f t="shared" si="12"/>
        <v>2</v>
      </c>
      <c r="AD325" s="3">
        <f t="shared" si="13"/>
        <v>15041</v>
      </c>
      <c r="AE325" s="3">
        <f t="shared" si="14"/>
        <v>1</v>
      </c>
      <c r="AF325" s="3">
        <f t="shared" si="15"/>
        <v>6373</v>
      </c>
      <c r="AG325" s="3">
        <f t="shared" si="16"/>
        <v>4</v>
      </c>
      <c r="AH325" s="3">
        <f t="shared" si="17"/>
        <v>3008</v>
      </c>
      <c r="AI325" s="3" t="str">
        <f t="shared" si="18"/>
        <v/>
      </c>
      <c r="AJ325" s="3">
        <f t="shared" si="19"/>
        <v>0</v>
      </c>
    </row>
    <row r="326">
      <c r="C326" s="6" t="s">
        <v>326</v>
      </c>
      <c r="D326" s="3">
        <f t="shared" si="1"/>
        <v>0</v>
      </c>
      <c r="E326" s="3" t="str">
        <f>IFERROR(__xludf.DUMMYFUNCTION("REGEXEXTRACT(C326,""[^ ]* [^ ]*"")"),"mirrored coral")</f>
        <v>mirrored coral</v>
      </c>
      <c r="F326" s="3" t="str">
        <f>IFERROR(__xludf.DUMMYFUNCTION("MID(REGEXEXTRACT(C326,""contain.*$""),9,300)"),"2 vibrant plum bags.")</f>
        <v>2 vibrant plum bags.</v>
      </c>
      <c r="G326" s="3" t="str">
        <f>IFERROR(__xludf.DUMMYFUNCTION("INDEX(SPLIT($F326,"",""),COLUMN()-6)"),"2 vibrant plum bags.")</f>
        <v>2 vibrant plum bags.</v>
      </c>
      <c r="H326" s="3" t="str">
        <f>IFERROR(__xludf.DUMMYFUNCTION("MID(INDEX(SPLIT($F326,"",""),COLUMN()-6),2,300)"),"#REF!")</f>
        <v>#REF!</v>
      </c>
      <c r="I326" s="3" t="str">
        <f>IFERROR(__xludf.DUMMYFUNCTION("MID(INDEX(SPLIT($F326,"",""),COLUMN()-6),2,300)"),"#REF!")</f>
        <v>#REF!</v>
      </c>
      <c r="J326" s="3" t="str">
        <f>IFERROR(__xludf.DUMMYFUNCTION("MID(INDEX(SPLIT($F326,"",""),COLUMN()-6),2,300)"),"#REF!")</f>
        <v>#REF!</v>
      </c>
      <c r="K326" s="3">
        <f>IFERROR(__xludf.DUMMYFUNCTION("INDEX(SPLIT(G326,"" ""),1)"),2.0)</f>
        <v>2</v>
      </c>
      <c r="L326" s="3" t="str">
        <f>IFERROR(__xludf.DUMMYFUNCTION("REGEXEXTRACT(G326,"" [^ ]* [^ ]* "")")," vibrant plum ")</f>
        <v> vibrant plum </v>
      </c>
      <c r="M326" s="3" t="str">
        <f>IFERROR(__xludf.DUMMYFUNCTION("INDEX(SPLIT(H326,"" ""),1)"),"#REF!")</f>
        <v>#REF!</v>
      </c>
      <c r="N326" s="3" t="str">
        <f>IFERROR(__xludf.DUMMYFUNCTION("MID(REGEXEXTRACT(H326,"" [^ ]* [^ ]*""),2,300)"),"#REF!")</f>
        <v>#REF!</v>
      </c>
      <c r="O326" s="3" t="str">
        <f>IFERROR(__xludf.DUMMYFUNCTION("INDEX(SPLIT(I326,"" ""),1)"),"#REF!")</f>
        <v>#REF!</v>
      </c>
      <c r="P326" s="3" t="str">
        <f>IFERROR(__xludf.DUMMYFUNCTION("MID(REGEXEXTRACT(I326,"" [^ ]* [^ ]*""),2,300)"),"#REF!")</f>
        <v>#REF!</v>
      </c>
      <c r="Q326" s="3" t="str">
        <f>IFERROR(__xludf.DUMMYFUNCTION("INDEX(SPLIT(J326,"" ""),1)"),"#REF!")</f>
        <v>#REF!</v>
      </c>
      <c r="R326" s="3" t="str">
        <f>IFERROR(__xludf.DUMMYFUNCTION("MID(REGEXEXTRACT(J326,"" [^ ]* [^ ]*""),2,300)"),"#REF!")</f>
        <v>#REF!</v>
      </c>
      <c r="S326" s="3">
        <f t="shared" si="2"/>
        <v>2</v>
      </c>
      <c r="T326" s="3" t="str">
        <f t="shared" si="3"/>
        <v>vibrant plum</v>
      </c>
      <c r="U326" s="3" t="str">
        <f t="shared" si="4"/>
        <v/>
      </c>
      <c r="V326" s="3" t="str">
        <f t="shared" si="5"/>
        <v/>
      </c>
      <c r="W326" s="3" t="str">
        <f t="shared" si="6"/>
        <v/>
      </c>
      <c r="X326" s="3" t="str">
        <f t="shared" si="7"/>
        <v/>
      </c>
      <c r="Y326" s="3" t="str">
        <f t="shared" si="8"/>
        <v/>
      </c>
      <c r="Z326" s="3" t="str">
        <f t="shared" si="9"/>
        <v/>
      </c>
      <c r="AA326" s="13">
        <f t="shared" si="10"/>
        <v>53285</v>
      </c>
      <c r="AB326" s="3">
        <f t="shared" si="11"/>
        <v>53284</v>
      </c>
      <c r="AC326" s="3">
        <f t="shared" si="12"/>
        <v>2</v>
      </c>
      <c r="AD326" s="3">
        <f t="shared" si="13"/>
        <v>26642</v>
      </c>
      <c r="AE326" s="3" t="str">
        <f t="shared" si="14"/>
        <v/>
      </c>
      <c r="AF326" s="3">
        <f t="shared" si="15"/>
        <v>0</v>
      </c>
      <c r="AG326" s="3" t="str">
        <f t="shared" si="16"/>
        <v/>
      </c>
      <c r="AH326" s="3">
        <f t="shared" si="17"/>
        <v>0</v>
      </c>
      <c r="AI326" s="3" t="str">
        <f t="shared" si="18"/>
        <v/>
      </c>
      <c r="AJ326" s="3">
        <f t="shared" si="19"/>
        <v>0</v>
      </c>
    </row>
    <row r="327">
      <c r="C327" s="6" t="s">
        <v>327</v>
      </c>
      <c r="D327" s="3">
        <f t="shared" si="1"/>
        <v>3</v>
      </c>
      <c r="E327" s="3" t="str">
        <f>IFERROR(__xludf.DUMMYFUNCTION("REGEXEXTRACT(C327,""[^ ]* [^ ]*"")"),"muted black")</f>
        <v>muted black</v>
      </c>
      <c r="F327" s="3" t="str">
        <f>IFERROR(__xludf.DUMMYFUNCTION("MID(REGEXEXTRACT(C327,""contain.*$""),9,300)"),"2 drab magenta bags, 1 mirrored gray bag, 4 drab tan bags, 1 dim indigo bag.")</f>
        <v>2 drab magenta bags, 1 mirrored gray bag, 4 drab tan bags, 1 dim indigo bag.</v>
      </c>
      <c r="G327" s="3" t="str">
        <f>IFERROR(__xludf.DUMMYFUNCTION("INDEX(SPLIT($F327,"",""),COLUMN()-6)"),"2 drab magenta bags")</f>
        <v>2 drab magenta bags</v>
      </c>
      <c r="H327" s="3" t="str">
        <f>IFERROR(__xludf.DUMMYFUNCTION("MID(INDEX(SPLIT($F327,"",""),COLUMN()-6),2,300)"),"1 mirrored gray bag")</f>
        <v>1 mirrored gray bag</v>
      </c>
      <c r="I327" s="3" t="str">
        <f>IFERROR(__xludf.DUMMYFUNCTION("MID(INDEX(SPLIT($F327,"",""),COLUMN()-6),2,300)"),"4 drab tan bags")</f>
        <v>4 drab tan bags</v>
      </c>
      <c r="J327" s="3" t="str">
        <f>IFERROR(__xludf.DUMMYFUNCTION("MID(INDEX(SPLIT($F327,"",""),COLUMN()-6),2,300)"),"1 dim indigo bag.")</f>
        <v>1 dim indigo bag.</v>
      </c>
      <c r="K327" s="3">
        <f>IFERROR(__xludf.DUMMYFUNCTION("INDEX(SPLIT(G327,"" ""),1)"),2.0)</f>
        <v>2</v>
      </c>
      <c r="L327" s="3" t="str">
        <f>IFERROR(__xludf.DUMMYFUNCTION("REGEXEXTRACT(G327,"" [^ ]* [^ ]* "")")," drab magenta ")</f>
        <v> drab magenta </v>
      </c>
      <c r="M327" s="3">
        <f>IFERROR(__xludf.DUMMYFUNCTION("INDEX(SPLIT(H327,"" ""),1)"),1.0)</f>
        <v>1</v>
      </c>
      <c r="N327" s="3" t="str">
        <f>IFERROR(__xludf.DUMMYFUNCTION("MID(REGEXEXTRACT(H327,"" [^ ]* [^ ]*""),2,300)"),"mirrored gray")</f>
        <v>mirrored gray</v>
      </c>
      <c r="O327" s="3">
        <f>IFERROR(__xludf.DUMMYFUNCTION("INDEX(SPLIT(I327,"" ""),1)"),4.0)</f>
        <v>4</v>
      </c>
      <c r="P327" s="3" t="str">
        <f>IFERROR(__xludf.DUMMYFUNCTION("MID(REGEXEXTRACT(I327,"" [^ ]* [^ ]*""),2,300)"),"drab tan")</f>
        <v>drab tan</v>
      </c>
      <c r="Q327" s="3">
        <f>IFERROR(__xludf.DUMMYFUNCTION("INDEX(SPLIT(J327,"" ""),1)"),1.0)</f>
        <v>1</v>
      </c>
      <c r="R327" s="3" t="str">
        <f>IFERROR(__xludf.DUMMYFUNCTION("MID(REGEXEXTRACT(J327,"" [^ ]* [^ ]*""),2,300)"),"dim indigo")</f>
        <v>dim indigo</v>
      </c>
      <c r="S327" s="3">
        <f t="shared" si="2"/>
        <v>2</v>
      </c>
      <c r="T327" s="3" t="str">
        <f t="shared" si="3"/>
        <v>drab magenta</v>
      </c>
      <c r="U327" s="3">
        <f t="shared" si="4"/>
        <v>1</v>
      </c>
      <c r="V327" s="3" t="str">
        <f t="shared" si="5"/>
        <v>mirrored gray</v>
      </c>
      <c r="W327" s="3">
        <f t="shared" si="6"/>
        <v>4</v>
      </c>
      <c r="X327" s="3" t="str">
        <f t="shared" si="7"/>
        <v>drab tan</v>
      </c>
      <c r="Y327" s="3">
        <f t="shared" si="8"/>
        <v>1</v>
      </c>
      <c r="Z327" s="3" t="str">
        <f t="shared" si="9"/>
        <v>dim indigo</v>
      </c>
      <c r="AA327" s="13">
        <f t="shared" si="10"/>
        <v>14397844</v>
      </c>
      <c r="AB327" s="3">
        <f t="shared" si="11"/>
        <v>14397843</v>
      </c>
      <c r="AC327" s="3">
        <f t="shared" si="12"/>
        <v>2</v>
      </c>
      <c r="AD327" s="3">
        <f t="shared" si="13"/>
        <v>1225</v>
      </c>
      <c r="AE327" s="3">
        <f t="shared" si="14"/>
        <v>1</v>
      </c>
      <c r="AF327" s="3">
        <f t="shared" si="15"/>
        <v>8</v>
      </c>
      <c r="AG327" s="3">
        <f t="shared" si="16"/>
        <v>4</v>
      </c>
      <c r="AH327" s="3">
        <f t="shared" si="17"/>
        <v>3591437</v>
      </c>
      <c r="AI327" s="3">
        <f t="shared" si="18"/>
        <v>1</v>
      </c>
      <c r="AJ327" s="3">
        <f t="shared" si="19"/>
        <v>29637</v>
      </c>
    </row>
    <row r="328">
      <c r="C328" s="6" t="s">
        <v>328</v>
      </c>
      <c r="D328" s="3">
        <f t="shared" si="1"/>
        <v>3</v>
      </c>
      <c r="E328" s="3" t="str">
        <f>IFERROR(__xludf.DUMMYFUNCTION("REGEXEXTRACT(C328,""[^ ]* [^ ]*"")"),"striped gold")</f>
        <v>striped gold</v>
      </c>
      <c r="F328" s="3" t="str">
        <f>IFERROR(__xludf.DUMMYFUNCTION("MID(REGEXEXTRACT(C328,""contain.*$""),9,300)"),"1 dark lavender bag, 4 drab brown bags, 2 bright silver bags, 2 striped teal bags.")</f>
        <v>1 dark lavender bag, 4 drab brown bags, 2 bright silver bags, 2 striped teal bags.</v>
      </c>
      <c r="G328" s="3" t="str">
        <f>IFERROR(__xludf.DUMMYFUNCTION("INDEX(SPLIT($F328,"",""),COLUMN()-6)"),"1 dark lavender bag")</f>
        <v>1 dark lavender bag</v>
      </c>
      <c r="H328" s="3" t="str">
        <f>IFERROR(__xludf.DUMMYFUNCTION("MID(INDEX(SPLIT($F328,"",""),COLUMN()-6),2,300)"),"4 drab brown bags")</f>
        <v>4 drab brown bags</v>
      </c>
      <c r="I328" s="3" t="str">
        <f>IFERROR(__xludf.DUMMYFUNCTION("MID(INDEX(SPLIT($F328,"",""),COLUMN()-6),2,300)"),"2 bright silver bags")</f>
        <v>2 bright silver bags</v>
      </c>
      <c r="J328" s="3" t="str">
        <f>IFERROR(__xludf.DUMMYFUNCTION("MID(INDEX(SPLIT($F328,"",""),COLUMN()-6),2,300)"),"2 striped teal bags.")</f>
        <v>2 striped teal bags.</v>
      </c>
      <c r="K328" s="3">
        <f>IFERROR(__xludf.DUMMYFUNCTION("INDEX(SPLIT(G328,"" ""),1)"),1.0)</f>
        <v>1</v>
      </c>
      <c r="L328" s="3" t="str">
        <f>IFERROR(__xludf.DUMMYFUNCTION("REGEXEXTRACT(G328,"" [^ ]* [^ ]* "")")," dark lavender ")</f>
        <v> dark lavender </v>
      </c>
      <c r="M328" s="3">
        <f>IFERROR(__xludf.DUMMYFUNCTION("INDEX(SPLIT(H328,"" ""),1)"),4.0)</f>
        <v>4</v>
      </c>
      <c r="N328" s="3" t="str">
        <f>IFERROR(__xludf.DUMMYFUNCTION("MID(REGEXEXTRACT(H328,"" [^ ]* [^ ]*""),2,300)"),"drab brown")</f>
        <v>drab brown</v>
      </c>
      <c r="O328" s="3">
        <f>IFERROR(__xludf.DUMMYFUNCTION("INDEX(SPLIT(I328,"" ""),1)"),2.0)</f>
        <v>2</v>
      </c>
      <c r="P328" s="3" t="str">
        <f>IFERROR(__xludf.DUMMYFUNCTION("MID(REGEXEXTRACT(I328,"" [^ ]* [^ ]*""),2,300)"),"bright silver")</f>
        <v>bright silver</v>
      </c>
      <c r="Q328" s="3">
        <f>IFERROR(__xludf.DUMMYFUNCTION("INDEX(SPLIT(J328,"" ""),1)"),2.0)</f>
        <v>2</v>
      </c>
      <c r="R328" s="3" t="str">
        <f>IFERROR(__xludf.DUMMYFUNCTION("MID(REGEXEXTRACT(J328,"" [^ ]* [^ ]*""),2,300)"),"striped teal")</f>
        <v>striped teal</v>
      </c>
      <c r="S328" s="3">
        <f t="shared" si="2"/>
        <v>1</v>
      </c>
      <c r="T328" s="3" t="str">
        <f t="shared" si="3"/>
        <v>dark lavender</v>
      </c>
      <c r="U328" s="3">
        <f t="shared" si="4"/>
        <v>4</v>
      </c>
      <c r="V328" s="3" t="str">
        <f t="shared" si="5"/>
        <v>drab brown</v>
      </c>
      <c r="W328" s="3">
        <f t="shared" si="6"/>
        <v>2</v>
      </c>
      <c r="X328" s="3" t="str">
        <f t="shared" si="7"/>
        <v>bright silver</v>
      </c>
      <c r="Y328" s="3">
        <f t="shared" si="8"/>
        <v>2</v>
      </c>
      <c r="Z328" s="3" t="str">
        <f t="shared" si="9"/>
        <v>striped teal</v>
      </c>
      <c r="AA328" s="13">
        <f t="shared" si="10"/>
        <v>416358</v>
      </c>
      <c r="AB328" s="3">
        <f t="shared" si="11"/>
        <v>416357</v>
      </c>
      <c r="AC328" s="3">
        <f t="shared" si="12"/>
        <v>1</v>
      </c>
      <c r="AD328" s="3">
        <f t="shared" si="13"/>
        <v>133</v>
      </c>
      <c r="AE328" s="3">
        <f t="shared" si="14"/>
        <v>4</v>
      </c>
      <c r="AF328" s="3">
        <f t="shared" si="15"/>
        <v>96841</v>
      </c>
      <c r="AG328" s="3">
        <f t="shared" si="16"/>
        <v>2</v>
      </c>
      <c r="AH328" s="3">
        <f t="shared" si="17"/>
        <v>41</v>
      </c>
      <c r="AI328" s="3">
        <f t="shared" si="18"/>
        <v>2</v>
      </c>
      <c r="AJ328" s="3">
        <f t="shared" si="19"/>
        <v>14389</v>
      </c>
    </row>
    <row r="329">
      <c r="C329" s="6" t="s">
        <v>329</v>
      </c>
      <c r="D329" s="3">
        <f t="shared" si="1"/>
        <v>0</v>
      </c>
      <c r="E329" s="3" t="str">
        <f>IFERROR(__xludf.DUMMYFUNCTION("REGEXEXTRACT(C329,""[^ ]* [^ ]*"")"),"light purple")</f>
        <v>light purple</v>
      </c>
      <c r="F329" s="3" t="str">
        <f>IFERROR(__xludf.DUMMYFUNCTION("MID(REGEXEXTRACT(C329,""contain.*$""),9,300)"),"3 posh gray bags.")</f>
        <v>3 posh gray bags.</v>
      </c>
      <c r="G329" s="3" t="str">
        <f>IFERROR(__xludf.DUMMYFUNCTION("INDEX(SPLIT($F329,"",""),COLUMN()-6)"),"3 posh gray bags.")</f>
        <v>3 posh gray bags.</v>
      </c>
      <c r="H329" s="3" t="str">
        <f>IFERROR(__xludf.DUMMYFUNCTION("MID(INDEX(SPLIT($F329,"",""),COLUMN()-6),2,300)"),"#REF!")</f>
        <v>#REF!</v>
      </c>
      <c r="I329" s="3" t="str">
        <f>IFERROR(__xludf.DUMMYFUNCTION("MID(INDEX(SPLIT($F329,"",""),COLUMN()-6),2,300)"),"#REF!")</f>
        <v>#REF!</v>
      </c>
      <c r="J329" s="3" t="str">
        <f>IFERROR(__xludf.DUMMYFUNCTION("MID(INDEX(SPLIT($F329,"",""),COLUMN()-6),2,300)"),"#REF!")</f>
        <v>#REF!</v>
      </c>
      <c r="K329" s="3">
        <f>IFERROR(__xludf.DUMMYFUNCTION("INDEX(SPLIT(G329,"" ""),1)"),3.0)</f>
        <v>3</v>
      </c>
      <c r="L329" s="3" t="str">
        <f>IFERROR(__xludf.DUMMYFUNCTION("REGEXEXTRACT(G329,"" [^ ]* [^ ]* "")")," posh gray ")</f>
        <v> posh gray </v>
      </c>
      <c r="M329" s="3" t="str">
        <f>IFERROR(__xludf.DUMMYFUNCTION("INDEX(SPLIT(H329,"" ""),1)"),"#REF!")</f>
        <v>#REF!</v>
      </c>
      <c r="N329" s="3" t="str">
        <f>IFERROR(__xludf.DUMMYFUNCTION("MID(REGEXEXTRACT(H329,"" [^ ]* [^ ]*""),2,300)"),"#REF!")</f>
        <v>#REF!</v>
      </c>
      <c r="O329" s="3" t="str">
        <f>IFERROR(__xludf.DUMMYFUNCTION("INDEX(SPLIT(I329,"" ""),1)"),"#REF!")</f>
        <v>#REF!</v>
      </c>
      <c r="P329" s="3" t="str">
        <f>IFERROR(__xludf.DUMMYFUNCTION("MID(REGEXEXTRACT(I329,"" [^ ]* [^ ]*""),2,300)"),"#REF!")</f>
        <v>#REF!</v>
      </c>
      <c r="Q329" s="3" t="str">
        <f>IFERROR(__xludf.DUMMYFUNCTION("INDEX(SPLIT(J329,"" ""),1)"),"#REF!")</f>
        <v>#REF!</v>
      </c>
      <c r="R329" s="3" t="str">
        <f>IFERROR(__xludf.DUMMYFUNCTION("MID(REGEXEXTRACT(J329,"" [^ ]* [^ ]*""),2,300)"),"#REF!")</f>
        <v>#REF!</v>
      </c>
      <c r="S329" s="3">
        <f t="shared" si="2"/>
        <v>3</v>
      </c>
      <c r="T329" s="3" t="str">
        <f t="shared" si="3"/>
        <v>posh gray</v>
      </c>
      <c r="U329" s="3" t="str">
        <f t="shared" si="4"/>
        <v/>
      </c>
      <c r="V329" s="3" t="str">
        <f t="shared" si="5"/>
        <v/>
      </c>
      <c r="W329" s="3" t="str">
        <f t="shared" si="6"/>
        <v/>
      </c>
      <c r="X329" s="3" t="str">
        <f t="shared" si="7"/>
        <v/>
      </c>
      <c r="Y329" s="3" t="str">
        <f t="shared" si="8"/>
        <v/>
      </c>
      <c r="Z329" s="3" t="str">
        <f t="shared" si="9"/>
        <v/>
      </c>
      <c r="AA329" s="13">
        <f t="shared" si="10"/>
        <v>76432</v>
      </c>
      <c r="AB329" s="3">
        <f t="shared" si="11"/>
        <v>76431</v>
      </c>
      <c r="AC329" s="3">
        <f t="shared" si="12"/>
        <v>3</v>
      </c>
      <c r="AD329" s="3">
        <f t="shared" si="13"/>
        <v>25477</v>
      </c>
      <c r="AE329" s="3" t="str">
        <f t="shared" si="14"/>
        <v/>
      </c>
      <c r="AF329" s="3">
        <f t="shared" si="15"/>
        <v>0</v>
      </c>
      <c r="AG329" s="3" t="str">
        <f t="shared" si="16"/>
        <v/>
      </c>
      <c r="AH329" s="3">
        <f t="shared" si="17"/>
        <v>0</v>
      </c>
      <c r="AI329" s="3" t="str">
        <f t="shared" si="18"/>
        <v/>
      </c>
      <c r="AJ329" s="3">
        <f t="shared" si="19"/>
        <v>0</v>
      </c>
    </row>
    <row r="330">
      <c r="C330" s="6" t="s">
        <v>330</v>
      </c>
      <c r="D330" s="3">
        <f t="shared" si="1"/>
        <v>3</v>
      </c>
      <c r="E330" s="3" t="str">
        <f>IFERROR(__xludf.DUMMYFUNCTION("REGEXEXTRACT(C330,""[^ ]* [^ ]*"")"),"dull silver")</f>
        <v>dull silver</v>
      </c>
      <c r="F330" s="3" t="str">
        <f>IFERROR(__xludf.DUMMYFUNCTION("MID(REGEXEXTRACT(C330,""contain.*$""),9,300)"),"2 clear chartreuse bags, 3 plaid silver bags, 1 drab salmon bag, 2 wavy teal bags.")</f>
        <v>2 clear chartreuse bags, 3 plaid silver bags, 1 drab salmon bag, 2 wavy teal bags.</v>
      </c>
      <c r="G330" s="3" t="str">
        <f>IFERROR(__xludf.DUMMYFUNCTION("INDEX(SPLIT($F330,"",""),COLUMN()-6)"),"2 clear chartreuse bags")</f>
        <v>2 clear chartreuse bags</v>
      </c>
      <c r="H330" s="3" t="str">
        <f>IFERROR(__xludf.DUMMYFUNCTION("MID(INDEX(SPLIT($F330,"",""),COLUMN()-6),2,300)"),"3 plaid silver bags")</f>
        <v>3 plaid silver bags</v>
      </c>
      <c r="I330" s="3" t="str">
        <f>IFERROR(__xludf.DUMMYFUNCTION("MID(INDEX(SPLIT($F330,"",""),COLUMN()-6),2,300)"),"1 drab salmon bag")</f>
        <v>1 drab salmon bag</v>
      </c>
      <c r="J330" s="3" t="str">
        <f>IFERROR(__xludf.DUMMYFUNCTION("MID(INDEX(SPLIT($F330,"",""),COLUMN()-6),2,300)"),"2 wavy teal bags.")</f>
        <v>2 wavy teal bags.</v>
      </c>
      <c r="K330" s="3">
        <f>IFERROR(__xludf.DUMMYFUNCTION("INDEX(SPLIT(G330,"" ""),1)"),2.0)</f>
        <v>2</v>
      </c>
      <c r="L330" s="3" t="str">
        <f>IFERROR(__xludf.DUMMYFUNCTION("REGEXEXTRACT(G330,"" [^ ]* [^ ]* "")")," clear chartreuse ")</f>
        <v> clear chartreuse </v>
      </c>
      <c r="M330" s="3">
        <f>IFERROR(__xludf.DUMMYFUNCTION("INDEX(SPLIT(H330,"" ""),1)"),3.0)</f>
        <v>3</v>
      </c>
      <c r="N330" s="3" t="str">
        <f>IFERROR(__xludf.DUMMYFUNCTION("MID(REGEXEXTRACT(H330,"" [^ ]* [^ ]*""),2,300)"),"plaid silver")</f>
        <v>plaid silver</v>
      </c>
      <c r="O330" s="3">
        <f>IFERROR(__xludf.DUMMYFUNCTION("INDEX(SPLIT(I330,"" ""),1)"),1.0)</f>
        <v>1</v>
      </c>
      <c r="P330" s="3" t="str">
        <f>IFERROR(__xludf.DUMMYFUNCTION("MID(REGEXEXTRACT(I330,"" [^ ]* [^ ]*""),2,300)"),"drab salmon")</f>
        <v>drab salmon</v>
      </c>
      <c r="Q330" s="3">
        <f>IFERROR(__xludf.DUMMYFUNCTION("INDEX(SPLIT(J330,"" ""),1)"),2.0)</f>
        <v>2</v>
      </c>
      <c r="R330" s="3" t="str">
        <f>IFERROR(__xludf.DUMMYFUNCTION("MID(REGEXEXTRACT(J330,"" [^ ]* [^ ]*""),2,300)"),"wavy teal")</f>
        <v>wavy teal</v>
      </c>
      <c r="S330" s="3">
        <f t="shared" si="2"/>
        <v>2</v>
      </c>
      <c r="T330" s="3" t="str">
        <f t="shared" si="3"/>
        <v>clear chartreuse</v>
      </c>
      <c r="U330" s="3">
        <f t="shared" si="4"/>
        <v>3</v>
      </c>
      <c r="V330" s="3" t="str">
        <f t="shared" si="5"/>
        <v>plaid silver</v>
      </c>
      <c r="W330" s="3">
        <f t="shared" si="6"/>
        <v>1</v>
      </c>
      <c r="X330" s="3" t="str">
        <f t="shared" si="7"/>
        <v>drab salmon</v>
      </c>
      <c r="Y330" s="3">
        <f t="shared" si="8"/>
        <v>2</v>
      </c>
      <c r="Z330" s="3" t="str">
        <f t="shared" si="9"/>
        <v>wavy teal</v>
      </c>
      <c r="AA330" s="13">
        <f t="shared" si="10"/>
        <v>105095085</v>
      </c>
      <c r="AB330" s="3">
        <f t="shared" si="11"/>
        <v>105095084</v>
      </c>
      <c r="AC330" s="3">
        <f t="shared" si="12"/>
        <v>2</v>
      </c>
      <c r="AD330" s="3">
        <f t="shared" si="13"/>
        <v>52325344</v>
      </c>
      <c r="AE330" s="3">
        <f t="shared" si="14"/>
        <v>3</v>
      </c>
      <c r="AF330" s="3">
        <f t="shared" si="15"/>
        <v>86617</v>
      </c>
      <c r="AG330" s="3">
        <f t="shared" si="16"/>
        <v>1</v>
      </c>
      <c r="AH330" s="3">
        <f t="shared" si="17"/>
        <v>15045</v>
      </c>
      <c r="AI330" s="3">
        <f t="shared" si="18"/>
        <v>2</v>
      </c>
      <c r="AJ330" s="3">
        <f t="shared" si="19"/>
        <v>84750</v>
      </c>
    </row>
    <row r="331">
      <c r="C331" s="6" t="s">
        <v>331</v>
      </c>
      <c r="D331" s="3">
        <f t="shared" si="1"/>
        <v>0</v>
      </c>
      <c r="E331" s="3" t="str">
        <f>IFERROR(__xludf.DUMMYFUNCTION("REGEXEXTRACT(C331,""[^ ]* [^ ]*"")"),"clear bronze")</f>
        <v>clear bronze</v>
      </c>
      <c r="F331" s="3" t="str">
        <f>IFERROR(__xludf.DUMMYFUNCTION("MID(REGEXEXTRACT(C331,""contain.*$""),9,300)"),"4 dull red bags.")</f>
        <v>4 dull red bags.</v>
      </c>
      <c r="G331" s="3" t="str">
        <f>IFERROR(__xludf.DUMMYFUNCTION("INDEX(SPLIT($F331,"",""),COLUMN()-6)"),"4 dull red bags.")</f>
        <v>4 dull red bags.</v>
      </c>
      <c r="H331" s="3" t="str">
        <f>IFERROR(__xludf.DUMMYFUNCTION("MID(INDEX(SPLIT($F331,"",""),COLUMN()-6),2,300)"),"#REF!")</f>
        <v>#REF!</v>
      </c>
      <c r="I331" s="3" t="str">
        <f>IFERROR(__xludf.DUMMYFUNCTION("MID(INDEX(SPLIT($F331,"",""),COLUMN()-6),2,300)"),"#REF!")</f>
        <v>#REF!</v>
      </c>
      <c r="J331" s="3" t="str">
        <f>IFERROR(__xludf.DUMMYFUNCTION("MID(INDEX(SPLIT($F331,"",""),COLUMN()-6),2,300)"),"#REF!")</f>
        <v>#REF!</v>
      </c>
      <c r="K331" s="3">
        <f>IFERROR(__xludf.DUMMYFUNCTION("INDEX(SPLIT(G331,"" ""),1)"),4.0)</f>
        <v>4</v>
      </c>
      <c r="L331" s="3" t="str">
        <f>IFERROR(__xludf.DUMMYFUNCTION("REGEXEXTRACT(G331,"" [^ ]* [^ ]* "")")," dull red ")</f>
        <v> dull red </v>
      </c>
      <c r="M331" s="3" t="str">
        <f>IFERROR(__xludf.DUMMYFUNCTION("INDEX(SPLIT(H331,"" ""),1)"),"#REF!")</f>
        <v>#REF!</v>
      </c>
      <c r="N331" s="3" t="str">
        <f>IFERROR(__xludf.DUMMYFUNCTION("MID(REGEXEXTRACT(H331,"" [^ ]* [^ ]*""),2,300)"),"#REF!")</f>
        <v>#REF!</v>
      </c>
      <c r="O331" s="3" t="str">
        <f>IFERROR(__xludf.DUMMYFUNCTION("INDEX(SPLIT(I331,"" ""),1)"),"#REF!")</f>
        <v>#REF!</v>
      </c>
      <c r="P331" s="3" t="str">
        <f>IFERROR(__xludf.DUMMYFUNCTION("MID(REGEXEXTRACT(I331,"" [^ ]* [^ ]*""),2,300)"),"#REF!")</f>
        <v>#REF!</v>
      </c>
      <c r="Q331" s="3" t="str">
        <f>IFERROR(__xludf.DUMMYFUNCTION("INDEX(SPLIT(J331,"" ""),1)"),"#REF!")</f>
        <v>#REF!</v>
      </c>
      <c r="R331" s="3" t="str">
        <f>IFERROR(__xludf.DUMMYFUNCTION("MID(REGEXEXTRACT(J331,"" [^ ]* [^ ]*""),2,300)"),"#REF!")</f>
        <v>#REF!</v>
      </c>
      <c r="S331" s="3">
        <f t="shared" si="2"/>
        <v>4</v>
      </c>
      <c r="T331" s="3" t="str">
        <f t="shared" si="3"/>
        <v>dull red</v>
      </c>
      <c r="U331" s="3" t="str">
        <f t="shared" si="4"/>
        <v/>
      </c>
      <c r="V331" s="3" t="str">
        <f t="shared" si="5"/>
        <v/>
      </c>
      <c r="W331" s="3" t="str">
        <f t="shared" si="6"/>
        <v/>
      </c>
      <c r="X331" s="3" t="str">
        <f t="shared" si="7"/>
        <v/>
      </c>
      <c r="Y331" s="3" t="str">
        <f t="shared" si="8"/>
        <v/>
      </c>
      <c r="Z331" s="3" t="str">
        <f t="shared" si="9"/>
        <v/>
      </c>
      <c r="AA331" s="13">
        <f t="shared" si="10"/>
        <v>1758394973</v>
      </c>
      <c r="AB331" s="3">
        <f t="shared" si="11"/>
        <v>1758394972</v>
      </c>
      <c r="AC331" s="3">
        <f t="shared" si="12"/>
        <v>4</v>
      </c>
      <c r="AD331" s="3">
        <f t="shared" si="13"/>
        <v>439598743</v>
      </c>
      <c r="AE331" s="3" t="str">
        <f t="shared" si="14"/>
        <v/>
      </c>
      <c r="AF331" s="3">
        <f t="shared" si="15"/>
        <v>0</v>
      </c>
      <c r="AG331" s="3" t="str">
        <f t="shared" si="16"/>
        <v/>
      </c>
      <c r="AH331" s="3">
        <f t="shared" si="17"/>
        <v>0</v>
      </c>
      <c r="AI331" s="3" t="str">
        <f t="shared" si="18"/>
        <v/>
      </c>
      <c r="AJ331" s="3">
        <f t="shared" si="19"/>
        <v>0</v>
      </c>
    </row>
    <row r="332">
      <c r="C332" s="6" t="s">
        <v>332</v>
      </c>
      <c r="D332" s="3">
        <f t="shared" si="1"/>
        <v>3</v>
      </c>
      <c r="E332" s="3" t="str">
        <f>IFERROR(__xludf.DUMMYFUNCTION("REGEXEXTRACT(C332,""[^ ]* [^ ]*"")"),"wavy yellow")</f>
        <v>wavy yellow</v>
      </c>
      <c r="F332" s="3" t="str">
        <f>IFERROR(__xludf.DUMMYFUNCTION("MID(REGEXEXTRACT(C332,""contain.*$""),9,300)"),"3 dull tomato bags, 2 posh green bags, 4 plaid aqua bags, 2 faded purple bags.")</f>
        <v>3 dull tomato bags, 2 posh green bags, 4 plaid aqua bags, 2 faded purple bags.</v>
      </c>
      <c r="G332" s="3" t="str">
        <f>IFERROR(__xludf.DUMMYFUNCTION("INDEX(SPLIT($F332,"",""),COLUMN()-6)"),"3 dull tomato bags")</f>
        <v>3 dull tomato bags</v>
      </c>
      <c r="H332" s="3" t="str">
        <f>IFERROR(__xludf.DUMMYFUNCTION("MID(INDEX(SPLIT($F332,"",""),COLUMN()-6),2,300)"),"2 posh green bags")</f>
        <v>2 posh green bags</v>
      </c>
      <c r="I332" s="3" t="str">
        <f>IFERROR(__xludf.DUMMYFUNCTION("MID(INDEX(SPLIT($F332,"",""),COLUMN()-6),2,300)"),"4 plaid aqua bags")</f>
        <v>4 plaid aqua bags</v>
      </c>
      <c r="J332" s="3" t="str">
        <f>IFERROR(__xludf.DUMMYFUNCTION("MID(INDEX(SPLIT($F332,"",""),COLUMN()-6),2,300)"),"2 faded purple bags.")</f>
        <v>2 faded purple bags.</v>
      </c>
      <c r="K332" s="3">
        <f>IFERROR(__xludf.DUMMYFUNCTION("INDEX(SPLIT(G332,"" ""),1)"),3.0)</f>
        <v>3</v>
      </c>
      <c r="L332" s="3" t="str">
        <f>IFERROR(__xludf.DUMMYFUNCTION("REGEXEXTRACT(G332,"" [^ ]* [^ ]* "")")," dull tomato ")</f>
        <v> dull tomato </v>
      </c>
      <c r="M332" s="3">
        <f>IFERROR(__xludf.DUMMYFUNCTION("INDEX(SPLIT(H332,"" ""),1)"),2.0)</f>
        <v>2</v>
      </c>
      <c r="N332" s="3" t="str">
        <f>IFERROR(__xludf.DUMMYFUNCTION("MID(REGEXEXTRACT(H332,"" [^ ]* [^ ]*""),2,300)"),"posh green")</f>
        <v>posh green</v>
      </c>
      <c r="O332" s="3">
        <f>IFERROR(__xludf.DUMMYFUNCTION("INDEX(SPLIT(I332,"" ""),1)"),4.0)</f>
        <v>4</v>
      </c>
      <c r="P332" s="3" t="str">
        <f>IFERROR(__xludf.DUMMYFUNCTION("MID(REGEXEXTRACT(I332,"" [^ ]* [^ ]*""),2,300)"),"plaid aqua")</f>
        <v>plaid aqua</v>
      </c>
      <c r="Q332" s="3">
        <f>IFERROR(__xludf.DUMMYFUNCTION("INDEX(SPLIT(J332,"" ""),1)"),2.0)</f>
        <v>2</v>
      </c>
      <c r="R332" s="3" t="str">
        <f>IFERROR(__xludf.DUMMYFUNCTION("MID(REGEXEXTRACT(J332,"" [^ ]* [^ ]*""),2,300)"),"faded purple")</f>
        <v>faded purple</v>
      </c>
      <c r="S332" s="3">
        <f t="shared" si="2"/>
        <v>3</v>
      </c>
      <c r="T332" s="3" t="str">
        <f t="shared" si="3"/>
        <v>dull tomato</v>
      </c>
      <c r="U332" s="3">
        <f t="shared" si="4"/>
        <v>2</v>
      </c>
      <c r="V332" s="3" t="str">
        <f t="shared" si="5"/>
        <v>posh green</v>
      </c>
      <c r="W332" s="3">
        <f t="shared" si="6"/>
        <v>4</v>
      </c>
      <c r="X332" s="3" t="str">
        <f t="shared" si="7"/>
        <v>plaid aqua</v>
      </c>
      <c r="Y332" s="3">
        <f t="shared" si="8"/>
        <v>2</v>
      </c>
      <c r="Z332" s="3" t="str">
        <f t="shared" si="9"/>
        <v>faded purple</v>
      </c>
      <c r="AA332" s="13">
        <f t="shared" si="10"/>
        <v>25486</v>
      </c>
      <c r="AB332" s="3">
        <f t="shared" si="11"/>
        <v>25485</v>
      </c>
      <c r="AC332" s="3">
        <f t="shared" si="12"/>
        <v>3</v>
      </c>
      <c r="AD332" s="3">
        <f t="shared" si="13"/>
        <v>11</v>
      </c>
      <c r="AE332" s="3">
        <f t="shared" si="14"/>
        <v>2</v>
      </c>
      <c r="AF332" s="3">
        <f t="shared" si="15"/>
        <v>6367</v>
      </c>
      <c r="AG332" s="3">
        <f t="shared" si="16"/>
        <v>4</v>
      </c>
      <c r="AH332" s="3">
        <f t="shared" si="17"/>
        <v>1</v>
      </c>
      <c r="AI332" s="3">
        <f t="shared" si="18"/>
        <v>2</v>
      </c>
      <c r="AJ332" s="3">
        <f t="shared" si="19"/>
        <v>6357</v>
      </c>
    </row>
    <row r="333">
      <c r="C333" s="6" t="s">
        <v>333</v>
      </c>
      <c r="D333" s="3">
        <f t="shared" si="1"/>
        <v>2</v>
      </c>
      <c r="E333" s="3" t="str">
        <f>IFERROR(__xludf.DUMMYFUNCTION("REGEXEXTRACT(C333,""[^ ]* [^ ]*"")"),"muted purple")</f>
        <v>muted purple</v>
      </c>
      <c r="F333" s="3" t="str">
        <f>IFERROR(__xludf.DUMMYFUNCTION("MID(REGEXEXTRACT(C333,""contain.*$""),9,300)"),"5 pale black bags, 2 muted salmon bags, 2 muted yellow bags.")</f>
        <v>5 pale black bags, 2 muted salmon bags, 2 muted yellow bags.</v>
      </c>
      <c r="G333" s="3" t="str">
        <f>IFERROR(__xludf.DUMMYFUNCTION("INDEX(SPLIT($F333,"",""),COLUMN()-6)"),"5 pale black bags")</f>
        <v>5 pale black bags</v>
      </c>
      <c r="H333" s="3" t="str">
        <f>IFERROR(__xludf.DUMMYFUNCTION("MID(INDEX(SPLIT($F333,"",""),COLUMN()-6),2,300)"),"2 muted salmon bags")</f>
        <v>2 muted salmon bags</v>
      </c>
      <c r="I333" s="3" t="str">
        <f>IFERROR(__xludf.DUMMYFUNCTION("MID(INDEX(SPLIT($F333,"",""),COLUMN()-6),2,300)"),"2 muted yellow bags.")</f>
        <v>2 muted yellow bags.</v>
      </c>
      <c r="J333" s="3" t="str">
        <f>IFERROR(__xludf.DUMMYFUNCTION("MID(INDEX(SPLIT($F333,"",""),COLUMN()-6),2,300)"),"#REF!")</f>
        <v>#REF!</v>
      </c>
      <c r="K333" s="3">
        <f>IFERROR(__xludf.DUMMYFUNCTION("INDEX(SPLIT(G333,"" ""),1)"),5.0)</f>
        <v>5</v>
      </c>
      <c r="L333" s="3" t="str">
        <f>IFERROR(__xludf.DUMMYFUNCTION("REGEXEXTRACT(G333,"" [^ ]* [^ ]* "")")," pale black ")</f>
        <v> pale black </v>
      </c>
      <c r="M333" s="3">
        <f>IFERROR(__xludf.DUMMYFUNCTION("INDEX(SPLIT(H333,"" ""),1)"),2.0)</f>
        <v>2</v>
      </c>
      <c r="N333" s="3" t="str">
        <f>IFERROR(__xludf.DUMMYFUNCTION("MID(REGEXEXTRACT(H333,"" [^ ]* [^ ]*""),2,300)"),"muted salmon")</f>
        <v>muted salmon</v>
      </c>
      <c r="O333" s="3">
        <f>IFERROR(__xludf.DUMMYFUNCTION("INDEX(SPLIT(I333,"" ""),1)"),2.0)</f>
        <v>2</v>
      </c>
      <c r="P333" s="3" t="str">
        <f>IFERROR(__xludf.DUMMYFUNCTION("MID(REGEXEXTRACT(I333,"" [^ ]* [^ ]*""),2,300)"),"muted yellow")</f>
        <v>muted yellow</v>
      </c>
      <c r="Q333" s="3" t="str">
        <f>IFERROR(__xludf.DUMMYFUNCTION("INDEX(SPLIT(J333,"" ""),1)"),"#REF!")</f>
        <v>#REF!</v>
      </c>
      <c r="R333" s="3" t="str">
        <f>IFERROR(__xludf.DUMMYFUNCTION("MID(REGEXEXTRACT(J333,"" [^ ]* [^ ]*""),2,300)"),"#REF!")</f>
        <v>#REF!</v>
      </c>
      <c r="S333" s="3">
        <f t="shared" si="2"/>
        <v>5</v>
      </c>
      <c r="T333" s="3" t="str">
        <f t="shared" si="3"/>
        <v>pale black</v>
      </c>
      <c r="U333" s="3">
        <f t="shared" si="4"/>
        <v>2</v>
      </c>
      <c r="V333" s="3" t="str">
        <f t="shared" si="5"/>
        <v>muted salmon</v>
      </c>
      <c r="W333" s="3">
        <f t="shared" si="6"/>
        <v>2</v>
      </c>
      <c r="X333" s="3" t="str">
        <f t="shared" si="7"/>
        <v>muted yellow</v>
      </c>
      <c r="Y333" s="3" t="str">
        <f t="shared" si="8"/>
        <v/>
      </c>
      <c r="Z333" s="3" t="str">
        <f t="shared" si="9"/>
        <v/>
      </c>
      <c r="AA333" s="13">
        <f t="shared" si="10"/>
        <v>13721</v>
      </c>
      <c r="AB333" s="3">
        <f t="shared" si="11"/>
        <v>13720</v>
      </c>
      <c r="AC333" s="3">
        <f t="shared" si="12"/>
        <v>5</v>
      </c>
      <c r="AD333" s="3">
        <f t="shared" si="13"/>
        <v>8</v>
      </c>
      <c r="AE333" s="3">
        <f t="shared" si="14"/>
        <v>2</v>
      </c>
      <c r="AF333" s="3">
        <f t="shared" si="15"/>
        <v>3012</v>
      </c>
      <c r="AG333" s="3">
        <f t="shared" si="16"/>
        <v>2</v>
      </c>
      <c r="AH333" s="3">
        <f t="shared" si="17"/>
        <v>3828</v>
      </c>
      <c r="AI333" s="3" t="str">
        <f t="shared" si="18"/>
        <v/>
      </c>
      <c r="AJ333" s="3">
        <f t="shared" si="19"/>
        <v>0</v>
      </c>
    </row>
    <row r="334">
      <c r="C334" s="6" t="s">
        <v>334</v>
      </c>
      <c r="D334" s="3">
        <f t="shared" si="1"/>
        <v>0</v>
      </c>
      <c r="E334" s="3" t="str">
        <f>IFERROR(__xludf.DUMMYFUNCTION("REGEXEXTRACT(C334,""[^ ]* [^ ]*"")"),"plaid aqua")</f>
        <v>plaid aqua</v>
      </c>
      <c r="F334" s="3" t="str">
        <f>IFERROR(__xludf.DUMMYFUNCTION("MID(REGEXEXTRACT(C334,""contain.*$""),9,300)"),"no other bags.")</f>
        <v>no other bags.</v>
      </c>
      <c r="G334" s="3" t="str">
        <f>IFERROR(__xludf.DUMMYFUNCTION("INDEX(SPLIT($F334,"",""),COLUMN()-6)"),"no other bags.")</f>
        <v>no other bags.</v>
      </c>
      <c r="H334" s="3" t="str">
        <f>IFERROR(__xludf.DUMMYFUNCTION("MID(INDEX(SPLIT($F334,"",""),COLUMN()-6),2,300)"),"#REF!")</f>
        <v>#REF!</v>
      </c>
      <c r="I334" s="3" t="str">
        <f>IFERROR(__xludf.DUMMYFUNCTION("MID(INDEX(SPLIT($F334,"",""),COLUMN()-6),2,300)"),"#REF!")</f>
        <v>#REF!</v>
      </c>
      <c r="J334" s="3" t="str">
        <f>IFERROR(__xludf.DUMMYFUNCTION("MID(INDEX(SPLIT($F334,"",""),COLUMN()-6),2,300)"),"#REF!")</f>
        <v>#REF!</v>
      </c>
      <c r="K334" s="3" t="str">
        <f>IFERROR(__xludf.DUMMYFUNCTION("INDEX(SPLIT(G334,"" ""),1)"),"no")</f>
        <v>no</v>
      </c>
      <c r="L334" s="3" t="str">
        <f>IFERROR(__xludf.DUMMYFUNCTION("REGEXEXTRACT(G334,"" [^ ]* [^ ]* "")"),"#N/A")</f>
        <v>#N/A</v>
      </c>
      <c r="M334" s="3" t="str">
        <f>IFERROR(__xludf.DUMMYFUNCTION("INDEX(SPLIT(H334,"" ""),1)"),"#REF!")</f>
        <v>#REF!</v>
      </c>
      <c r="N334" s="3" t="str">
        <f>IFERROR(__xludf.DUMMYFUNCTION("MID(REGEXEXTRACT(H334,"" [^ ]* [^ ]*""),2,300)"),"#REF!")</f>
        <v>#REF!</v>
      </c>
      <c r="O334" s="3" t="str">
        <f>IFERROR(__xludf.DUMMYFUNCTION("INDEX(SPLIT(I334,"" ""),1)"),"#REF!")</f>
        <v>#REF!</v>
      </c>
      <c r="P334" s="3" t="str">
        <f>IFERROR(__xludf.DUMMYFUNCTION("MID(REGEXEXTRACT(I334,"" [^ ]* [^ ]*""),2,300)"),"#REF!")</f>
        <v>#REF!</v>
      </c>
      <c r="Q334" s="3" t="str">
        <f>IFERROR(__xludf.DUMMYFUNCTION("INDEX(SPLIT(J334,"" ""),1)"),"#REF!")</f>
        <v>#REF!</v>
      </c>
      <c r="R334" s="3" t="str">
        <f>IFERROR(__xludf.DUMMYFUNCTION("MID(REGEXEXTRACT(J334,"" [^ ]* [^ ]*""),2,300)"),"#REF!")</f>
        <v>#REF!</v>
      </c>
      <c r="S334" s="3" t="str">
        <f t="shared" si="2"/>
        <v/>
      </c>
      <c r="T334" s="3" t="str">
        <f t="shared" si="3"/>
        <v/>
      </c>
      <c r="U334" s="3" t="str">
        <f t="shared" si="4"/>
        <v/>
      </c>
      <c r="V334" s="3" t="str">
        <f t="shared" si="5"/>
        <v/>
      </c>
      <c r="W334" s="3" t="str">
        <f t="shared" si="6"/>
        <v/>
      </c>
      <c r="X334" s="3" t="str">
        <f t="shared" si="7"/>
        <v/>
      </c>
      <c r="Y334" s="3" t="str">
        <f t="shared" si="8"/>
        <v/>
      </c>
      <c r="Z334" s="3" t="str">
        <f t="shared" si="9"/>
        <v/>
      </c>
      <c r="AA334" s="13">
        <f t="shared" si="10"/>
        <v>1</v>
      </c>
      <c r="AB334" s="3">
        <f t="shared" si="11"/>
        <v>0</v>
      </c>
      <c r="AC334" s="3" t="str">
        <f t="shared" si="12"/>
        <v/>
      </c>
      <c r="AD334" s="3">
        <f t="shared" si="13"/>
        <v>0</v>
      </c>
      <c r="AE334" s="3" t="str">
        <f t="shared" si="14"/>
        <v/>
      </c>
      <c r="AF334" s="3">
        <f t="shared" si="15"/>
        <v>0</v>
      </c>
      <c r="AG334" s="3" t="str">
        <f t="shared" si="16"/>
        <v/>
      </c>
      <c r="AH334" s="3">
        <f t="shared" si="17"/>
        <v>0</v>
      </c>
      <c r="AI334" s="3" t="str">
        <f t="shared" si="18"/>
        <v/>
      </c>
      <c r="AJ334" s="3">
        <f t="shared" si="19"/>
        <v>0</v>
      </c>
    </row>
    <row r="335">
      <c r="C335" s="6" t="s">
        <v>335</v>
      </c>
      <c r="D335" s="3">
        <f t="shared" si="1"/>
        <v>0</v>
      </c>
      <c r="E335" s="3" t="str">
        <f>IFERROR(__xludf.DUMMYFUNCTION("REGEXEXTRACT(C335,""[^ ]* [^ ]*"")"),"drab plum")</f>
        <v>drab plum</v>
      </c>
      <c r="F335" s="3" t="str">
        <f>IFERROR(__xludf.DUMMYFUNCTION("MID(REGEXEXTRACT(C335,""contain.*$""),9,300)"),"3 drab turquoise bags.")</f>
        <v>3 drab turquoise bags.</v>
      </c>
      <c r="G335" s="3" t="str">
        <f>IFERROR(__xludf.DUMMYFUNCTION("INDEX(SPLIT($F335,"",""),COLUMN()-6)"),"3 drab turquoise bags.")</f>
        <v>3 drab turquoise bags.</v>
      </c>
      <c r="H335" s="3" t="str">
        <f>IFERROR(__xludf.DUMMYFUNCTION("MID(INDEX(SPLIT($F335,"",""),COLUMN()-6),2,300)"),"#REF!")</f>
        <v>#REF!</v>
      </c>
      <c r="I335" s="3" t="str">
        <f>IFERROR(__xludf.DUMMYFUNCTION("MID(INDEX(SPLIT($F335,"",""),COLUMN()-6),2,300)"),"#REF!")</f>
        <v>#REF!</v>
      </c>
      <c r="J335" s="3" t="str">
        <f>IFERROR(__xludf.DUMMYFUNCTION("MID(INDEX(SPLIT($F335,"",""),COLUMN()-6),2,300)"),"#REF!")</f>
        <v>#REF!</v>
      </c>
      <c r="K335" s="3">
        <f>IFERROR(__xludf.DUMMYFUNCTION("INDEX(SPLIT(G335,"" ""),1)"),3.0)</f>
        <v>3</v>
      </c>
      <c r="L335" s="3" t="str">
        <f>IFERROR(__xludf.DUMMYFUNCTION("REGEXEXTRACT(G335,"" [^ ]* [^ ]* "")")," drab turquoise ")</f>
        <v> drab turquoise </v>
      </c>
      <c r="M335" s="3" t="str">
        <f>IFERROR(__xludf.DUMMYFUNCTION("INDEX(SPLIT(H335,"" ""),1)"),"#REF!")</f>
        <v>#REF!</v>
      </c>
      <c r="N335" s="3" t="str">
        <f>IFERROR(__xludf.DUMMYFUNCTION("MID(REGEXEXTRACT(H335,"" [^ ]* [^ ]*""),2,300)"),"#REF!")</f>
        <v>#REF!</v>
      </c>
      <c r="O335" s="3" t="str">
        <f>IFERROR(__xludf.DUMMYFUNCTION("INDEX(SPLIT(I335,"" ""),1)"),"#REF!")</f>
        <v>#REF!</v>
      </c>
      <c r="P335" s="3" t="str">
        <f>IFERROR(__xludf.DUMMYFUNCTION("MID(REGEXEXTRACT(I335,"" [^ ]* [^ ]*""),2,300)"),"#REF!")</f>
        <v>#REF!</v>
      </c>
      <c r="Q335" s="3" t="str">
        <f>IFERROR(__xludf.DUMMYFUNCTION("INDEX(SPLIT(J335,"" ""),1)"),"#REF!")</f>
        <v>#REF!</v>
      </c>
      <c r="R335" s="3" t="str">
        <f>IFERROR(__xludf.DUMMYFUNCTION("MID(REGEXEXTRACT(J335,"" [^ ]* [^ ]*""),2,300)"),"#REF!")</f>
        <v>#REF!</v>
      </c>
      <c r="S335" s="3">
        <f t="shared" si="2"/>
        <v>3</v>
      </c>
      <c r="T335" s="3" t="str">
        <f t="shared" si="3"/>
        <v>drab turquoise</v>
      </c>
      <c r="U335" s="3" t="str">
        <f t="shared" si="4"/>
        <v/>
      </c>
      <c r="V335" s="3" t="str">
        <f t="shared" si="5"/>
        <v/>
      </c>
      <c r="W335" s="3" t="str">
        <f t="shared" si="6"/>
        <v/>
      </c>
      <c r="X335" s="3" t="str">
        <f t="shared" si="7"/>
        <v/>
      </c>
      <c r="Y335" s="3" t="str">
        <f t="shared" si="8"/>
        <v/>
      </c>
      <c r="Z335" s="3" t="str">
        <f t="shared" si="9"/>
        <v/>
      </c>
      <c r="AA335" s="13">
        <f t="shared" si="10"/>
        <v>20003446</v>
      </c>
      <c r="AB335" s="3">
        <f t="shared" si="11"/>
        <v>20003445</v>
      </c>
      <c r="AC335" s="3">
        <f t="shared" si="12"/>
        <v>3</v>
      </c>
      <c r="AD335" s="3">
        <f t="shared" si="13"/>
        <v>6667815</v>
      </c>
      <c r="AE335" s="3" t="str">
        <f t="shared" si="14"/>
        <v/>
      </c>
      <c r="AF335" s="3">
        <f t="shared" si="15"/>
        <v>0</v>
      </c>
      <c r="AG335" s="3" t="str">
        <f t="shared" si="16"/>
        <v/>
      </c>
      <c r="AH335" s="3">
        <f t="shared" si="17"/>
        <v>0</v>
      </c>
      <c r="AI335" s="3" t="str">
        <f t="shared" si="18"/>
        <v/>
      </c>
      <c r="AJ335" s="3">
        <f t="shared" si="19"/>
        <v>0</v>
      </c>
    </row>
    <row r="336">
      <c r="C336" s="6" t="s">
        <v>336</v>
      </c>
      <c r="D336" s="3">
        <f t="shared" si="1"/>
        <v>2</v>
      </c>
      <c r="E336" s="3" t="str">
        <f>IFERROR(__xludf.DUMMYFUNCTION("REGEXEXTRACT(C336,""[^ ]* [^ ]*"")"),"muted orange")</f>
        <v>muted orange</v>
      </c>
      <c r="F336" s="3" t="str">
        <f>IFERROR(__xludf.DUMMYFUNCTION("MID(REGEXEXTRACT(C336,""contain.*$""),9,300)"),"1 faded blue bag, 5 plaid brown bags, 4 mirrored chartreuse bags.")</f>
        <v>1 faded blue bag, 5 plaid brown bags, 4 mirrored chartreuse bags.</v>
      </c>
      <c r="G336" s="3" t="str">
        <f>IFERROR(__xludf.DUMMYFUNCTION("INDEX(SPLIT($F336,"",""),COLUMN()-6)"),"1 faded blue bag")</f>
        <v>1 faded blue bag</v>
      </c>
      <c r="H336" s="3" t="str">
        <f>IFERROR(__xludf.DUMMYFUNCTION("MID(INDEX(SPLIT($F336,"",""),COLUMN()-6),2,300)"),"5 plaid brown bags")</f>
        <v>5 plaid brown bags</v>
      </c>
      <c r="I336" s="3" t="str">
        <f>IFERROR(__xludf.DUMMYFUNCTION("MID(INDEX(SPLIT($F336,"",""),COLUMN()-6),2,300)"),"4 mirrored chartreuse bags.")</f>
        <v>4 mirrored chartreuse bags.</v>
      </c>
      <c r="J336" s="3" t="str">
        <f>IFERROR(__xludf.DUMMYFUNCTION("MID(INDEX(SPLIT($F336,"",""),COLUMN()-6),2,300)"),"#REF!")</f>
        <v>#REF!</v>
      </c>
      <c r="K336" s="3">
        <f>IFERROR(__xludf.DUMMYFUNCTION("INDEX(SPLIT(G336,"" ""),1)"),1.0)</f>
        <v>1</v>
      </c>
      <c r="L336" s="3" t="str">
        <f>IFERROR(__xludf.DUMMYFUNCTION("REGEXEXTRACT(G336,"" [^ ]* [^ ]* "")")," faded blue ")</f>
        <v> faded blue </v>
      </c>
      <c r="M336" s="3">
        <f>IFERROR(__xludf.DUMMYFUNCTION("INDEX(SPLIT(H336,"" ""),1)"),5.0)</f>
        <v>5</v>
      </c>
      <c r="N336" s="3" t="str">
        <f>IFERROR(__xludf.DUMMYFUNCTION("MID(REGEXEXTRACT(H336,"" [^ ]* [^ ]*""),2,300)"),"plaid brown")</f>
        <v>plaid brown</v>
      </c>
      <c r="O336" s="3">
        <f>IFERROR(__xludf.DUMMYFUNCTION("INDEX(SPLIT(I336,"" ""),1)"),4.0)</f>
        <v>4</v>
      </c>
      <c r="P336" s="3" t="str">
        <f>IFERROR(__xludf.DUMMYFUNCTION("MID(REGEXEXTRACT(I336,"" [^ ]* [^ ]*""),2,300)"),"mirrored chartreuse")</f>
        <v>mirrored chartreuse</v>
      </c>
      <c r="Q336" s="3" t="str">
        <f>IFERROR(__xludf.DUMMYFUNCTION("INDEX(SPLIT(J336,"" ""),1)"),"#REF!")</f>
        <v>#REF!</v>
      </c>
      <c r="R336" s="3" t="str">
        <f>IFERROR(__xludf.DUMMYFUNCTION("MID(REGEXEXTRACT(J336,"" [^ ]* [^ ]*""),2,300)"),"#REF!")</f>
        <v>#REF!</v>
      </c>
      <c r="S336" s="3">
        <f t="shared" si="2"/>
        <v>1</v>
      </c>
      <c r="T336" s="3" t="str">
        <f t="shared" si="3"/>
        <v>faded blue</v>
      </c>
      <c r="U336" s="3">
        <f t="shared" si="4"/>
        <v>5</v>
      </c>
      <c r="V336" s="3" t="str">
        <f t="shared" si="5"/>
        <v>plaid brown</v>
      </c>
      <c r="W336" s="3">
        <f t="shared" si="6"/>
        <v>4</v>
      </c>
      <c r="X336" s="3" t="str">
        <f t="shared" si="7"/>
        <v>mirrored chartreuse</v>
      </c>
      <c r="Y336" s="3" t="str">
        <f t="shared" si="8"/>
        <v/>
      </c>
      <c r="Z336" s="3" t="str">
        <f t="shared" si="9"/>
        <v/>
      </c>
      <c r="AA336" s="13">
        <f t="shared" si="10"/>
        <v>13295274</v>
      </c>
      <c r="AB336" s="3">
        <f t="shared" si="11"/>
        <v>13295273</v>
      </c>
      <c r="AC336" s="3">
        <f t="shared" si="12"/>
        <v>1</v>
      </c>
      <c r="AD336" s="3">
        <f t="shared" si="13"/>
        <v>12631028</v>
      </c>
      <c r="AE336" s="3">
        <f t="shared" si="14"/>
        <v>5</v>
      </c>
      <c r="AF336" s="3">
        <f t="shared" si="15"/>
        <v>132605</v>
      </c>
      <c r="AG336" s="3">
        <f t="shared" si="16"/>
        <v>4</v>
      </c>
      <c r="AH336" s="3">
        <f t="shared" si="17"/>
        <v>305</v>
      </c>
      <c r="AI336" s="3" t="str">
        <f t="shared" si="18"/>
        <v/>
      </c>
      <c r="AJ336" s="3">
        <f t="shared" si="19"/>
        <v>0</v>
      </c>
    </row>
    <row r="337">
      <c r="C337" s="6" t="s">
        <v>337</v>
      </c>
      <c r="D337" s="3">
        <f t="shared" si="1"/>
        <v>3</v>
      </c>
      <c r="E337" s="3" t="str">
        <f>IFERROR(__xludf.DUMMYFUNCTION("REGEXEXTRACT(C337,""[^ ]* [^ ]*"")"),"dim silver")</f>
        <v>dim silver</v>
      </c>
      <c r="F337" s="3" t="str">
        <f>IFERROR(__xludf.DUMMYFUNCTION("MID(REGEXEXTRACT(C337,""contain.*$""),9,300)"),"4 dark fuchsia bags, 2 clear cyan bags, 2 dark green bags, 4 dotted silver bags.")</f>
        <v>4 dark fuchsia bags, 2 clear cyan bags, 2 dark green bags, 4 dotted silver bags.</v>
      </c>
      <c r="G337" s="3" t="str">
        <f>IFERROR(__xludf.DUMMYFUNCTION("INDEX(SPLIT($F337,"",""),COLUMN()-6)"),"4 dark fuchsia bags")</f>
        <v>4 dark fuchsia bags</v>
      </c>
      <c r="H337" s="3" t="str">
        <f>IFERROR(__xludf.DUMMYFUNCTION("MID(INDEX(SPLIT($F337,"",""),COLUMN()-6),2,300)"),"2 clear cyan bags")</f>
        <v>2 clear cyan bags</v>
      </c>
      <c r="I337" s="3" t="str">
        <f>IFERROR(__xludf.DUMMYFUNCTION("MID(INDEX(SPLIT($F337,"",""),COLUMN()-6),2,300)"),"2 dark green bags")</f>
        <v>2 dark green bags</v>
      </c>
      <c r="J337" s="3" t="str">
        <f>IFERROR(__xludf.DUMMYFUNCTION("MID(INDEX(SPLIT($F337,"",""),COLUMN()-6),2,300)"),"4 dotted silver bags.")</f>
        <v>4 dotted silver bags.</v>
      </c>
      <c r="K337" s="3">
        <f>IFERROR(__xludf.DUMMYFUNCTION("INDEX(SPLIT(G337,"" ""),1)"),4.0)</f>
        <v>4</v>
      </c>
      <c r="L337" s="3" t="str">
        <f>IFERROR(__xludf.DUMMYFUNCTION("REGEXEXTRACT(G337,"" [^ ]* [^ ]* "")")," dark fuchsia ")</f>
        <v> dark fuchsia </v>
      </c>
      <c r="M337" s="3">
        <f>IFERROR(__xludf.DUMMYFUNCTION("INDEX(SPLIT(H337,"" ""),1)"),2.0)</f>
        <v>2</v>
      </c>
      <c r="N337" s="3" t="str">
        <f>IFERROR(__xludf.DUMMYFUNCTION("MID(REGEXEXTRACT(H337,"" [^ ]* [^ ]*""),2,300)"),"clear cyan")</f>
        <v>clear cyan</v>
      </c>
      <c r="O337" s="3">
        <f>IFERROR(__xludf.DUMMYFUNCTION("INDEX(SPLIT(I337,"" ""),1)"),2.0)</f>
        <v>2</v>
      </c>
      <c r="P337" s="3" t="str">
        <f>IFERROR(__xludf.DUMMYFUNCTION("MID(REGEXEXTRACT(I337,"" [^ ]* [^ ]*""),2,300)"),"dark green")</f>
        <v>dark green</v>
      </c>
      <c r="Q337" s="3">
        <f>IFERROR(__xludf.DUMMYFUNCTION("INDEX(SPLIT(J337,"" ""),1)"),4.0)</f>
        <v>4</v>
      </c>
      <c r="R337" s="3" t="str">
        <f>IFERROR(__xludf.DUMMYFUNCTION("MID(REGEXEXTRACT(J337,"" [^ ]* [^ ]*""),2,300)"),"dotted silver")</f>
        <v>dotted silver</v>
      </c>
      <c r="S337" s="3">
        <f t="shared" si="2"/>
        <v>4</v>
      </c>
      <c r="T337" s="3" t="str">
        <f t="shared" si="3"/>
        <v>dark fuchsia</v>
      </c>
      <c r="U337" s="3">
        <f t="shared" si="4"/>
        <v>2</v>
      </c>
      <c r="V337" s="3" t="str">
        <f t="shared" si="5"/>
        <v>clear cyan</v>
      </c>
      <c r="W337" s="3">
        <f t="shared" si="6"/>
        <v>2</v>
      </c>
      <c r="X337" s="3" t="str">
        <f t="shared" si="7"/>
        <v>dark green</v>
      </c>
      <c r="Y337" s="3">
        <f t="shared" si="8"/>
        <v>4</v>
      </c>
      <c r="Z337" s="3" t="str">
        <f t="shared" si="9"/>
        <v>dotted silver</v>
      </c>
      <c r="AA337" s="13">
        <f t="shared" si="10"/>
        <v>135727337</v>
      </c>
      <c r="AB337" s="3">
        <f t="shared" si="11"/>
        <v>135727336</v>
      </c>
      <c r="AC337" s="3">
        <f t="shared" si="12"/>
        <v>4</v>
      </c>
      <c r="AD337" s="3">
        <f t="shared" si="13"/>
        <v>941276</v>
      </c>
      <c r="AE337" s="3">
        <f t="shared" si="14"/>
        <v>2</v>
      </c>
      <c r="AF337" s="3">
        <f t="shared" si="15"/>
        <v>899055</v>
      </c>
      <c r="AG337" s="3">
        <f t="shared" si="16"/>
        <v>2</v>
      </c>
      <c r="AH337" s="3">
        <f t="shared" si="17"/>
        <v>5907723</v>
      </c>
      <c r="AI337" s="3">
        <f t="shared" si="18"/>
        <v>4</v>
      </c>
      <c r="AJ337" s="3">
        <f t="shared" si="19"/>
        <v>29587169</v>
      </c>
    </row>
    <row r="338">
      <c r="C338" s="6" t="s">
        <v>338</v>
      </c>
      <c r="D338" s="3">
        <f t="shared" si="1"/>
        <v>1</v>
      </c>
      <c r="E338" s="3" t="str">
        <f>IFERROR(__xludf.DUMMYFUNCTION("REGEXEXTRACT(C338,""[^ ]* [^ ]*"")"),"pale tan")</f>
        <v>pale tan</v>
      </c>
      <c r="F338" s="3" t="str">
        <f>IFERROR(__xludf.DUMMYFUNCTION("MID(REGEXEXTRACT(C338,""contain.*$""),9,300)"),"5 shiny silver bags, 5 drab indigo bags.")</f>
        <v>5 shiny silver bags, 5 drab indigo bags.</v>
      </c>
      <c r="G338" s="3" t="str">
        <f>IFERROR(__xludf.DUMMYFUNCTION("INDEX(SPLIT($F338,"",""),COLUMN()-6)"),"5 shiny silver bags")</f>
        <v>5 shiny silver bags</v>
      </c>
      <c r="H338" s="3" t="str">
        <f>IFERROR(__xludf.DUMMYFUNCTION("MID(INDEX(SPLIT($F338,"",""),COLUMN()-6),2,300)"),"5 drab indigo bags.")</f>
        <v>5 drab indigo bags.</v>
      </c>
      <c r="I338" s="3" t="str">
        <f>IFERROR(__xludf.DUMMYFUNCTION("MID(INDEX(SPLIT($F338,"",""),COLUMN()-6),2,300)"),"#REF!")</f>
        <v>#REF!</v>
      </c>
      <c r="J338" s="3" t="str">
        <f>IFERROR(__xludf.DUMMYFUNCTION("MID(INDEX(SPLIT($F338,"",""),COLUMN()-6),2,300)"),"#REF!")</f>
        <v>#REF!</v>
      </c>
      <c r="K338" s="3">
        <f>IFERROR(__xludf.DUMMYFUNCTION("INDEX(SPLIT(G338,"" ""),1)"),5.0)</f>
        <v>5</v>
      </c>
      <c r="L338" s="3" t="str">
        <f>IFERROR(__xludf.DUMMYFUNCTION("REGEXEXTRACT(G338,"" [^ ]* [^ ]* "")")," shiny silver ")</f>
        <v> shiny silver </v>
      </c>
      <c r="M338" s="3">
        <f>IFERROR(__xludf.DUMMYFUNCTION("INDEX(SPLIT(H338,"" ""),1)"),5.0)</f>
        <v>5</v>
      </c>
      <c r="N338" s="3" t="str">
        <f>IFERROR(__xludf.DUMMYFUNCTION("MID(REGEXEXTRACT(H338,"" [^ ]* [^ ]*""),2,300)"),"drab indigo")</f>
        <v>drab indigo</v>
      </c>
      <c r="O338" s="3" t="str">
        <f>IFERROR(__xludf.DUMMYFUNCTION("INDEX(SPLIT(I338,"" ""),1)"),"#REF!")</f>
        <v>#REF!</v>
      </c>
      <c r="P338" s="3" t="str">
        <f>IFERROR(__xludf.DUMMYFUNCTION("MID(REGEXEXTRACT(I338,"" [^ ]* [^ ]*""),2,300)"),"#REF!")</f>
        <v>#REF!</v>
      </c>
      <c r="Q338" s="3" t="str">
        <f>IFERROR(__xludf.DUMMYFUNCTION("INDEX(SPLIT(J338,"" ""),1)"),"#REF!")</f>
        <v>#REF!</v>
      </c>
      <c r="R338" s="3" t="str">
        <f>IFERROR(__xludf.DUMMYFUNCTION("MID(REGEXEXTRACT(J338,"" [^ ]* [^ ]*""),2,300)"),"#REF!")</f>
        <v>#REF!</v>
      </c>
      <c r="S338" s="3">
        <f t="shared" si="2"/>
        <v>5</v>
      </c>
      <c r="T338" s="3" t="str">
        <f t="shared" si="3"/>
        <v>shiny silver</v>
      </c>
      <c r="U338" s="3">
        <f t="shared" si="4"/>
        <v>5</v>
      </c>
      <c r="V338" s="3" t="str">
        <f t="shared" si="5"/>
        <v>drab indigo</v>
      </c>
      <c r="W338" s="3" t="str">
        <f t="shared" si="6"/>
        <v/>
      </c>
      <c r="X338" s="3" t="str">
        <f t="shared" si="7"/>
        <v/>
      </c>
      <c r="Y338" s="3" t="str">
        <f t="shared" si="8"/>
        <v/>
      </c>
      <c r="Z338" s="3" t="str">
        <f t="shared" si="9"/>
        <v/>
      </c>
      <c r="AA338" s="13">
        <f t="shared" si="10"/>
        <v>10022021</v>
      </c>
      <c r="AB338" s="3">
        <f t="shared" si="11"/>
        <v>10022020</v>
      </c>
      <c r="AC338" s="3">
        <f t="shared" si="12"/>
        <v>5</v>
      </c>
      <c r="AD338" s="3">
        <f t="shared" si="13"/>
        <v>29367</v>
      </c>
      <c r="AE338" s="3">
        <f t="shared" si="14"/>
        <v>5</v>
      </c>
      <c r="AF338" s="3">
        <f t="shared" si="15"/>
        <v>1975037</v>
      </c>
      <c r="AG338" s="3" t="str">
        <f t="shared" si="16"/>
        <v/>
      </c>
      <c r="AH338" s="3">
        <f t="shared" si="17"/>
        <v>0</v>
      </c>
      <c r="AI338" s="3" t="str">
        <f t="shared" si="18"/>
        <v/>
      </c>
      <c r="AJ338" s="3">
        <f t="shared" si="19"/>
        <v>0</v>
      </c>
    </row>
    <row r="339">
      <c r="C339" s="6" t="s">
        <v>339</v>
      </c>
      <c r="D339" s="3">
        <f t="shared" si="1"/>
        <v>1</v>
      </c>
      <c r="E339" s="3" t="str">
        <f>IFERROR(__xludf.DUMMYFUNCTION("REGEXEXTRACT(C339,""[^ ]* [^ ]*"")"),"wavy tomato")</f>
        <v>wavy tomato</v>
      </c>
      <c r="F339" s="3" t="str">
        <f>IFERROR(__xludf.DUMMYFUNCTION("MID(REGEXEXTRACT(C339,""contain.*$""),9,300)"),"4 clear black bags, 4 plaid gray bags.")</f>
        <v>4 clear black bags, 4 plaid gray bags.</v>
      </c>
      <c r="G339" s="3" t="str">
        <f>IFERROR(__xludf.DUMMYFUNCTION("INDEX(SPLIT($F339,"",""),COLUMN()-6)"),"4 clear black bags")</f>
        <v>4 clear black bags</v>
      </c>
      <c r="H339" s="3" t="str">
        <f>IFERROR(__xludf.DUMMYFUNCTION("MID(INDEX(SPLIT($F339,"",""),COLUMN()-6),2,300)"),"4 plaid gray bags.")</f>
        <v>4 plaid gray bags.</v>
      </c>
      <c r="I339" s="3" t="str">
        <f>IFERROR(__xludf.DUMMYFUNCTION("MID(INDEX(SPLIT($F339,"",""),COLUMN()-6),2,300)"),"#REF!")</f>
        <v>#REF!</v>
      </c>
      <c r="J339" s="3" t="str">
        <f>IFERROR(__xludf.DUMMYFUNCTION("MID(INDEX(SPLIT($F339,"",""),COLUMN()-6),2,300)"),"#REF!")</f>
        <v>#REF!</v>
      </c>
      <c r="K339" s="3">
        <f>IFERROR(__xludf.DUMMYFUNCTION("INDEX(SPLIT(G339,"" ""),1)"),4.0)</f>
        <v>4</v>
      </c>
      <c r="L339" s="3" t="str">
        <f>IFERROR(__xludf.DUMMYFUNCTION("REGEXEXTRACT(G339,"" [^ ]* [^ ]* "")")," clear black ")</f>
        <v> clear black </v>
      </c>
      <c r="M339" s="3">
        <f>IFERROR(__xludf.DUMMYFUNCTION("INDEX(SPLIT(H339,"" ""),1)"),4.0)</f>
        <v>4</v>
      </c>
      <c r="N339" s="3" t="str">
        <f>IFERROR(__xludf.DUMMYFUNCTION("MID(REGEXEXTRACT(H339,"" [^ ]* [^ ]*""),2,300)"),"plaid gray")</f>
        <v>plaid gray</v>
      </c>
      <c r="O339" s="3" t="str">
        <f>IFERROR(__xludf.DUMMYFUNCTION("INDEX(SPLIT(I339,"" ""),1)"),"#REF!")</f>
        <v>#REF!</v>
      </c>
      <c r="P339" s="3" t="str">
        <f>IFERROR(__xludf.DUMMYFUNCTION("MID(REGEXEXTRACT(I339,"" [^ ]* [^ ]*""),2,300)"),"#REF!")</f>
        <v>#REF!</v>
      </c>
      <c r="Q339" s="3" t="str">
        <f>IFERROR(__xludf.DUMMYFUNCTION("INDEX(SPLIT(J339,"" ""),1)"),"#REF!")</f>
        <v>#REF!</v>
      </c>
      <c r="R339" s="3" t="str">
        <f>IFERROR(__xludf.DUMMYFUNCTION("MID(REGEXEXTRACT(J339,"" [^ ]* [^ ]*""),2,300)"),"#REF!")</f>
        <v>#REF!</v>
      </c>
      <c r="S339" s="3">
        <f t="shared" si="2"/>
        <v>4</v>
      </c>
      <c r="T339" s="3" t="str">
        <f t="shared" si="3"/>
        <v>clear black</v>
      </c>
      <c r="U339" s="3">
        <f t="shared" si="4"/>
        <v>4</v>
      </c>
      <c r="V339" s="3" t="str">
        <f t="shared" si="5"/>
        <v>plaid gray</v>
      </c>
      <c r="W339" s="3" t="str">
        <f t="shared" si="6"/>
        <v/>
      </c>
      <c r="X339" s="3" t="str">
        <f t="shared" si="7"/>
        <v/>
      </c>
      <c r="Y339" s="3" t="str">
        <f t="shared" si="8"/>
        <v/>
      </c>
      <c r="Z339" s="3" t="str">
        <f t="shared" si="9"/>
        <v/>
      </c>
      <c r="AA339" s="13">
        <f t="shared" si="10"/>
        <v>265</v>
      </c>
      <c r="AB339" s="3">
        <f t="shared" si="11"/>
        <v>264</v>
      </c>
      <c r="AC339" s="3">
        <f t="shared" si="12"/>
        <v>4</v>
      </c>
      <c r="AD339" s="3">
        <f t="shared" si="13"/>
        <v>12</v>
      </c>
      <c r="AE339" s="3">
        <f t="shared" si="14"/>
        <v>4</v>
      </c>
      <c r="AF339" s="3">
        <f t="shared" si="15"/>
        <v>54</v>
      </c>
      <c r="AG339" s="3" t="str">
        <f t="shared" si="16"/>
        <v/>
      </c>
      <c r="AH339" s="3">
        <f t="shared" si="17"/>
        <v>0</v>
      </c>
      <c r="AI339" s="3" t="str">
        <f t="shared" si="18"/>
        <v/>
      </c>
      <c r="AJ339" s="3">
        <f t="shared" si="19"/>
        <v>0</v>
      </c>
    </row>
    <row r="340">
      <c r="C340" s="6" t="s">
        <v>340</v>
      </c>
      <c r="D340" s="3">
        <f t="shared" si="1"/>
        <v>0</v>
      </c>
      <c r="E340" s="3" t="str">
        <f>IFERROR(__xludf.DUMMYFUNCTION("REGEXEXTRACT(C340,""[^ ]* [^ ]*"")"),"posh bronze")</f>
        <v>posh bronze</v>
      </c>
      <c r="F340" s="3" t="str">
        <f>IFERROR(__xludf.DUMMYFUNCTION("MID(REGEXEXTRACT(C340,""contain.*$""),9,300)"),"4 drab green bags.")</f>
        <v>4 drab green bags.</v>
      </c>
      <c r="G340" s="3" t="str">
        <f>IFERROR(__xludf.DUMMYFUNCTION("INDEX(SPLIT($F340,"",""),COLUMN()-6)"),"4 drab green bags.")</f>
        <v>4 drab green bags.</v>
      </c>
      <c r="H340" s="3" t="str">
        <f>IFERROR(__xludf.DUMMYFUNCTION("MID(INDEX(SPLIT($F340,"",""),COLUMN()-6),2,300)"),"#REF!")</f>
        <v>#REF!</v>
      </c>
      <c r="I340" s="3" t="str">
        <f>IFERROR(__xludf.DUMMYFUNCTION("MID(INDEX(SPLIT($F340,"",""),COLUMN()-6),2,300)"),"#REF!")</f>
        <v>#REF!</v>
      </c>
      <c r="J340" s="3" t="str">
        <f>IFERROR(__xludf.DUMMYFUNCTION("MID(INDEX(SPLIT($F340,"",""),COLUMN()-6),2,300)"),"#REF!")</f>
        <v>#REF!</v>
      </c>
      <c r="K340" s="3">
        <f>IFERROR(__xludf.DUMMYFUNCTION("INDEX(SPLIT(G340,"" ""),1)"),4.0)</f>
        <v>4</v>
      </c>
      <c r="L340" s="3" t="str">
        <f>IFERROR(__xludf.DUMMYFUNCTION("REGEXEXTRACT(G340,"" [^ ]* [^ ]* "")")," drab green ")</f>
        <v> drab green </v>
      </c>
      <c r="M340" s="3" t="str">
        <f>IFERROR(__xludf.DUMMYFUNCTION("INDEX(SPLIT(H340,"" ""),1)"),"#REF!")</f>
        <v>#REF!</v>
      </c>
      <c r="N340" s="3" t="str">
        <f>IFERROR(__xludf.DUMMYFUNCTION("MID(REGEXEXTRACT(H340,"" [^ ]* [^ ]*""),2,300)"),"#REF!")</f>
        <v>#REF!</v>
      </c>
      <c r="O340" s="3" t="str">
        <f>IFERROR(__xludf.DUMMYFUNCTION("INDEX(SPLIT(I340,"" ""),1)"),"#REF!")</f>
        <v>#REF!</v>
      </c>
      <c r="P340" s="3" t="str">
        <f>IFERROR(__xludf.DUMMYFUNCTION("MID(REGEXEXTRACT(I340,"" [^ ]* [^ ]*""),2,300)"),"#REF!")</f>
        <v>#REF!</v>
      </c>
      <c r="Q340" s="3" t="str">
        <f>IFERROR(__xludf.DUMMYFUNCTION("INDEX(SPLIT(J340,"" ""),1)"),"#REF!")</f>
        <v>#REF!</v>
      </c>
      <c r="R340" s="3" t="str">
        <f>IFERROR(__xludf.DUMMYFUNCTION("MID(REGEXEXTRACT(J340,"" [^ ]* [^ ]*""),2,300)"),"#REF!")</f>
        <v>#REF!</v>
      </c>
      <c r="S340" s="3">
        <f t="shared" si="2"/>
        <v>4</v>
      </c>
      <c r="T340" s="3" t="str">
        <f t="shared" si="3"/>
        <v>drab green</v>
      </c>
      <c r="U340" s="3" t="str">
        <f t="shared" si="4"/>
        <v/>
      </c>
      <c r="V340" s="3" t="str">
        <f t="shared" si="5"/>
        <v/>
      </c>
      <c r="W340" s="3" t="str">
        <f t="shared" si="6"/>
        <v/>
      </c>
      <c r="X340" s="3" t="str">
        <f t="shared" si="7"/>
        <v/>
      </c>
      <c r="Y340" s="3" t="str">
        <f t="shared" si="8"/>
        <v/>
      </c>
      <c r="Z340" s="3" t="str">
        <f t="shared" si="9"/>
        <v/>
      </c>
      <c r="AA340" s="13">
        <f t="shared" si="10"/>
        <v>21</v>
      </c>
      <c r="AB340" s="3">
        <f t="shared" si="11"/>
        <v>20</v>
      </c>
      <c r="AC340" s="3">
        <f t="shared" si="12"/>
        <v>4</v>
      </c>
      <c r="AD340" s="3">
        <f t="shared" si="13"/>
        <v>5</v>
      </c>
      <c r="AE340" s="3" t="str">
        <f t="shared" si="14"/>
        <v/>
      </c>
      <c r="AF340" s="3">
        <f t="shared" si="15"/>
        <v>0</v>
      </c>
      <c r="AG340" s="3" t="str">
        <f t="shared" si="16"/>
        <v/>
      </c>
      <c r="AH340" s="3">
        <f t="shared" si="17"/>
        <v>0</v>
      </c>
      <c r="AI340" s="3" t="str">
        <f t="shared" si="18"/>
        <v/>
      </c>
      <c r="AJ340" s="3">
        <f t="shared" si="19"/>
        <v>0</v>
      </c>
    </row>
    <row r="341">
      <c r="C341" s="6" t="s">
        <v>341</v>
      </c>
      <c r="D341" s="3">
        <f t="shared" si="1"/>
        <v>3</v>
      </c>
      <c r="E341" s="3" t="str">
        <f>IFERROR(__xludf.DUMMYFUNCTION("REGEXEXTRACT(C341,""[^ ]* [^ ]*"")"),"clear blue")</f>
        <v>clear blue</v>
      </c>
      <c r="F341" s="3" t="str">
        <f>IFERROR(__xludf.DUMMYFUNCTION("MID(REGEXEXTRACT(C341,""contain.*$""),9,300)"),"3 bright brown bags, 5 dull tomato bags, 1 clear black bag, 5 bright violet bags.")</f>
        <v>3 bright brown bags, 5 dull tomato bags, 1 clear black bag, 5 bright violet bags.</v>
      </c>
      <c r="G341" s="3" t="str">
        <f>IFERROR(__xludf.DUMMYFUNCTION("INDEX(SPLIT($F341,"",""),COLUMN()-6)"),"3 bright brown bags")</f>
        <v>3 bright brown bags</v>
      </c>
      <c r="H341" s="3" t="str">
        <f>IFERROR(__xludf.DUMMYFUNCTION("MID(INDEX(SPLIT($F341,"",""),COLUMN()-6),2,300)"),"5 dull tomato bags")</f>
        <v>5 dull tomato bags</v>
      </c>
      <c r="I341" s="3" t="str">
        <f>IFERROR(__xludf.DUMMYFUNCTION("MID(INDEX(SPLIT($F341,"",""),COLUMN()-6),2,300)"),"1 clear black bag")</f>
        <v>1 clear black bag</v>
      </c>
      <c r="J341" s="3" t="str">
        <f>IFERROR(__xludf.DUMMYFUNCTION("MID(INDEX(SPLIT($F341,"",""),COLUMN()-6),2,300)"),"5 bright violet bags.")</f>
        <v>5 bright violet bags.</v>
      </c>
      <c r="K341" s="3">
        <f>IFERROR(__xludf.DUMMYFUNCTION("INDEX(SPLIT(G341,"" ""),1)"),3.0)</f>
        <v>3</v>
      </c>
      <c r="L341" s="3" t="str">
        <f>IFERROR(__xludf.DUMMYFUNCTION("REGEXEXTRACT(G341,"" [^ ]* [^ ]* "")")," bright brown ")</f>
        <v> bright brown </v>
      </c>
      <c r="M341" s="3">
        <f>IFERROR(__xludf.DUMMYFUNCTION("INDEX(SPLIT(H341,"" ""),1)"),5.0)</f>
        <v>5</v>
      </c>
      <c r="N341" s="3" t="str">
        <f>IFERROR(__xludf.DUMMYFUNCTION("MID(REGEXEXTRACT(H341,"" [^ ]* [^ ]*""),2,300)"),"dull tomato")</f>
        <v>dull tomato</v>
      </c>
      <c r="O341" s="3">
        <f>IFERROR(__xludf.DUMMYFUNCTION("INDEX(SPLIT(I341,"" ""),1)"),1.0)</f>
        <v>1</v>
      </c>
      <c r="P341" s="3" t="str">
        <f>IFERROR(__xludf.DUMMYFUNCTION("MID(REGEXEXTRACT(I341,"" [^ ]* [^ ]*""),2,300)"),"clear black")</f>
        <v>clear black</v>
      </c>
      <c r="Q341" s="3">
        <f>IFERROR(__xludf.DUMMYFUNCTION("INDEX(SPLIT(J341,"" ""),1)"),5.0)</f>
        <v>5</v>
      </c>
      <c r="R341" s="3" t="str">
        <f>IFERROR(__xludf.DUMMYFUNCTION("MID(REGEXEXTRACT(J341,"" [^ ]* [^ ]*""),2,300)"),"bright violet")</f>
        <v>bright violet</v>
      </c>
      <c r="S341" s="3">
        <f t="shared" si="2"/>
        <v>3</v>
      </c>
      <c r="T341" s="3" t="str">
        <f t="shared" si="3"/>
        <v>bright brown</v>
      </c>
      <c r="U341" s="3">
        <f t="shared" si="4"/>
        <v>5</v>
      </c>
      <c r="V341" s="3" t="str">
        <f t="shared" si="5"/>
        <v>dull tomato</v>
      </c>
      <c r="W341" s="3">
        <f t="shared" si="6"/>
        <v>1</v>
      </c>
      <c r="X341" s="3" t="str">
        <f t="shared" si="7"/>
        <v>clear black</v>
      </c>
      <c r="Y341" s="3">
        <f t="shared" si="8"/>
        <v>5</v>
      </c>
      <c r="Z341" s="3" t="str">
        <f t="shared" si="9"/>
        <v>bright violet</v>
      </c>
      <c r="AA341" s="13">
        <f t="shared" si="10"/>
        <v>76</v>
      </c>
      <c r="AB341" s="3">
        <f t="shared" si="11"/>
        <v>75</v>
      </c>
      <c r="AC341" s="3">
        <f t="shared" si="12"/>
        <v>3</v>
      </c>
      <c r="AD341" s="3">
        <f t="shared" si="13"/>
        <v>1</v>
      </c>
      <c r="AE341" s="3">
        <f t="shared" si="14"/>
        <v>5</v>
      </c>
      <c r="AF341" s="3">
        <f t="shared" si="15"/>
        <v>11</v>
      </c>
      <c r="AG341" s="3">
        <f t="shared" si="16"/>
        <v>1</v>
      </c>
      <c r="AH341" s="3">
        <f t="shared" si="17"/>
        <v>12</v>
      </c>
      <c r="AI341" s="3">
        <f t="shared" si="18"/>
        <v>5</v>
      </c>
      <c r="AJ341" s="3">
        <f t="shared" si="19"/>
        <v>1</v>
      </c>
    </row>
    <row r="342">
      <c r="C342" s="6" t="s">
        <v>342</v>
      </c>
      <c r="D342" s="3">
        <f t="shared" si="1"/>
        <v>3</v>
      </c>
      <c r="E342" s="3" t="str">
        <f>IFERROR(__xludf.DUMMYFUNCTION("REGEXEXTRACT(C342,""[^ ]* [^ ]*"")"),"striped plum")</f>
        <v>striped plum</v>
      </c>
      <c r="F342" s="3" t="str">
        <f>IFERROR(__xludf.DUMMYFUNCTION("MID(REGEXEXTRACT(C342,""contain.*$""),9,300)"),"4 plaid yellow bags, 3 dark teal bags, 2 mirrored lavender bags, 1 dotted salmon bag.")</f>
        <v>4 plaid yellow bags, 3 dark teal bags, 2 mirrored lavender bags, 1 dotted salmon bag.</v>
      </c>
      <c r="G342" s="3" t="str">
        <f>IFERROR(__xludf.DUMMYFUNCTION("INDEX(SPLIT($F342,"",""),COLUMN()-6)"),"4 plaid yellow bags")</f>
        <v>4 plaid yellow bags</v>
      </c>
      <c r="H342" s="3" t="str">
        <f>IFERROR(__xludf.DUMMYFUNCTION("MID(INDEX(SPLIT($F342,"",""),COLUMN()-6),2,300)"),"3 dark teal bags")</f>
        <v>3 dark teal bags</v>
      </c>
      <c r="I342" s="3" t="str">
        <f>IFERROR(__xludf.DUMMYFUNCTION("MID(INDEX(SPLIT($F342,"",""),COLUMN()-6),2,300)"),"2 mirrored lavender bags")</f>
        <v>2 mirrored lavender bags</v>
      </c>
      <c r="J342" s="3" t="str">
        <f>IFERROR(__xludf.DUMMYFUNCTION("MID(INDEX(SPLIT($F342,"",""),COLUMN()-6),2,300)"),"1 dotted salmon bag.")</f>
        <v>1 dotted salmon bag.</v>
      </c>
      <c r="K342" s="3">
        <f>IFERROR(__xludf.DUMMYFUNCTION("INDEX(SPLIT(G342,"" ""),1)"),4.0)</f>
        <v>4</v>
      </c>
      <c r="L342" s="3" t="str">
        <f>IFERROR(__xludf.DUMMYFUNCTION("REGEXEXTRACT(G342,"" [^ ]* [^ ]* "")")," plaid yellow ")</f>
        <v> plaid yellow </v>
      </c>
      <c r="M342" s="3">
        <f>IFERROR(__xludf.DUMMYFUNCTION("INDEX(SPLIT(H342,"" ""),1)"),3.0)</f>
        <v>3</v>
      </c>
      <c r="N342" s="3" t="str">
        <f>IFERROR(__xludf.DUMMYFUNCTION("MID(REGEXEXTRACT(H342,"" [^ ]* [^ ]*""),2,300)"),"dark teal")</f>
        <v>dark teal</v>
      </c>
      <c r="O342" s="3">
        <f>IFERROR(__xludf.DUMMYFUNCTION("INDEX(SPLIT(I342,"" ""),1)"),2.0)</f>
        <v>2</v>
      </c>
      <c r="P342" s="3" t="str">
        <f>IFERROR(__xludf.DUMMYFUNCTION("MID(REGEXEXTRACT(I342,"" [^ ]* [^ ]*""),2,300)"),"mirrored lavender")</f>
        <v>mirrored lavender</v>
      </c>
      <c r="Q342" s="3">
        <f>IFERROR(__xludf.DUMMYFUNCTION("INDEX(SPLIT(J342,"" ""),1)"),1.0)</f>
        <v>1</v>
      </c>
      <c r="R342" s="3" t="str">
        <f>IFERROR(__xludf.DUMMYFUNCTION("MID(REGEXEXTRACT(J342,"" [^ ]* [^ ]*""),2,300)"),"dotted salmon")</f>
        <v>dotted salmon</v>
      </c>
      <c r="S342" s="3">
        <f t="shared" si="2"/>
        <v>4</v>
      </c>
      <c r="T342" s="3" t="str">
        <f t="shared" si="3"/>
        <v>plaid yellow</v>
      </c>
      <c r="U342" s="3">
        <f t="shared" si="4"/>
        <v>3</v>
      </c>
      <c r="V342" s="3" t="str">
        <f t="shared" si="5"/>
        <v>dark teal</v>
      </c>
      <c r="W342" s="3">
        <f t="shared" si="6"/>
        <v>2</v>
      </c>
      <c r="X342" s="3" t="str">
        <f t="shared" si="7"/>
        <v>mirrored lavender</v>
      </c>
      <c r="Y342" s="3">
        <f t="shared" si="8"/>
        <v>1</v>
      </c>
      <c r="Z342" s="3" t="str">
        <f t="shared" si="9"/>
        <v>dotted salmon</v>
      </c>
      <c r="AA342" s="13">
        <f t="shared" si="10"/>
        <v>228558662</v>
      </c>
      <c r="AB342" s="3">
        <f t="shared" si="11"/>
        <v>228558661</v>
      </c>
      <c r="AC342" s="3">
        <f t="shared" si="12"/>
        <v>4</v>
      </c>
      <c r="AD342" s="3">
        <f t="shared" si="13"/>
        <v>57101279</v>
      </c>
      <c r="AE342" s="3">
        <f t="shared" si="14"/>
        <v>3</v>
      </c>
      <c r="AF342" s="3">
        <f t="shared" si="15"/>
        <v>15041</v>
      </c>
      <c r="AG342" s="3">
        <f t="shared" si="16"/>
        <v>2</v>
      </c>
      <c r="AH342" s="3">
        <f t="shared" si="17"/>
        <v>5563</v>
      </c>
      <c r="AI342" s="3">
        <f t="shared" si="18"/>
        <v>1</v>
      </c>
      <c r="AJ342" s="3">
        <f t="shared" si="19"/>
        <v>97296</v>
      </c>
    </row>
    <row r="343">
      <c r="C343" s="6" t="s">
        <v>343</v>
      </c>
      <c r="D343" s="3">
        <f t="shared" si="1"/>
        <v>2</v>
      </c>
      <c r="E343" s="3" t="str">
        <f>IFERROR(__xludf.DUMMYFUNCTION("REGEXEXTRACT(C343,""[^ ]* [^ ]*"")"),"muted salmon")</f>
        <v>muted salmon</v>
      </c>
      <c r="F343" s="3" t="str">
        <f>IFERROR(__xludf.DUMMYFUNCTION("MID(REGEXEXTRACT(C343,""contain.*$""),9,300)"),"1 dull cyan bag, 2 clear coral bags, 1 posh coral bag.")</f>
        <v>1 dull cyan bag, 2 clear coral bags, 1 posh coral bag.</v>
      </c>
      <c r="G343" s="3" t="str">
        <f>IFERROR(__xludf.DUMMYFUNCTION("INDEX(SPLIT($F343,"",""),COLUMN()-6)"),"1 dull cyan bag")</f>
        <v>1 dull cyan bag</v>
      </c>
      <c r="H343" s="3" t="str">
        <f>IFERROR(__xludf.DUMMYFUNCTION("MID(INDEX(SPLIT($F343,"",""),COLUMN()-6),2,300)"),"2 clear coral bags")</f>
        <v>2 clear coral bags</v>
      </c>
      <c r="I343" s="3" t="str">
        <f>IFERROR(__xludf.DUMMYFUNCTION("MID(INDEX(SPLIT($F343,"",""),COLUMN()-6),2,300)"),"1 posh coral bag.")</f>
        <v>1 posh coral bag.</v>
      </c>
      <c r="J343" s="3" t="str">
        <f>IFERROR(__xludf.DUMMYFUNCTION("MID(INDEX(SPLIT($F343,"",""),COLUMN()-6),2,300)"),"#REF!")</f>
        <v>#REF!</v>
      </c>
      <c r="K343" s="3">
        <f>IFERROR(__xludf.DUMMYFUNCTION("INDEX(SPLIT(G343,"" ""),1)"),1.0)</f>
        <v>1</v>
      </c>
      <c r="L343" s="3" t="str">
        <f>IFERROR(__xludf.DUMMYFUNCTION("REGEXEXTRACT(G343,"" [^ ]* [^ ]* "")")," dull cyan ")</f>
        <v> dull cyan </v>
      </c>
      <c r="M343" s="3">
        <f>IFERROR(__xludf.DUMMYFUNCTION("INDEX(SPLIT(H343,"" ""),1)"),2.0)</f>
        <v>2</v>
      </c>
      <c r="N343" s="3" t="str">
        <f>IFERROR(__xludf.DUMMYFUNCTION("MID(REGEXEXTRACT(H343,"" [^ ]* [^ ]*""),2,300)"),"clear coral")</f>
        <v>clear coral</v>
      </c>
      <c r="O343" s="3">
        <f>IFERROR(__xludf.DUMMYFUNCTION("INDEX(SPLIT(I343,"" ""),1)"),1.0)</f>
        <v>1</v>
      </c>
      <c r="P343" s="3" t="str">
        <f>IFERROR(__xludf.DUMMYFUNCTION("MID(REGEXEXTRACT(I343,"" [^ ]* [^ ]*""),2,300)"),"posh coral")</f>
        <v>posh coral</v>
      </c>
      <c r="Q343" s="3" t="str">
        <f>IFERROR(__xludf.DUMMYFUNCTION("INDEX(SPLIT(J343,"" ""),1)"),"#REF!")</f>
        <v>#REF!</v>
      </c>
      <c r="R343" s="3" t="str">
        <f>IFERROR(__xludf.DUMMYFUNCTION("MID(REGEXEXTRACT(J343,"" [^ ]* [^ ]*""),2,300)"),"#REF!")</f>
        <v>#REF!</v>
      </c>
      <c r="S343" s="3">
        <f t="shared" si="2"/>
        <v>1</v>
      </c>
      <c r="T343" s="3" t="str">
        <f t="shared" si="3"/>
        <v>dull cyan</v>
      </c>
      <c r="U343" s="3">
        <f t="shared" si="4"/>
        <v>2</v>
      </c>
      <c r="V343" s="3" t="str">
        <f t="shared" si="5"/>
        <v>clear coral</v>
      </c>
      <c r="W343" s="3">
        <f t="shared" si="6"/>
        <v>1</v>
      </c>
      <c r="X343" s="3" t="str">
        <f t="shared" si="7"/>
        <v>posh coral</v>
      </c>
      <c r="Y343" s="3" t="str">
        <f t="shared" si="8"/>
        <v/>
      </c>
      <c r="Z343" s="3" t="str">
        <f t="shared" si="9"/>
        <v/>
      </c>
      <c r="AA343" s="13">
        <f t="shared" si="10"/>
        <v>3012</v>
      </c>
      <c r="AB343" s="3">
        <f t="shared" si="11"/>
        <v>3011</v>
      </c>
      <c r="AC343" s="3">
        <f t="shared" si="12"/>
        <v>1</v>
      </c>
      <c r="AD343" s="3">
        <f t="shared" si="13"/>
        <v>3008</v>
      </c>
      <c r="AE343" s="3">
        <f t="shared" si="14"/>
        <v>2</v>
      </c>
      <c r="AF343" s="3">
        <f t="shared" si="15"/>
        <v>1</v>
      </c>
      <c r="AG343" s="3">
        <f t="shared" si="16"/>
        <v>1</v>
      </c>
      <c r="AH343" s="3">
        <f t="shared" si="17"/>
        <v>1</v>
      </c>
      <c r="AI343" s="3" t="str">
        <f t="shared" si="18"/>
        <v/>
      </c>
      <c r="AJ343" s="3">
        <f t="shared" si="19"/>
        <v>0</v>
      </c>
    </row>
    <row r="344">
      <c r="C344" s="6" t="s">
        <v>344</v>
      </c>
      <c r="D344" s="3">
        <f t="shared" si="1"/>
        <v>1</v>
      </c>
      <c r="E344" s="3" t="str">
        <f>IFERROR(__xludf.DUMMYFUNCTION("REGEXEXTRACT(C344,""[^ ]* [^ ]*"")"),"light aqua")</f>
        <v>light aqua</v>
      </c>
      <c r="F344" s="3" t="str">
        <f>IFERROR(__xludf.DUMMYFUNCTION("MID(REGEXEXTRACT(C344,""contain.*$""),9,300)"),"4 clear maroon bags, 4 striped black bags.")</f>
        <v>4 clear maroon bags, 4 striped black bags.</v>
      </c>
      <c r="G344" s="3" t="str">
        <f>IFERROR(__xludf.DUMMYFUNCTION("INDEX(SPLIT($F344,"",""),COLUMN()-6)"),"4 clear maroon bags")</f>
        <v>4 clear maroon bags</v>
      </c>
      <c r="H344" s="3" t="str">
        <f>IFERROR(__xludf.DUMMYFUNCTION("MID(INDEX(SPLIT($F344,"",""),COLUMN()-6),2,300)"),"4 striped black bags.")</f>
        <v>4 striped black bags.</v>
      </c>
      <c r="I344" s="3" t="str">
        <f>IFERROR(__xludf.DUMMYFUNCTION("MID(INDEX(SPLIT($F344,"",""),COLUMN()-6),2,300)"),"#REF!")</f>
        <v>#REF!</v>
      </c>
      <c r="J344" s="3" t="str">
        <f>IFERROR(__xludf.DUMMYFUNCTION("MID(INDEX(SPLIT($F344,"",""),COLUMN()-6),2,300)"),"#REF!")</f>
        <v>#REF!</v>
      </c>
      <c r="K344" s="3">
        <f>IFERROR(__xludf.DUMMYFUNCTION("INDEX(SPLIT(G344,"" ""),1)"),4.0)</f>
        <v>4</v>
      </c>
      <c r="L344" s="3" t="str">
        <f>IFERROR(__xludf.DUMMYFUNCTION("REGEXEXTRACT(G344,"" [^ ]* [^ ]* "")")," clear maroon ")</f>
        <v> clear maroon </v>
      </c>
      <c r="M344" s="3">
        <f>IFERROR(__xludf.DUMMYFUNCTION("INDEX(SPLIT(H344,"" ""),1)"),4.0)</f>
        <v>4</v>
      </c>
      <c r="N344" s="3" t="str">
        <f>IFERROR(__xludf.DUMMYFUNCTION("MID(REGEXEXTRACT(H344,"" [^ ]* [^ ]*""),2,300)"),"striped black")</f>
        <v>striped black</v>
      </c>
      <c r="O344" s="3" t="str">
        <f>IFERROR(__xludf.DUMMYFUNCTION("INDEX(SPLIT(I344,"" ""),1)"),"#REF!")</f>
        <v>#REF!</v>
      </c>
      <c r="P344" s="3" t="str">
        <f>IFERROR(__xludf.DUMMYFUNCTION("MID(REGEXEXTRACT(I344,"" [^ ]* [^ ]*""),2,300)"),"#REF!")</f>
        <v>#REF!</v>
      </c>
      <c r="Q344" s="3" t="str">
        <f>IFERROR(__xludf.DUMMYFUNCTION("INDEX(SPLIT(J344,"" ""),1)"),"#REF!")</f>
        <v>#REF!</v>
      </c>
      <c r="R344" s="3" t="str">
        <f>IFERROR(__xludf.DUMMYFUNCTION("MID(REGEXEXTRACT(J344,"" [^ ]* [^ ]*""),2,300)"),"#REF!")</f>
        <v>#REF!</v>
      </c>
      <c r="S344" s="3">
        <f t="shared" si="2"/>
        <v>4</v>
      </c>
      <c r="T344" s="3" t="str">
        <f t="shared" si="3"/>
        <v>clear maroon</v>
      </c>
      <c r="U344" s="3">
        <f t="shared" si="4"/>
        <v>4</v>
      </c>
      <c r="V344" s="3" t="str">
        <f t="shared" si="5"/>
        <v>striped black</v>
      </c>
      <c r="W344" s="3" t="str">
        <f t="shared" si="6"/>
        <v/>
      </c>
      <c r="X344" s="3" t="str">
        <f t="shared" si="7"/>
        <v/>
      </c>
      <c r="Y344" s="3" t="str">
        <f t="shared" si="8"/>
        <v/>
      </c>
      <c r="Z344" s="3" t="str">
        <f t="shared" si="9"/>
        <v/>
      </c>
      <c r="AA344" s="13">
        <f t="shared" si="10"/>
        <v>180255453</v>
      </c>
      <c r="AB344" s="3">
        <f t="shared" si="11"/>
        <v>180255452</v>
      </c>
      <c r="AC344" s="3">
        <f t="shared" si="12"/>
        <v>4</v>
      </c>
      <c r="AD344" s="3">
        <f t="shared" si="13"/>
        <v>26408808</v>
      </c>
      <c r="AE344" s="3">
        <f t="shared" si="14"/>
        <v>4</v>
      </c>
      <c r="AF344" s="3">
        <f t="shared" si="15"/>
        <v>18655055</v>
      </c>
      <c r="AG344" s="3" t="str">
        <f t="shared" si="16"/>
        <v/>
      </c>
      <c r="AH344" s="3">
        <f t="shared" si="17"/>
        <v>0</v>
      </c>
      <c r="AI344" s="3" t="str">
        <f t="shared" si="18"/>
        <v/>
      </c>
      <c r="AJ344" s="3">
        <f t="shared" si="19"/>
        <v>0</v>
      </c>
    </row>
    <row r="345">
      <c r="C345" s="6" t="s">
        <v>345</v>
      </c>
      <c r="D345" s="3">
        <f t="shared" si="1"/>
        <v>2</v>
      </c>
      <c r="E345" s="3" t="str">
        <f>IFERROR(__xludf.DUMMYFUNCTION("REGEXEXTRACT(C345,""[^ ]* [^ ]*"")"),"bright blue")</f>
        <v>bright blue</v>
      </c>
      <c r="F345" s="3" t="str">
        <f>IFERROR(__xludf.DUMMYFUNCTION("MID(REGEXEXTRACT(C345,""contain.*$""),9,300)"),"4 drab violet bags, 4 light indigo bags, 3 muted indigo bags.")</f>
        <v>4 drab violet bags, 4 light indigo bags, 3 muted indigo bags.</v>
      </c>
      <c r="G345" s="3" t="str">
        <f>IFERROR(__xludf.DUMMYFUNCTION("INDEX(SPLIT($F345,"",""),COLUMN()-6)"),"4 drab violet bags")</f>
        <v>4 drab violet bags</v>
      </c>
      <c r="H345" s="3" t="str">
        <f>IFERROR(__xludf.DUMMYFUNCTION("MID(INDEX(SPLIT($F345,"",""),COLUMN()-6),2,300)"),"4 light indigo bags")</f>
        <v>4 light indigo bags</v>
      </c>
      <c r="I345" s="3" t="str">
        <f>IFERROR(__xludf.DUMMYFUNCTION("MID(INDEX(SPLIT($F345,"",""),COLUMN()-6),2,300)"),"3 muted indigo bags.")</f>
        <v>3 muted indigo bags.</v>
      </c>
      <c r="J345" s="3" t="str">
        <f>IFERROR(__xludf.DUMMYFUNCTION("MID(INDEX(SPLIT($F345,"",""),COLUMN()-6),2,300)"),"#REF!")</f>
        <v>#REF!</v>
      </c>
      <c r="K345" s="3">
        <f>IFERROR(__xludf.DUMMYFUNCTION("INDEX(SPLIT(G345,"" ""),1)"),4.0)</f>
        <v>4</v>
      </c>
      <c r="L345" s="3" t="str">
        <f>IFERROR(__xludf.DUMMYFUNCTION("REGEXEXTRACT(G345,"" [^ ]* [^ ]* "")")," drab violet ")</f>
        <v> drab violet </v>
      </c>
      <c r="M345" s="3">
        <f>IFERROR(__xludf.DUMMYFUNCTION("INDEX(SPLIT(H345,"" ""),1)"),4.0)</f>
        <v>4</v>
      </c>
      <c r="N345" s="3" t="str">
        <f>IFERROR(__xludf.DUMMYFUNCTION("MID(REGEXEXTRACT(H345,"" [^ ]* [^ ]*""),2,300)"),"light indigo")</f>
        <v>light indigo</v>
      </c>
      <c r="O345" s="3">
        <f>IFERROR(__xludf.DUMMYFUNCTION("INDEX(SPLIT(I345,"" ""),1)"),3.0)</f>
        <v>3</v>
      </c>
      <c r="P345" s="3" t="str">
        <f>IFERROR(__xludf.DUMMYFUNCTION("MID(REGEXEXTRACT(I345,"" [^ ]* [^ ]*""),2,300)"),"muted indigo")</f>
        <v>muted indigo</v>
      </c>
      <c r="Q345" s="3" t="str">
        <f>IFERROR(__xludf.DUMMYFUNCTION("INDEX(SPLIT(J345,"" ""),1)"),"#REF!")</f>
        <v>#REF!</v>
      </c>
      <c r="R345" s="3" t="str">
        <f>IFERROR(__xludf.DUMMYFUNCTION("MID(REGEXEXTRACT(J345,"" [^ ]* [^ ]*""),2,300)"),"#REF!")</f>
        <v>#REF!</v>
      </c>
      <c r="S345" s="3">
        <f t="shared" si="2"/>
        <v>4</v>
      </c>
      <c r="T345" s="3" t="str">
        <f t="shared" si="3"/>
        <v>drab violet</v>
      </c>
      <c r="U345" s="3">
        <f t="shared" si="4"/>
        <v>4</v>
      </c>
      <c r="V345" s="3" t="str">
        <f t="shared" si="5"/>
        <v>light indigo</v>
      </c>
      <c r="W345" s="3">
        <f t="shared" si="6"/>
        <v>3</v>
      </c>
      <c r="X345" s="3" t="str">
        <f t="shared" si="7"/>
        <v>muted indigo</v>
      </c>
      <c r="Y345" s="3" t="str">
        <f t="shared" si="8"/>
        <v/>
      </c>
      <c r="Z345" s="3" t="str">
        <f t="shared" si="9"/>
        <v/>
      </c>
      <c r="AA345" s="13">
        <f t="shared" si="10"/>
        <v>12266312982</v>
      </c>
      <c r="AB345" s="3">
        <f t="shared" si="11"/>
        <v>12266312981</v>
      </c>
      <c r="AC345" s="3">
        <f t="shared" si="12"/>
        <v>4</v>
      </c>
      <c r="AD345" s="3">
        <f t="shared" si="13"/>
        <v>354577</v>
      </c>
      <c r="AE345" s="3">
        <f t="shared" si="14"/>
        <v>4</v>
      </c>
      <c r="AF345" s="3">
        <f t="shared" si="15"/>
        <v>3065952097</v>
      </c>
      <c r="AG345" s="3">
        <f t="shared" si="16"/>
        <v>3</v>
      </c>
      <c r="AH345" s="3">
        <f t="shared" si="17"/>
        <v>362095</v>
      </c>
      <c r="AI345" s="3" t="str">
        <f t="shared" si="18"/>
        <v/>
      </c>
      <c r="AJ345" s="3">
        <f t="shared" si="19"/>
        <v>0</v>
      </c>
    </row>
    <row r="346">
      <c r="C346" s="6" t="s">
        <v>346</v>
      </c>
      <c r="D346" s="3">
        <f t="shared" si="1"/>
        <v>0</v>
      </c>
      <c r="E346" s="3" t="str">
        <f>IFERROR(__xludf.DUMMYFUNCTION("REGEXEXTRACT(C346,""[^ ]* [^ ]*"")"),"light brown")</f>
        <v>light brown</v>
      </c>
      <c r="F346" s="3" t="str">
        <f>IFERROR(__xludf.DUMMYFUNCTION("MID(REGEXEXTRACT(C346,""contain.*$""),9,300)"),"5 striped lavender bags.")</f>
        <v>5 striped lavender bags.</v>
      </c>
      <c r="G346" s="3" t="str">
        <f>IFERROR(__xludf.DUMMYFUNCTION("INDEX(SPLIT($F346,"",""),COLUMN()-6)"),"5 striped lavender bags.")</f>
        <v>5 striped lavender bags.</v>
      </c>
      <c r="H346" s="3" t="str">
        <f>IFERROR(__xludf.DUMMYFUNCTION("MID(INDEX(SPLIT($F346,"",""),COLUMN()-6),2,300)"),"#REF!")</f>
        <v>#REF!</v>
      </c>
      <c r="I346" s="3" t="str">
        <f>IFERROR(__xludf.DUMMYFUNCTION("MID(INDEX(SPLIT($F346,"",""),COLUMN()-6),2,300)"),"#REF!")</f>
        <v>#REF!</v>
      </c>
      <c r="J346" s="3" t="str">
        <f>IFERROR(__xludf.DUMMYFUNCTION("MID(INDEX(SPLIT($F346,"",""),COLUMN()-6),2,300)"),"#REF!")</f>
        <v>#REF!</v>
      </c>
      <c r="K346" s="3">
        <f>IFERROR(__xludf.DUMMYFUNCTION("INDEX(SPLIT(G346,"" ""),1)"),5.0)</f>
        <v>5</v>
      </c>
      <c r="L346" s="3" t="str">
        <f>IFERROR(__xludf.DUMMYFUNCTION("REGEXEXTRACT(G346,"" [^ ]* [^ ]* "")")," striped lavender ")</f>
        <v> striped lavender </v>
      </c>
      <c r="M346" s="3" t="str">
        <f>IFERROR(__xludf.DUMMYFUNCTION("INDEX(SPLIT(H346,"" ""),1)"),"#REF!")</f>
        <v>#REF!</v>
      </c>
      <c r="N346" s="3" t="str">
        <f>IFERROR(__xludf.DUMMYFUNCTION("MID(REGEXEXTRACT(H346,"" [^ ]* [^ ]*""),2,300)"),"#REF!")</f>
        <v>#REF!</v>
      </c>
      <c r="O346" s="3" t="str">
        <f>IFERROR(__xludf.DUMMYFUNCTION("INDEX(SPLIT(I346,"" ""),1)"),"#REF!")</f>
        <v>#REF!</v>
      </c>
      <c r="P346" s="3" t="str">
        <f>IFERROR(__xludf.DUMMYFUNCTION("MID(REGEXEXTRACT(I346,"" [^ ]* [^ ]*""),2,300)"),"#REF!")</f>
        <v>#REF!</v>
      </c>
      <c r="Q346" s="3" t="str">
        <f>IFERROR(__xludf.DUMMYFUNCTION("INDEX(SPLIT(J346,"" ""),1)"),"#REF!")</f>
        <v>#REF!</v>
      </c>
      <c r="R346" s="3" t="str">
        <f>IFERROR(__xludf.DUMMYFUNCTION("MID(REGEXEXTRACT(J346,"" [^ ]* [^ ]*""),2,300)"),"#REF!")</f>
        <v>#REF!</v>
      </c>
      <c r="S346" s="3">
        <f t="shared" si="2"/>
        <v>5</v>
      </c>
      <c r="T346" s="3" t="str">
        <f t="shared" si="3"/>
        <v>striped lavender</v>
      </c>
      <c r="U346" s="3" t="str">
        <f t="shared" si="4"/>
        <v/>
      </c>
      <c r="V346" s="3" t="str">
        <f t="shared" si="5"/>
        <v/>
      </c>
      <c r="W346" s="3" t="str">
        <f t="shared" si="6"/>
        <v/>
      </c>
      <c r="X346" s="3" t="str">
        <f t="shared" si="7"/>
        <v/>
      </c>
      <c r="Y346" s="3" t="str">
        <f t="shared" si="8"/>
        <v/>
      </c>
      <c r="Z346" s="3" t="str">
        <f t="shared" si="9"/>
        <v/>
      </c>
      <c r="AA346" s="13">
        <f t="shared" si="10"/>
        <v>740936</v>
      </c>
      <c r="AB346" s="3">
        <f t="shared" si="11"/>
        <v>740935</v>
      </c>
      <c r="AC346" s="3">
        <f t="shared" si="12"/>
        <v>5</v>
      </c>
      <c r="AD346" s="3">
        <f t="shared" si="13"/>
        <v>148187</v>
      </c>
      <c r="AE346" s="3" t="str">
        <f t="shared" si="14"/>
        <v/>
      </c>
      <c r="AF346" s="3">
        <f t="shared" si="15"/>
        <v>0</v>
      </c>
      <c r="AG346" s="3" t="str">
        <f t="shared" si="16"/>
        <v/>
      </c>
      <c r="AH346" s="3">
        <f t="shared" si="17"/>
        <v>0</v>
      </c>
      <c r="AI346" s="3" t="str">
        <f t="shared" si="18"/>
        <v/>
      </c>
      <c r="AJ346" s="3">
        <f t="shared" si="19"/>
        <v>0</v>
      </c>
    </row>
    <row r="347">
      <c r="C347" s="6" t="s">
        <v>347</v>
      </c>
      <c r="D347" s="3">
        <f t="shared" si="1"/>
        <v>3</v>
      </c>
      <c r="E347" s="3" t="str">
        <f>IFERROR(__xludf.DUMMYFUNCTION("REGEXEXTRACT(C347,""[^ ]* [^ ]*"")"),"light salmon")</f>
        <v>light salmon</v>
      </c>
      <c r="F347" s="3" t="str">
        <f>IFERROR(__xludf.DUMMYFUNCTION("MID(REGEXEXTRACT(C347,""contain.*$""),9,300)"),"1 drab beige bag, 5 faded orange bags, 4 plaid coral bags, 5 light chartreuse bags.")</f>
        <v>1 drab beige bag, 5 faded orange bags, 4 plaid coral bags, 5 light chartreuse bags.</v>
      </c>
      <c r="G347" s="3" t="str">
        <f>IFERROR(__xludf.DUMMYFUNCTION("INDEX(SPLIT($F347,"",""),COLUMN()-6)"),"1 drab beige bag")</f>
        <v>1 drab beige bag</v>
      </c>
      <c r="H347" s="3" t="str">
        <f>IFERROR(__xludf.DUMMYFUNCTION("MID(INDEX(SPLIT($F347,"",""),COLUMN()-6),2,300)"),"5 faded orange bags")</f>
        <v>5 faded orange bags</v>
      </c>
      <c r="I347" s="3" t="str">
        <f>IFERROR(__xludf.DUMMYFUNCTION("MID(INDEX(SPLIT($F347,"",""),COLUMN()-6),2,300)"),"4 plaid coral bags")</f>
        <v>4 plaid coral bags</v>
      </c>
      <c r="J347" s="3" t="str">
        <f>IFERROR(__xludf.DUMMYFUNCTION("MID(INDEX(SPLIT($F347,"",""),COLUMN()-6),2,300)"),"5 light chartreuse bags.")</f>
        <v>5 light chartreuse bags.</v>
      </c>
      <c r="K347" s="3">
        <f>IFERROR(__xludf.DUMMYFUNCTION("INDEX(SPLIT(G347,"" ""),1)"),1.0)</f>
        <v>1</v>
      </c>
      <c r="L347" s="3" t="str">
        <f>IFERROR(__xludf.DUMMYFUNCTION("REGEXEXTRACT(G347,"" [^ ]* [^ ]* "")")," drab beige ")</f>
        <v> drab beige </v>
      </c>
      <c r="M347" s="3">
        <f>IFERROR(__xludf.DUMMYFUNCTION("INDEX(SPLIT(H347,"" ""),1)"),5.0)</f>
        <v>5</v>
      </c>
      <c r="N347" s="3" t="str">
        <f>IFERROR(__xludf.DUMMYFUNCTION("MID(REGEXEXTRACT(H347,"" [^ ]* [^ ]*""),2,300)"),"faded orange")</f>
        <v>faded orange</v>
      </c>
      <c r="O347" s="3">
        <f>IFERROR(__xludf.DUMMYFUNCTION("INDEX(SPLIT(I347,"" ""),1)"),4.0)</f>
        <v>4</v>
      </c>
      <c r="P347" s="3" t="str">
        <f>IFERROR(__xludf.DUMMYFUNCTION("MID(REGEXEXTRACT(I347,"" [^ ]* [^ ]*""),2,300)"),"plaid coral")</f>
        <v>plaid coral</v>
      </c>
      <c r="Q347" s="3">
        <f>IFERROR(__xludf.DUMMYFUNCTION("INDEX(SPLIT(J347,"" ""),1)"),5.0)</f>
        <v>5</v>
      </c>
      <c r="R347" s="3" t="str">
        <f>IFERROR(__xludf.DUMMYFUNCTION("MID(REGEXEXTRACT(J347,"" [^ ]* [^ ]*""),2,300)"),"light chartreuse")</f>
        <v>light chartreuse</v>
      </c>
      <c r="S347" s="3">
        <f t="shared" si="2"/>
        <v>1</v>
      </c>
      <c r="T347" s="3" t="str">
        <f t="shared" si="3"/>
        <v>drab beige</v>
      </c>
      <c r="U347" s="3">
        <f t="shared" si="4"/>
        <v>5</v>
      </c>
      <c r="V347" s="3" t="str">
        <f t="shared" si="5"/>
        <v>faded orange</v>
      </c>
      <c r="W347" s="3">
        <f t="shared" si="6"/>
        <v>4</v>
      </c>
      <c r="X347" s="3" t="str">
        <f t="shared" si="7"/>
        <v>plaid coral</v>
      </c>
      <c r="Y347" s="3">
        <f t="shared" si="8"/>
        <v>5</v>
      </c>
      <c r="Z347" s="3" t="str">
        <f t="shared" si="9"/>
        <v>light chartreuse</v>
      </c>
      <c r="AA347" s="13">
        <f t="shared" si="10"/>
        <v>616092745</v>
      </c>
      <c r="AB347" s="3">
        <f t="shared" si="11"/>
        <v>616092744</v>
      </c>
      <c r="AC347" s="3">
        <f t="shared" si="12"/>
        <v>1</v>
      </c>
      <c r="AD347" s="3">
        <f t="shared" si="13"/>
        <v>48982306</v>
      </c>
      <c r="AE347" s="3">
        <f t="shared" si="14"/>
        <v>5</v>
      </c>
      <c r="AF347" s="3">
        <f t="shared" si="15"/>
        <v>7726531</v>
      </c>
      <c r="AG347" s="3">
        <f t="shared" si="16"/>
        <v>4</v>
      </c>
      <c r="AH347" s="3">
        <f t="shared" si="17"/>
        <v>28817922</v>
      </c>
      <c r="AI347" s="3">
        <f t="shared" si="18"/>
        <v>5</v>
      </c>
      <c r="AJ347" s="3">
        <f t="shared" si="19"/>
        <v>82641219</v>
      </c>
    </row>
    <row r="348">
      <c r="C348" s="6" t="s">
        <v>348</v>
      </c>
      <c r="D348" s="3">
        <f t="shared" si="1"/>
        <v>0</v>
      </c>
      <c r="E348" s="3" t="str">
        <f>IFERROR(__xludf.DUMMYFUNCTION("REGEXEXTRACT(C348,""[^ ]* [^ ]*"")"),"posh beige")</f>
        <v>posh beige</v>
      </c>
      <c r="F348" s="3" t="str">
        <f>IFERROR(__xludf.DUMMYFUNCTION("MID(REGEXEXTRACT(C348,""contain.*$""),9,300)"),"1 shiny red bag.")</f>
        <v>1 shiny red bag.</v>
      </c>
      <c r="G348" s="3" t="str">
        <f>IFERROR(__xludf.DUMMYFUNCTION("INDEX(SPLIT($F348,"",""),COLUMN()-6)"),"1 shiny red bag.")</f>
        <v>1 shiny red bag.</v>
      </c>
      <c r="H348" s="3" t="str">
        <f>IFERROR(__xludf.DUMMYFUNCTION("MID(INDEX(SPLIT($F348,"",""),COLUMN()-6),2,300)"),"#REF!")</f>
        <v>#REF!</v>
      </c>
      <c r="I348" s="3" t="str">
        <f>IFERROR(__xludf.DUMMYFUNCTION("MID(INDEX(SPLIT($F348,"",""),COLUMN()-6),2,300)"),"#REF!")</f>
        <v>#REF!</v>
      </c>
      <c r="J348" s="3" t="str">
        <f>IFERROR(__xludf.DUMMYFUNCTION("MID(INDEX(SPLIT($F348,"",""),COLUMN()-6),2,300)"),"#REF!")</f>
        <v>#REF!</v>
      </c>
      <c r="K348" s="3">
        <f>IFERROR(__xludf.DUMMYFUNCTION("INDEX(SPLIT(G348,"" ""),1)"),1.0)</f>
        <v>1</v>
      </c>
      <c r="L348" s="3" t="str">
        <f>IFERROR(__xludf.DUMMYFUNCTION("REGEXEXTRACT(G348,"" [^ ]* [^ ]* "")")," shiny red ")</f>
        <v> shiny red </v>
      </c>
      <c r="M348" s="3" t="str">
        <f>IFERROR(__xludf.DUMMYFUNCTION("INDEX(SPLIT(H348,"" ""),1)"),"#REF!")</f>
        <v>#REF!</v>
      </c>
      <c r="N348" s="3" t="str">
        <f>IFERROR(__xludf.DUMMYFUNCTION("MID(REGEXEXTRACT(H348,"" [^ ]* [^ ]*""),2,300)"),"#REF!")</f>
        <v>#REF!</v>
      </c>
      <c r="O348" s="3" t="str">
        <f>IFERROR(__xludf.DUMMYFUNCTION("INDEX(SPLIT(I348,"" ""),1)"),"#REF!")</f>
        <v>#REF!</v>
      </c>
      <c r="P348" s="3" t="str">
        <f>IFERROR(__xludf.DUMMYFUNCTION("MID(REGEXEXTRACT(I348,"" [^ ]* [^ ]*""),2,300)"),"#REF!")</f>
        <v>#REF!</v>
      </c>
      <c r="Q348" s="3" t="str">
        <f>IFERROR(__xludf.DUMMYFUNCTION("INDEX(SPLIT(J348,"" ""),1)"),"#REF!")</f>
        <v>#REF!</v>
      </c>
      <c r="R348" s="3" t="str">
        <f>IFERROR(__xludf.DUMMYFUNCTION("MID(REGEXEXTRACT(J348,"" [^ ]* [^ ]*""),2,300)"),"#REF!")</f>
        <v>#REF!</v>
      </c>
      <c r="S348" s="3">
        <f t="shared" si="2"/>
        <v>1</v>
      </c>
      <c r="T348" s="3" t="str">
        <f t="shared" si="3"/>
        <v>shiny red</v>
      </c>
      <c r="U348" s="3" t="str">
        <f t="shared" si="4"/>
        <v/>
      </c>
      <c r="V348" s="3" t="str">
        <f t="shared" si="5"/>
        <v/>
      </c>
      <c r="W348" s="3" t="str">
        <f t="shared" si="6"/>
        <v/>
      </c>
      <c r="X348" s="3" t="str">
        <f t="shared" si="7"/>
        <v/>
      </c>
      <c r="Y348" s="3" t="str">
        <f t="shared" si="8"/>
        <v/>
      </c>
      <c r="Z348" s="3" t="str">
        <f t="shared" si="9"/>
        <v/>
      </c>
      <c r="AA348" s="13">
        <f t="shared" si="10"/>
        <v>461699</v>
      </c>
      <c r="AB348" s="3">
        <f t="shared" si="11"/>
        <v>461698</v>
      </c>
      <c r="AC348" s="3">
        <f t="shared" si="12"/>
        <v>1</v>
      </c>
      <c r="AD348" s="3">
        <f t="shared" si="13"/>
        <v>461698</v>
      </c>
      <c r="AE348" s="3" t="str">
        <f t="shared" si="14"/>
        <v/>
      </c>
      <c r="AF348" s="3">
        <f t="shared" si="15"/>
        <v>0</v>
      </c>
      <c r="AG348" s="3" t="str">
        <f t="shared" si="16"/>
        <v/>
      </c>
      <c r="AH348" s="3">
        <f t="shared" si="17"/>
        <v>0</v>
      </c>
      <c r="AI348" s="3" t="str">
        <f t="shared" si="18"/>
        <v/>
      </c>
      <c r="AJ348" s="3">
        <f t="shared" si="19"/>
        <v>0</v>
      </c>
    </row>
    <row r="349">
      <c r="C349" s="6" t="s">
        <v>349</v>
      </c>
      <c r="D349" s="3">
        <f t="shared" si="1"/>
        <v>2</v>
      </c>
      <c r="E349" s="3" t="str">
        <f>IFERROR(__xludf.DUMMYFUNCTION("REGEXEXTRACT(C349,""[^ ]* [^ ]*"")"),"dotted orange")</f>
        <v>dotted orange</v>
      </c>
      <c r="F349" s="3" t="str">
        <f>IFERROR(__xludf.DUMMYFUNCTION("MID(REGEXEXTRACT(C349,""contain.*$""),9,300)"),"2 dotted brown bags, 3 mirrored silver bags, 1 dull tomato bag.")</f>
        <v>2 dotted brown bags, 3 mirrored silver bags, 1 dull tomato bag.</v>
      </c>
      <c r="G349" s="3" t="str">
        <f>IFERROR(__xludf.DUMMYFUNCTION("INDEX(SPLIT($F349,"",""),COLUMN()-6)"),"2 dotted brown bags")</f>
        <v>2 dotted brown bags</v>
      </c>
      <c r="H349" s="3" t="str">
        <f>IFERROR(__xludf.DUMMYFUNCTION("MID(INDEX(SPLIT($F349,"",""),COLUMN()-6),2,300)"),"3 mirrored silver bags")</f>
        <v>3 mirrored silver bags</v>
      </c>
      <c r="I349" s="3" t="str">
        <f>IFERROR(__xludf.DUMMYFUNCTION("MID(INDEX(SPLIT($F349,"",""),COLUMN()-6),2,300)"),"1 dull tomato bag.")</f>
        <v>1 dull tomato bag.</v>
      </c>
      <c r="J349" s="3" t="str">
        <f>IFERROR(__xludf.DUMMYFUNCTION("MID(INDEX(SPLIT($F349,"",""),COLUMN()-6),2,300)"),"#REF!")</f>
        <v>#REF!</v>
      </c>
      <c r="K349" s="3">
        <f>IFERROR(__xludf.DUMMYFUNCTION("INDEX(SPLIT(G349,"" ""),1)"),2.0)</f>
        <v>2</v>
      </c>
      <c r="L349" s="3" t="str">
        <f>IFERROR(__xludf.DUMMYFUNCTION("REGEXEXTRACT(G349,"" [^ ]* [^ ]* "")")," dotted brown ")</f>
        <v> dotted brown </v>
      </c>
      <c r="M349" s="3">
        <f>IFERROR(__xludf.DUMMYFUNCTION("INDEX(SPLIT(H349,"" ""),1)"),3.0)</f>
        <v>3</v>
      </c>
      <c r="N349" s="3" t="str">
        <f>IFERROR(__xludf.DUMMYFUNCTION("MID(REGEXEXTRACT(H349,"" [^ ]* [^ ]*""),2,300)"),"mirrored silver")</f>
        <v>mirrored silver</v>
      </c>
      <c r="O349" s="3">
        <f>IFERROR(__xludf.DUMMYFUNCTION("INDEX(SPLIT(I349,"" ""),1)"),1.0)</f>
        <v>1</v>
      </c>
      <c r="P349" s="3" t="str">
        <f>IFERROR(__xludf.DUMMYFUNCTION("MID(REGEXEXTRACT(I349,"" [^ ]* [^ ]*""),2,300)"),"dull tomato")</f>
        <v>dull tomato</v>
      </c>
      <c r="Q349" s="3" t="str">
        <f>IFERROR(__xludf.DUMMYFUNCTION("INDEX(SPLIT(J349,"" ""),1)"),"#REF!")</f>
        <v>#REF!</v>
      </c>
      <c r="R349" s="3" t="str">
        <f>IFERROR(__xludf.DUMMYFUNCTION("MID(REGEXEXTRACT(J349,"" [^ ]* [^ ]*""),2,300)"),"#REF!")</f>
        <v>#REF!</v>
      </c>
      <c r="S349" s="3">
        <f t="shared" si="2"/>
        <v>2</v>
      </c>
      <c r="T349" s="3" t="str">
        <f t="shared" si="3"/>
        <v>dotted brown</v>
      </c>
      <c r="U349" s="3">
        <f t="shared" si="4"/>
        <v>3</v>
      </c>
      <c r="V349" s="3" t="str">
        <f t="shared" si="5"/>
        <v>mirrored silver</v>
      </c>
      <c r="W349" s="3">
        <f t="shared" si="6"/>
        <v>1</v>
      </c>
      <c r="X349" s="3" t="str">
        <f t="shared" si="7"/>
        <v>dull tomato</v>
      </c>
      <c r="Y349" s="3" t="str">
        <f t="shared" si="8"/>
        <v/>
      </c>
      <c r="Z349" s="3" t="str">
        <f t="shared" si="9"/>
        <v/>
      </c>
      <c r="AA349" s="13">
        <f t="shared" si="10"/>
        <v>1780</v>
      </c>
      <c r="AB349" s="3">
        <f t="shared" si="11"/>
        <v>1779</v>
      </c>
      <c r="AC349" s="3">
        <f t="shared" si="12"/>
        <v>2</v>
      </c>
      <c r="AD349" s="3">
        <f t="shared" si="13"/>
        <v>305</v>
      </c>
      <c r="AE349" s="3">
        <f t="shared" si="14"/>
        <v>3</v>
      </c>
      <c r="AF349" s="3">
        <f t="shared" si="15"/>
        <v>386</v>
      </c>
      <c r="AG349" s="3">
        <f t="shared" si="16"/>
        <v>1</v>
      </c>
      <c r="AH349" s="3">
        <f t="shared" si="17"/>
        <v>11</v>
      </c>
      <c r="AI349" s="3" t="str">
        <f t="shared" si="18"/>
        <v/>
      </c>
      <c r="AJ349" s="3">
        <f t="shared" si="19"/>
        <v>0</v>
      </c>
    </row>
    <row r="350">
      <c r="C350" s="6" t="s">
        <v>350</v>
      </c>
      <c r="D350" s="3">
        <f t="shared" si="1"/>
        <v>1</v>
      </c>
      <c r="E350" s="3" t="str">
        <f>IFERROR(__xludf.DUMMYFUNCTION("REGEXEXTRACT(C350,""[^ ]* [^ ]*"")"),"wavy purple")</f>
        <v>wavy purple</v>
      </c>
      <c r="F350" s="3" t="str">
        <f>IFERROR(__xludf.DUMMYFUNCTION("MID(REGEXEXTRACT(C350,""contain.*$""),9,300)"),"1 mirrored green bag, 1 clear maroon bag.")</f>
        <v>1 mirrored green bag, 1 clear maroon bag.</v>
      </c>
      <c r="G350" s="3" t="str">
        <f>IFERROR(__xludf.DUMMYFUNCTION("INDEX(SPLIT($F350,"",""),COLUMN()-6)"),"1 mirrored green bag")</f>
        <v>1 mirrored green bag</v>
      </c>
      <c r="H350" s="3" t="str">
        <f>IFERROR(__xludf.DUMMYFUNCTION("MID(INDEX(SPLIT($F350,"",""),COLUMN()-6),2,300)"),"1 clear maroon bag.")</f>
        <v>1 clear maroon bag.</v>
      </c>
      <c r="I350" s="3" t="str">
        <f>IFERROR(__xludf.DUMMYFUNCTION("MID(INDEX(SPLIT($F350,"",""),COLUMN()-6),2,300)"),"#REF!")</f>
        <v>#REF!</v>
      </c>
      <c r="J350" s="3" t="str">
        <f>IFERROR(__xludf.DUMMYFUNCTION("MID(INDEX(SPLIT($F350,"",""),COLUMN()-6),2,300)"),"#REF!")</f>
        <v>#REF!</v>
      </c>
      <c r="K350" s="3">
        <f>IFERROR(__xludf.DUMMYFUNCTION("INDEX(SPLIT(G350,"" ""),1)"),1.0)</f>
        <v>1</v>
      </c>
      <c r="L350" s="3" t="str">
        <f>IFERROR(__xludf.DUMMYFUNCTION("REGEXEXTRACT(G350,"" [^ ]* [^ ]* "")")," mirrored green ")</f>
        <v> mirrored green </v>
      </c>
      <c r="M350" s="3">
        <f>IFERROR(__xludf.DUMMYFUNCTION("INDEX(SPLIT(H350,"" ""),1)"),1.0)</f>
        <v>1</v>
      </c>
      <c r="N350" s="3" t="str">
        <f>IFERROR(__xludf.DUMMYFUNCTION("MID(REGEXEXTRACT(H350,"" [^ ]* [^ ]*""),2,300)"),"clear maroon")</f>
        <v>clear maroon</v>
      </c>
      <c r="O350" s="3" t="str">
        <f>IFERROR(__xludf.DUMMYFUNCTION("INDEX(SPLIT(I350,"" ""),1)"),"#REF!")</f>
        <v>#REF!</v>
      </c>
      <c r="P350" s="3" t="str">
        <f>IFERROR(__xludf.DUMMYFUNCTION("MID(REGEXEXTRACT(I350,"" [^ ]* [^ ]*""),2,300)"),"#REF!")</f>
        <v>#REF!</v>
      </c>
      <c r="Q350" s="3" t="str">
        <f>IFERROR(__xludf.DUMMYFUNCTION("INDEX(SPLIT(J350,"" ""),1)"),"#REF!")</f>
        <v>#REF!</v>
      </c>
      <c r="R350" s="3" t="str">
        <f>IFERROR(__xludf.DUMMYFUNCTION("MID(REGEXEXTRACT(J350,"" [^ ]* [^ ]*""),2,300)"),"#REF!")</f>
        <v>#REF!</v>
      </c>
      <c r="S350" s="3">
        <f t="shared" si="2"/>
        <v>1</v>
      </c>
      <c r="T350" s="3" t="str">
        <f t="shared" si="3"/>
        <v>mirrored green</v>
      </c>
      <c r="U350" s="3">
        <f t="shared" si="4"/>
        <v>1</v>
      </c>
      <c r="V350" s="3" t="str">
        <f t="shared" si="5"/>
        <v>clear maroon</v>
      </c>
      <c r="W350" s="3" t="str">
        <f t="shared" si="6"/>
        <v/>
      </c>
      <c r="X350" s="3" t="str">
        <f t="shared" si="7"/>
        <v/>
      </c>
      <c r="Y350" s="3" t="str">
        <f t="shared" si="8"/>
        <v/>
      </c>
      <c r="Z350" s="3" t="str">
        <f t="shared" si="9"/>
        <v/>
      </c>
      <c r="AA350" s="13">
        <f t="shared" si="10"/>
        <v>26808613</v>
      </c>
      <c r="AB350" s="3">
        <f t="shared" si="11"/>
        <v>26808612</v>
      </c>
      <c r="AC350" s="3">
        <f t="shared" si="12"/>
        <v>1</v>
      </c>
      <c r="AD350" s="3">
        <f t="shared" si="13"/>
        <v>399804</v>
      </c>
      <c r="AE350" s="3">
        <f t="shared" si="14"/>
        <v>1</v>
      </c>
      <c r="AF350" s="3">
        <f t="shared" si="15"/>
        <v>26408808</v>
      </c>
      <c r="AG350" s="3" t="str">
        <f t="shared" si="16"/>
        <v/>
      </c>
      <c r="AH350" s="3">
        <f t="shared" si="17"/>
        <v>0</v>
      </c>
      <c r="AI350" s="3" t="str">
        <f t="shared" si="18"/>
        <v/>
      </c>
      <c r="AJ350" s="3">
        <f t="shared" si="19"/>
        <v>0</v>
      </c>
    </row>
    <row r="351">
      <c r="C351" s="6" t="s">
        <v>351</v>
      </c>
      <c r="D351" s="3">
        <f t="shared" si="1"/>
        <v>1</v>
      </c>
      <c r="E351" s="3" t="str">
        <f>IFERROR(__xludf.DUMMYFUNCTION("REGEXEXTRACT(C351,""[^ ]* [^ ]*"")"),"dark coral")</f>
        <v>dark coral</v>
      </c>
      <c r="F351" s="3" t="str">
        <f>IFERROR(__xludf.DUMMYFUNCTION("MID(REGEXEXTRACT(C351,""contain.*$""),9,300)"),"5 bright chartreuse bags, 4 clear lime bags.")</f>
        <v>5 bright chartreuse bags, 4 clear lime bags.</v>
      </c>
      <c r="G351" s="3" t="str">
        <f>IFERROR(__xludf.DUMMYFUNCTION("INDEX(SPLIT($F351,"",""),COLUMN()-6)"),"5 bright chartreuse bags")</f>
        <v>5 bright chartreuse bags</v>
      </c>
      <c r="H351" s="3" t="str">
        <f>IFERROR(__xludf.DUMMYFUNCTION("MID(INDEX(SPLIT($F351,"",""),COLUMN()-6),2,300)"),"4 clear lime bags.")</f>
        <v>4 clear lime bags.</v>
      </c>
      <c r="I351" s="3" t="str">
        <f>IFERROR(__xludf.DUMMYFUNCTION("MID(INDEX(SPLIT($F351,"",""),COLUMN()-6),2,300)"),"#REF!")</f>
        <v>#REF!</v>
      </c>
      <c r="J351" s="3" t="str">
        <f>IFERROR(__xludf.DUMMYFUNCTION("MID(INDEX(SPLIT($F351,"",""),COLUMN()-6),2,300)"),"#REF!")</f>
        <v>#REF!</v>
      </c>
      <c r="K351" s="3">
        <f>IFERROR(__xludf.DUMMYFUNCTION("INDEX(SPLIT(G351,"" ""),1)"),5.0)</f>
        <v>5</v>
      </c>
      <c r="L351" s="3" t="str">
        <f>IFERROR(__xludf.DUMMYFUNCTION("REGEXEXTRACT(G351,"" [^ ]* [^ ]* "")")," bright chartreuse ")</f>
        <v> bright chartreuse </v>
      </c>
      <c r="M351" s="3">
        <f>IFERROR(__xludf.DUMMYFUNCTION("INDEX(SPLIT(H351,"" ""),1)"),4.0)</f>
        <v>4</v>
      </c>
      <c r="N351" s="3" t="str">
        <f>IFERROR(__xludf.DUMMYFUNCTION("MID(REGEXEXTRACT(H351,"" [^ ]* [^ ]*""),2,300)"),"clear lime")</f>
        <v>clear lime</v>
      </c>
      <c r="O351" s="3" t="str">
        <f>IFERROR(__xludf.DUMMYFUNCTION("INDEX(SPLIT(I351,"" ""),1)"),"#REF!")</f>
        <v>#REF!</v>
      </c>
      <c r="P351" s="3" t="str">
        <f>IFERROR(__xludf.DUMMYFUNCTION("MID(REGEXEXTRACT(I351,"" [^ ]* [^ ]*""),2,300)"),"#REF!")</f>
        <v>#REF!</v>
      </c>
      <c r="Q351" s="3" t="str">
        <f>IFERROR(__xludf.DUMMYFUNCTION("INDEX(SPLIT(J351,"" ""),1)"),"#REF!")</f>
        <v>#REF!</v>
      </c>
      <c r="R351" s="3" t="str">
        <f>IFERROR(__xludf.DUMMYFUNCTION("MID(REGEXEXTRACT(J351,"" [^ ]* [^ ]*""),2,300)"),"#REF!")</f>
        <v>#REF!</v>
      </c>
      <c r="S351" s="3">
        <f t="shared" si="2"/>
        <v>5</v>
      </c>
      <c r="T351" s="3" t="str">
        <f t="shared" si="3"/>
        <v>bright chartreuse</v>
      </c>
      <c r="U351" s="3">
        <f t="shared" si="4"/>
        <v>4</v>
      </c>
      <c r="V351" s="3" t="str">
        <f t="shared" si="5"/>
        <v>clear lime</v>
      </c>
      <c r="W351" s="3" t="str">
        <f t="shared" si="6"/>
        <v/>
      </c>
      <c r="X351" s="3" t="str">
        <f t="shared" si="7"/>
        <v/>
      </c>
      <c r="Y351" s="3" t="str">
        <f t="shared" si="8"/>
        <v/>
      </c>
      <c r="Z351" s="3" t="str">
        <f t="shared" si="9"/>
        <v/>
      </c>
      <c r="AA351" s="13">
        <f t="shared" si="10"/>
        <v>3753521</v>
      </c>
      <c r="AB351" s="3">
        <f t="shared" si="11"/>
        <v>3753520</v>
      </c>
      <c r="AC351" s="3">
        <f t="shared" si="12"/>
        <v>5</v>
      </c>
      <c r="AD351" s="3">
        <f t="shared" si="13"/>
        <v>132604</v>
      </c>
      <c r="AE351" s="3">
        <f t="shared" si="14"/>
        <v>4</v>
      </c>
      <c r="AF351" s="3">
        <f t="shared" si="15"/>
        <v>772625</v>
      </c>
      <c r="AG351" s="3" t="str">
        <f t="shared" si="16"/>
        <v/>
      </c>
      <c r="AH351" s="3">
        <f t="shared" si="17"/>
        <v>0</v>
      </c>
      <c r="AI351" s="3" t="str">
        <f t="shared" si="18"/>
        <v/>
      </c>
      <c r="AJ351" s="3">
        <f t="shared" si="19"/>
        <v>0</v>
      </c>
    </row>
    <row r="352">
      <c r="C352" s="6" t="s">
        <v>352</v>
      </c>
      <c r="D352" s="3">
        <f t="shared" si="1"/>
        <v>1</v>
      </c>
      <c r="E352" s="3" t="str">
        <f>IFERROR(__xludf.DUMMYFUNCTION("REGEXEXTRACT(C352,""[^ ]* [^ ]*"")"),"dim lime")</f>
        <v>dim lime</v>
      </c>
      <c r="F352" s="3" t="str">
        <f>IFERROR(__xludf.DUMMYFUNCTION("MID(REGEXEXTRACT(C352,""contain.*$""),9,300)"),"3 bright olive bags, 3 dull gold bags.")</f>
        <v>3 bright olive bags, 3 dull gold bags.</v>
      </c>
      <c r="G352" s="3" t="str">
        <f>IFERROR(__xludf.DUMMYFUNCTION("INDEX(SPLIT($F352,"",""),COLUMN()-6)"),"3 bright olive bags")</f>
        <v>3 bright olive bags</v>
      </c>
      <c r="H352" s="3" t="str">
        <f>IFERROR(__xludf.DUMMYFUNCTION("MID(INDEX(SPLIT($F352,"",""),COLUMN()-6),2,300)"),"3 dull gold bags.")</f>
        <v>3 dull gold bags.</v>
      </c>
      <c r="I352" s="3" t="str">
        <f>IFERROR(__xludf.DUMMYFUNCTION("MID(INDEX(SPLIT($F352,"",""),COLUMN()-6),2,300)"),"#REF!")</f>
        <v>#REF!</v>
      </c>
      <c r="J352" s="3" t="str">
        <f>IFERROR(__xludf.DUMMYFUNCTION("MID(INDEX(SPLIT($F352,"",""),COLUMN()-6),2,300)"),"#REF!")</f>
        <v>#REF!</v>
      </c>
      <c r="K352" s="3">
        <f>IFERROR(__xludf.DUMMYFUNCTION("INDEX(SPLIT(G352,"" ""),1)"),3.0)</f>
        <v>3</v>
      </c>
      <c r="L352" s="3" t="str">
        <f>IFERROR(__xludf.DUMMYFUNCTION("REGEXEXTRACT(G352,"" [^ ]* [^ ]* "")")," bright olive ")</f>
        <v> bright olive </v>
      </c>
      <c r="M352" s="3">
        <f>IFERROR(__xludf.DUMMYFUNCTION("INDEX(SPLIT(H352,"" ""),1)"),3.0)</f>
        <v>3</v>
      </c>
      <c r="N352" s="3" t="str">
        <f>IFERROR(__xludf.DUMMYFUNCTION("MID(REGEXEXTRACT(H352,"" [^ ]* [^ ]*""),2,300)"),"dull gold")</f>
        <v>dull gold</v>
      </c>
      <c r="O352" s="3" t="str">
        <f>IFERROR(__xludf.DUMMYFUNCTION("INDEX(SPLIT(I352,"" ""),1)"),"#REF!")</f>
        <v>#REF!</v>
      </c>
      <c r="P352" s="3" t="str">
        <f>IFERROR(__xludf.DUMMYFUNCTION("MID(REGEXEXTRACT(I352,"" [^ ]* [^ ]*""),2,300)"),"#REF!")</f>
        <v>#REF!</v>
      </c>
      <c r="Q352" s="3" t="str">
        <f>IFERROR(__xludf.DUMMYFUNCTION("INDEX(SPLIT(J352,"" ""),1)"),"#REF!")</f>
        <v>#REF!</v>
      </c>
      <c r="R352" s="3" t="str">
        <f>IFERROR(__xludf.DUMMYFUNCTION("MID(REGEXEXTRACT(J352,"" [^ ]* [^ ]*""),2,300)"),"#REF!")</f>
        <v>#REF!</v>
      </c>
      <c r="S352" s="3">
        <f t="shared" si="2"/>
        <v>3</v>
      </c>
      <c r="T352" s="3" t="str">
        <f t="shared" si="3"/>
        <v>bright olive</v>
      </c>
      <c r="U352" s="3">
        <f t="shared" si="4"/>
        <v>3</v>
      </c>
      <c r="V352" s="3" t="str">
        <f t="shared" si="5"/>
        <v>dull gold</v>
      </c>
      <c r="W352" s="3" t="str">
        <f t="shared" si="6"/>
        <v/>
      </c>
      <c r="X352" s="3" t="str">
        <f t="shared" si="7"/>
        <v/>
      </c>
      <c r="Y352" s="3" t="str">
        <f t="shared" si="8"/>
        <v/>
      </c>
      <c r="Z352" s="3" t="str">
        <f t="shared" si="9"/>
        <v/>
      </c>
      <c r="AA352" s="13">
        <f t="shared" si="10"/>
        <v>8562217</v>
      </c>
      <c r="AB352" s="3">
        <f t="shared" si="11"/>
        <v>8562216</v>
      </c>
      <c r="AC352" s="3">
        <f t="shared" si="12"/>
        <v>3</v>
      </c>
      <c r="AD352" s="3">
        <f t="shared" si="13"/>
        <v>2852291</v>
      </c>
      <c r="AE352" s="3">
        <f t="shared" si="14"/>
        <v>3</v>
      </c>
      <c r="AF352" s="3">
        <f t="shared" si="15"/>
        <v>1781</v>
      </c>
      <c r="AG352" s="3" t="str">
        <f t="shared" si="16"/>
        <v/>
      </c>
      <c r="AH352" s="3">
        <f t="shared" si="17"/>
        <v>0</v>
      </c>
      <c r="AI352" s="3" t="str">
        <f t="shared" si="18"/>
        <v/>
      </c>
      <c r="AJ352" s="3">
        <f t="shared" si="19"/>
        <v>0</v>
      </c>
    </row>
    <row r="353">
      <c r="C353" s="6" t="s">
        <v>353</v>
      </c>
      <c r="D353" s="3">
        <f t="shared" si="1"/>
        <v>2</v>
      </c>
      <c r="E353" s="3" t="str">
        <f>IFERROR(__xludf.DUMMYFUNCTION("REGEXEXTRACT(C353,""[^ ]* [^ ]*"")"),"pale plum")</f>
        <v>pale plum</v>
      </c>
      <c r="F353" s="3" t="str">
        <f>IFERROR(__xludf.DUMMYFUNCTION("MID(REGEXEXTRACT(C353,""contain.*$""),9,300)"),"1 light orange bag, 3 drab orange bags, 5 mirrored purple bags.")</f>
        <v>1 light orange bag, 3 drab orange bags, 5 mirrored purple bags.</v>
      </c>
      <c r="G353" s="3" t="str">
        <f>IFERROR(__xludf.DUMMYFUNCTION("INDEX(SPLIT($F353,"",""),COLUMN()-6)"),"1 light orange bag")</f>
        <v>1 light orange bag</v>
      </c>
      <c r="H353" s="3" t="str">
        <f>IFERROR(__xludf.DUMMYFUNCTION("MID(INDEX(SPLIT($F353,"",""),COLUMN()-6),2,300)"),"3 drab orange bags")</f>
        <v>3 drab orange bags</v>
      </c>
      <c r="I353" s="3" t="str">
        <f>IFERROR(__xludf.DUMMYFUNCTION("MID(INDEX(SPLIT($F353,"",""),COLUMN()-6),2,300)"),"5 mirrored purple bags.")</f>
        <v>5 mirrored purple bags.</v>
      </c>
      <c r="J353" s="3" t="str">
        <f>IFERROR(__xludf.DUMMYFUNCTION("MID(INDEX(SPLIT($F353,"",""),COLUMN()-6),2,300)"),"#REF!")</f>
        <v>#REF!</v>
      </c>
      <c r="K353" s="3">
        <f>IFERROR(__xludf.DUMMYFUNCTION("INDEX(SPLIT(G353,"" ""),1)"),1.0)</f>
        <v>1</v>
      </c>
      <c r="L353" s="3" t="str">
        <f>IFERROR(__xludf.DUMMYFUNCTION("REGEXEXTRACT(G353,"" [^ ]* [^ ]* "")")," light orange ")</f>
        <v> light orange </v>
      </c>
      <c r="M353" s="3">
        <f>IFERROR(__xludf.DUMMYFUNCTION("INDEX(SPLIT(H353,"" ""),1)"),3.0)</f>
        <v>3</v>
      </c>
      <c r="N353" s="3" t="str">
        <f>IFERROR(__xludf.DUMMYFUNCTION("MID(REGEXEXTRACT(H353,"" [^ ]* [^ ]*""),2,300)"),"drab orange")</f>
        <v>drab orange</v>
      </c>
      <c r="O353" s="3">
        <f>IFERROR(__xludf.DUMMYFUNCTION("INDEX(SPLIT(I353,"" ""),1)"),5.0)</f>
        <v>5</v>
      </c>
      <c r="P353" s="3" t="str">
        <f>IFERROR(__xludf.DUMMYFUNCTION("MID(REGEXEXTRACT(I353,"" [^ ]* [^ ]*""),2,300)"),"mirrored purple")</f>
        <v>mirrored purple</v>
      </c>
      <c r="Q353" s="3" t="str">
        <f>IFERROR(__xludf.DUMMYFUNCTION("INDEX(SPLIT(J353,"" ""),1)"),"#REF!")</f>
        <v>#REF!</v>
      </c>
      <c r="R353" s="3" t="str">
        <f>IFERROR(__xludf.DUMMYFUNCTION("MID(REGEXEXTRACT(J353,"" [^ ]* [^ ]*""),2,300)"),"#REF!")</f>
        <v>#REF!</v>
      </c>
      <c r="S353" s="3">
        <f t="shared" si="2"/>
        <v>1</v>
      </c>
      <c r="T353" s="3" t="str">
        <f t="shared" si="3"/>
        <v>light orange</v>
      </c>
      <c r="U353" s="3">
        <f t="shared" si="4"/>
        <v>3</v>
      </c>
      <c r="V353" s="3" t="str">
        <f t="shared" si="5"/>
        <v>drab orange</v>
      </c>
      <c r="W353" s="3">
        <f t="shared" si="6"/>
        <v>5</v>
      </c>
      <c r="X353" s="3" t="str">
        <f t="shared" si="7"/>
        <v>mirrored purple</v>
      </c>
      <c r="Y353" s="3" t="str">
        <f t="shared" si="8"/>
        <v/>
      </c>
      <c r="Z353" s="3" t="str">
        <f t="shared" si="9"/>
        <v/>
      </c>
      <c r="AA353" s="13">
        <f t="shared" si="10"/>
        <v>344908190</v>
      </c>
      <c r="AB353" s="3">
        <f t="shared" si="11"/>
        <v>344908189</v>
      </c>
      <c r="AC353" s="3">
        <f t="shared" si="12"/>
        <v>1</v>
      </c>
      <c r="AD353" s="3">
        <f t="shared" si="13"/>
        <v>4507599</v>
      </c>
      <c r="AE353" s="3">
        <f t="shared" si="14"/>
        <v>3</v>
      </c>
      <c r="AF353" s="3">
        <f t="shared" si="15"/>
        <v>35061170</v>
      </c>
      <c r="AG353" s="3">
        <f t="shared" si="16"/>
        <v>5</v>
      </c>
      <c r="AH353" s="3">
        <f t="shared" si="17"/>
        <v>47043416</v>
      </c>
      <c r="AI353" s="3" t="str">
        <f t="shared" si="18"/>
        <v/>
      </c>
      <c r="AJ353" s="3">
        <f t="shared" si="19"/>
        <v>0</v>
      </c>
    </row>
    <row r="354">
      <c r="C354" s="6" t="s">
        <v>354</v>
      </c>
      <c r="D354" s="3">
        <f t="shared" si="1"/>
        <v>3</v>
      </c>
      <c r="E354" s="3" t="str">
        <f>IFERROR(__xludf.DUMMYFUNCTION("REGEXEXTRACT(C354,""[^ ]* [^ ]*"")"),"dim beige")</f>
        <v>dim beige</v>
      </c>
      <c r="F354" s="3" t="str">
        <f>IFERROR(__xludf.DUMMYFUNCTION("MID(REGEXEXTRACT(C354,""contain.*$""),9,300)"),"5 pale fuchsia bags, 4 mirrored fuchsia bags, 4 plaid teal bags, 1 shiny orange bag.")</f>
        <v>5 pale fuchsia bags, 4 mirrored fuchsia bags, 4 plaid teal bags, 1 shiny orange bag.</v>
      </c>
      <c r="G354" s="3" t="str">
        <f>IFERROR(__xludf.DUMMYFUNCTION("INDEX(SPLIT($F354,"",""),COLUMN()-6)"),"5 pale fuchsia bags")</f>
        <v>5 pale fuchsia bags</v>
      </c>
      <c r="H354" s="3" t="str">
        <f>IFERROR(__xludf.DUMMYFUNCTION("MID(INDEX(SPLIT($F354,"",""),COLUMN()-6),2,300)"),"4 mirrored fuchsia bags")</f>
        <v>4 mirrored fuchsia bags</v>
      </c>
      <c r="I354" s="3" t="str">
        <f>IFERROR(__xludf.DUMMYFUNCTION("MID(INDEX(SPLIT($F354,"",""),COLUMN()-6),2,300)"),"4 plaid teal bags")</f>
        <v>4 plaid teal bags</v>
      </c>
      <c r="J354" s="3" t="str">
        <f>IFERROR(__xludf.DUMMYFUNCTION("MID(INDEX(SPLIT($F354,"",""),COLUMN()-6),2,300)"),"1 shiny orange bag.")</f>
        <v>1 shiny orange bag.</v>
      </c>
      <c r="K354" s="3">
        <f>IFERROR(__xludf.DUMMYFUNCTION("INDEX(SPLIT(G354,"" ""),1)"),5.0)</f>
        <v>5</v>
      </c>
      <c r="L354" s="3" t="str">
        <f>IFERROR(__xludf.DUMMYFUNCTION("REGEXEXTRACT(G354,"" [^ ]* [^ ]* "")")," pale fuchsia ")</f>
        <v> pale fuchsia </v>
      </c>
      <c r="M354" s="3">
        <f>IFERROR(__xludf.DUMMYFUNCTION("INDEX(SPLIT(H354,"" ""),1)"),4.0)</f>
        <v>4</v>
      </c>
      <c r="N354" s="3" t="str">
        <f>IFERROR(__xludf.DUMMYFUNCTION("MID(REGEXEXTRACT(H354,"" [^ ]* [^ ]*""),2,300)"),"mirrored fuchsia")</f>
        <v>mirrored fuchsia</v>
      </c>
      <c r="O354" s="3">
        <f>IFERROR(__xludf.DUMMYFUNCTION("INDEX(SPLIT(I354,"" ""),1)"),4.0)</f>
        <v>4</v>
      </c>
      <c r="P354" s="3" t="str">
        <f>IFERROR(__xludf.DUMMYFUNCTION("MID(REGEXEXTRACT(I354,"" [^ ]* [^ ]*""),2,300)"),"plaid teal")</f>
        <v>plaid teal</v>
      </c>
      <c r="Q354" s="3">
        <f>IFERROR(__xludf.DUMMYFUNCTION("INDEX(SPLIT(J354,"" ""),1)"),1.0)</f>
        <v>1</v>
      </c>
      <c r="R354" s="3" t="str">
        <f>IFERROR(__xludf.DUMMYFUNCTION("MID(REGEXEXTRACT(J354,"" [^ ]* [^ ]*""),2,300)"),"shiny orange")</f>
        <v>shiny orange</v>
      </c>
      <c r="S354" s="3">
        <f t="shared" si="2"/>
        <v>5</v>
      </c>
      <c r="T354" s="3" t="str">
        <f t="shared" si="3"/>
        <v>pale fuchsia</v>
      </c>
      <c r="U354" s="3">
        <f t="shared" si="4"/>
        <v>4</v>
      </c>
      <c r="V354" s="3" t="str">
        <f t="shared" si="5"/>
        <v>mirrored fuchsia</v>
      </c>
      <c r="W354" s="3">
        <f t="shared" si="6"/>
        <v>4</v>
      </c>
      <c r="X354" s="3" t="str">
        <f t="shared" si="7"/>
        <v>plaid teal</v>
      </c>
      <c r="Y354" s="3">
        <f t="shared" si="8"/>
        <v>1</v>
      </c>
      <c r="Z354" s="3" t="str">
        <f t="shared" si="9"/>
        <v>shiny orange</v>
      </c>
      <c r="AA354" s="13">
        <f t="shared" si="10"/>
        <v>7550846724</v>
      </c>
      <c r="AB354" s="3">
        <f t="shared" si="11"/>
        <v>7550846723</v>
      </c>
      <c r="AC354" s="3">
        <f t="shared" si="12"/>
        <v>5</v>
      </c>
      <c r="AD354" s="3">
        <f t="shared" si="13"/>
        <v>577866</v>
      </c>
      <c r="AE354" s="3">
        <f t="shared" si="14"/>
        <v>4</v>
      </c>
      <c r="AF354" s="3">
        <f t="shared" si="15"/>
        <v>8337220</v>
      </c>
      <c r="AG354" s="3">
        <f t="shared" si="16"/>
        <v>4</v>
      </c>
      <c r="AH354" s="3">
        <f t="shared" si="17"/>
        <v>118598</v>
      </c>
      <c r="AI354" s="3">
        <f t="shared" si="18"/>
        <v>1</v>
      </c>
      <c r="AJ354" s="3">
        <f t="shared" si="19"/>
        <v>7514134121</v>
      </c>
    </row>
    <row r="355">
      <c r="C355" s="6" t="s">
        <v>355</v>
      </c>
      <c r="D355" s="3">
        <f t="shared" si="1"/>
        <v>2</v>
      </c>
      <c r="E355" s="3" t="str">
        <f>IFERROR(__xludf.DUMMYFUNCTION("REGEXEXTRACT(C355,""[^ ]* [^ ]*"")"),"drab tan")</f>
        <v>drab tan</v>
      </c>
      <c r="F355" s="3" t="str">
        <f>IFERROR(__xludf.DUMMYFUNCTION("MID(REGEXEXTRACT(C355,""contain.*$""),9,300)"),"5 plaid silver bags, 3 muted crimson bags, 1 clear salmon bag.")</f>
        <v>5 plaid silver bags, 3 muted crimson bags, 1 clear salmon bag.</v>
      </c>
      <c r="G355" s="3" t="str">
        <f>IFERROR(__xludf.DUMMYFUNCTION("INDEX(SPLIT($F355,"",""),COLUMN()-6)"),"5 plaid silver bags")</f>
        <v>5 plaid silver bags</v>
      </c>
      <c r="H355" s="3" t="str">
        <f>IFERROR(__xludf.DUMMYFUNCTION("MID(INDEX(SPLIT($F355,"",""),COLUMN()-6),2,300)"),"3 muted crimson bags")</f>
        <v>3 muted crimson bags</v>
      </c>
      <c r="I355" s="3" t="str">
        <f>IFERROR(__xludf.DUMMYFUNCTION("MID(INDEX(SPLIT($F355,"",""),COLUMN()-6),2,300)"),"1 clear salmon bag.")</f>
        <v>1 clear salmon bag.</v>
      </c>
      <c r="J355" s="3" t="str">
        <f>IFERROR(__xludf.DUMMYFUNCTION("MID(INDEX(SPLIT($F355,"",""),COLUMN()-6),2,300)"),"#REF!")</f>
        <v>#REF!</v>
      </c>
      <c r="K355" s="3">
        <f>IFERROR(__xludf.DUMMYFUNCTION("INDEX(SPLIT(G355,"" ""),1)"),5.0)</f>
        <v>5</v>
      </c>
      <c r="L355" s="3" t="str">
        <f>IFERROR(__xludf.DUMMYFUNCTION("REGEXEXTRACT(G355,"" [^ ]* [^ ]* "")")," plaid silver ")</f>
        <v> plaid silver </v>
      </c>
      <c r="M355" s="3">
        <f>IFERROR(__xludf.DUMMYFUNCTION("INDEX(SPLIT(H355,"" ""),1)"),3.0)</f>
        <v>3</v>
      </c>
      <c r="N355" s="3" t="str">
        <f>IFERROR(__xludf.DUMMYFUNCTION("MID(REGEXEXTRACT(H355,"" [^ ]* [^ ]*""),2,300)"),"muted crimson")</f>
        <v>muted crimson</v>
      </c>
      <c r="O355" s="3">
        <f>IFERROR(__xludf.DUMMYFUNCTION("INDEX(SPLIT(I355,"" ""),1)"),1.0)</f>
        <v>1</v>
      </c>
      <c r="P355" s="3" t="str">
        <f>IFERROR(__xludf.DUMMYFUNCTION("MID(REGEXEXTRACT(I355,"" [^ ]* [^ ]*""),2,300)"),"clear salmon")</f>
        <v>clear salmon</v>
      </c>
      <c r="Q355" s="3" t="str">
        <f>IFERROR(__xludf.DUMMYFUNCTION("INDEX(SPLIT(J355,"" ""),1)"),"#REF!")</f>
        <v>#REF!</v>
      </c>
      <c r="R355" s="3" t="str">
        <f>IFERROR(__xludf.DUMMYFUNCTION("MID(REGEXEXTRACT(J355,"" [^ ]* [^ ]*""),2,300)"),"#REF!")</f>
        <v>#REF!</v>
      </c>
      <c r="S355" s="3">
        <f t="shared" si="2"/>
        <v>5</v>
      </c>
      <c r="T355" s="3" t="str">
        <f t="shared" si="3"/>
        <v>plaid silver</v>
      </c>
      <c r="U355" s="3">
        <f t="shared" si="4"/>
        <v>3</v>
      </c>
      <c r="V355" s="3" t="str">
        <f t="shared" si="5"/>
        <v>muted crimson</v>
      </c>
      <c r="W355" s="3">
        <f t="shared" si="6"/>
        <v>1</v>
      </c>
      <c r="X355" s="3" t="str">
        <f t="shared" si="7"/>
        <v>clear salmon</v>
      </c>
      <c r="Y355" s="3" t="str">
        <f t="shared" si="8"/>
        <v/>
      </c>
      <c r="Z355" s="3" t="str">
        <f t="shared" si="9"/>
        <v/>
      </c>
      <c r="AA355" s="13">
        <f t="shared" si="10"/>
        <v>3591437</v>
      </c>
      <c r="AB355" s="3">
        <f t="shared" si="11"/>
        <v>3591436</v>
      </c>
      <c r="AC355" s="3">
        <f t="shared" si="12"/>
        <v>5</v>
      </c>
      <c r="AD355" s="3">
        <f t="shared" si="13"/>
        <v>86617</v>
      </c>
      <c r="AE355" s="3">
        <f t="shared" si="14"/>
        <v>3</v>
      </c>
      <c r="AF355" s="3">
        <f t="shared" si="15"/>
        <v>621</v>
      </c>
      <c r="AG355" s="3">
        <f t="shared" si="16"/>
        <v>1</v>
      </c>
      <c r="AH355" s="3">
        <f t="shared" si="17"/>
        <v>3156488</v>
      </c>
      <c r="AI355" s="3" t="str">
        <f t="shared" si="18"/>
        <v/>
      </c>
      <c r="AJ355" s="3">
        <f t="shared" si="19"/>
        <v>0</v>
      </c>
    </row>
    <row r="356">
      <c r="C356" s="6" t="s">
        <v>356</v>
      </c>
      <c r="D356" s="3">
        <f t="shared" si="1"/>
        <v>3</v>
      </c>
      <c r="E356" s="3" t="str">
        <f>IFERROR(__xludf.DUMMYFUNCTION("REGEXEXTRACT(C356,""[^ ]* [^ ]*"")"),"posh blue")</f>
        <v>posh blue</v>
      </c>
      <c r="F356" s="3" t="str">
        <f>IFERROR(__xludf.DUMMYFUNCTION("MID(REGEXEXTRACT(C356,""contain.*$""),9,300)"),"4 plaid aqua bags, 2 drab salmon bags, 4 pale teal bags, 2 drab gold bags.")</f>
        <v>4 plaid aqua bags, 2 drab salmon bags, 4 pale teal bags, 2 drab gold bags.</v>
      </c>
      <c r="G356" s="3" t="str">
        <f>IFERROR(__xludf.DUMMYFUNCTION("INDEX(SPLIT($F356,"",""),COLUMN()-6)"),"4 plaid aqua bags")</f>
        <v>4 plaid aqua bags</v>
      </c>
      <c r="H356" s="3" t="str">
        <f>IFERROR(__xludf.DUMMYFUNCTION("MID(INDEX(SPLIT($F356,"",""),COLUMN()-6),2,300)"),"2 drab salmon bags")</f>
        <v>2 drab salmon bags</v>
      </c>
      <c r="I356" s="3" t="str">
        <f>IFERROR(__xludf.DUMMYFUNCTION("MID(INDEX(SPLIT($F356,"",""),COLUMN()-6),2,300)"),"4 pale teal bags")</f>
        <v>4 pale teal bags</v>
      </c>
      <c r="J356" s="3" t="str">
        <f>IFERROR(__xludf.DUMMYFUNCTION("MID(INDEX(SPLIT($F356,"",""),COLUMN()-6),2,300)"),"2 drab gold bags.")</f>
        <v>2 drab gold bags.</v>
      </c>
      <c r="K356" s="3">
        <f>IFERROR(__xludf.DUMMYFUNCTION("INDEX(SPLIT(G356,"" ""),1)"),4.0)</f>
        <v>4</v>
      </c>
      <c r="L356" s="3" t="str">
        <f>IFERROR(__xludf.DUMMYFUNCTION("REGEXEXTRACT(G356,"" [^ ]* [^ ]* "")")," plaid aqua ")</f>
        <v> plaid aqua </v>
      </c>
      <c r="M356" s="3">
        <f>IFERROR(__xludf.DUMMYFUNCTION("INDEX(SPLIT(H356,"" ""),1)"),2.0)</f>
        <v>2</v>
      </c>
      <c r="N356" s="3" t="str">
        <f>IFERROR(__xludf.DUMMYFUNCTION("MID(REGEXEXTRACT(H356,"" [^ ]* [^ ]*""),2,300)"),"drab salmon")</f>
        <v>drab salmon</v>
      </c>
      <c r="O356" s="3">
        <f>IFERROR(__xludf.DUMMYFUNCTION("INDEX(SPLIT(I356,"" ""),1)"),4.0)</f>
        <v>4</v>
      </c>
      <c r="P356" s="3" t="str">
        <f>IFERROR(__xludf.DUMMYFUNCTION("MID(REGEXEXTRACT(I356,"" [^ ]* [^ ]*""),2,300)"),"pale teal")</f>
        <v>pale teal</v>
      </c>
      <c r="Q356" s="3">
        <f>IFERROR(__xludf.DUMMYFUNCTION("INDEX(SPLIT(J356,"" ""),1)"),2.0)</f>
        <v>2</v>
      </c>
      <c r="R356" s="3" t="str">
        <f>IFERROR(__xludf.DUMMYFUNCTION("MID(REGEXEXTRACT(J356,"" [^ ]* [^ ]*""),2,300)"),"drab gold")</f>
        <v>drab gold</v>
      </c>
      <c r="S356" s="3">
        <f t="shared" si="2"/>
        <v>4</v>
      </c>
      <c r="T356" s="3" t="str">
        <f t="shared" si="3"/>
        <v>plaid aqua</v>
      </c>
      <c r="U356" s="3">
        <f t="shared" si="4"/>
        <v>2</v>
      </c>
      <c r="V356" s="3" t="str">
        <f t="shared" si="5"/>
        <v>drab salmon</v>
      </c>
      <c r="W356" s="3">
        <f t="shared" si="6"/>
        <v>4</v>
      </c>
      <c r="X356" s="3" t="str">
        <f t="shared" si="7"/>
        <v>pale teal</v>
      </c>
      <c r="Y356" s="3">
        <f t="shared" si="8"/>
        <v>2</v>
      </c>
      <c r="Z356" s="3" t="str">
        <f t="shared" si="9"/>
        <v>drab gold</v>
      </c>
      <c r="AA356" s="13">
        <f t="shared" si="10"/>
        <v>1267885943</v>
      </c>
      <c r="AB356" s="3">
        <f t="shared" si="11"/>
        <v>1267885942</v>
      </c>
      <c r="AC356" s="3">
        <f t="shared" si="12"/>
        <v>4</v>
      </c>
      <c r="AD356" s="3">
        <f t="shared" si="13"/>
        <v>1</v>
      </c>
      <c r="AE356" s="3">
        <f t="shared" si="14"/>
        <v>2</v>
      </c>
      <c r="AF356" s="3">
        <f t="shared" si="15"/>
        <v>15045</v>
      </c>
      <c r="AG356" s="3">
        <f t="shared" si="16"/>
        <v>4</v>
      </c>
      <c r="AH356" s="3">
        <f t="shared" si="17"/>
        <v>314592019</v>
      </c>
      <c r="AI356" s="3">
        <f t="shared" si="18"/>
        <v>2</v>
      </c>
      <c r="AJ356" s="3">
        <f t="shared" si="19"/>
        <v>4743886</v>
      </c>
    </row>
    <row r="357">
      <c r="C357" s="6" t="s">
        <v>357</v>
      </c>
      <c r="D357" s="3">
        <f t="shared" si="1"/>
        <v>0</v>
      </c>
      <c r="E357" s="3" t="str">
        <f>IFERROR(__xludf.DUMMYFUNCTION("REGEXEXTRACT(C357,""[^ ]* [^ ]*"")"),"drab violet")</f>
        <v>drab violet</v>
      </c>
      <c r="F357" s="3" t="str">
        <f>IFERROR(__xludf.DUMMYFUNCTION("MID(REGEXEXTRACT(C357,""contain.*$""),9,300)"),"3 shiny white bags.")</f>
        <v>3 shiny white bags.</v>
      </c>
      <c r="G357" s="3" t="str">
        <f>IFERROR(__xludf.DUMMYFUNCTION("INDEX(SPLIT($F357,"",""),COLUMN()-6)"),"3 shiny white bags.")</f>
        <v>3 shiny white bags.</v>
      </c>
      <c r="H357" s="3" t="str">
        <f>IFERROR(__xludf.DUMMYFUNCTION("MID(INDEX(SPLIT($F357,"",""),COLUMN()-6),2,300)"),"#REF!")</f>
        <v>#REF!</v>
      </c>
      <c r="I357" s="3" t="str">
        <f>IFERROR(__xludf.DUMMYFUNCTION("MID(INDEX(SPLIT($F357,"",""),COLUMN()-6),2,300)"),"#REF!")</f>
        <v>#REF!</v>
      </c>
      <c r="J357" s="3" t="str">
        <f>IFERROR(__xludf.DUMMYFUNCTION("MID(INDEX(SPLIT($F357,"",""),COLUMN()-6),2,300)"),"#REF!")</f>
        <v>#REF!</v>
      </c>
      <c r="K357" s="3">
        <f>IFERROR(__xludf.DUMMYFUNCTION("INDEX(SPLIT(G357,"" ""),1)"),3.0)</f>
        <v>3</v>
      </c>
      <c r="L357" s="3" t="str">
        <f>IFERROR(__xludf.DUMMYFUNCTION("REGEXEXTRACT(G357,"" [^ ]* [^ ]* "")")," shiny white ")</f>
        <v> shiny white </v>
      </c>
      <c r="M357" s="3" t="str">
        <f>IFERROR(__xludf.DUMMYFUNCTION("INDEX(SPLIT(H357,"" ""),1)"),"#REF!")</f>
        <v>#REF!</v>
      </c>
      <c r="N357" s="3" t="str">
        <f>IFERROR(__xludf.DUMMYFUNCTION("MID(REGEXEXTRACT(H357,"" [^ ]* [^ ]*""),2,300)"),"#REF!")</f>
        <v>#REF!</v>
      </c>
      <c r="O357" s="3" t="str">
        <f>IFERROR(__xludf.DUMMYFUNCTION("INDEX(SPLIT(I357,"" ""),1)"),"#REF!")</f>
        <v>#REF!</v>
      </c>
      <c r="P357" s="3" t="str">
        <f>IFERROR(__xludf.DUMMYFUNCTION("MID(REGEXEXTRACT(I357,"" [^ ]* [^ ]*""),2,300)"),"#REF!")</f>
        <v>#REF!</v>
      </c>
      <c r="Q357" s="3" t="str">
        <f>IFERROR(__xludf.DUMMYFUNCTION("INDEX(SPLIT(J357,"" ""),1)"),"#REF!")</f>
        <v>#REF!</v>
      </c>
      <c r="R357" s="3" t="str">
        <f>IFERROR(__xludf.DUMMYFUNCTION("MID(REGEXEXTRACT(J357,"" [^ ]* [^ ]*""),2,300)"),"#REF!")</f>
        <v>#REF!</v>
      </c>
      <c r="S357" s="3">
        <f t="shared" si="2"/>
        <v>3</v>
      </c>
      <c r="T357" s="3" t="str">
        <f t="shared" si="3"/>
        <v>shiny white</v>
      </c>
      <c r="U357" s="3" t="str">
        <f t="shared" si="4"/>
        <v/>
      </c>
      <c r="V357" s="3" t="str">
        <f t="shared" si="5"/>
        <v/>
      </c>
      <c r="W357" s="3" t="str">
        <f t="shared" si="6"/>
        <v/>
      </c>
      <c r="X357" s="3" t="str">
        <f t="shared" si="7"/>
        <v/>
      </c>
      <c r="Y357" s="3" t="str">
        <f t="shared" si="8"/>
        <v/>
      </c>
      <c r="Z357" s="3" t="str">
        <f t="shared" si="9"/>
        <v/>
      </c>
      <c r="AA357" s="13">
        <f t="shared" si="10"/>
        <v>354577</v>
      </c>
      <c r="AB357" s="3">
        <f t="shared" si="11"/>
        <v>354576</v>
      </c>
      <c r="AC357" s="3">
        <f t="shared" si="12"/>
        <v>3</v>
      </c>
      <c r="AD357" s="3">
        <f t="shared" si="13"/>
        <v>118192</v>
      </c>
      <c r="AE357" s="3" t="str">
        <f t="shared" si="14"/>
        <v/>
      </c>
      <c r="AF357" s="3">
        <f t="shared" si="15"/>
        <v>0</v>
      </c>
      <c r="AG357" s="3" t="str">
        <f t="shared" si="16"/>
        <v/>
      </c>
      <c r="AH357" s="3">
        <f t="shared" si="17"/>
        <v>0</v>
      </c>
      <c r="AI357" s="3" t="str">
        <f t="shared" si="18"/>
        <v/>
      </c>
      <c r="AJ357" s="3">
        <f t="shared" si="19"/>
        <v>0</v>
      </c>
    </row>
    <row r="358">
      <c r="C358" s="6" t="s">
        <v>358</v>
      </c>
      <c r="D358" s="3">
        <f t="shared" si="1"/>
        <v>2</v>
      </c>
      <c r="E358" s="3" t="str">
        <f>IFERROR(__xludf.DUMMYFUNCTION("REGEXEXTRACT(C358,""[^ ]* [^ ]*"")"),"shiny plum")</f>
        <v>shiny plum</v>
      </c>
      <c r="F358" s="3" t="str">
        <f>IFERROR(__xludf.DUMMYFUNCTION("MID(REGEXEXTRACT(C358,""contain.*$""),9,300)"),"3 mirrored green bags, 2 dark yellow bags, 3 pale salmon bags.")</f>
        <v>3 mirrored green bags, 2 dark yellow bags, 3 pale salmon bags.</v>
      </c>
      <c r="G358" s="3" t="str">
        <f>IFERROR(__xludf.DUMMYFUNCTION("INDEX(SPLIT($F358,"",""),COLUMN()-6)"),"3 mirrored green bags")</f>
        <v>3 mirrored green bags</v>
      </c>
      <c r="H358" s="3" t="str">
        <f>IFERROR(__xludf.DUMMYFUNCTION("MID(INDEX(SPLIT($F358,"",""),COLUMN()-6),2,300)"),"2 dark yellow bags")</f>
        <v>2 dark yellow bags</v>
      </c>
      <c r="I358" s="3" t="str">
        <f>IFERROR(__xludf.DUMMYFUNCTION("MID(INDEX(SPLIT($F358,"",""),COLUMN()-6),2,300)"),"3 pale salmon bags.")</f>
        <v>3 pale salmon bags.</v>
      </c>
      <c r="J358" s="3" t="str">
        <f>IFERROR(__xludf.DUMMYFUNCTION("MID(INDEX(SPLIT($F358,"",""),COLUMN()-6),2,300)"),"#REF!")</f>
        <v>#REF!</v>
      </c>
      <c r="K358" s="3">
        <f>IFERROR(__xludf.DUMMYFUNCTION("INDEX(SPLIT(G358,"" ""),1)"),3.0)</f>
        <v>3</v>
      </c>
      <c r="L358" s="3" t="str">
        <f>IFERROR(__xludf.DUMMYFUNCTION("REGEXEXTRACT(G358,"" [^ ]* [^ ]* "")")," mirrored green ")</f>
        <v> mirrored green </v>
      </c>
      <c r="M358" s="3">
        <f>IFERROR(__xludf.DUMMYFUNCTION("INDEX(SPLIT(H358,"" ""),1)"),2.0)</f>
        <v>2</v>
      </c>
      <c r="N358" s="3" t="str">
        <f>IFERROR(__xludf.DUMMYFUNCTION("MID(REGEXEXTRACT(H358,"" [^ ]* [^ ]*""),2,300)"),"dark yellow")</f>
        <v>dark yellow</v>
      </c>
      <c r="O358" s="3">
        <f>IFERROR(__xludf.DUMMYFUNCTION("INDEX(SPLIT(I358,"" ""),1)"),3.0)</f>
        <v>3</v>
      </c>
      <c r="P358" s="3" t="str">
        <f>IFERROR(__xludf.DUMMYFUNCTION("MID(REGEXEXTRACT(I358,"" [^ ]* [^ ]*""),2,300)"),"pale salmon")</f>
        <v>pale salmon</v>
      </c>
      <c r="Q358" s="3" t="str">
        <f>IFERROR(__xludf.DUMMYFUNCTION("INDEX(SPLIT(J358,"" ""),1)"),"#REF!")</f>
        <v>#REF!</v>
      </c>
      <c r="R358" s="3" t="str">
        <f>IFERROR(__xludf.DUMMYFUNCTION("MID(REGEXEXTRACT(J358,"" [^ ]* [^ ]*""),2,300)"),"#REF!")</f>
        <v>#REF!</v>
      </c>
      <c r="S358" s="3">
        <f t="shared" si="2"/>
        <v>3</v>
      </c>
      <c r="T358" s="3" t="str">
        <f t="shared" si="3"/>
        <v>mirrored green</v>
      </c>
      <c r="U358" s="3">
        <f t="shared" si="4"/>
        <v>2</v>
      </c>
      <c r="V358" s="3" t="str">
        <f t="shared" si="5"/>
        <v>dark yellow</v>
      </c>
      <c r="W358" s="3">
        <f t="shared" si="6"/>
        <v>3</v>
      </c>
      <c r="X358" s="3" t="str">
        <f t="shared" si="7"/>
        <v>pale salmon</v>
      </c>
      <c r="Y358" s="3" t="str">
        <f t="shared" si="8"/>
        <v/>
      </c>
      <c r="Z358" s="3" t="str">
        <f t="shared" si="9"/>
        <v/>
      </c>
      <c r="AA358" s="13">
        <f t="shared" si="10"/>
        <v>3593402</v>
      </c>
      <c r="AB358" s="3">
        <f t="shared" si="11"/>
        <v>3593401</v>
      </c>
      <c r="AC358" s="3">
        <f t="shared" si="12"/>
        <v>3</v>
      </c>
      <c r="AD358" s="3">
        <f t="shared" si="13"/>
        <v>399804</v>
      </c>
      <c r="AE358" s="3">
        <f t="shared" si="14"/>
        <v>2</v>
      </c>
      <c r="AF358" s="3">
        <f t="shared" si="15"/>
        <v>1182161</v>
      </c>
      <c r="AG358" s="3">
        <f t="shared" si="16"/>
        <v>3</v>
      </c>
      <c r="AH358" s="3">
        <f t="shared" si="17"/>
        <v>9889</v>
      </c>
      <c r="AI358" s="3" t="str">
        <f t="shared" si="18"/>
        <v/>
      </c>
      <c r="AJ358" s="3">
        <f t="shared" si="19"/>
        <v>0</v>
      </c>
    </row>
    <row r="359">
      <c r="C359" s="6" t="s">
        <v>359</v>
      </c>
      <c r="D359" s="3">
        <f t="shared" si="1"/>
        <v>0</v>
      </c>
      <c r="E359" s="3" t="str">
        <f>IFERROR(__xludf.DUMMYFUNCTION("REGEXEXTRACT(C359,""[^ ]* [^ ]*"")"),"pale fuchsia")</f>
        <v>pale fuchsia</v>
      </c>
      <c r="F359" s="3" t="str">
        <f>IFERROR(__xludf.DUMMYFUNCTION("MID(REGEXEXTRACT(C359,""contain.*$""),9,300)"),"5 faded violet bags.")</f>
        <v>5 faded violet bags.</v>
      </c>
      <c r="G359" s="3" t="str">
        <f>IFERROR(__xludf.DUMMYFUNCTION("INDEX(SPLIT($F359,"",""),COLUMN()-6)"),"5 faded violet bags.")</f>
        <v>5 faded violet bags.</v>
      </c>
      <c r="H359" s="3" t="str">
        <f>IFERROR(__xludf.DUMMYFUNCTION("MID(INDEX(SPLIT($F359,"",""),COLUMN()-6),2,300)"),"#REF!")</f>
        <v>#REF!</v>
      </c>
      <c r="I359" s="3" t="str">
        <f>IFERROR(__xludf.DUMMYFUNCTION("MID(INDEX(SPLIT($F359,"",""),COLUMN()-6),2,300)"),"#REF!")</f>
        <v>#REF!</v>
      </c>
      <c r="J359" s="3" t="str">
        <f>IFERROR(__xludf.DUMMYFUNCTION("MID(INDEX(SPLIT($F359,"",""),COLUMN()-6),2,300)"),"#REF!")</f>
        <v>#REF!</v>
      </c>
      <c r="K359" s="3">
        <f>IFERROR(__xludf.DUMMYFUNCTION("INDEX(SPLIT(G359,"" ""),1)"),5.0)</f>
        <v>5</v>
      </c>
      <c r="L359" s="3" t="str">
        <f>IFERROR(__xludf.DUMMYFUNCTION("REGEXEXTRACT(G359,"" [^ ]* [^ ]* "")")," faded violet ")</f>
        <v> faded violet </v>
      </c>
      <c r="M359" s="3" t="str">
        <f>IFERROR(__xludf.DUMMYFUNCTION("INDEX(SPLIT(H359,"" ""),1)"),"#REF!")</f>
        <v>#REF!</v>
      </c>
      <c r="N359" s="3" t="str">
        <f>IFERROR(__xludf.DUMMYFUNCTION("MID(REGEXEXTRACT(H359,"" [^ ]* [^ ]*""),2,300)"),"#REF!")</f>
        <v>#REF!</v>
      </c>
      <c r="O359" s="3" t="str">
        <f>IFERROR(__xludf.DUMMYFUNCTION("INDEX(SPLIT(I359,"" ""),1)"),"#REF!")</f>
        <v>#REF!</v>
      </c>
      <c r="P359" s="3" t="str">
        <f>IFERROR(__xludf.DUMMYFUNCTION("MID(REGEXEXTRACT(I359,"" [^ ]* [^ ]*""),2,300)"),"#REF!")</f>
        <v>#REF!</v>
      </c>
      <c r="Q359" s="3" t="str">
        <f>IFERROR(__xludf.DUMMYFUNCTION("INDEX(SPLIT(J359,"" ""),1)"),"#REF!")</f>
        <v>#REF!</v>
      </c>
      <c r="R359" s="3" t="str">
        <f>IFERROR(__xludf.DUMMYFUNCTION("MID(REGEXEXTRACT(J359,"" [^ ]* [^ ]*""),2,300)"),"#REF!")</f>
        <v>#REF!</v>
      </c>
      <c r="S359" s="3">
        <f t="shared" si="2"/>
        <v>5</v>
      </c>
      <c r="T359" s="3" t="str">
        <f t="shared" si="3"/>
        <v>faded violet</v>
      </c>
      <c r="U359" s="3" t="str">
        <f t="shared" si="4"/>
        <v/>
      </c>
      <c r="V359" s="3" t="str">
        <f t="shared" si="5"/>
        <v/>
      </c>
      <c r="W359" s="3" t="str">
        <f t="shared" si="6"/>
        <v/>
      </c>
      <c r="X359" s="3" t="str">
        <f t="shared" si="7"/>
        <v/>
      </c>
      <c r="Y359" s="3" t="str">
        <f t="shared" si="8"/>
        <v/>
      </c>
      <c r="Z359" s="3" t="str">
        <f t="shared" si="9"/>
        <v/>
      </c>
      <c r="AA359" s="13">
        <f t="shared" si="10"/>
        <v>577866</v>
      </c>
      <c r="AB359" s="3">
        <f t="shared" si="11"/>
        <v>577865</v>
      </c>
      <c r="AC359" s="3">
        <f t="shared" si="12"/>
        <v>5</v>
      </c>
      <c r="AD359" s="3">
        <f t="shared" si="13"/>
        <v>115573</v>
      </c>
      <c r="AE359" s="3" t="str">
        <f t="shared" si="14"/>
        <v/>
      </c>
      <c r="AF359" s="3">
        <f t="shared" si="15"/>
        <v>0</v>
      </c>
      <c r="AG359" s="3" t="str">
        <f t="shared" si="16"/>
        <v/>
      </c>
      <c r="AH359" s="3">
        <f t="shared" si="17"/>
        <v>0</v>
      </c>
      <c r="AI359" s="3" t="str">
        <f t="shared" si="18"/>
        <v/>
      </c>
      <c r="AJ359" s="3">
        <f t="shared" si="19"/>
        <v>0</v>
      </c>
    </row>
    <row r="360">
      <c r="C360" s="6" t="s">
        <v>360</v>
      </c>
      <c r="D360" s="3">
        <f t="shared" si="1"/>
        <v>1</v>
      </c>
      <c r="E360" s="3" t="str">
        <f>IFERROR(__xludf.DUMMYFUNCTION("REGEXEXTRACT(C360,""[^ ]* [^ ]*"")"),"clear fuchsia")</f>
        <v>clear fuchsia</v>
      </c>
      <c r="F360" s="3" t="str">
        <f>IFERROR(__xludf.DUMMYFUNCTION("MID(REGEXEXTRACT(C360,""contain.*$""),9,300)"),"2 dark lavender bags, 3 posh green bags.")</f>
        <v>2 dark lavender bags, 3 posh green bags.</v>
      </c>
      <c r="G360" s="3" t="str">
        <f>IFERROR(__xludf.DUMMYFUNCTION("INDEX(SPLIT($F360,"",""),COLUMN()-6)"),"2 dark lavender bags")</f>
        <v>2 dark lavender bags</v>
      </c>
      <c r="H360" s="3" t="str">
        <f>IFERROR(__xludf.DUMMYFUNCTION("MID(INDEX(SPLIT($F360,"",""),COLUMN()-6),2,300)"),"3 posh green bags.")</f>
        <v>3 posh green bags.</v>
      </c>
      <c r="I360" s="3" t="str">
        <f>IFERROR(__xludf.DUMMYFUNCTION("MID(INDEX(SPLIT($F360,"",""),COLUMN()-6),2,300)"),"#REF!")</f>
        <v>#REF!</v>
      </c>
      <c r="J360" s="3" t="str">
        <f>IFERROR(__xludf.DUMMYFUNCTION("MID(INDEX(SPLIT($F360,"",""),COLUMN()-6),2,300)"),"#REF!")</f>
        <v>#REF!</v>
      </c>
      <c r="K360" s="3">
        <f>IFERROR(__xludf.DUMMYFUNCTION("INDEX(SPLIT(G360,"" ""),1)"),2.0)</f>
        <v>2</v>
      </c>
      <c r="L360" s="3" t="str">
        <f>IFERROR(__xludf.DUMMYFUNCTION("REGEXEXTRACT(G360,"" [^ ]* [^ ]* "")")," dark lavender ")</f>
        <v> dark lavender </v>
      </c>
      <c r="M360" s="3">
        <f>IFERROR(__xludf.DUMMYFUNCTION("INDEX(SPLIT(H360,"" ""),1)"),3.0)</f>
        <v>3</v>
      </c>
      <c r="N360" s="3" t="str">
        <f>IFERROR(__xludf.DUMMYFUNCTION("MID(REGEXEXTRACT(H360,"" [^ ]* [^ ]*""),2,300)"),"posh green")</f>
        <v>posh green</v>
      </c>
      <c r="O360" s="3" t="str">
        <f>IFERROR(__xludf.DUMMYFUNCTION("INDEX(SPLIT(I360,"" ""),1)"),"#REF!")</f>
        <v>#REF!</v>
      </c>
      <c r="P360" s="3" t="str">
        <f>IFERROR(__xludf.DUMMYFUNCTION("MID(REGEXEXTRACT(I360,"" [^ ]* [^ ]*""),2,300)"),"#REF!")</f>
        <v>#REF!</v>
      </c>
      <c r="Q360" s="3" t="str">
        <f>IFERROR(__xludf.DUMMYFUNCTION("INDEX(SPLIT(J360,"" ""),1)"),"#REF!")</f>
        <v>#REF!</v>
      </c>
      <c r="R360" s="3" t="str">
        <f>IFERROR(__xludf.DUMMYFUNCTION("MID(REGEXEXTRACT(J360,"" [^ ]* [^ ]*""),2,300)"),"#REF!")</f>
        <v>#REF!</v>
      </c>
      <c r="S360" s="3">
        <f t="shared" si="2"/>
        <v>2</v>
      </c>
      <c r="T360" s="3" t="str">
        <f t="shared" si="3"/>
        <v>dark lavender</v>
      </c>
      <c r="U360" s="3">
        <f t="shared" si="4"/>
        <v>3</v>
      </c>
      <c r="V360" s="3" t="str">
        <f t="shared" si="5"/>
        <v>posh green</v>
      </c>
      <c r="W360" s="3" t="str">
        <f t="shared" si="6"/>
        <v/>
      </c>
      <c r="X360" s="3" t="str">
        <f t="shared" si="7"/>
        <v/>
      </c>
      <c r="Y360" s="3" t="str">
        <f t="shared" si="8"/>
        <v/>
      </c>
      <c r="Z360" s="3" t="str">
        <f t="shared" si="9"/>
        <v/>
      </c>
      <c r="AA360" s="13">
        <f t="shared" si="10"/>
        <v>19368</v>
      </c>
      <c r="AB360" s="3">
        <f t="shared" si="11"/>
        <v>19367</v>
      </c>
      <c r="AC360" s="3">
        <f t="shared" si="12"/>
        <v>2</v>
      </c>
      <c r="AD360" s="3">
        <f t="shared" si="13"/>
        <v>133</v>
      </c>
      <c r="AE360" s="3">
        <f t="shared" si="14"/>
        <v>3</v>
      </c>
      <c r="AF360" s="3">
        <f t="shared" si="15"/>
        <v>6367</v>
      </c>
      <c r="AG360" s="3" t="str">
        <f t="shared" si="16"/>
        <v/>
      </c>
      <c r="AH360" s="3">
        <f t="shared" si="17"/>
        <v>0</v>
      </c>
      <c r="AI360" s="3" t="str">
        <f t="shared" si="18"/>
        <v/>
      </c>
      <c r="AJ360" s="3">
        <f t="shared" si="19"/>
        <v>0</v>
      </c>
    </row>
    <row r="361">
      <c r="C361" s="6" t="s">
        <v>361</v>
      </c>
      <c r="D361" s="3">
        <f t="shared" si="1"/>
        <v>0</v>
      </c>
      <c r="E361" s="3" t="str">
        <f>IFERROR(__xludf.DUMMYFUNCTION("REGEXEXTRACT(C361,""[^ ]* [^ ]*"")"),"mirrored lime")</f>
        <v>mirrored lime</v>
      </c>
      <c r="F361" s="3" t="str">
        <f>IFERROR(__xludf.DUMMYFUNCTION("MID(REGEXEXTRACT(C361,""contain.*$""),9,300)"),"3 light bronze bags.")</f>
        <v>3 light bronze bags.</v>
      </c>
      <c r="G361" s="3" t="str">
        <f>IFERROR(__xludf.DUMMYFUNCTION("INDEX(SPLIT($F361,"",""),COLUMN()-6)"),"3 light bronze bags.")</f>
        <v>3 light bronze bags.</v>
      </c>
      <c r="H361" s="3" t="str">
        <f>IFERROR(__xludf.DUMMYFUNCTION("MID(INDEX(SPLIT($F361,"",""),COLUMN()-6),2,300)"),"#REF!")</f>
        <v>#REF!</v>
      </c>
      <c r="I361" s="3" t="str">
        <f>IFERROR(__xludf.DUMMYFUNCTION("MID(INDEX(SPLIT($F361,"",""),COLUMN()-6),2,300)"),"#REF!")</f>
        <v>#REF!</v>
      </c>
      <c r="J361" s="3" t="str">
        <f>IFERROR(__xludf.DUMMYFUNCTION("MID(INDEX(SPLIT($F361,"",""),COLUMN()-6),2,300)"),"#REF!")</f>
        <v>#REF!</v>
      </c>
      <c r="K361" s="3">
        <f>IFERROR(__xludf.DUMMYFUNCTION("INDEX(SPLIT(G361,"" ""),1)"),3.0)</f>
        <v>3</v>
      </c>
      <c r="L361" s="3" t="str">
        <f>IFERROR(__xludf.DUMMYFUNCTION("REGEXEXTRACT(G361,"" [^ ]* [^ ]* "")")," light bronze ")</f>
        <v> light bronze </v>
      </c>
      <c r="M361" s="3" t="str">
        <f>IFERROR(__xludf.DUMMYFUNCTION("INDEX(SPLIT(H361,"" ""),1)"),"#REF!")</f>
        <v>#REF!</v>
      </c>
      <c r="N361" s="3" t="str">
        <f>IFERROR(__xludf.DUMMYFUNCTION("MID(REGEXEXTRACT(H361,"" [^ ]* [^ ]*""),2,300)"),"#REF!")</f>
        <v>#REF!</v>
      </c>
      <c r="O361" s="3" t="str">
        <f>IFERROR(__xludf.DUMMYFUNCTION("INDEX(SPLIT(I361,"" ""),1)"),"#REF!")</f>
        <v>#REF!</v>
      </c>
      <c r="P361" s="3" t="str">
        <f>IFERROR(__xludf.DUMMYFUNCTION("MID(REGEXEXTRACT(I361,"" [^ ]* [^ ]*""),2,300)"),"#REF!")</f>
        <v>#REF!</v>
      </c>
      <c r="Q361" s="3" t="str">
        <f>IFERROR(__xludf.DUMMYFUNCTION("INDEX(SPLIT(J361,"" ""),1)"),"#REF!")</f>
        <v>#REF!</v>
      </c>
      <c r="R361" s="3" t="str">
        <f>IFERROR(__xludf.DUMMYFUNCTION("MID(REGEXEXTRACT(J361,"" [^ ]* [^ ]*""),2,300)"),"#REF!")</f>
        <v>#REF!</v>
      </c>
      <c r="S361" s="3">
        <f t="shared" si="2"/>
        <v>3</v>
      </c>
      <c r="T361" s="3" t="str">
        <f t="shared" si="3"/>
        <v>light bronze</v>
      </c>
      <c r="U361" s="3" t="str">
        <f t="shared" si="4"/>
        <v/>
      </c>
      <c r="V361" s="3" t="str">
        <f t="shared" si="5"/>
        <v/>
      </c>
      <c r="W361" s="3" t="str">
        <f t="shared" si="6"/>
        <v/>
      </c>
      <c r="X361" s="3" t="str">
        <f t="shared" si="7"/>
        <v/>
      </c>
      <c r="Y361" s="3" t="str">
        <f t="shared" si="8"/>
        <v/>
      </c>
      <c r="Z361" s="3" t="str">
        <f t="shared" si="9"/>
        <v/>
      </c>
      <c r="AA361" s="13">
        <f t="shared" si="10"/>
        <v>97231</v>
      </c>
      <c r="AB361" s="3">
        <f t="shared" si="11"/>
        <v>97230</v>
      </c>
      <c r="AC361" s="3">
        <f t="shared" si="12"/>
        <v>3</v>
      </c>
      <c r="AD361" s="3">
        <f t="shared" si="13"/>
        <v>32410</v>
      </c>
      <c r="AE361" s="3" t="str">
        <f t="shared" si="14"/>
        <v/>
      </c>
      <c r="AF361" s="3">
        <f t="shared" si="15"/>
        <v>0</v>
      </c>
      <c r="AG361" s="3" t="str">
        <f t="shared" si="16"/>
        <v/>
      </c>
      <c r="AH361" s="3">
        <f t="shared" si="17"/>
        <v>0</v>
      </c>
      <c r="AI361" s="3" t="str">
        <f t="shared" si="18"/>
        <v/>
      </c>
      <c r="AJ361" s="3">
        <f t="shared" si="19"/>
        <v>0</v>
      </c>
    </row>
    <row r="362">
      <c r="C362" s="6" t="s">
        <v>362</v>
      </c>
      <c r="D362" s="3">
        <f t="shared" si="1"/>
        <v>2</v>
      </c>
      <c r="E362" s="3" t="str">
        <f>IFERROR(__xludf.DUMMYFUNCTION("REGEXEXTRACT(C362,""[^ ]* [^ ]*"")"),"plaid white")</f>
        <v>plaid white</v>
      </c>
      <c r="F362" s="3" t="str">
        <f>IFERROR(__xludf.DUMMYFUNCTION("MID(REGEXEXTRACT(C362,""contain.*$""),9,300)"),"1 dim lavender bag, 4 dim olive bags, 3 clear yellow bags.")</f>
        <v>1 dim lavender bag, 4 dim olive bags, 3 clear yellow bags.</v>
      </c>
      <c r="G362" s="3" t="str">
        <f>IFERROR(__xludf.DUMMYFUNCTION("INDEX(SPLIT($F362,"",""),COLUMN()-6)"),"1 dim lavender bag")</f>
        <v>1 dim lavender bag</v>
      </c>
      <c r="H362" s="3" t="str">
        <f>IFERROR(__xludf.DUMMYFUNCTION("MID(INDEX(SPLIT($F362,"",""),COLUMN()-6),2,300)"),"4 dim olive bags")</f>
        <v>4 dim olive bags</v>
      </c>
      <c r="I362" s="3" t="str">
        <f>IFERROR(__xludf.DUMMYFUNCTION("MID(INDEX(SPLIT($F362,"",""),COLUMN()-6),2,300)"),"3 clear yellow bags.")</f>
        <v>3 clear yellow bags.</v>
      </c>
      <c r="J362" s="3" t="str">
        <f>IFERROR(__xludf.DUMMYFUNCTION("MID(INDEX(SPLIT($F362,"",""),COLUMN()-6),2,300)"),"#REF!")</f>
        <v>#REF!</v>
      </c>
      <c r="K362" s="3">
        <f>IFERROR(__xludf.DUMMYFUNCTION("INDEX(SPLIT(G362,"" ""),1)"),1.0)</f>
        <v>1</v>
      </c>
      <c r="L362" s="3" t="str">
        <f>IFERROR(__xludf.DUMMYFUNCTION("REGEXEXTRACT(G362,"" [^ ]* [^ ]* "")")," dim lavender ")</f>
        <v> dim lavender </v>
      </c>
      <c r="M362" s="3">
        <f>IFERROR(__xludf.DUMMYFUNCTION("INDEX(SPLIT(H362,"" ""),1)"),4.0)</f>
        <v>4</v>
      </c>
      <c r="N362" s="3" t="str">
        <f>IFERROR(__xludf.DUMMYFUNCTION("MID(REGEXEXTRACT(H362,"" [^ ]* [^ ]*""),2,300)"),"dim olive")</f>
        <v>dim olive</v>
      </c>
      <c r="O362" s="3">
        <f>IFERROR(__xludf.DUMMYFUNCTION("INDEX(SPLIT(I362,"" ""),1)"),3.0)</f>
        <v>3</v>
      </c>
      <c r="P362" s="3" t="str">
        <f>IFERROR(__xludf.DUMMYFUNCTION("MID(REGEXEXTRACT(I362,"" [^ ]* [^ ]*""),2,300)"),"clear yellow")</f>
        <v>clear yellow</v>
      </c>
      <c r="Q362" s="3" t="str">
        <f>IFERROR(__xludf.DUMMYFUNCTION("INDEX(SPLIT(J362,"" ""),1)"),"#REF!")</f>
        <v>#REF!</v>
      </c>
      <c r="R362" s="3" t="str">
        <f>IFERROR(__xludf.DUMMYFUNCTION("MID(REGEXEXTRACT(J362,"" [^ ]* [^ ]*""),2,300)"),"#REF!")</f>
        <v>#REF!</v>
      </c>
      <c r="S362" s="3">
        <f t="shared" si="2"/>
        <v>1</v>
      </c>
      <c r="T362" s="3" t="str">
        <f t="shared" si="3"/>
        <v>dim lavender</v>
      </c>
      <c r="U362" s="3">
        <f t="shared" si="4"/>
        <v>4</v>
      </c>
      <c r="V362" s="3" t="str">
        <f t="shared" si="5"/>
        <v>dim olive</v>
      </c>
      <c r="W362" s="3">
        <f t="shared" si="6"/>
        <v>3</v>
      </c>
      <c r="X362" s="3" t="str">
        <f t="shared" si="7"/>
        <v>clear yellow</v>
      </c>
      <c r="Y362" s="3" t="str">
        <f t="shared" si="8"/>
        <v/>
      </c>
      <c r="Z362" s="3" t="str">
        <f t="shared" si="9"/>
        <v/>
      </c>
      <c r="AA362" s="13">
        <f t="shared" si="10"/>
        <v>825737</v>
      </c>
      <c r="AB362" s="3">
        <f t="shared" si="11"/>
        <v>825736</v>
      </c>
      <c r="AC362" s="3">
        <f t="shared" si="12"/>
        <v>1</v>
      </c>
      <c r="AD362" s="3">
        <f t="shared" si="13"/>
        <v>771399</v>
      </c>
      <c r="AE362" s="3">
        <f t="shared" si="14"/>
        <v>4</v>
      </c>
      <c r="AF362" s="3">
        <f t="shared" si="15"/>
        <v>1</v>
      </c>
      <c r="AG362" s="3">
        <f t="shared" si="16"/>
        <v>3</v>
      </c>
      <c r="AH362" s="3">
        <f t="shared" si="17"/>
        <v>18111</v>
      </c>
      <c r="AI362" s="3" t="str">
        <f t="shared" si="18"/>
        <v/>
      </c>
      <c r="AJ362" s="3">
        <f t="shared" si="19"/>
        <v>0</v>
      </c>
    </row>
    <row r="363">
      <c r="C363" s="6" t="s">
        <v>363</v>
      </c>
      <c r="D363" s="3">
        <f t="shared" si="1"/>
        <v>3</v>
      </c>
      <c r="E363" s="3" t="str">
        <f>IFERROR(__xludf.DUMMYFUNCTION("REGEXEXTRACT(C363,""[^ ]* [^ ]*"")"),"striped violet")</f>
        <v>striped violet</v>
      </c>
      <c r="F363" s="3" t="str">
        <f>IFERROR(__xludf.DUMMYFUNCTION("MID(REGEXEXTRACT(C363,""contain.*$""),9,300)"),"4 plaid plum bags, 3 plaid black bags, 4 pale teal bags, 5 wavy magenta bags.")</f>
        <v>4 plaid plum bags, 3 plaid black bags, 4 pale teal bags, 5 wavy magenta bags.</v>
      </c>
      <c r="G363" s="3" t="str">
        <f>IFERROR(__xludf.DUMMYFUNCTION("INDEX(SPLIT($F363,"",""),COLUMN()-6)"),"4 plaid plum bags")</f>
        <v>4 plaid plum bags</v>
      </c>
      <c r="H363" s="3" t="str">
        <f>IFERROR(__xludf.DUMMYFUNCTION("MID(INDEX(SPLIT($F363,"",""),COLUMN()-6),2,300)"),"3 plaid black bags")</f>
        <v>3 plaid black bags</v>
      </c>
      <c r="I363" s="3" t="str">
        <f>IFERROR(__xludf.DUMMYFUNCTION("MID(INDEX(SPLIT($F363,"",""),COLUMN()-6),2,300)"),"4 pale teal bags")</f>
        <v>4 pale teal bags</v>
      </c>
      <c r="J363" s="3" t="str">
        <f>IFERROR(__xludf.DUMMYFUNCTION("MID(INDEX(SPLIT($F363,"",""),COLUMN()-6),2,300)"),"5 wavy magenta bags.")</f>
        <v>5 wavy magenta bags.</v>
      </c>
      <c r="K363" s="3">
        <f>IFERROR(__xludf.DUMMYFUNCTION("INDEX(SPLIT(G363,"" ""),1)"),4.0)</f>
        <v>4</v>
      </c>
      <c r="L363" s="3" t="str">
        <f>IFERROR(__xludf.DUMMYFUNCTION("REGEXEXTRACT(G363,"" [^ ]* [^ ]* "")")," plaid plum ")</f>
        <v> plaid plum </v>
      </c>
      <c r="M363" s="3">
        <f>IFERROR(__xludf.DUMMYFUNCTION("INDEX(SPLIT(H363,"" ""),1)"),3.0)</f>
        <v>3</v>
      </c>
      <c r="N363" s="3" t="str">
        <f>IFERROR(__xludf.DUMMYFUNCTION("MID(REGEXEXTRACT(H363,"" [^ ]* [^ ]*""),2,300)"),"plaid black")</f>
        <v>plaid black</v>
      </c>
      <c r="O363" s="3">
        <f>IFERROR(__xludf.DUMMYFUNCTION("INDEX(SPLIT(I363,"" ""),1)"),4.0)</f>
        <v>4</v>
      </c>
      <c r="P363" s="3" t="str">
        <f>IFERROR(__xludf.DUMMYFUNCTION("MID(REGEXEXTRACT(I363,"" [^ ]* [^ ]*""),2,300)"),"pale teal")</f>
        <v>pale teal</v>
      </c>
      <c r="Q363" s="3">
        <f>IFERROR(__xludf.DUMMYFUNCTION("INDEX(SPLIT(J363,"" ""),1)"),5.0)</f>
        <v>5</v>
      </c>
      <c r="R363" s="3" t="str">
        <f>IFERROR(__xludf.DUMMYFUNCTION("MID(REGEXEXTRACT(J363,"" [^ ]* [^ ]*""),2,300)"),"wavy magenta")</f>
        <v>wavy magenta</v>
      </c>
      <c r="S363" s="3">
        <f t="shared" si="2"/>
        <v>4</v>
      </c>
      <c r="T363" s="3" t="str">
        <f t="shared" si="3"/>
        <v>plaid plum</v>
      </c>
      <c r="U363" s="3">
        <f t="shared" si="4"/>
        <v>3</v>
      </c>
      <c r="V363" s="3" t="str">
        <f t="shared" si="5"/>
        <v>plaid black</v>
      </c>
      <c r="W363" s="3">
        <f t="shared" si="6"/>
        <v>4</v>
      </c>
      <c r="X363" s="3" t="str">
        <f t="shared" si="7"/>
        <v>pale teal</v>
      </c>
      <c r="Y363" s="3">
        <f t="shared" si="8"/>
        <v>5</v>
      </c>
      <c r="Z363" s="3" t="str">
        <f t="shared" si="9"/>
        <v>wavy magenta</v>
      </c>
      <c r="AA363" s="13">
        <f t="shared" si="10"/>
        <v>1693409976</v>
      </c>
      <c r="AB363" s="3">
        <f t="shared" si="11"/>
        <v>1693409975</v>
      </c>
      <c r="AC363" s="3">
        <f t="shared" si="12"/>
        <v>4</v>
      </c>
      <c r="AD363" s="3">
        <f t="shared" si="13"/>
        <v>3599</v>
      </c>
      <c r="AE363" s="3">
        <f t="shared" si="14"/>
        <v>3</v>
      </c>
      <c r="AF363" s="3">
        <f t="shared" si="15"/>
        <v>134718206</v>
      </c>
      <c r="AG363" s="3">
        <f t="shared" si="16"/>
        <v>4</v>
      </c>
      <c r="AH363" s="3">
        <f t="shared" si="17"/>
        <v>314592019</v>
      </c>
      <c r="AI363" s="3">
        <f t="shared" si="18"/>
        <v>5</v>
      </c>
      <c r="AJ363" s="3">
        <f t="shared" si="19"/>
        <v>6174577</v>
      </c>
    </row>
    <row r="364">
      <c r="C364" s="6" t="s">
        <v>364</v>
      </c>
      <c r="D364" s="3">
        <f t="shared" si="1"/>
        <v>1</v>
      </c>
      <c r="E364" s="3" t="str">
        <f>IFERROR(__xludf.DUMMYFUNCTION("REGEXEXTRACT(C364,""[^ ]* [^ ]*"")"),"dark purple")</f>
        <v>dark purple</v>
      </c>
      <c r="F364" s="3" t="str">
        <f>IFERROR(__xludf.DUMMYFUNCTION("MID(REGEXEXTRACT(C364,""contain.*$""),9,300)"),"2 shiny gold bags, 3 faded blue bags.")</f>
        <v>2 shiny gold bags, 3 faded blue bags.</v>
      </c>
      <c r="G364" s="3" t="str">
        <f>IFERROR(__xludf.DUMMYFUNCTION("INDEX(SPLIT($F364,"",""),COLUMN()-6)"),"2 shiny gold bags")</f>
        <v>2 shiny gold bags</v>
      </c>
      <c r="H364" s="3" t="str">
        <f>IFERROR(__xludf.DUMMYFUNCTION("MID(INDEX(SPLIT($F364,"",""),COLUMN()-6),2,300)"),"3 faded blue bags.")</f>
        <v>3 faded blue bags.</v>
      </c>
      <c r="I364" s="3" t="str">
        <f>IFERROR(__xludf.DUMMYFUNCTION("MID(INDEX(SPLIT($F364,"",""),COLUMN()-6),2,300)"),"#REF!")</f>
        <v>#REF!</v>
      </c>
      <c r="J364" s="3" t="str">
        <f>IFERROR(__xludf.DUMMYFUNCTION("MID(INDEX(SPLIT($F364,"",""),COLUMN()-6),2,300)"),"#REF!")</f>
        <v>#REF!</v>
      </c>
      <c r="K364" s="3">
        <f>IFERROR(__xludf.DUMMYFUNCTION("INDEX(SPLIT(G364,"" ""),1)"),2.0)</f>
        <v>2</v>
      </c>
      <c r="L364" s="3" t="str">
        <f>IFERROR(__xludf.DUMMYFUNCTION("REGEXEXTRACT(G364,"" [^ ]* [^ ]* "")")," shiny gold ")</f>
        <v> shiny gold </v>
      </c>
      <c r="M364" s="3">
        <f>IFERROR(__xludf.DUMMYFUNCTION("INDEX(SPLIT(H364,"" ""),1)"),3.0)</f>
        <v>3</v>
      </c>
      <c r="N364" s="3" t="str">
        <f>IFERROR(__xludf.DUMMYFUNCTION("MID(REGEXEXTRACT(H364,"" [^ ]* [^ ]*""),2,300)"),"faded blue")</f>
        <v>faded blue</v>
      </c>
      <c r="O364" s="3" t="str">
        <f>IFERROR(__xludf.DUMMYFUNCTION("INDEX(SPLIT(I364,"" ""),1)"),"#REF!")</f>
        <v>#REF!</v>
      </c>
      <c r="P364" s="3" t="str">
        <f>IFERROR(__xludf.DUMMYFUNCTION("MID(REGEXEXTRACT(I364,"" [^ ]* [^ ]*""),2,300)"),"#REF!")</f>
        <v>#REF!</v>
      </c>
      <c r="Q364" s="3" t="str">
        <f>IFERROR(__xludf.DUMMYFUNCTION("INDEX(SPLIT(J364,"" ""),1)"),"#REF!")</f>
        <v>#REF!</v>
      </c>
      <c r="R364" s="3" t="str">
        <f>IFERROR(__xludf.DUMMYFUNCTION("MID(REGEXEXTRACT(J364,"" [^ ]* [^ ]*""),2,300)"),"#REF!")</f>
        <v>#REF!</v>
      </c>
      <c r="S364" s="3">
        <f t="shared" si="2"/>
        <v>2</v>
      </c>
      <c r="T364" s="3" t="str">
        <f t="shared" si="3"/>
        <v>shiny gold</v>
      </c>
      <c r="U364" s="3">
        <f t="shared" si="4"/>
        <v>3</v>
      </c>
      <c r="V364" s="3" t="str">
        <f t="shared" si="5"/>
        <v>faded blue</v>
      </c>
      <c r="W364" s="3" t="str">
        <f t="shared" si="6"/>
        <v/>
      </c>
      <c r="X364" s="3" t="str">
        <f t="shared" si="7"/>
        <v/>
      </c>
      <c r="Y364" s="3" t="str">
        <f t="shared" si="8"/>
        <v/>
      </c>
      <c r="Z364" s="3" t="str">
        <f t="shared" si="9"/>
        <v/>
      </c>
      <c r="AA364" s="13">
        <f t="shared" si="10"/>
        <v>37917343</v>
      </c>
      <c r="AB364" s="3">
        <f t="shared" si="11"/>
        <v>37917342</v>
      </c>
      <c r="AC364" s="3">
        <f t="shared" si="12"/>
        <v>2</v>
      </c>
      <c r="AD364" s="3">
        <f t="shared" si="13"/>
        <v>12129</v>
      </c>
      <c r="AE364" s="3">
        <f t="shared" si="14"/>
        <v>3</v>
      </c>
      <c r="AF364" s="3">
        <f t="shared" si="15"/>
        <v>12631028</v>
      </c>
      <c r="AG364" s="3" t="str">
        <f t="shared" si="16"/>
        <v/>
      </c>
      <c r="AH364" s="3">
        <f t="shared" si="17"/>
        <v>0</v>
      </c>
      <c r="AI364" s="3" t="str">
        <f t="shared" si="18"/>
        <v/>
      </c>
      <c r="AJ364" s="3">
        <f t="shared" si="19"/>
        <v>0</v>
      </c>
    </row>
    <row r="365">
      <c r="C365" s="6" t="s">
        <v>365</v>
      </c>
      <c r="D365" s="3">
        <f t="shared" si="1"/>
        <v>2</v>
      </c>
      <c r="E365" s="3" t="str">
        <f>IFERROR(__xludf.DUMMYFUNCTION("REGEXEXTRACT(C365,""[^ ]* [^ ]*"")"),"mirrored blue")</f>
        <v>mirrored blue</v>
      </c>
      <c r="F365" s="3" t="str">
        <f>IFERROR(__xludf.DUMMYFUNCTION("MID(REGEXEXTRACT(C365,""contain.*$""),9,300)"),"1 drab fuchsia bag, 4 posh white bags, 3 wavy red bags.")</f>
        <v>1 drab fuchsia bag, 4 posh white bags, 3 wavy red bags.</v>
      </c>
      <c r="G365" s="3" t="str">
        <f>IFERROR(__xludf.DUMMYFUNCTION("INDEX(SPLIT($F365,"",""),COLUMN()-6)"),"1 drab fuchsia bag")</f>
        <v>1 drab fuchsia bag</v>
      </c>
      <c r="H365" s="3" t="str">
        <f>IFERROR(__xludf.DUMMYFUNCTION("MID(INDEX(SPLIT($F365,"",""),COLUMN()-6),2,300)"),"4 posh white bags")</f>
        <v>4 posh white bags</v>
      </c>
      <c r="I365" s="3" t="str">
        <f>IFERROR(__xludf.DUMMYFUNCTION("MID(INDEX(SPLIT($F365,"",""),COLUMN()-6),2,300)"),"3 wavy red bags.")</f>
        <v>3 wavy red bags.</v>
      </c>
      <c r="J365" s="3" t="str">
        <f>IFERROR(__xludf.DUMMYFUNCTION("MID(INDEX(SPLIT($F365,"",""),COLUMN()-6),2,300)"),"#REF!")</f>
        <v>#REF!</v>
      </c>
      <c r="K365" s="3">
        <f>IFERROR(__xludf.DUMMYFUNCTION("INDEX(SPLIT(G365,"" ""),1)"),1.0)</f>
        <v>1</v>
      </c>
      <c r="L365" s="3" t="str">
        <f>IFERROR(__xludf.DUMMYFUNCTION("REGEXEXTRACT(G365,"" [^ ]* [^ ]* "")")," drab fuchsia ")</f>
        <v> drab fuchsia </v>
      </c>
      <c r="M365" s="3">
        <f>IFERROR(__xludf.DUMMYFUNCTION("INDEX(SPLIT(H365,"" ""),1)"),4.0)</f>
        <v>4</v>
      </c>
      <c r="N365" s="3" t="str">
        <f>IFERROR(__xludf.DUMMYFUNCTION("MID(REGEXEXTRACT(H365,"" [^ ]* [^ ]*""),2,300)"),"posh white")</f>
        <v>posh white</v>
      </c>
      <c r="O365" s="3">
        <f>IFERROR(__xludf.DUMMYFUNCTION("INDEX(SPLIT(I365,"" ""),1)"),3.0)</f>
        <v>3</v>
      </c>
      <c r="P365" s="3" t="str">
        <f>IFERROR(__xludf.DUMMYFUNCTION("MID(REGEXEXTRACT(I365,"" [^ ]* [^ ]*""),2,300)"),"wavy red")</f>
        <v>wavy red</v>
      </c>
      <c r="Q365" s="3" t="str">
        <f>IFERROR(__xludf.DUMMYFUNCTION("INDEX(SPLIT(J365,"" ""),1)"),"#REF!")</f>
        <v>#REF!</v>
      </c>
      <c r="R365" s="3" t="str">
        <f>IFERROR(__xludf.DUMMYFUNCTION("MID(REGEXEXTRACT(J365,"" [^ ]* [^ ]*""),2,300)"),"#REF!")</f>
        <v>#REF!</v>
      </c>
      <c r="S365" s="3">
        <f t="shared" si="2"/>
        <v>1</v>
      </c>
      <c r="T365" s="3" t="str">
        <f t="shared" si="3"/>
        <v>drab fuchsia</v>
      </c>
      <c r="U365" s="3">
        <f t="shared" si="4"/>
        <v>4</v>
      </c>
      <c r="V365" s="3" t="str">
        <f t="shared" si="5"/>
        <v>posh white</v>
      </c>
      <c r="W365" s="3">
        <f t="shared" si="6"/>
        <v>3</v>
      </c>
      <c r="X365" s="3" t="str">
        <f t="shared" si="7"/>
        <v>wavy red</v>
      </c>
      <c r="Y365" s="3" t="str">
        <f t="shared" si="8"/>
        <v/>
      </c>
      <c r="Z365" s="3" t="str">
        <f t="shared" si="9"/>
        <v/>
      </c>
      <c r="AA365" s="13">
        <f t="shared" si="10"/>
        <v>158295434</v>
      </c>
      <c r="AB365" s="3">
        <f t="shared" si="11"/>
        <v>158295433</v>
      </c>
      <c r="AC365" s="3">
        <f t="shared" si="12"/>
        <v>1</v>
      </c>
      <c r="AD365" s="3">
        <f t="shared" si="13"/>
        <v>5394972</v>
      </c>
      <c r="AE365" s="3">
        <f t="shared" si="14"/>
        <v>4</v>
      </c>
      <c r="AF365" s="3">
        <f t="shared" si="15"/>
        <v>214915</v>
      </c>
      <c r="AG365" s="3">
        <f t="shared" si="16"/>
        <v>3</v>
      </c>
      <c r="AH365" s="3">
        <f t="shared" si="17"/>
        <v>50680267</v>
      </c>
      <c r="AI365" s="3" t="str">
        <f t="shared" si="18"/>
        <v/>
      </c>
      <c r="AJ365" s="3">
        <f t="shared" si="19"/>
        <v>0</v>
      </c>
    </row>
    <row r="366">
      <c r="C366" s="6" t="s">
        <v>366</v>
      </c>
      <c r="D366" s="3">
        <f t="shared" si="1"/>
        <v>1</v>
      </c>
      <c r="E366" s="3" t="str">
        <f>IFERROR(__xludf.DUMMYFUNCTION("REGEXEXTRACT(C366,""[^ ]* [^ ]*"")"),"pale black")</f>
        <v>pale black</v>
      </c>
      <c r="F366" s="3" t="str">
        <f>IFERROR(__xludf.DUMMYFUNCTION("MID(REGEXEXTRACT(C366,""contain.*$""),9,300)"),"2 dim olive bags, 5 bright brown bags.")</f>
        <v>2 dim olive bags, 5 bright brown bags.</v>
      </c>
      <c r="G366" s="3" t="str">
        <f>IFERROR(__xludf.DUMMYFUNCTION("INDEX(SPLIT($F366,"",""),COLUMN()-6)"),"2 dim olive bags")</f>
        <v>2 dim olive bags</v>
      </c>
      <c r="H366" s="3" t="str">
        <f>IFERROR(__xludf.DUMMYFUNCTION("MID(INDEX(SPLIT($F366,"",""),COLUMN()-6),2,300)"),"5 bright brown bags.")</f>
        <v>5 bright brown bags.</v>
      </c>
      <c r="I366" s="3" t="str">
        <f>IFERROR(__xludf.DUMMYFUNCTION("MID(INDEX(SPLIT($F366,"",""),COLUMN()-6),2,300)"),"#REF!")</f>
        <v>#REF!</v>
      </c>
      <c r="J366" s="3" t="str">
        <f>IFERROR(__xludf.DUMMYFUNCTION("MID(INDEX(SPLIT($F366,"",""),COLUMN()-6),2,300)"),"#REF!")</f>
        <v>#REF!</v>
      </c>
      <c r="K366" s="3">
        <f>IFERROR(__xludf.DUMMYFUNCTION("INDEX(SPLIT(G366,"" ""),1)"),2.0)</f>
        <v>2</v>
      </c>
      <c r="L366" s="3" t="str">
        <f>IFERROR(__xludf.DUMMYFUNCTION("REGEXEXTRACT(G366,"" [^ ]* [^ ]* "")")," dim olive ")</f>
        <v> dim olive </v>
      </c>
      <c r="M366" s="3">
        <f>IFERROR(__xludf.DUMMYFUNCTION("INDEX(SPLIT(H366,"" ""),1)"),5.0)</f>
        <v>5</v>
      </c>
      <c r="N366" s="3" t="str">
        <f>IFERROR(__xludf.DUMMYFUNCTION("MID(REGEXEXTRACT(H366,"" [^ ]* [^ ]*""),2,300)"),"bright brown")</f>
        <v>bright brown</v>
      </c>
      <c r="O366" s="3" t="str">
        <f>IFERROR(__xludf.DUMMYFUNCTION("INDEX(SPLIT(I366,"" ""),1)"),"#REF!")</f>
        <v>#REF!</v>
      </c>
      <c r="P366" s="3" t="str">
        <f>IFERROR(__xludf.DUMMYFUNCTION("MID(REGEXEXTRACT(I366,"" [^ ]* [^ ]*""),2,300)"),"#REF!")</f>
        <v>#REF!</v>
      </c>
      <c r="Q366" s="3" t="str">
        <f>IFERROR(__xludf.DUMMYFUNCTION("INDEX(SPLIT(J366,"" ""),1)"),"#REF!")</f>
        <v>#REF!</v>
      </c>
      <c r="R366" s="3" t="str">
        <f>IFERROR(__xludf.DUMMYFUNCTION("MID(REGEXEXTRACT(J366,"" [^ ]* [^ ]*""),2,300)"),"#REF!")</f>
        <v>#REF!</v>
      </c>
      <c r="S366" s="3">
        <f t="shared" si="2"/>
        <v>2</v>
      </c>
      <c r="T366" s="3" t="str">
        <f t="shared" si="3"/>
        <v>dim olive</v>
      </c>
      <c r="U366" s="3">
        <f t="shared" si="4"/>
        <v>5</v>
      </c>
      <c r="V366" s="3" t="str">
        <f t="shared" si="5"/>
        <v>bright brown</v>
      </c>
      <c r="W366" s="3" t="str">
        <f t="shared" si="6"/>
        <v/>
      </c>
      <c r="X366" s="3" t="str">
        <f t="shared" si="7"/>
        <v/>
      </c>
      <c r="Y366" s="3" t="str">
        <f t="shared" si="8"/>
        <v/>
      </c>
      <c r="Z366" s="3" t="str">
        <f t="shared" si="9"/>
        <v/>
      </c>
      <c r="AA366" s="13">
        <f t="shared" si="10"/>
        <v>8</v>
      </c>
      <c r="AB366" s="3">
        <f t="shared" si="11"/>
        <v>7</v>
      </c>
      <c r="AC366" s="3">
        <f t="shared" si="12"/>
        <v>2</v>
      </c>
      <c r="AD366" s="3">
        <f t="shared" si="13"/>
        <v>1</v>
      </c>
      <c r="AE366" s="3">
        <f t="shared" si="14"/>
        <v>5</v>
      </c>
      <c r="AF366" s="3">
        <f t="shared" si="15"/>
        <v>1</v>
      </c>
      <c r="AG366" s="3" t="str">
        <f t="shared" si="16"/>
        <v/>
      </c>
      <c r="AH366" s="3">
        <f t="shared" si="17"/>
        <v>0</v>
      </c>
      <c r="AI366" s="3" t="str">
        <f t="shared" si="18"/>
        <v/>
      </c>
      <c r="AJ366" s="3">
        <f t="shared" si="19"/>
        <v>0</v>
      </c>
    </row>
    <row r="367">
      <c r="C367" s="6" t="s">
        <v>367</v>
      </c>
      <c r="D367" s="3">
        <f t="shared" si="1"/>
        <v>1</v>
      </c>
      <c r="E367" s="3" t="str">
        <f>IFERROR(__xludf.DUMMYFUNCTION("REGEXEXTRACT(C367,""[^ ]* [^ ]*"")"),"dark brown")</f>
        <v>dark brown</v>
      </c>
      <c r="F367" s="3" t="str">
        <f>IFERROR(__xludf.DUMMYFUNCTION("MID(REGEXEXTRACT(C367,""contain.*$""),9,300)"),"5 dotted purple bags, 2 striped silver bags.")</f>
        <v>5 dotted purple bags, 2 striped silver bags.</v>
      </c>
      <c r="G367" s="3" t="str">
        <f>IFERROR(__xludf.DUMMYFUNCTION("INDEX(SPLIT($F367,"",""),COLUMN()-6)"),"5 dotted purple bags")</f>
        <v>5 dotted purple bags</v>
      </c>
      <c r="H367" s="3" t="str">
        <f>IFERROR(__xludf.DUMMYFUNCTION("MID(INDEX(SPLIT($F367,"",""),COLUMN()-6),2,300)"),"2 striped silver bags.")</f>
        <v>2 striped silver bags.</v>
      </c>
      <c r="I367" s="3" t="str">
        <f>IFERROR(__xludf.DUMMYFUNCTION("MID(INDEX(SPLIT($F367,"",""),COLUMN()-6),2,300)"),"#REF!")</f>
        <v>#REF!</v>
      </c>
      <c r="J367" s="3" t="str">
        <f>IFERROR(__xludf.DUMMYFUNCTION("MID(INDEX(SPLIT($F367,"",""),COLUMN()-6),2,300)"),"#REF!")</f>
        <v>#REF!</v>
      </c>
      <c r="K367" s="3">
        <f>IFERROR(__xludf.DUMMYFUNCTION("INDEX(SPLIT(G367,"" ""),1)"),5.0)</f>
        <v>5</v>
      </c>
      <c r="L367" s="3" t="str">
        <f>IFERROR(__xludf.DUMMYFUNCTION("REGEXEXTRACT(G367,"" [^ ]* [^ ]* "")")," dotted purple ")</f>
        <v> dotted purple </v>
      </c>
      <c r="M367" s="3">
        <f>IFERROR(__xludf.DUMMYFUNCTION("INDEX(SPLIT(H367,"" ""),1)"),2.0)</f>
        <v>2</v>
      </c>
      <c r="N367" s="3" t="str">
        <f>IFERROR(__xludf.DUMMYFUNCTION("MID(REGEXEXTRACT(H367,"" [^ ]* [^ ]*""),2,300)"),"striped silver")</f>
        <v>striped silver</v>
      </c>
      <c r="O367" s="3" t="str">
        <f>IFERROR(__xludf.DUMMYFUNCTION("INDEX(SPLIT(I367,"" ""),1)"),"#REF!")</f>
        <v>#REF!</v>
      </c>
      <c r="P367" s="3" t="str">
        <f>IFERROR(__xludf.DUMMYFUNCTION("MID(REGEXEXTRACT(I367,"" [^ ]* [^ ]*""),2,300)"),"#REF!")</f>
        <v>#REF!</v>
      </c>
      <c r="Q367" s="3" t="str">
        <f>IFERROR(__xludf.DUMMYFUNCTION("INDEX(SPLIT(J367,"" ""),1)"),"#REF!")</f>
        <v>#REF!</v>
      </c>
      <c r="R367" s="3" t="str">
        <f>IFERROR(__xludf.DUMMYFUNCTION("MID(REGEXEXTRACT(J367,"" [^ ]* [^ ]*""),2,300)"),"#REF!")</f>
        <v>#REF!</v>
      </c>
      <c r="S367" s="3">
        <f t="shared" si="2"/>
        <v>5</v>
      </c>
      <c r="T367" s="3" t="str">
        <f t="shared" si="3"/>
        <v>dotted purple</v>
      </c>
      <c r="U367" s="3">
        <f t="shared" si="4"/>
        <v>2</v>
      </c>
      <c r="V367" s="3" t="str">
        <f t="shared" si="5"/>
        <v>striped silver</v>
      </c>
      <c r="W367" s="3" t="str">
        <f t="shared" si="6"/>
        <v/>
      </c>
      <c r="X367" s="3" t="str">
        <f t="shared" si="7"/>
        <v/>
      </c>
      <c r="Y367" s="3" t="str">
        <f t="shared" si="8"/>
        <v/>
      </c>
      <c r="Z367" s="3" t="str">
        <f t="shared" si="9"/>
        <v/>
      </c>
      <c r="AA367" s="13">
        <f t="shared" si="10"/>
        <v>134569</v>
      </c>
      <c r="AB367" s="3">
        <f t="shared" si="11"/>
        <v>134568</v>
      </c>
      <c r="AC367" s="3">
        <f t="shared" si="12"/>
        <v>5</v>
      </c>
      <c r="AD367" s="3">
        <f t="shared" si="13"/>
        <v>19266</v>
      </c>
      <c r="AE367" s="3">
        <f t="shared" si="14"/>
        <v>2</v>
      </c>
      <c r="AF367" s="3">
        <f t="shared" si="15"/>
        <v>19119</v>
      </c>
      <c r="AG367" s="3" t="str">
        <f t="shared" si="16"/>
        <v/>
      </c>
      <c r="AH367" s="3">
        <f t="shared" si="17"/>
        <v>0</v>
      </c>
      <c r="AI367" s="3" t="str">
        <f t="shared" si="18"/>
        <v/>
      </c>
      <c r="AJ367" s="3">
        <f t="shared" si="19"/>
        <v>0</v>
      </c>
    </row>
    <row r="368">
      <c r="C368" s="6" t="s">
        <v>368</v>
      </c>
      <c r="D368" s="3">
        <f t="shared" si="1"/>
        <v>3</v>
      </c>
      <c r="E368" s="3" t="str">
        <f>IFERROR(__xludf.DUMMYFUNCTION("REGEXEXTRACT(C368,""[^ ]* [^ ]*"")"),"muted lavender")</f>
        <v>muted lavender</v>
      </c>
      <c r="F368" s="3" t="str">
        <f>IFERROR(__xludf.DUMMYFUNCTION("MID(REGEXEXTRACT(C368,""contain.*$""),9,300)"),"3 posh brown bags, 2 clear yellow bags, 3 posh coral bags, 1 shiny tan bag.")</f>
        <v>3 posh brown bags, 2 clear yellow bags, 3 posh coral bags, 1 shiny tan bag.</v>
      </c>
      <c r="G368" s="3" t="str">
        <f>IFERROR(__xludf.DUMMYFUNCTION("INDEX(SPLIT($F368,"",""),COLUMN()-6)"),"3 posh brown bags")</f>
        <v>3 posh brown bags</v>
      </c>
      <c r="H368" s="3" t="str">
        <f>IFERROR(__xludf.DUMMYFUNCTION("MID(INDEX(SPLIT($F368,"",""),COLUMN()-6),2,300)"),"2 clear yellow bags")</f>
        <v>2 clear yellow bags</v>
      </c>
      <c r="I368" s="3" t="str">
        <f>IFERROR(__xludf.DUMMYFUNCTION("MID(INDEX(SPLIT($F368,"",""),COLUMN()-6),2,300)"),"3 posh coral bags")</f>
        <v>3 posh coral bags</v>
      </c>
      <c r="J368" s="3" t="str">
        <f>IFERROR(__xludf.DUMMYFUNCTION("MID(INDEX(SPLIT($F368,"",""),COLUMN()-6),2,300)"),"1 shiny tan bag.")</f>
        <v>1 shiny tan bag.</v>
      </c>
      <c r="K368" s="3">
        <f>IFERROR(__xludf.DUMMYFUNCTION("INDEX(SPLIT(G368,"" ""),1)"),3.0)</f>
        <v>3</v>
      </c>
      <c r="L368" s="3" t="str">
        <f>IFERROR(__xludf.DUMMYFUNCTION("REGEXEXTRACT(G368,"" [^ ]* [^ ]* "")")," posh brown ")</f>
        <v> posh brown </v>
      </c>
      <c r="M368" s="3">
        <f>IFERROR(__xludf.DUMMYFUNCTION("INDEX(SPLIT(H368,"" ""),1)"),2.0)</f>
        <v>2</v>
      </c>
      <c r="N368" s="3" t="str">
        <f>IFERROR(__xludf.DUMMYFUNCTION("MID(REGEXEXTRACT(H368,"" [^ ]* [^ ]*""),2,300)"),"clear yellow")</f>
        <v>clear yellow</v>
      </c>
      <c r="O368" s="3">
        <f>IFERROR(__xludf.DUMMYFUNCTION("INDEX(SPLIT(I368,"" ""),1)"),3.0)</f>
        <v>3</v>
      </c>
      <c r="P368" s="3" t="str">
        <f>IFERROR(__xludf.DUMMYFUNCTION("MID(REGEXEXTRACT(I368,"" [^ ]* [^ ]*""),2,300)"),"posh coral")</f>
        <v>posh coral</v>
      </c>
      <c r="Q368" s="3">
        <f>IFERROR(__xludf.DUMMYFUNCTION("INDEX(SPLIT(J368,"" ""),1)"),1.0)</f>
        <v>1</v>
      </c>
      <c r="R368" s="3" t="str">
        <f>IFERROR(__xludf.DUMMYFUNCTION("MID(REGEXEXTRACT(J368,"" [^ ]* [^ ]*""),2,300)"),"shiny tan")</f>
        <v>shiny tan</v>
      </c>
      <c r="S368" s="3">
        <f t="shared" si="2"/>
        <v>3</v>
      </c>
      <c r="T368" s="3" t="str">
        <f t="shared" si="3"/>
        <v>posh brown</v>
      </c>
      <c r="U368" s="3">
        <f t="shared" si="4"/>
        <v>2</v>
      </c>
      <c r="V368" s="3" t="str">
        <f t="shared" si="5"/>
        <v>clear yellow</v>
      </c>
      <c r="W368" s="3">
        <f t="shared" si="6"/>
        <v>3</v>
      </c>
      <c r="X368" s="3" t="str">
        <f t="shared" si="7"/>
        <v>posh coral</v>
      </c>
      <c r="Y368" s="3">
        <f t="shared" si="8"/>
        <v>1</v>
      </c>
      <c r="Z368" s="3" t="str">
        <f t="shared" si="9"/>
        <v>shiny tan</v>
      </c>
      <c r="AA368" s="13">
        <f t="shared" si="10"/>
        <v>214529</v>
      </c>
      <c r="AB368" s="3">
        <f t="shared" si="11"/>
        <v>214528</v>
      </c>
      <c r="AC368" s="3">
        <f t="shared" si="12"/>
        <v>3</v>
      </c>
      <c r="AD368" s="3">
        <f t="shared" si="13"/>
        <v>36149</v>
      </c>
      <c r="AE368" s="3">
        <f t="shared" si="14"/>
        <v>2</v>
      </c>
      <c r="AF368" s="3">
        <f t="shared" si="15"/>
        <v>18111</v>
      </c>
      <c r="AG368" s="3">
        <f t="shared" si="16"/>
        <v>3</v>
      </c>
      <c r="AH368" s="3">
        <f t="shared" si="17"/>
        <v>1</v>
      </c>
      <c r="AI368" s="3">
        <f t="shared" si="18"/>
        <v>1</v>
      </c>
      <c r="AJ368" s="3">
        <f t="shared" si="19"/>
        <v>69856</v>
      </c>
    </row>
    <row r="369">
      <c r="C369" s="6" t="s">
        <v>369</v>
      </c>
      <c r="D369" s="3">
        <f t="shared" si="1"/>
        <v>3</v>
      </c>
      <c r="E369" s="3" t="str">
        <f>IFERROR(__xludf.DUMMYFUNCTION("REGEXEXTRACT(C369,""[^ ]* [^ ]*"")"),"muted bronze")</f>
        <v>muted bronze</v>
      </c>
      <c r="F369" s="3" t="str">
        <f>IFERROR(__xludf.DUMMYFUNCTION("MID(REGEXEXTRACT(C369,""contain.*$""),9,300)"),"1 drab teal bag, 5 drab tomato bags, 1 drab magenta bag, 5 posh maroon bags.")</f>
        <v>1 drab teal bag, 5 drab tomato bags, 1 drab magenta bag, 5 posh maroon bags.</v>
      </c>
      <c r="G369" s="3" t="str">
        <f>IFERROR(__xludf.DUMMYFUNCTION("INDEX(SPLIT($F369,"",""),COLUMN()-6)"),"1 drab teal bag")</f>
        <v>1 drab teal bag</v>
      </c>
      <c r="H369" s="3" t="str">
        <f>IFERROR(__xludf.DUMMYFUNCTION("MID(INDEX(SPLIT($F369,"",""),COLUMN()-6),2,300)"),"5 drab tomato bags")</f>
        <v>5 drab tomato bags</v>
      </c>
      <c r="I369" s="3" t="str">
        <f>IFERROR(__xludf.DUMMYFUNCTION("MID(INDEX(SPLIT($F369,"",""),COLUMN()-6),2,300)"),"1 drab magenta bag")</f>
        <v>1 drab magenta bag</v>
      </c>
      <c r="J369" s="3" t="str">
        <f>IFERROR(__xludf.DUMMYFUNCTION("MID(INDEX(SPLIT($F369,"",""),COLUMN()-6),2,300)"),"5 posh maroon bags.")</f>
        <v>5 posh maroon bags.</v>
      </c>
      <c r="K369" s="3">
        <f>IFERROR(__xludf.DUMMYFUNCTION("INDEX(SPLIT(G369,"" ""),1)"),1.0)</f>
        <v>1</v>
      </c>
      <c r="L369" s="3" t="str">
        <f>IFERROR(__xludf.DUMMYFUNCTION("REGEXEXTRACT(G369,"" [^ ]* [^ ]* "")")," drab teal ")</f>
        <v> drab teal </v>
      </c>
      <c r="M369" s="3">
        <f>IFERROR(__xludf.DUMMYFUNCTION("INDEX(SPLIT(H369,"" ""),1)"),5.0)</f>
        <v>5</v>
      </c>
      <c r="N369" s="3" t="str">
        <f>IFERROR(__xludf.DUMMYFUNCTION("MID(REGEXEXTRACT(H369,"" [^ ]* [^ ]*""),2,300)"),"drab tomato")</f>
        <v>drab tomato</v>
      </c>
      <c r="O369" s="3">
        <f>IFERROR(__xludf.DUMMYFUNCTION("INDEX(SPLIT(I369,"" ""),1)"),1.0)</f>
        <v>1</v>
      </c>
      <c r="P369" s="3" t="str">
        <f>IFERROR(__xludf.DUMMYFUNCTION("MID(REGEXEXTRACT(I369,"" [^ ]* [^ ]*""),2,300)"),"drab magenta")</f>
        <v>drab magenta</v>
      </c>
      <c r="Q369" s="3">
        <f>IFERROR(__xludf.DUMMYFUNCTION("INDEX(SPLIT(J369,"" ""),1)"),5.0)</f>
        <v>5</v>
      </c>
      <c r="R369" s="3" t="str">
        <f>IFERROR(__xludf.DUMMYFUNCTION("MID(REGEXEXTRACT(J369,"" [^ ]* [^ ]*""),2,300)"),"posh maroon")</f>
        <v>posh maroon</v>
      </c>
      <c r="S369" s="3">
        <f t="shared" si="2"/>
        <v>1</v>
      </c>
      <c r="T369" s="3" t="str">
        <f t="shared" si="3"/>
        <v>drab teal</v>
      </c>
      <c r="U369" s="3">
        <f t="shared" si="4"/>
        <v>5</v>
      </c>
      <c r="V369" s="3" t="str">
        <f t="shared" si="5"/>
        <v>drab tomato</v>
      </c>
      <c r="W369" s="3">
        <f t="shared" si="6"/>
        <v>1</v>
      </c>
      <c r="X369" s="3" t="str">
        <f t="shared" si="7"/>
        <v>drab magenta</v>
      </c>
      <c r="Y369" s="3">
        <f t="shared" si="8"/>
        <v>5</v>
      </c>
      <c r="Z369" s="3" t="str">
        <f t="shared" si="9"/>
        <v>posh maroon</v>
      </c>
      <c r="AA369" s="13">
        <f t="shared" si="10"/>
        <v>134923469</v>
      </c>
      <c r="AB369" s="3">
        <f t="shared" si="11"/>
        <v>134923468</v>
      </c>
      <c r="AC369" s="3">
        <f t="shared" si="12"/>
        <v>1</v>
      </c>
      <c r="AD369" s="3">
        <f t="shared" si="13"/>
        <v>40693</v>
      </c>
      <c r="AE369" s="3">
        <f t="shared" si="14"/>
        <v>5</v>
      </c>
      <c r="AF369" s="3">
        <f t="shared" si="15"/>
        <v>38687</v>
      </c>
      <c r="AG369" s="3">
        <f t="shared" si="16"/>
        <v>1</v>
      </c>
      <c r="AH369" s="3">
        <f t="shared" si="17"/>
        <v>1225</v>
      </c>
      <c r="AI369" s="3">
        <f t="shared" si="18"/>
        <v>5</v>
      </c>
      <c r="AJ369" s="3">
        <f t="shared" si="19"/>
        <v>26937623</v>
      </c>
    </row>
    <row r="370">
      <c r="C370" s="6" t="s">
        <v>370</v>
      </c>
      <c r="D370" s="3">
        <f t="shared" si="1"/>
        <v>1</v>
      </c>
      <c r="E370" s="3" t="str">
        <f>IFERROR(__xludf.DUMMYFUNCTION("REGEXEXTRACT(C370,""[^ ]* [^ ]*"")"),"posh violet")</f>
        <v>posh violet</v>
      </c>
      <c r="F370" s="3" t="str">
        <f>IFERROR(__xludf.DUMMYFUNCTION("MID(REGEXEXTRACT(C370,""contain.*$""),9,300)"),"5 bright white bags, 5 vibrant tan bags.")</f>
        <v>5 bright white bags, 5 vibrant tan bags.</v>
      </c>
      <c r="G370" s="3" t="str">
        <f>IFERROR(__xludf.DUMMYFUNCTION("INDEX(SPLIT($F370,"",""),COLUMN()-6)"),"5 bright white bags")</f>
        <v>5 bright white bags</v>
      </c>
      <c r="H370" s="3" t="str">
        <f>IFERROR(__xludf.DUMMYFUNCTION("MID(INDEX(SPLIT($F370,"",""),COLUMN()-6),2,300)"),"5 vibrant tan bags.")</f>
        <v>5 vibrant tan bags.</v>
      </c>
      <c r="I370" s="3" t="str">
        <f>IFERROR(__xludf.DUMMYFUNCTION("MID(INDEX(SPLIT($F370,"",""),COLUMN()-6),2,300)"),"#REF!")</f>
        <v>#REF!</v>
      </c>
      <c r="J370" s="3" t="str">
        <f>IFERROR(__xludf.DUMMYFUNCTION("MID(INDEX(SPLIT($F370,"",""),COLUMN()-6),2,300)"),"#REF!")</f>
        <v>#REF!</v>
      </c>
      <c r="K370" s="3">
        <f>IFERROR(__xludf.DUMMYFUNCTION("INDEX(SPLIT(G370,"" ""),1)"),5.0)</f>
        <v>5</v>
      </c>
      <c r="L370" s="3" t="str">
        <f>IFERROR(__xludf.DUMMYFUNCTION("REGEXEXTRACT(G370,"" [^ ]* [^ ]* "")")," bright white ")</f>
        <v> bright white </v>
      </c>
      <c r="M370" s="3">
        <f>IFERROR(__xludf.DUMMYFUNCTION("INDEX(SPLIT(H370,"" ""),1)"),5.0)</f>
        <v>5</v>
      </c>
      <c r="N370" s="3" t="str">
        <f>IFERROR(__xludf.DUMMYFUNCTION("MID(REGEXEXTRACT(H370,"" [^ ]* [^ ]*""),2,300)"),"vibrant tan")</f>
        <v>vibrant tan</v>
      </c>
      <c r="O370" s="3" t="str">
        <f>IFERROR(__xludf.DUMMYFUNCTION("INDEX(SPLIT(I370,"" ""),1)"),"#REF!")</f>
        <v>#REF!</v>
      </c>
      <c r="P370" s="3" t="str">
        <f>IFERROR(__xludf.DUMMYFUNCTION("MID(REGEXEXTRACT(I370,"" [^ ]* [^ ]*""),2,300)"),"#REF!")</f>
        <v>#REF!</v>
      </c>
      <c r="Q370" s="3" t="str">
        <f>IFERROR(__xludf.DUMMYFUNCTION("INDEX(SPLIT(J370,"" ""),1)"),"#REF!")</f>
        <v>#REF!</v>
      </c>
      <c r="R370" s="3" t="str">
        <f>IFERROR(__xludf.DUMMYFUNCTION("MID(REGEXEXTRACT(J370,"" [^ ]* [^ ]*""),2,300)"),"#REF!")</f>
        <v>#REF!</v>
      </c>
      <c r="S370" s="3">
        <f t="shared" si="2"/>
        <v>5</v>
      </c>
      <c r="T370" s="3" t="str">
        <f t="shared" si="3"/>
        <v>bright white</v>
      </c>
      <c r="U370" s="3">
        <f t="shared" si="4"/>
        <v>5</v>
      </c>
      <c r="V370" s="3" t="str">
        <f t="shared" si="5"/>
        <v>vibrant tan</v>
      </c>
      <c r="W370" s="3" t="str">
        <f t="shared" si="6"/>
        <v/>
      </c>
      <c r="X370" s="3" t="str">
        <f t="shared" si="7"/>
        <v/>
      </c>
      <c r="Y370" s="3" t="str">
        <f t="shared" si="8"/>
        <v/>
      </c>
      <c r="Z370" s="3" t="str">
        <f t="shared" si="9"/>
        <v/>
      </c>
      <c r="AA370" s="13">
        <f t="shared" si="10"/>
        <v>126070296</v>
      </c>
      <c r="AB370" s="3">
        <f t="shared" si="11"/>
        <v>126070295</v>
      </c>
      <c r="AC370" s="3">
        <f t="shared" si="12"/>
        <v>5</v>
      </c>
      <c r="AD370" s="3">
        <f t="shared" si="13"/>
        <v>24984108</v>
      </c>
      <c r="AE370" s="3">
        <f t="shared" si="14"/>
        <v>5</v>
      </c>
      <c r="AF370" s="3">
        <f t="shared" si="15"/>
        <v>229951</v>
      </c>
      <c r="AG370" s="3" t="str">
        <f t="shared" si="16"/>
        <v/>
      </c>
      <c r="AH370" s="3">
        <f t="shared" si="17"/>
        <v>0</v>
      </c>
      <c r="AI370" s="3" t="str">
        <f t="shared" si="18"/>
        <v/>
      </c>
      <c r="AJ370" s="3">
        <f t="shared" si="19"/>
        <v>0</v>
      </c>
    </row>
    <row r="371">
      <c r="C371" s="6" t="s">
        <v>371</v>
      </c>
      <c r="D371" s="3">
        <f t="shared" si="1"/>
        <v>1</v>
      </c>
      <c r="E371" s="3" t="str">
        <f>IFERROR(__xludf.DUMMYFUNCTION("REGEXEXTRACT(C371,""[^ ]* [^ ]*"")"),"clear green")</f>
        <v>clear green</v>
      </c>
      <c r="F371" s="3" t="str">
        <f>IFERROR(__xludf.DUMMYFUNCTION("MID(REGEXEXTRACT(C371,""contain.*$""),9,300)"),"3 mirrored silver bags, 2 dotted orange bags.")</f>
        <v>3 mirrored silver bags, 2 dotted orange bags.</v>
      </c>
      <c r="G371" s="3" t="str">
        <f>IFERROR(__xludf.DUMMYFUNCTION("INDEX(SPLIT($F371,"",""),COLUMN()-6)"),"3 mirrored silver bags")</f>
        <v>3 mirrored silver bags</v>
      </c>
      <c r="H371" s="3" t="str">
        <f>IFERROR(__xludf.DUMMYFUNCTION("MID(INDEX(SPLIT($F371,"",""),COLUMN()-6),2,300)"),"2 dotted orange bags.")</f>
        <v>2 dotted orange bags.</v>
      </c>
      <c r="I371" s="3" t="str">
        <f>IFERROR(__xludf.DUMMYFUNCTION("MID(INDEX(SPLIT($F371,"",""),COLUMN()-6),2,300)"),"#REF!")</f>
        <v>#REF!</v>
      </c>
      <c r="J371" s="3" t="str">
        <f>IFERROR(__xludf.DUMMYFUNCTION("MID(INDEX(SPLIT($F371,"",""),COLUMN()-6),2,300)"),"#REF!")</f>
        <v>#REF!</v>
      </c>
      <c r="K371" s="3">
        <f>IFERROR(__xludf.DUMMYFUNCTION("INDEX(SPLIT(G371,"" ""),1)"),3.0)</f>
        <v>3</v>
      </c>
      <c r="L371" s="3" t="str">
        <f>IFERROR(__xludf.DUMMYFUNCTION("REGEXEXTRACT(G371,"" [^ ]* [^ ]* "")")," mirrored silver ")</f>
        <v> mirrored silver </v>
      </c>
      <c r="M371" s="3">
        <f>IFERROR(__xludf.DUMMYFUNCTION("INDEX(SPLIT(H371,"" ""),1)"),2.0)</f>
        <v>2</v>
      </c>
      <c r="N371" s="3" t="str">
        <f>IFERROR(__xludf.DUMMYFUNCTION("MID(REGEXEXTRACT(H371,"" [^ ]* [^ ]*""),2,300)"),"dotted orange")</f>
        <v>dotted orange</v>
      </c>
      <c r="O371" s="3" t="str">
        <f>IFERROR(__xludf.DUMMYFUNCTION("INDEX(SPLIT(I371,"" ""),1)"),"#REF!")</f>
        <v>#REF!</v>
      </c>
      <c r="P371" s="3" t="str">
        <f>IFERROR(__xludf.DUMMYFUNCTION("MID(REGEXEXTRACT(I371,"" [^ ]* [^ ]*""),2,300)"),"#REF!")</f>
        <v>#REF!</v>
      </c>
      <c r="Q371" s="3" t="str">
        <f>IFERROR(__xludf.DUMMYFUNCTION("INDEX(SPLIT(J371,"" ""),1)"),"#REF!")</f>
        <v>#REF!</v>
      </c>
      <c r="R371" s="3" t="str">
        <f>IFERROR(__xludf.DUMMYFUNCTION("MID(REGEXEXTRACT(J371,"" [^ ]* [^ ]*""),2,300)"),"#REF!")</f>
        <v>#REF!</v>
      </c>
      <c r="S371" s="3">
        <f t="shared" si="2"/>
        <v>3</v>
      </c>
      <c r="T371" s="3" t="str">
        <f t="shared" si="3"/>
        <v>mirrored silver</v>
      </c>
      <c r="U371" s="3">
        <f t="shared" si="4"/>
        <v>2</v>
      </c>
      <c r="V371" s="3" t="str">
        <f t="shared" si="5"/>
        <v>dotted orange</v>
      </c>
      <c r="W371" s="3" t="str">
        <f t="shared" si="6"/>
        <v/>
      </c>
      <c r="X371" s="3" t="str">
        <f t="shared" si="7"/>
        <v/>
      </c>
      <c r="Y371" s="3" t="str">
        <f t="shared" si="8"/>
        <v/>
      </c>
      <c r="Z371" s="3" t="str">
        <f t="shared" si="9"/>
        <v/>
      </c>
      <c r="AA371" s="13">
        <f t="shared" si="10"/>
        <v>4719</v>
      </c>
      <c r="AB371" s="3">
        <f t="shared" si="11"/>
        <v>4718</v>
      </c>
      <c r="AC371" s="3">
        <f t="shared" si="12"/>
        <v>3</v>
      </c>
      <c r="AD371" s="3">
        <f t="shared" si="13"/>
        <v>386</v>
      </c>
      <c r="AE371" s="3">
        <f t="shared" si="14"/>
        <v>2</v>
      </c>
      <c r="AF371" s="3">
        <f t="shared" si="15"/>
        <v>1780</v>
      </c>
      <c r="AG371" s="3" t="str">
        <f t="shared" si="16"/>
        <v/>
      </c>
      <c r="AH371" s="3">
        <f t="shared" si="17"/>
        <v>0</v>
      </c>
      <c r="AI371" s="3" t="str">
        <f t="shared" si="18"/>
        <v/>
      </c>
      <c r="AJ371" s="3">
        <f t="shared" si="19"/>
        <v>0</v>
      </c>
    </row>
    <row r="372">
      <c r="C372" s="6" t="s">
        <v>372</v>
      </c>
      <c r="D372" s="3">
        <f t="shared" si="1"/>
        <v>2</v>
      </c>
      <c r="E372" s="3" t="str">
        <f>IFERROR(__xludf.DUMMYFUNCTION("REGEXEXTRACT(C372,""[^ ]* [^ ]*"")"),"dotted plum")</f>
        <v>dotted plum</v>
      </c>
      <c r="F372" s="3" t="str">
        <f>IFERROR(__xludf.DUMMYFUNCTION("MID(REGEXEXTRACT(C372,""contain.*$""),9,300)"),"3 plaid yellow bags, 1 wavy yellow bag, 1 drab cyan bag.")</f>
        <v>3 plaid yellow bags, 1 wavy yellow bag, 1 drab cyan bag.</v>
      </c>
      <c r="G372" s="3" t="str">
        <f>IFERROR(__xludf.DUMMYFUNCTION("INDEX(SPLIT($F372,"",""),COLUMN()-6)"),"3 plaid yellow bags")</f>
        <v>3 plaid yellow bags</v>
      </c>
      <c r="H372" s="3" t="str">
        <f>IFERROR(__xludf.DUMMYFUNCTION("MID(INDEX(SPLIT($F372,"",""),COLUMN()-6),2,300)"),"1 wavy yellow bag")</f>
        <v>1 wavy yellow bag</v>
      </c>
      <c r="I372" s="3" t="str">
        <f>IFERROR(__xludf.DUMMYFUNCTION("MID(INDEX(SPLIT($F372,"",""),COLUMN()-6),2,300)"),"1 drab cyan bag.")</f>
        <v>1 drab cyan bag.</v>
      </c>
      <c r="J372" s="3" t="str">
        <f>IFERROR(__xludf.DUMMYFUNCTION("MID(INDEX(SPLIT($F372,"",""),COLUMN()-6),2,300)"),"#REF!")</f>
        <v>#REF!</v>
      </c>
      <c r="K372" s="3">
        <f>IFERROR(__xludf.DUMMYFUNCTION("INDEX(SPLIT(G372,"" ""),1)"),3.0)</f>
        <v>3</v>
      </c>
      <c r="L372" s="3" t="str">
        <f>IFERROR(__xludf.DUMMYFUNCTION("REGEXEXTRACT(G372,"" [^ ]* [^ ]* "")")," plaid yellow ")</f>
        <v> plaid yellow </v>
      </c>
      <c r="M372" s="3">
        <f>IFERROR(__xludf.DUMMYFUNCTION("INDEX(SPLIT(H372,"" ""),1)"),1.0)</f>
        <v>1</v>
      </c>
      <c r="N372" s="3" t="str">
        <f>IFERROR(__xludf.DUMMYFUNCTION("MID(REGEXEXTRACT(H372,"" [^ ]* [^ ]*""),2,300)"),"wavy yellow")</f>
        <v>wavy yellow</v>
      </c>
      <c r="O372" s="3">
        <f>IFERROR(__xludf.DUMMYFUNCTION("INDEX(SPLIT(I372,"" ""),1)"),1.0)</f>
        <v>1</v>
      </c>
      <c r="P372" s="3" t="str">
        <f>IFERROR(__xludf.DUMMYFUNCTION("MID(REGEXEXTRACT(I372,"" [^ ]* [^ ]*""),2,300)"),"drab cyan")</f>
        <v>drab cyan</v>
      </c>
      <c r="Q372" s="3" t="str">
        <f>IFERROR(__xludf.DUMMYFUNCTION("INDEX(SPLIT(J372,"" ""),1)"),"#REF!")</f>
        <v>#REF!</v>
      </c>
      <c r="R372" s="3" t="str">
        <f>IFERROR(__xludf.DUMMYFUNCTION("MID(REGEXEXTRACT(J372,"" [^ ]* [^ ]*""),2,300)"),"#REF!")</f>
        <v>#REF!</v>
      </c>
      <c r="S372" s="3">
        <f t="shared" si="2"/>
        <v>3</v>
      </c>
      <c r="T372" s="3" t="str">
        <f t="shared" si="3"/>
        <v>plaid yellow</v>
      </c>
      <c r="U372" s="3">
        <f t="shared" si="4"/>
        <v>1</v>
      </c>
      <c r="V372" s="3" t="str">
        <f t="shared" si="5"/>
        <v>wavy yellow</v>
      </c>
      <c r="W372" s="3">
        <f t="shared" si="6"/>
        <v>1</v>
      </c>
      <c r="X372" s="3" t="str">
        <f t="shared" si="7"/>
        <v>drab cyan</v>
      </c>
      <c r="Y372" s="3" t="str">
        <f t="shared" si="8"/>
        <v/>
      </c>
      <c r="Z372" s="3" t="str">
        <f t="shared" si="9"/>
        <v/>
      </c>
      <c r="AA372" s="13">
        <f t="shared" si="10"/>
        <v>172202520</v>
      </c>
      <c r="AB372" s="3">
        <f t="shared" si="11"/>
        <v>172202519</v>
      </c>
      <c r="AC372" s="3">
        <f t="shared" si="12"/>
        <v>3</v>
      </c>
      <c r="AD372" s="3">
        <f t="shared" si="13"/>
        <v>57101279</v>
      </c>
      <c r="AE372" s="3">
        <f t="shared" si="14"/>
        <v>1</v>
      </c>
      <c r="AF372" s="3">
        <f t="shared" si="15"/>
        <v>25486</v>
      </c>
      <c r="AG372" s="3">
        <f t="shared" si="16"/>
        <v>1</v>
      </c>
      <c r="AH372" s="3">
        <f t="shared" si="17"/>
        <v>873196</v>
      </c>
      <c r="AI372" s="3" t="str">
        <f t="shared" si="18"/>
        <v/>
      </c>
      <c r="AJ372" s="3">
        <f t="shared" si="19"/>
        <v>0</v>
      </c>
    </row>
    <row r="373">
      <c r="C373" s="6" t="s">
        <v>373</v>
      </c>
      <c r="D373" s="3">
        <f t="shared" si="1"/>
        <v>0</v>
      </c>
      <c r="E373" s="3" t="str">
        <f>IFERROR(__xludf.DUMMYFUNCTION("REGEXEXTRACT(C373,""[^ ]* [^ ]*"")"),"drab olive")</f>
        <v>drab olive</v>
      </c>
      <c r="F373" s="3" t="str">
        <f>IFERROR(__xludf.DUMMYFUNCTION("MID(REGEXEXTRACT(C373,""contain.*$""),9,300)"),"1 shiny indigo bag.")</f>
        <v>1 shiny indigo bag.</v>
      </c>
      <c r="G373" s="3" t="str">
        <f>IFERROR(__xludf.DUMMYFUNCTION("INDEX(SPLIT($F373,"",""),COLUMN()-6)"),"1 shiny indigo bag.")</f>
        <v>1 shiny indigo bag.</v>
      </c>
      <c r="H373" s="3" t="str">
        <f>IFERROR(__xludf.DUMMYFUNCTION("MID(INDEX(SPLIT($F373,"",""),COLUMN()-6),2,300)"),"#REF!")</f>
        <v>#REF!</v>
      </c>
      <c r="I373" s="3" t="str">
        <f>IFERROR(__xludf.DUMMYFUNCTION("MID(INDEX(SPLIT($F373,"",""),COLUMN()-6),2,300)"),"#REF!")</f>
        <v>#REF!</v>
      </c>
      <c r="J373" s="3" t="str">
        <f>IFERROR(__xludf.DUMMYFUNCTION("MID(INDEX(SPLIT($F373,"",""),COLUMN()-6),2,300)"),"#REF!")</f>
        <v>#REF!</v>
      </c>
      <c r="K373" s="3">
        <f>IFERROR(__xludf.DUMMYFUNCTION("INDEX(SPLIT(G373,"" ""),1)"),1.0)</f>
        <v>1</v>
      </c>
      <c r="L373" s="3" t="str">
        <f>IFERROR(__xludf.DUMMYFUNCTION("REGEXEXTRACT(G373,"" [^ ]* [^ ]* "")")," shiny indigo ")</f>
        <v> shiny indigo </v>
      </c>
      <c r="M373" s="3" t="str">
        <f>IFERROR(__xludf.DUMMYFUNCTION("INDEX(SPLIT(H373,"" ""),1)"),"#REF!")</f>
        <v>#REF!</v>
      </c>
      <c r="N373" s="3" t="str">
        <f>IFERROR(__xludf.DUMMYFUNCTION("MID(REGEXEXTRACT(H373,"" [^ ]* [^ ]*""),2,300)"),"#REF!")</f>
        <v>#REF!</v>
      </c>
      <c r="O373" s="3" t="str">
        <f>IFERROR(__xludf.DUMMYFUNCTION("INDEX(SPLIT(I373,"" ""),1)"),"#REF!")</f>
        <v>#REF!</v>
      </c>
      <c r="P373" s="3" t="str">
        <f>IFERROR(__xludf.DUMMYFUNCTION("MID(REGEXEXTRACT(I373,"" [^ ]* [^ ]*""),2,300)"),"#REF!")</f>
        <v>#REF!</v>
      </c>
      <c r="Q373" s="3" t="str">
        <f>IFERROR(__xludf.DUMMYFUNCTION("INDEX(SPLIT(J373,"" ""),1)"),"#REF!")</f>
        <v>#REF!</v>
      </c>
      <c r="R373" s="3" t="str">
        <f>IFERROR(__xludf.DUMMYFUNCTION("MID(REGEXEXTRACT(J373,"" [^ ]* [^ ]*""),2,300)"),"#REF!")</f>
        <v>#REF!</v>
      </c>
      <c r="S373" s="3">
        <f t="shared" si="2"/>
        <v>1</v>
      </c>
      <c r="T373" s="3" t="str">
        <f t="shared" si="3"/>
        <v>shiny indigo</v>
      </c>
      <c r="U373" s="3" t="str">
        <f t="shared" si="4"/>
        <v/>
      </c>
      <c r="V373" s="3" t="str">
        <f t="shared" si="5"/>
        <v/>
      </c>
      <c r="W373" s="3" t="str">
        <f t="shared" si="6"/>
        <v/>
      </c>
      <c r="X373" s="3" t="str">
        <f t="shared" si="7"/>
        <v/>
      </c>
      <c r="Y373" s="3" t="str">
        <f t="shared" si="8"/>
        <v/>
      </c>
      <c r="Z373" s="3" t="str">
        <f t="shared" si="9"/>
        <v/>
      </c>
      <c r="AA373" s="13">
        <f t="shared" si="10"/>
        <v>754537</v>
      </c>
      <c r="AB373" s="3">
        <f t="shared" si="11"/>
        <v>754536</v>
      </c>
      <c r="AC373" s="3">
        <f t="shared" si="12"/>
        <v>1</v>
      </c>
      <c r="AD373" s="3">
        <f t="shared" si="13"/>
        <v>754536</v>
      </c>
      <c r="AE373" s="3" t="str">
        <f t="shared" si="14"/>
        <v/>
      </c>
      <c r="AF373" s="3">
        <f t="shared" si="15"/>
        <v>0</v>
      </c>
      <c r="AG373" s="3" t="str">
        <f t="shared" si="16"/>
        <v/>
      </c>
      <c r="AH373" s="3">
        <f t="shared" si="17"/>
        <v>0</v>
      </c>
      <c r="AI373" s="3" t="str">
        <f t="shared" si="18"/>
        <v/>
      </c>
      <c r="AJ373" s="3">
        <f t="shared" si="19"/>
        <v>0</v>
      </c>
    </row>
    <row r="374">
      <c r="C374" s="6" t="s">
        <v>374</v>
      </c>
      <c r="D374" s="3">
        <f t="shared" si="1"/>
        <v>0</v>
      </c>
      <c r="E374" s="3" t="str">
        <f>IFERROR(__xludf.DUMMYFUNCTION("REGEXEXTRACT(C374,""[^ ]* [^ ]*"")"),"wavy turquoise")</f>
        <v>wavy turquoise</v>
      </c>
      <c r="F374" s="3" t="str">
        <f>IFERROR(__xludf.DUMMYFUNCTION("MID(REGEXEXTRACT(C374,""contain.*$""),9,300)"),"3 muted yellow bags.")</f>
        <v>3 muted yellow bags.</v>
      </c>
      <c r="G374" s="3" t="str">
        <f>IFERROR(__xludf.DUMMYFUNCTION("INDEX(SPLIT($F374,"",""),COLUMN()-6)"),"3 muted yellow bags.")</f>
        <v>3 muted yellow bags.</v>
      </c>
      <c r="H374" s="3" t="str">
        <f>IFERROR(__xludf.DUMMYFUNCTION("MID(INDEX(SPLIT($F374,"",""),COLUMN()-6),2,300)"),"#REF!")</f>
        <v>#REF!</v>
      </c>
      <c r="I374" s="3" t="str">
        <f>IFERROR(__xludf.DUMMYFUNCTION("MID(INDEX(SPLIT($F374,"",""),COLUMN()-6),2,300)"),"#REF!")</f>
        <v>#REF!</v>
      </c>
      <c r="J374" s="3" t="str">
        <f>IFERROR(__xludf.DUMMYFUNCTION("MID(INDEX(SPLIT($F374,"",""),COLUMN()-6),2,300)"),"#REF!")</f>
        <v>#REF!</v>
      </c>
      <c r="K374" s="3">
        <f>IFERROR(__xludf.DUMMYFUNCTION("INDEX(SPLIT(G374,"" ""),1)"),3.0)</f>
        <v>3</v>
      </c>
      <c r="L374" s="3" t="str">
        <f>IFERROR(__xludf.DUMMYFUNCTION("REGEXEXTRACT(G374,"" [^ ]* [^ ]* "")")," muted yellow ")</f>
        <v> muted yellow </v>
      </c>
      <c r="M374" s="3" t="str">
        <f>IFERROR(__xludf.DUMMYFUNCTION("INDEX(SPLIT(H374,"" ""),1)"),"#REF!")</f>
        <v>#REF!</v>
      </c>
      <c r="N374" s="3" t="str">
        <f>IFERROR(__xludf.DUMMYFUNCTION("MID(REGEXEXTRACT(H374,"" [^ ]* [^ ]*""),2,300)"),"#REF!")</f>
        <v>#REF!</v>
      </c>
      <c r="O374" s="3" t="str">
        <f>IFERROR(__xludf.DUMMYFUNCTION("INDEX(SPLIT(I374,"" ""),1)"),"#REF!")</f>
        <v>#REF!</v>
      </c>
      <c r="P374" s="3" t="str">
        <f>IFERROR(__xludf.DUMMYFUNCTION("MID(REGEXEXTRACT(I374,"" [^ ]* [^ ]*""),2,300)"),"#REF!")</f>
        <v>#REF!</v>
      </c>
      <c r="Q374" s="3" t="str">
        <f>IFERROR(__xludf.DUMMYFUNCTION("INDEX(SPLIT(J374,"" ""),1)"),"#REF!")</f>
        <v>#REF!</v>
      </c>
      <c r="R374" s="3" t="str">
        <f>IFERROR(__xludf.DUMMYFUNCTION("MID(REGEXEXTRACT(J374,"" [^ ]* [^ ]*""),2,300)"),"#REF!")</f>
        <v>#REF!</v>
      </c>
      <c r="S374" s="3">
        <f t="shared" si="2"/>
        <v>3</v>
      </c>
      <c r="T374" s="3" t="str">
        <f t="shared" si="3"/>
        <v>muted yellow</v>
      </c>
      <c r="U374" s="3" t="str">
        <f t="shared" si="4"/>
        <v/>
      </c>
      <c r="V374" s="3" t="str">
        <f t="shared" si="5"/>
        <v/>
      </c>
      <c r="W374" s="3" t="str">
        <f t="shared" si="6"/>
        <v/>
      </c>
      <c r="X374" s="3" t="str">
        <f t="shared" si="7"/>
        <v/>
      </c>
      <c r="Y374" s="3" t="str">
        <f t="shared" si="8"/>
        <v/>
      </c>
      <c r="Z374" s="3" t="str">
        <f t="shared" si="9"/>
        <v/>
      </c>
      <c r="AA374" s="13">
        <f t="shared" si="10"/>
        <v>11485</v>
      </c>
      <c r="AB374" s="3">
        <f t="shared" si="11"/>
        <v>11484</v>
      </c>
      <c r="AC374" s="3">
        <f t="shared" si="12"/>
        <v>3</v>
      </c>
      <c r="AD374" s="3">
        <f t="shared" si="13"/>
        <v>3828</v>
      </c>
      <c r="AE374" s="3" t="str">
        <f t="shared" si="14"/>
        <v/>
      </c>
      <c r="AF374" s="3">
        <f t="shared" si="15"/>
        <v>0</v>
      </c>
      <c r="AG374" s="3" t="str">
        <f t="shared" si="16"/>
        <v/>
      </c>
      <c r="AH374" s="3">
        <f t="shared" si="17"/>
        <v>0</v>
      </c>
      <c r="AI374" s="3" t="str">
        <f t="shared" si="18"/>
        <v/>
      </c>
      <c r="AJ374" s="3">
        <f t="shared" si="19"/>
        <v>0</v>
      </c>
    </row>
    <row r="375">
      <c r="C375" s="6" t="s">
        <v>375</v>
      </c>
      <c r="D375" s="3">
        <f t="shared" si="1"/>
        <v>2</v>
      </c>
      <c r="E375" s="3" t="str">
        <f>IFERROR(__xludf.DUMMYFUNCTION("REGEXEXTRACT(C375,""[^ ]* [^ ]*"")"),"dark violet")</f>
        <v>dark violet</v>
      </c>
      <c r="F375" s="3" t="str">
        <f>IFERROR(__xludf.DUMMYFUNCTION("MID(REGEXEXTRACT(C375,""contain.*$""),9,300)"),"2 bright crimson bags, 4 bright fuchsia bags, 2 dull blue bags.")</f>
        <v>2 bright crimson bags, 4 bright fuchsia bags, 2 dull blue bags.</v>
      </c>
      <c r="G375" s="3" t="str">
        <f>IFERROR(__xludf.DUMMYFUNCTION("INDEX(SPLIT($F375,"",""),COLUMN()-6)"),"2 bright crimson bags")</f>
        <v>2 bright crimson bags</v>
      </c>
      <c r="H375" s="3" t="str">
        <f>IFERROR(__xludf.DUMMYFUNCTION("MID(INDEX(SPLIT($F375,"",""),COLUMN()-6),2,300)"),"4 bright fuchsia bags")</f>
        <v>4 bright fuchsia bags</v>
      </c>
      <c r="I375" s="3" t="str">
        <f>IFERROR(__xludf.DUMMYFUNCTION("MID(INDEX(SPLIT($F375,"",""),COLUMN()-6),2,300)"),"2 dull blue bags.")</f>
        <v>2 dull blue bags.</v>
      </c>
      <c r="J375" s="3" t="str">
        <f>IFERROR(__xludf.DUMMYFUNCTION("MID(INDEX(SPLIT($F375,"",""),COLUMN()-6),2,300)"),"#REF!")</f>
        <v>#REF!</v>
      </c>
      <c r="K375" s="3">
        <f>IFERROR(__xludf.DUMMYFUNCTION("INDEX(SPLIT(G375,"" ""),1)"),2.0)</f>
        <v>2</v>
      </c>
      <c r="L375" s="3" t="str">
        <f>IFERROR(__xludf.DUMMYFUNCTION("REGEXEXTRACT(G375,"" [^ ]* [^ ]* "")")," bright crimson ")</f>
        <v> bright crimson </v>
      </c>
      <c r="M375" s="3">
        <f>IFERROR(__xludf.DUMMYFUNCTION("INDEX(SPLIT(H375,"" ""),1)"),4.0)</f>
        <v>4</v>
      </c>
      <c r="N375" s="3" t="str">
        <f>IFERROR(__xludf.DUMMYFUNCTION("MID(REGEXEXTRACT(H375,"" [^ ]* [^ ]*""),2,300)"),"bright fuchsia")</f>
        <v>bright fuchsia</v>
      </c>
      <c r="O375" s="3">
        <f>IFERROR(__xludf.DUMMYFUNCTION("INDEX(SPLIT(I375,"" ""),1)"),2.0)</f>
        <v>2</v>
      </c>
      <c r="P375" s="3" t="str">
        <f>IFERROR(__xludf.DUMMYFUNCTION("MID(REGEXEXTRACT(I375,"" [^ ]* [^ ]*""),2,300)"),"dull blue")</f>
        <v>dull blue</v>
      </c>
      <c r="Q375" s="3" t="str">
        <f>IFERROR(__xludf.DUMMYFUNCTION("INDEX(SPLIT(J375,"" ""),1)"),"#REF!")</f>
        <v>#REF!</v>
      </c>
      <c r="R375" s="3" t="str">
        <f>IFERROR(__xludf.DUMMYFUNCTION("MID(REGEXEXTRACT(J375,"" [^ ]* [^ ]*""),2,300)"),"#REF!")</f>
        <v>#REF!</v>
      </c>
      <c r="S375" s="3">
        <f t="shared" si="2"/>
        <v>2</v>
      </c>
      <c r="T375" s="3" t="str">
        <f t="shared" si="3"/>
        <v>bright crimson</v>
      </c>
      <c r="U375" s="3">
        <f t="shared" si="4"/>
        <v>4</v>
      </c>
      <c r="V375" s="3" t="str">
        <f t="shared" si="5"/>
        <v>bright fuchsia</v>
      </c>
      <c r="W375" s="3">
        <f t="shared" si="6"/>
        <v>2</v>
      </c>
      <c r="X375" s="3" t="str">
        <f t="shared" si="7"/>
        <v>dull blue</v>
      </c>
      <c r="Y375" s="3" t="str">
        <f t="shared" si="8"/>
        <v/>
      </c>
      <c r="Z375" s="3" t="str">
        <f t="shared" si="9"/>
        <v/>
      </c>
      <c r="AA375" s="13">
        <f t="shared" si="10"/>
        <v>508749</v>
      </c>
      <c r="AB375" s="3">
        <f t="shared" si="11"/>
        <v>508748</v>
      </c>
      <c r="AC375" s="3">
        <f t="shared" si="12"/>
        <v>2</v>
      </c>
      <c r="AD375" s="3">
        <f t="shared" si="13"/>
        <v>773</v>
      </c>
      <c r="AE375" s="3">
        <f t="shared" si="14"/>
        <v>4</v>
      </c>
      <c r="AF375" s="3">
        <f t="shared" si="15"/>
        <v>12131</v>
      </c>
      <c r="AG375" s="3">
        <f t="shared" si="16"/>
        <v>2</v>
      </c>
      <c r="AH375" s="3">
        <f t="shared" si="17"/>
        <v>229339</v>
      </c>
      <c r="AI375" s="3" t="str">
        <f t="shared" si="18"/>
        <v/>
      </c>
      <c r="AJ375" s="3">
        <f t="shared" si="19"/>
        <v>0</v>
      </c>
    </row>
    <row r="376">
      <c r="C376" s="6" t="s">
        <v>376</v>
      </c>
      <c r="D376" s="3">
        <f t="shared" si="1"/>
        <v>0</v>
      </c>
      <c r="E376" s="3" t="str">
        <f>IFERROR(__xludf.DUMMYFUNCTION("REGEXEXTRACT(C376,""[^ ]* [^ ]*"")"),"posh gold")</f>
        <v>posh gold</v>
      </c>
      <c r="F376" s="3" t="str">
        <f>IFERROR(__xludf.DUMMYFUNCTION("MID(REGEXEXTRACT(C376,""contain.*$""),9,300)"),"3 drab teal bags.")</f>
        <v>3 drab teal bags.</v>
      </c>
      <c r="G376" s="3" t="str">
        <f>IFERROR(__xludf.DUMMYFUNCTION("INDEX(SPLIT($F376,"",""),COLUMN()-6)"),"3 drab teal bags.")</f>
        <v>3 drab teal bags.</v>
      </c>
      <c r="H376" s="3" t="str">
        <f>IFERROR(__xludf.DUMMYFUNCTION("MID(INDEX(SPLIT($F376,"",""),COLUMN()-6),2,300)"),"#REF!")</f>
        <v>#REF!</v>
      </c>
      <c r="I376" s="3" t="str">
        <f>IFERROR(__xludf.DUMMYFUNCTION("MID(INDEX(SPLIT($F376,"",""),COLUMN()-6),2,300)"),"#REF!")</f>
        <v>#REF!</v>
      </c>
      <c r="J376" s="3" t="str">
        <f>IFERROR(__xludf.DUMMYFUNCTION("MID(INDEX(SPLIT($F376,"",""),COLUMN()-6),2,300)"),"#REF!")</f>
        <v>#REF!</v>
      </c>
      <c r="K376" s="3">
        <f>IFERROR(__xludf.DUMMYFUNCTION("INDEX(SPLIT(G376,"" ""),1)"),3.0)</f>
        <v>3</v>
      </c>
      <c r="L376" s="3" t="str">
        <f>IFERROR(__xludf.DUMMYFUNCTION("REGEXEXTRACT(G376,"" [^ ]* [^ ]* "")")," drab teal ")</f>
        <v> drab teal </v>
      </c>
      <c r="M376" s="3" t="str">
        <f>IFERROR(__xludf.DUMMYFUNCTION("INDEX(SPLIT(H376,"" ""),1)"),"#REF!")</f>
        <v>#REF!</v>
      </c>
      <c r="N376" s="3" t="str">
        <f>IFERROR(__xludf.DUMMYFUNCTION("MID(REGEXEXTRACT(H376,"" [^ ]* [^ ]*""),2,300)"),"#REF!")</f>
        <v>#REF!</v>
      </c>
      <c r="O376" s="3" t="str">
        <f>IFERROR(__xludf.DUMMYFUNCTION("INDEX(SPLIT(I376,"" ""),1)"),"#REF!")</f>
        <v>#REF!</v>
      </c>
      <c r="P376" s="3" t="str">
        <f>IFERROR(__xludf.DUMMYFUNCTION("MID(REGEXEXTRACT(I376,"" [^ ]* [^ ]*""),2,300)"),"#REF!")</f>
        <v>#REF!</v>
      </c>
      <c r="Q376" s="3" t="str">
        <f>IFERROR(__xludf.DUMMYFUNCTION("INDEX(SPLIT(J376,"" ""),1)"),"#REF!")</f>
        <v>#REF!</v>
      </c>
      <c r="R376" s="3" t="str">
        <f>IFERROR(__xludf.DUMMYFUNCTION("MID(REGEXEXTRACT(J376,"" [^ ]* [^ ]*""),2,300)"),"#REF!")</f>
        <v>#REF!</v>
      </c>
      <c r="S376" s="3">
        <f t="shared" si="2"/>
        <v>3</v>
      </c>
      <c r="T376" s="3" t="str">
        <f t="shared" si="3"/>
        <v>drab teal</v>
      </c>
      <c r="U376" s="3" t="str">
        <f t="shared" si="4"/>
        <v/>
      </c>
      <c r="V376" s="3" t="str">
        <f t="shared" si="5"/>
        <v/>
      </c>
      <c r="W376" s="3" t="str">
        <f t="shared" si="6"/>
        <v/>
      </c>
      <c r="X376" s="3" t="str">
        <f t="shared" si="7"/>
        <v/>
      </c>
      <c r="Y376" s="3" t="str">
        <f t="shared" si="8"/>
        <v/>
      </c>
      <c r="Z376" s="3" t="str">
        <f t="shared" si="9"/>
        <v/>
      </c>
      <c r="AA376" s="13">
        <f t="shared" si="10"/>
        <v>122080</v>
      </c>
      <c r="AB376" s="3">
        <f t="shared" si="11"/>
        <v>122079</v>
      </c>
      <c r="AC376" s="3">
        <f t="shared" si="12"/>
        <v>3</v>
      </c>
      <c r="AD376" s="3">
        <f t="shared" si="13"/>
        <v>40693</v>
      </c>
      <c r="AE376" s="3" t="str">
        <f t="shared" si="14"/>
        <v/>
      </c>
      <c r="AF376" s="3">
        <f t="shared" si="15"/>
        <v>0</v>
      </c>
      <c r="AG376" s="3" t="str">
        <f t="shared" si="16"/>
        <v/>
      </c>
      <c r="AH376" s="3">
        <f t="shared" si="17"/>
        <v>0</v>
      </c>
      <c r="AI376" s="3" t="str">
        <f t="shared" si="18"/>
        <v/>
      </c>
      <c r="AJ376" s="3">
        <f t="shared" si="19"/>
        <v>0</v>
      </c>
    </row>
    <row r="377">
      <c r="C377" s="6" t="s">
        <v>377</v>
      </c>
      <c r="D377" s="3">
        <f t="shared" si="1"/>
        <v>2</v>
      </c>
      <c r="E377" s="3" t="str">
        <f>IFERROR(__xludf.DUMMYFUNCTION("REGEXEXTRACT(C377,""[^ ]* [^ ]*"")"),"dim cyan")</f>
        <v>dim cyan</v>
      </c>
      <c r="F377" s="3" t="str">
        <f>IFERROR(__xludf.DUMMYFUNCTION("MID(REGEXEXTRACT(C377,""contain.*$""),9,300)"),"5 clear olive bags, 4 bright turquoise bags, 1 pale gray bag.")</f>
        <v>5 clear olive bags, 4 bright turquoise bags, 1 pale gray bag.</v>
      </c>
      <c r="G377" s="3" t="str">
        <f>IFERROR(__xludf.DUMMYFUNCTION("INDEX(SPLIT($F377,"",""),COLUMN()-6)"),"5 clear olive bags")</f>
        <v>5 clear olive bags</v>
      </c>
      <c r="H377" s="3" t="str">
        <f>IFERROR(__xludf.DUMMYFUNCTION("MID(INDEX(SPLIT($F377,"",""),COLUMN()-6),2,300)"),"4 bright turquoise bags")</f>
        <v>4 bright turquoise bags</v>
      </c>
      <c r="I377" s="3" t="str">
        <f>IFERROR(__xludf.DUMMYFUNCTION("MID(INDEX(SPLIT($F377,"",""),COLUMN()-6),2,300)"),"1 pale gray bag.")</f>
        <v>1 pale gray bag.</v>
      </c>
      <c r="J377" s="3" t="str">
        <f>IFERROR(__xludf.DUMMYFUNCTION("MID(INDEX(SPLIT($F377,"",""),COLUMN()-6),2,300)"),"#REF!")</f>
        <v>#REF!</v>
      </c>
      <c r="K377" s="3">
        <f>IFERROR(__xludf.DUMMYFUNCTION("INDEX(SPLIT(G377,"" ""),1)"),5.0)</f>
        <v>5</v>
      </c>
      <c r="L377" s="3" t="str">
        <f>IFERROR(__xludf.DUMMYFUNCTION("REGEXEXTRACT(G377,"" [^ ]* [^ ]* "")")," clear olive ")</f>
        <v> clear olive </v>
      </c>
      <c r="M377" s="3">
        <f>IFERROR(__xludf.DUMMYFUNCTION("INDEX(SPLIT(H377,"" ""),1)"),4.0)</f>
        <v>4</v>
      </c>
      <c r="N377" s="3" t="str">
        <f>IFERROR(__xludf.DUMMYFUNCTION("MID(REGEXEXTRACT(H377,"" [^ ]* [^ ]*""),2,300)"),"bright turquoise")</f>
        <v>bright turquoise</v>
      </c>
      <c r="O377" s="3">
        <f>IFERROR(__xludf.DUMMYFUNCTION("INDEX(SPLIT(I377,"" ""),1)"),1.0)</f>
        <v>1</v>
      </c>
      <c r="P377" s="3" t="str">
        <f>IFERROR(__xludf.DUMMYFUNCTION("MID(REGEXEXTRACT(I377,"" [^ ]* [^ ]*""),2,300)"),"pale gray")</f>
        <v>pale gray</v>
      </c>
      <c r="Q377" s="3" t="str">
        <f>IFERROR(__xludf.DUMMYFUNCTION("INDEX(SPLIT(J377,"" ""),1)"),"#REF!")</f>
        <v>#REF!</v>
      </c>
      <c r="R377" s="3" t="str">
        <f>IFERROR(__xludf.DUMMYFUNCTION("MID(REGEXEXTRACT(J377,"" [^ ]* [^ ]*""),2,300)"),"#REF!")</f>
        <v>#REF!</v>
      </c>
      <c r="S377" s="3">
        <f t="shared" si="2"/>
        <v>5</v>
      </c>
      <c r="T377" s="3" t="str">
        <f t="shared" si="3"/>
        <v>clear olive</v>
      </c>
      <c r="U377" s="3">
        <f t="shared" si="4"/>
        <v>4</v>
      </c>
      <c r="V377" s="3" t="str">
        <f t="shared" si="5"/>
        <v>bright turquoise</v>
      </c>
      <c r="W377" s="3">
        <f t="shared" si="6"/>
        <v>1</v>
      </c>
      <c r="X377" s="3" t="str">
        <f t="shared" si="7"/>
        <v>pale gray</v>
      </c>
      <c r="Y377" s="3" t="str">
        <f t="shared" si="8"/>
        <v/>
      </c>
      <c r="Z377" s="3" t="str">
        <f t="shared" si="9"/>
        <v/>
      </c>
      <c r="AA377" s="13">
        <f t="shared" si="10"/>
        <v>1074173249</v>
      </c>
      <c r="AB377" s="3">
        <f t="shared" si="11"/>
        <v>1074173248</v>
      </c>
      <c r="AC377" s="3">
        <f t="shared" si="12"/>
        <v>5</v>
      </c>
      <c r="AD377" s="3">
        <f t="shared" si="13"/>
        <v>2697220</v>
      </c>
      <c r="AE377" s="3">
        <f t="shared" si="14"/>
        <v>4</v>
      </c>
      <c r="AF377" s="3">
        <f t="shared" si="15"/>
        <v>12227506</v>
      </c>
      <c r="AG377" s="3">
        <f t="shared" si="16"/>
        <v>1</v>
      </c>
      <c r="AH377" s="3">
        <f t="shared" si="17"/>
        <v>1011777124</v>
      </c>
      <c r="AI377" s="3" t="str">
        <f t="shared" si="18"/>
        <v/>
      </c>
      <c r="AJ377" s="3">
        <f t="shared" si="19"/>
        <v>0</v>
      </c>
    </row>
    <row r="378">
      <c r="C378" s="6" t="s">
        <v>378</v>
      </c>
      <c r="D378" s="3">
        <f t="shared" si="1"/>
        <v>0</v>
      </c>
      <c r="E378" s="3" t="str">
        <f>IFERROR(__xludf.DUMMYFUNCTION("REGEXEXTRACT(C378,""[^ ]* [^ ]*"")"),"posh red")</f>
        <v>posh red</v>
      </c>
      <c r="F378" s="3" t="str">
        <f>IFERROR(__xludf.DUMMYFUNCTION("MID(REGEXEXTRACT(C378,""contain.*$""),9,300)"),"1 bright salmon bag.")</f>
        <v>1 bright salmon bag.</v>
      </c>
      <c r="G378" s="3" t="str">
        <f>IFERROR(__xludf.DUMMYFUNCTION("INDEX(SPLIT($F378,"",""),COLUMN()-6)"),"1 bright salmon bag.")</f>
        <v>1 bright salmon bag.</v>
      </c>
      <c r="H378" s="3" t="str">
        <f>IFERROR(__xludf.DUMMYFUNCTION("MID(INDEX(SPLIT($F378,"",""),COLUMN()-6),2,300)"),"#REF!")</f>
        <v>#REF!</v>
      </c>
      <c r="I378" s="3" t="str">
        <f>IFERROR(__xludf.DUMMYFUNCTION("MID(INDEX(SPLIT($F378,"",""),COLUMN()-6),2,300)"),"#REF!")</f>
        <v>#REF!</v>
      </c>
      <c r="J378" s="3" t="str">
        <f>IFERROR(__xludf.DUMMYFUNCTION("MID(INDEX(SPLIT($F378,"",""),COLUMN()-6),2,300)"),"#REF!")</f>
        <v>#REF!</v>
      </c>
      <c r="K378" s="3">
        <f>IFERROR(__xludf.DUMMYFUNCTION("INDEX(SPLIT(G378,"" ""),1)"),1.0)</f>
        <v>1</v>
      </c>
      <c r="L378" s="3" t="str">
        <f>IFERROR(__xludf.DUMMYFUNCTION("REGEXEXTRACT(G378,"" [^ ]* [^ ]* "")")," bright salmon ")</f>
        <v> bright salmon </v>
      </c>
      <c r="M378" s="3" t="str">
        <f>IFERROR(__xludf.DUMMYFUNCTION("INDEX(SPLIT(H378,"" ""),1)"),"#REF!")</f>
        <v>#REF!</v>
      </c>
      <c r="N378" s="3" t="str">
        <f>IFERROR(__xludf.DUMMYFUNCTION("MID(REGEXEXTRACT(H378,"" [^ ]* [^ ]*""),2,300)"),"#REF!")</f>
        <v>#REF!</v>
      </c>
      <c r="O378" s="3" t="str">
        <f>IFERROR(__xludf.DUMMYFUNCTION("INDEX(SPLIT(I378,"" ""),1)"),"#REF!")</f>
        <v>#REF!</v>
      </c>
      <c r="P378" s="3" t="str">
        <f>IFERROR(__xludf.DUMMYFUNCTION("MID(REGEXEXTRACT(I378,"" [^ ]* [^ ]*""),2,300)"),"#REF!")</f>
        <v>#REF!</v>
      </c>
      <c r="Q378" s="3" t="str">
        <f>IFERROR(__xludf.DUMMYFUNCTION("INDEX(SPLIT(J378,"" ""),1)"),"#REF!")</f>
        <v>#REF!</v>
      </c>
      <c r="R378" s="3" t="str">
        <f>IFERROR(__xludf.DUMMYFUNCTION("MID(REGEXEXTRACT(J378,"" [^ ]* [^ ]*""),2,300)"),"#REF!")</f>
        <v>#REF!</v>
      </c>
      <c r="S378" s="3">
        <f t="shared" si="2"/>
        <v>1</v>
      </c>
      <c r="T378" s="3" t="str">
        <f t="shared" si="3"/>
        <v>bright salmon</v>
      </c>
      <c r="U378" s="3" t="str">
        <f t="shared" si="4"/>
        <v/>
      </c>
      <c r="V378" s="3" t="str">
        <f t="shared" si="5"/>
        <v/>
      </c>
      <c r="W378" s="3" t="str">
        <f t="shared" si="6"/>
        <v/>
      </c>
      <c r="X378" s="3" t="str">
        <f t="shared" si="7"/>
        <v/>
      </c>
      <c r="Y378" s="3" t="str">
        <f t="shared" si="8"/>
        <v/>
      </c>
      <c r="Z378" s="3" t="str">
        <f t="shared" si="9"/>
        <v/>
      </c>
      <c r="AA378" s="13">
        <f t="shared" si="10"/>
        <v>367934</v>
      </c>
      <c r="AB378" s="3">
        <f t="shared" si="11"/>
        <v>367933</v>
      </c>
      <c r="AC378" s="3">
        <f t="shared" si="12"/>
        <v>1</v>
      </c>
      <c r="AD378" s="3">
        <f t="shared" si="13"/>
        <v>367933</v>
      </c>
      <c r="AE378" s="3" t="str">
        <f t="shared" si="14"/>
        <v/>
      </c>
      <c r="AF378" s="3">
        <f t="shared" si="15"/>
        <v>0</v>
      </c>
      <c r="AG378" s="3" t="str">
        <f t="shared" si="16"/>
        <v/>
      </c>
      <c r="AH378" s="3">
        <f t="shared" si="17"/>
        <v>0</v>
      </c>
      <c r="AI378" s="3" t="str">
        <f t="shared" si="18"/>
        <v/>
      </c>
      <c r="AJ378" s="3">
        <f t="shared" si="19"/>
        <v>0</v>
      </c>
    </row>
    <row r="379">
      <c r="C379" s="6" t="s">
        <v>379</v>
      </c>
      <c r="D379" s="3">
        <f t="shared" si="1"/>
        <v>0</v>
      </c>
      <c r="E379" s="3" t="str">
        <f>IFERROR(__xludf.DUMMYFUNCTION("REGEXEXTRACT(C379,""[^ ]* [^ ]*"")"),"dull tan")</f>
        <v>dull tan</v>
      </c>
      <c r="F379" s="3" t="str">
        <f>IFERROR(__xludf.DUMMYFUNCTION("MID(REGEXEXTRACT(C379,""contain.*$""),9,300)"),"4 plaid cyan bags.")</f>
        <v>4 plaid cyan bags.</v>
      </c>
      <c r="G379" s="3" t="str">
        <f>IFERROR(__xludf.DUMMYFUNCTION("INDEX(SPLIT($F379,"",""),COLUMN()-6)"),"4 plaid cyan bags.")</f>
        <v>4 plaid cyan bags.</v>
      </c>
      <c r="H379" s="3" t="str">
        <f>IFERROR(__xludf.DUMMYFUNCTION("MID(INDEX(SPLIT($F379,"",""),COLUMN()-6),2,300)"),"#REF!")</f>
        <v>#REF!</v>
      </c>
      <c r="I379" s="3" t="str">
        <f>IFERROR(__xludf.DUMMYFUNCTION("MID(INDEX(SPLIT($F379,"",""),COLUMN()-6),2,300)"),"#REF!")</f>
        <v>#REF!</v>
      </c>
      <c r="J379" s="3" t="str">
        <f>IFERROR(__xludf.DUMMYFUNCTION("MID(INDEX(SPLIT($F379,"",""),COLUMN()-6),2,300)"),"#REF!")</f>
        <v>#REF!</v>
      </c>
      <c r="K379" s="3">
        <f>IFERROR(__xludf.DUMMYFUNCTION("INDEX(SPLIT(G379,"" ""),1)"),4.0)</f>
        <v>4</v>
      </c>
      <c r="L379" s="3" t="str">
        <f>IFERROR(__xludf.DUMMYFUNCTION("REGEXEXTRACT(G379,"" [^ ]* [^ ]* "")")," plaid cyan ")</f>
        <v> plaid cyan </v>
      </c>
      <c r="M379" s="3" t="str">
        <f>IFERROR(__xludf.DUMMYFUNCTION("INDEX(SPLIT(H379,"" ""),1)"),"#REF!")</f>
        <v>#REF!</v>
      </c>
      <c r="N379" s="3" t="str">
        <f>IFERROR(__xludf.DUMMYFUNCTION("MID(REGEXEXTRACT(H379,"" [^ ]* [^ ]*""),2,300)"),"#REF!")</f>
        <v>#REF!</v>
      </c>
      <c r="O379" s="3" t="str">
        <f>IFERROR(__xludf.DUMMYFUNCTION("INDEX(SPLIT(I379,"" ""),1)"),"#REF!")</f>
        <v>#REF!</v>
      </c>
      <c r="P379" s="3" t="str">
        <f>IFERROR(__xludf.DUMMYFUNCTION("MID(REGEXEXTRACT(I379,"" [^ ]* [^ ]*""),2,300)"),"#REF!")</f>
        <v>#REF!</v>
      </c>
      <c r="Q379" s="3" t="str">
        <f>IFERROR(__xludf.DUMMYFUNCTION("INDEX(SPLIT(J379,"" ""),1)"),"#REF!")</f>
        <v>#REF!</v>
      </c>
      <c r="R379" s="3" t="str">
        <f>IFERROR(__xludf.DUMMYFUNCTION("MID(REGEXEXTRACT(J379,"" [^ ]* [^ ]*""),2,300)"),"#REF!")</f>
        <v>#REF!</v>
      </c>
      <c r="S379" s="3">
        <f t="shared" si="2"/>
        <v>4</v>
      </c>
      <c r="T379" s="3" t="str">
        <f t="shared" si="3"/>
        <v>plaid cyan</v>
      </c>
      <c r="U379" s="3" t="str">
        <f t="shared" si="4"/>
        <v/>
      </c>
      <c r="V379" s="3" t="str">
        <f t="shared" si="5"/>
        <v/>
      </c>
      <c r="W379" s="3" t="str">
        <f t="shared" si="6"/>
        <v/>
      </c>
      <c r="X379" s="3" t="str">
        <f t="shared" si="7"/>
        <v/>
      </c>
      <c r="Y379" s="3" t="str">
        <f t="shared" si="8"/>
        <v/>
      </c>
      <c r="Z379" s="3" t="str">
        <f t="shared" si="9"/>
        <v/>
      </c>
      <c r="AA379" s="13">
        <f t="shared" si="10"/>
        <v>321177</v>
      </c>
      <c r="AB379" s="3">
        <f t="shared" si="11"/>
        <v>321176</v>
      </c>
      <c r="AC379" s="3">
        <f t="shared" si="12"/>
        <v>4</v>
      </c>
      <c r="AD379" s="3">
        <f t="shared" si="13"/>
        <v>80294</v>
      </c>
      <c r="AE379" s="3" t="str">
        <f t="shared" si="14"/>
        <v/>
      </c>
      <c r="AF379" s="3">
        <f t="shared" si="15"/>
        <v>0</v>
      </c>
      <c r="AG379" s="3" t="str">
        <f t="shared" si="16"/>
        <v/>
      </c>
      <c r="AH379" s="3">
        <f t="shared" si="17"/>
        <v>0</v>
      </c>
      <c r="AI379" s="3" t="str">
        <f t="shared" si="18"/>
        <v/>
      </c>
      <c r="AJ379" s="3">
        <f t="shared" si="19"/>
        <v>0</v>
      </c>
    </row>
    <row r="380">
      <c r="C380" s="6" t="s">
        <v>380</v>
      </c>
      <c r="D380" s="3">
        <f t="shared" si="1"/>
        <v>3</v>
      </c>
      <c r="E380" s="3" t="str">
        <f>IFERROR(__xludf.DUMMYFUNCTION("REGEXEXTRACT(C380,""[^ ]* [^ ]*"")"),"faded indigo")</f>
        <v>faded indigo</v>
      </c>
      <c r="F380" s="3" t="str">
        <f>IFERROR(__xludf.DUMMYFUNCTION("MID(REGEXEXTRACT(C380,""contain.*$""),9,300)"),"3 light gold bags, 5 dotted brown bags, 3 dotted cyan bags, 2 drab teal bags.")</f>
        <v>3 light gold bags, 5 dotted brown bags, 3 dotted cyan bags, 2 drab teal bags.</v>
      </c>
      <c r="G380" s="3" t="str">
        <f>IFERROR(__xludf.DUMMYFUNCTION("INDEX(SPLIT($F380,"",""),COLUMN()-6)"),"3 light gold bags")</f>
        <v>3 light gold bags</v>
      </c>
      <c r="H380" s="3" t="str">
        <f>IFERROR(__xludf.DUMMYFUNCTION("MID(INDEX(SPLIT($F380,"",""),COLUMN()-6),2,300)"),"5 dotted brown bags")</f>
        <v>5 dotted brown bags</v>
      </c>
      <c r="I380" s="3" t="str">
        <f>IFERROR(__xludf.DUMMYFUNCTION("MID(INDEX(SPLIT($F380,"",""),COLUMN()-6),2,300)"),"3 dotted cyan bags")</f>
        <v>3 dotted cyan bags</v>
      </c>
      <c r="J380" s="3" t="str">
        <f>IFERROR(__xludf.DUMMYFUNCTION("MID(INDEX(SPLIT($F380,"",""),COLUMN()-6),2,300)"),"2 drab teal bags.")</f>
        <v>2 drab teal bags.</v>
      </c>
      <c r="K380" s="3">
        <f>IFERROR(__xludf.DUMMYFUNCTION("INDEX(SPLIT(G380,"" ""),1)"),3.0)</f>
        <v>3</v>
      </c>
      <c r="L380" s="3" t="str">
        <f>IFERROR(__xludf.DUMMYFUNCTION("REGEXEXTRACT(G380,"" [^ ]* [^ ]* "")")," light gold ")</f>
        <v> light gold </v>
      </c>
      <c r="M380" s="3">
        <f>IFERROR(__xludf.DUMMYFUNCTION("INDEX(SPLIT(H380,"" ""),1)"),5.0)</f>
        <v>5</v>
      </c>
      <c r="N380" s="3" t="str">
        <f>IFERROR(__xludf.DUMMYFUNCTION("MID(REGEXEXTRACT(H380,"" [^ ]* [^ ]*""),2,300)"),"dotted brown")</f>
        <v>dotted brown</v>
      </c>
      <c r="O380" s="3">
        <f>IFERROR(__xludf.DUMMYFUNCTION("INDEX(SPLIT(I380,"" ""),1)"),3.0)</f>
        <v>3</v>
      </c>
      <c r="P380" s="3" t="str">
        <f>IFERROR(__xludf.DUMMYFUNCTION("MID(REGEXEXTRACT(I380,"" [^ ]* [^ ]*""),2,300)"),"dotted cyan")</f>
        <v>dotted cyan</v>
      </c>
      <c r="Q380" s="3">
        <f>IFERROR(__xludf.DUMMYFUNCTION("INDEX(SPLIT(J380,"" ""),1)"),2.0)</f>
        <v>2</v>
      </c>
      <c r="R380" s="3" t="str">
        <f>IFERROR(__xludf.DUMMYFUNCTION("MID(REGEXEXTRACT(J380,"" [^ ]* [^ ]*""),2,300)"),"drab teal")</f>
        <v>drab teal</v>
      </c>
      <c r="S380" s="3">
        <f t="shared" si="2"/>
        <v>3</v>
      </c>
      <c r="T380" s="3" t="str">
        <f t="shared" si="3"/>
        <v>light gold</v>
      </c>
      <c r="U380" s="3">
        <f t="shared" si="4"/>
        <v>5</v>
      </c>
      <c r="V380" s="3" t="str">
        <f t="shared" si="5"/>
        <v>dotted brown</v>
      </c>
      <c r="W380" s="3">
        <f t="shared" si="6"/>
        <v>3</v>
      </c>
      <c r="X380" s="3" t="str">
        <f t="shared" si="7"/>
        <v>dotted cyan</v>
      </c>
      <c r="Y380" s="3">
        <f t="shared" si="8"/>
        <v>2</v>
      </c>
      <c r="Z380" s="3" t="str">
        <f t="shared" si="9"/>
        <v>drab teal</v>
      </c>
      <c r="AA380" s="13">
        <f t="shared" si="10"/>
        <v>339859336</v>
      </c>
      <c r="AB380" s="3">
        <f t="shared" si="11"/>
        <v>339859335</v>
      </c>
      <c r="AC380" s="3">
        <f t="shared" si="12"/>
        <v>3</v>
      </c>
      <c r="AD380" s="3">
        <f t="shared" si="13"/>
        <v>112904201</v>
      </c>
      <c r="AE380" s="3">
        <f t="shared" si="14"/>
        <v>5</v>
      </c>
      <c r="AF380" s="3">
        <f t="shared" si="15"/>
        <v>305</v>
      </c>
      <c r="AG380" s="3">
        <f t="shared" si="16"/>
        <v>3</v>
      </c>
      <c r="AH380" s="3">
        <f t="shared" si="17"/>
        <v>354607</v>
      </c>
      <c r="AI380" s="3">
        <f t="shared" si="18"/>
        <v>2</v>
      </c>
      <c r="AJ380" s="3">
        <f t="shared" si="19"/>
        <v>40693</v>
      </c>
    </row>
    <row r="381">
      <c r="C381" s="6" t="s">
        <v>381</v>
      </c>
      <c r="D381" s="3">
        <f t="shared" si="1"/>
        <v>3</v>
      </c>
      <c r="E381" s="3" t="str">
        <f>IFERROR(__xludf.DUMMYFUNCTION("REGEXEXTRACT(C381,""[^ ]* [^ ]*"")"),"clear violet")</f>
        <v>clear violet</v>
      </c>
      <c r="F381" s="3" t="str">
        <f>IFERROR(__xludf.DUMMYFUNCTION("MID(REGEXEXTRACT(C381,""contain.*$""),9,300)"),"1 wavy turquoise bag, 1 vibrant chartreuse bag, 1 dark violet bag, 3 bright bronze bags.")</f>
        <v>1 wavy turquoise bag, 1 vibrant chartreuse bag, 1 dark violet bag, 3 bright bronze bags.</v>
      </c>
      <c r="G381" s="3" t="str">
        <f>IFERROR(__xludf.DUMMYFUNCTION("INDEX(SPLIT($F381,"",""),COLUMN()-6)"),"1 wavy turquoise bag")</f>
        <v>1 wavy turquoise bag</v>
      </c>
      <c r="H381" s="3" t="str">
        <f>IFERROR(__xludf.DUMMYFUNCTION("MID(INDEX(SPLIT($F381,"",""),COLUMN()-6),2,300)"),"1 vibrant chartreuse bag")</f>
        <v>1 vibrant chartreuse bag</v>
      </c>
      <c r="I381" s="3" t="str">
        <f>IFERROR(__xludf.DUMMYFUNCTION("MID(INDEX(SPLIT($F381,"",""),COLUMN()-6),2,300)"),"1 dark violet bag")</f>
        <v>1 dark violet bag</v>
      </c>
      <c r="J381" s="3" t="str">
        <f>IFERROR(__xludf.DUMMYFUNCTION("MID(INDEX(SPLIT($F381,"",""),COLUMN()-6),2,300)"),"3 bright bronze bags.")</f>
        <v>3 bright bronze bags.</v>
      </c>
      <c r="K381" s="3">
        <f>IFERROR(__xludf.DUMMYFUNCTION("INDEX(SPLIT(G381,"" ""),1)"),1.0)</f>
        <v>1</v>
      </c>
      <c r="L381" s="3" t="str">
        <f>IFERROR(__xludf.DUMMYFUNCTION("REGEXEXTRACT(G381,"" [^ ]* [^ ]* "")")," wavy turquoise ")</f>
        <v> wavy turquoise </v>
      </c>
      <c r="M381" s="3">
        <f>IFERROR(__xludf.DUMMYFUNCTION("INDEX(SPLIT(H381,"" ""),1)"),1.0)</f>
        <v>1</v>
      </c>
      <c r="N381" s="3" t="str">
        <f>IFERROR(__xludf.DUMMYFUNCTION("MID(REGEXEXTRACT(H381,"" [^ ]* [^ ]*""),2,300)"),"vibrant chartreuse")</f>
        <v>vibrant chartreuse</v>
      </c>
      <c r="O381" s="3">
        <f>IFERROR(__xludf.DUMMYFUNCTION("INDEX(SPLIT(I381,"" ""),1)"),1.0)</f>
        <v>1</v>
      </c>
      <c r="P381" s="3" t="str">
        <f>IFERROR(__xludf.DUMMYFUNCTION("MID(REGEXEXTRACT(I381,"" [^ ]* [^ ]*""),2,300)"),"dark violet")</f>
        <v>dark violet</v>
      </c>
      <c r="Q381" s="3">
        <f>IFERROR(__xludf.DUMMYFUNCTION("INDEX(SPLIT(J381,"" ""),1)"),3.0)</f>
        <v>3</v>
      </c>
      <c r="R381" s="3" t="str">
        <f>IFERROR(__xludf.DUMMYFUNCTION("MID(REGEXEXTRACT(J381,"" [^ ]* [^ ]*""),2,300)"),"bright bronze")</f>
        <v>bright bronze</v>
      </c>
      <c r="S381" s="3">
        <f t="shared" si="2"/>
        <v>1</v>
      </c>
      <c r="T381" s="3" t="str">
        <f t="shared" si="3"/>
        <v>wavy turquoise</v>
      </c>
      <c r="U381" s="3">
        <f t="shared" si="4"/>
        <v>1</v>
      </c>
      <c r="V381" s="3" t="str">
        <f t="shared" si="5"/>
        <v>vibrant chartreuse</v>
      </c>
      <c r="W381" s="3">
        <f t="shared" si="6"/>
        <v>1</v>
      </c>
      <c r="X381" s="3" t="str">
        <f t="shared" si="7"/>
        <v>dark violet</v>
      </c>
      <c r="Y381" s="3">
        <f t="shared" si="8"/>
        <v>3</v>
      </c>
      <c r="Z381" s="3" t="str">
        <f t="shared" si="9"/>
        <v>bright bronze</v>
      </c>
      <c r="AA381" s="13">
        <f t="shared" si="10"/>
        <v>29140290</v>
      </c>
      <c r="AB381" s="3">
        <f t="shared" si="11"/>
        <v>29140289</v>
      </c>
      <c r="AC381" s="3">
        <f t="shared" si="12"/>
        <v>1</v>
      </c>
      <c r="AD381" s="3">
        <f t="shared" si="13"/>
        <v>11485</v>
      </c>
      <c r="AE381" s="3">
        <f t="shared" si="14"/>
        <v>1</v>
      </c>
      <c r="AF381" s="3">
        <f t="shared" si="15"/>
        <v>13</v>
      </c>
      <c r="AG381" s="3">
        <f t="shared" si="16"/>
        <v>1</v>
      </c>
      <c r="AH381" s="3">
        <f t="shared" si="17"/>
        <v>508749</v>
      </c>
      <c r="AI381" s="3">
        <f t="shared" si="18"/>
        <v>3</v>
      </c>
      <c r="AJ381" s="3">
        <f t="shared" si="19"/>
        <v>9540014</v>
      </c>
    </row>
    <row r="382">
      <c r="C382" s="6" t="s">
        <v>382</v>
      </c>
      <c r="D382" s="3">
        <f t="shared" si="1"/>
        <v>1</v>
      </c>
      <c r="E382" s="3" t="str">
        <f>IFERROR(__xludf.DUMMYFUNCTION("REGEXEXTRACT(C382,""[^ ]* [^ ]*"")"),"clear indigo")</f>
        <v>clear indigo</v>
      </c>
      <c r="F382" s="3" t="str">
        <f>IFERROR(__xludf.DUMMYFUNCTION("MID(REGEXEXTRACT(C382,""contain.*$""),9,300)"),"1 mirrored tan bag, 4 faded indigo bags.")</f>
        <v>1 mirrored tan bag, 4 faded indigo bags.</v>
      </c>
      <c r="G382" s="3" t="str">
        <f>IFERROR(__xludf.DUMMYFUNCTION("INDEX(SPLIT($F382,"",""),COLUMN()-6)"),"1 mirrored tan bag")</f>
        <v>1 mirrored tan bag</v>
      </c>
      <c r="H382" s="3" t="str">
        <f>IFERROR(__xludf.DUMMYFUNCTION("MID(INDEX(SPLIT($F382,"",""),COLUMN()-6),2,300)"),"4 faded indigo bags.")</f>
        <v>4 faded indigo bags.</v>
      </c>
      <c r="I382" s="3" t="str">
        <f>IFERROR(__xludf.DUMMYFUNCTION("MID(INDEX(SPLIT($F382,"",""),COLUMN()-6),2,300)"),"#REF!")</f>
        <v>#REF!</v>
      </c>
      <c r="J382" s="3" t="str">
        <f>IFERROR(__xludf.DUMMYFUNCTION("MID(INDEX(SPLIT($F382,"",""),COLUMN()-6),2,300)"),"#REF!")</f>
        <v>#REF!</v>
      </c>
      <c r="K382" s="3">
        <f>IFERROR(__xludf.DUMMYFUNCTION("INDEX(SPLIT(G382,"" ""),1)"),1.0)</f>
        <v>1</v>
      </c>
      <c r="L382" s="3" t="str">
        <f>IFERROR(__xludf.DUMMYFUNCTION("REGEXEXTRACT(G382,"" [^ ]* [^ ]* "")")," mirrored tan ")</f>
        <v> mirrored tan </v>
      </c>
      <c r="M382" s="3">
        <f>IFERROR(__xludf.DUMMYFUNCTION("INDEX(SPLIT(H382,"" ""),1)"),4.0)</f>
        <v>4</v>
      </c>
      <c r="N382" s="3" t="str">
        <f>IFERROR(__xludf.DUMMYFUNCTION("MID(REGEXEXTRACT(H382,"" [^ ]* [^ ]*""),2,300)"),"faded indigo")</f>
        <v>faded indigo</v>
      </c>
      <c r="O382" s="3" t="str">
        <f>IFERROR(__xludf.DUMMYFUNCTION("INDEX(SPLIT(I382,"" ""),1)"),"#REF!")</f>
        <v>#REF!</v>
      </c>
      <c r="P382" s="3" t="str">
        <f>IFERROR(__xludf.DUMMYFUNCTION("MID(REGEXEXTRACT(I382,"" [^ ]* [^ ]*""),2,300)"),"#REF!")</f>
        <v>#REF!</v>
      </c>
      <c r="Q382" s="3" t="str">
        <f>IFERROR(__xludf.DUMMYFUNCTION("INDEX(SPLIT(J382,"" ""),1)"),"#REF!")</f>
        <v>#REF!</v>
      </c>
      <c r="R382" s="3" t="str">
        <f>IFERROR(__xludf.DUMMYFUNCTION("MID(REGEXEXTRACT(J382,"" [^ ]* [^ ]*""),2,300)"),"#REF!")</f>
        <v>#REF!</v>
      </c>
      <c r="S382" s="3">
        <f t="shared" si="2"/>
        <v>1</v>
      </c>
      <c r="T382" s="3" t="str">
        <f t="shared" si="3"/>
        <v>mirrored tan</v>
      </c>
      <c r="U382" s="3">
        <f t="shared" si="4"/>
        <v>4</v>
      </c>
      <c r="V382" s="3" t="str">
        <f t="shared" si="5"/>
        <v>faded indigo</v>
      </c>
      <c r="W382" s="3" t="str">
        <f t="shared" si="6"/>
        <v/>
      </c>
      <c r="X382" s="3" t="str">
        <f t="shared" si="7"/>
        <v/>
      </c>
      <c r="Y382" s="3" t="str">
        <f t="shared" si="8"/>
        <v/>
      </c>
      <c r="Z382" s="3" t="str">
        <f t="shared" si="9"/>
        <v/>
      </c>
      <c r="AA382" s="13">
        <f t="shared" si="10"/>
        <v>1367173694</v>
      </c>
      <c r="AB382" s="3">
        <f t="shared" si="11"/>
        <v>1367173693</v>
      </c>
      <c r="AC382" s="3">
        <f t="shared" si="12"/>
        <v>1</v>
      </c>
      <c r="AD382" s="3">
        <f t="shared" si="13"/>
        <v>7736349</v>
      </c>
      <c r="AE382" s="3">
        <f t="shared" si="14"/>
        <v>4</v>
      </c>
      <c r="AF382" s="3">
        <f t="shared" si="15"/>
        <v>339859336</v>
      </c>
      <c r="AG382" s="3" t="str">
        <f t="shared" si="16"/>
        <v/>
      </c>
      <c r="AH382" s="3">
        <f t="shared" si="17"/>
        <v>0</v>
      </c>
      <c r="AI382" s="3" t="str">
        <f t="shared" si="18"/>
        <v/>
      </c>
      <c r="AJ382" s="3">
        <f t="shared" si="19"/>
        <v>0</v>
      </c>
    </row>
    <row r="383">
      <c r="C383" s="6" t="s">
        <v>383</v>
      </c>
      <c r="D383" s="3">
        <f t="shared" si="1"/>
        <v>3</v>
      </c>
      <c r="E383" s="3" t="str">
        <f>IFERROR(__xludf.DUMMYFUNCTION("REGEXEXTRACT(C383,""[^ ]* [^ ]*"")"),"bright turquoise")</f>
        <v>bright turquoise</v>
      </c>
      <c r="F383" s="3" t="str">
        <f>IFERROR(__xludf.DUMMYFUNCTION("MID(REGEXEXTRACT(C383,""contain.*$""),9,300)"),"1 drab teal bag, 4 dull salmon bags, 4 pale olive bags, 2 faded chartreuse bags.")</f>
        <v>1 drab teal bag, 4 dull salmon bags, 4 pale olive bags, 2 faded chartreuse bags.</v>
      </c>
      <c r="G383" s="3" t="str">
        <f>IFERROR(__xludf.DUMMYFUNCTION("INDEX(SPLIT($F383,"",""),COLUMN()-6)"),"1 drab teal bag")</f>
        <v>1 drab teal bag</v>
      </c>
      <c r="H383" s="3" t="str">
        <f>IFERROR(__xludf.DUMMYFUNCTION("MID(INDEX(SPLIT($F383,"",""),COLUMN()-6),2,300)"),"4 dull salmon bags")</f>
        <v>4 dull salmon bags</v>
      </c>
      <c r="I383" s="3" t="str">
        <f>IFERROR(__xludf.DUMMYFUNCTION("MID(INDEX(SPLIT($F383,"",""),COLUMN()-6),2,300)"),"4 pale olive bags")</f>
        <v>4 pale olive bags</v>
      </c>
      <c r="J383" s="3" t="str">
        <f>IFERROR(__xludf.DUMMYFUNCTION("MID(INDEX(SPLIT($F383,"",""),COLUMN()-6),2,300)"),"2 faded chartreuse bags.")</f>
        <v>2 faded chartreuse bags.</v>
      </c>
      <c r="K383" s="3">
        <f>IFERROR(__xludf.DUMMYFUNCTION("INDEX(SPLIT(G383,"" ""),1)"),1.0)</f>
        <v>1</v>
      </c>
      <c r="L383" s="3" t="str">
        <f>IFERROR(__xludf.DUMMYFUNCTION("REGEXEXTRACT(G383,"" [^ ]* [^ ]* "")")," drab teal ")</f>
        <v> drab teal </v>
      </c>
      <c r="M383" s="3">
        <f>IFERROR(__xludf.DUMMYFUNCTION("INDEX(SPLIT(H383,"" ""),1)"),4.0)</f>
        <v>4</v>
      </c>
      <c r="N383" s="3" t="str">
        <f>IFERROR(__xludf.DUMMYFUNCTION("MID(REGEXEXTRACT(H383,"" [^ ]* [^ ]*""),2,300)"),"dull salmon")</f>
        <v>dull salmon</v>
      </c>
      <c r="O383" s="3">
        <f>IFERROR(__xludf.DUMMYFUNCTION("INDEX(SPLIT(I383,"" ""),1)"),4.0)</f>
        <v>4</v>
      </c>
      <c r="P383" s="3" t="str">
        <f>IFERROR(__xludf.DUMMYFUNCTION("MID(REGEXEXTRACT(I383,"" [^ ]* [^ ]*""),2,300)"),"pale olive")</f>
        <v>pale olive</v>
      </c>
      <c r="Q383" s="3">
        <f>IFERROR(__xludf.DUMMYFUNCTION("INDEX(SPLIT(J383,"" ""),1)"),2.0)</f>
        <v>2</v>
      </c>
      <c r="R383" s="3" t="str">
        <f>IFERROR(__xludf.DUMMYFUNCTION("MID(REGEXEXTRACT(J383,"" [^ ]* [^ ]*""),2,300)"),"faded chartreuse")</f>
        <v>faded chartreuse</v>
      </c>
      <c r="S383" s="3">
        <f t="shared" si="2"/>
        <v>1</v>
      </c>
      <c r="T383" s="3" t="str">
        <f t="shared" si="3"/>
        <v>drab teal</v>
      </c>
      <c r="U383" s="3">
        <f t="shared" si="4"/>
        <v>4</v>
      </c>
      <c r="V383" s="3" t="str">
        <f t="shared" si="5"/>
        <v>dull salmon</v>
      </c>
      <c r="W383" s="3">
        <f t="shared" si="6"/>
        <v>4</v>
      </c>
      <c r="X383" s="3" t="str">
        <f t="shared" si="7"/>
        <v>pale olive</v>
      </c>
      <c r="Y383" s="3">
        <f t="shared" si="8"/>
        <v>2</v>
      </c>
      <c r="Z383" s="3" t="str">
        <f t="shared" si="9"/>
        <v>faded chartreuse</v>
      </c>
      <c r="AA383" s="13">
        <f t="shared" si="10"/>
        <v>12227506</v>
      </c>
      <c r="AB383" s="3">
        <f t="shared" si="11"/>
        <v>12227505</v>
      </c>
      <c r="AC383" s="3">
        <f t="shared" si="12"/>
        <v>1</v>
      </c>
      <c r="AD383" s="3">
        <f t="shared" si="13"/>
        <v>40693</v>
      </c>
      <c r="AE383" s="3">
        <f t="shared" si="14"/>
        <v>4</v>
      </c>
      <c r="AF383" s="3">
        <f t="shared" si="15"/>
        <v>2893451</v>
      </c>
      <c r="AG383" s="3">
        <f t="shared" si="16"/>
        <v>4</v>
      </c>
      <c r="AH383" s="3">
        <f t="shared" si="17"/>
        <v>306</v>
      </c>
      <c r="AI383" s="3">
        <f t="shared" si="18"/>
        <v>2</v>
      </c>
      <c r="AJ383" s="3">
        <f t="shared" si="19"/>
        <v>305892</v>
      </c>
    </row>
    <row r="384">
      <c r="C384" s="6" t="s">
        <v>384</v>
      </c>
      <c r="D384" s="3">
        <f t="shared" si="1"/>
        <v>1</v>
      </c>
      <c r="E384" s="3" t="str">
        <f>IFERROR(__xludf.DUMMYFUNCTION("REGEXEXTRACT(C384,""[^ ]* [^ ]*"")"),"muted tomato")</f>
        <v>muted tomato</v>
      </c>
      <c r="F384" s="3" t="str">
        <f>IFERROR(__xludf.DUMMYFUNCTION("MID(REGEXEXTRACT(C384,""contain.*$""),9,300)"),"1 dark purple bag, 3 striped tan bags.")</f>
        <v>1 dark purple bag, 3 striped tan bags.</v>
      </c>
      <c r="G384" s="3" t="str">
        <f>IFERROR(__xludf.DUMMYFUNCTION("INDEX(SPLIT($F384,"",""),COLUMN()-6)"),"1 dark purple bag")</f>
        <v>1 dark purple bag</v>
      </c>
      <c r="H384" s="3" t="str">
        <f>IFERROR(__xludf.DUMMYFUNCTION("MID(INDEX(SPLIT($F384,"",""),COLUMN()-6),2,300)"),"3 striped tan bags.")</f>
        <v>3 striped tan bags.</v>
      </c>
      <c r="I384" s="3" t="str">
        <f>IFERROR(__xludf.DUMMYFUNCTION("MID(INDEX(SPLIT($F384,"",""),COLUMN()-6),2,300)"),"#REF!")</f>
        <v>#REF!</v>
      </c>
      <c r="J384" s="3" t="str">
        <f>IFERROR(__xludf.DUMMYFUNCTION("MID(INDEX(SPLIT($F384,"",""),COLUMN()-6),2,300)"),"#REF!")</f>
        <v>#REF!</v>
      </c>
      <c r="K384" s="3">
        <f>IFERROR(__xludf.DUMMYFUNCTION("INDEX(SPLIT(G384,"" ""),1)"),1.0)</f>
        <v>1</v>
      </c>
      <c r="L384" s="3" t="str">
        <f>IFERROR(__xludf.DUMMYFUNCTION("REGEXEXTRACT(G384,"" [^ ]* [^ ]* "")")," dark purple ")</f>
        <v> dark purple </v>
      </c>
      <c r="M384" s="3">
        <f>IFERROR(__xludf.DUMMYFUNCTION("INDEX(SPLIT(H384,"" ""),1)"),3.0)</f>
        <v>3</v>
      </c>
      <c r="N384" s="3" t="str">
        <f>IFERROR(__xludf.DUMMYFUNCTION("MID(REGEXEXTRACT(H384,"" [^ ]* [^ ]*""),2,300)"),"striped tan")</f>
        <v>striped tan</v>
      </c>
      <c r="O384" s="3" t="str">
        <f>IFERROR(__xludf.DUMMYFUNCTION("INDEX(SPLIT(I384,"" ""),1)"),"#REF!")</f>
        <v>#REF!</v>
      </c>
      <c r="P384" s="3" t="str">
        <f>IFERROR(__xludf.DUMMYFUNCTION("MID(REGEXEXTRACT(I384,"" [^ ]* [^ ]*""),2,300)"),"#REF!")</f>
        <v>#REF!</v>
      </c>
      <c r="Q384" s="3" t="str">
        <f>IFERROR(__xludf.DUMMYFUNCTION("INDEX(SPLIT(J384,"" ""),1)"),"#REF!")</f>
        <v>#REF!</v>
      </c>
      <c r="R384" s="3" t="str">
        <f>IFERROR(__xludf.DUMMYFUNCTION("MID(REGEXEXTRACT(J384,"" [^ ]* [^ ]*""),2,300)"),"#REF!")</f>
        <v>#REF!</v>
      </c>
      <c r="S384" s="3">
        <f t="shared" si="2"/>
        <v>1</v>
      </c>
      <c r="T384" s="3" t="str">
        <f t="shared" si="3"/>
        <v>dark purple</v>
      </c>
      <c r="U384" s="3">
        <f t="shared" si="4"/>
        <v>3</v>
      </c>
      <c r="V384" s="3" t="str">
        <f t="shared" si="5"/>
        <v>striped tan</v>
      </c>
      <c r="W384" s="3" t="str">
        <f t="shared" si="6"/>
        <v/>
      </c>
      <c r="X384" s="3" t="str">
        <f t="shared" si="7"/>
        <v/>
      </c>
      <c r="Y384" s="3" t="str">
        <f t="shared" si="8"/>
        <v/>
      </c>
      <c r="Z384" s="3" t="str">
        <f t="shared" si="9"/>
        <v/>
      </c>
      <c r="AA384" s="13">
        <f t="shared" si="10"/>
        <v>39543047</v>
      </c>
      <c r="AB384" s="3">
        <f t="shared" si="11"/>
        <v>39543046</v>
      </c>
      <c r="AC384" s="3">
        <f t="shared" si="12"/>
        <v>1</v>
      </c>
      <c r="AD384" s="3">
        <f t="shared" si="13"/>
        <v>37917343</v>
      </c>
      <c r="AE384" s="3">
        <f t="shared" si="14"/>
        <v>3</v>
      </c>
      <c r="AF384" s="3">
        <f t="shared" si="15"/>
        <v>541901</v>
      </c>
      <c r="AG384" s="3" t="str">
        <f t="shared" si="16"/>
        <v/>
      </c>
      <c r="AH384" s="3">
        <f t="shared" si="17"/>
        <v>0</v>
      </c>
      <c r="AI384" s="3" t="str">
        <f t="shared" si="18"/>
        <v/>
      </c>
      <c r="AJ384" s="3">
        <f t="shared" si="19"/>
        <v>0</v>
      </c>
    </row>
    <row r="385">
      <c r="C385" s="6" t="s">
        <v>385</v>
      </c>
      <c r="D385" s="3">
        <f t="shared" si="1"/>
        <v>0</v>
      </c>
      <c r="E385" s="3" t="str">
        <f>IFERROR(__xludf.DUMMYFUNCTION("REGEXEXTRACT(C385,""[^ ]* [^ ]*"")"),"posh silver")</f>
        <v>posh silver</v>
      </c>
      <c r="F385" s="3" t="str">
        <f>IFERROR(__xludf.DUMMYFUNCTION("MID(REGEXEXTRACT(C385,""contain.*$""),9,300)"),"4 muted gray bags.")</f>
        <v>4 muted gray bags.</v>
      </c>
      <c r="G385" s="3" t="str">
        <f>IFERROR(__xludf.DUMMYFUNCTION("INDEX(SPLIT($F385,"",""),COLUMN()-6)"),"4 muted gray bags.")</f>
        <v>4 muted gray bags.</v>
      </c>
      <c r="H385" s="3" t="str">
        <f>IFERROR(__xludf.DUMMYFUNCTION("MID(INDEX(SPLIT($F385,"",""),COLUMN()-6),2,300)"),"#REF!")</f>
        <v>#REF!</v>
      </c>
      <c r="I385" s="3" t="str">
        <f>IFERROR(__xludf.DUMMYFUNCTION("MID(INDEX(SPLIT($F385,"",""),COLUMN()-6),2,300)"),"#REF!")</f>
        <v>#REF!</v>
      </c>
      <c r="J385" s="3" t="str">
        <f>IFERROR(__xludf.DUMMYFUNCTION("MID(INDEX(SPLIT($F385,"",""),COLUMN()-6),2,300)"),"#REF!")</f>
        <v>#REF!</v>
      </c>
      <c r="K385" s="3">
        <f>IFERROR(__xludf.DUMMYFUNCTION("INDEX(SPLIT(G385,"" ""),1)"),4.0)</f>
        <v>4</v>
      </c>
      <c r="L385" s="3" t="str">
        <f>IFERROR(__xludf.DUMMYFUNCTION("REGEXEXTRACT(G385,"" [^ ]* [^ ]* "")")," muted gray ")</f>
        <v> muted gray </v>
      </c>
      <c r="M385" s="3" t="str">
        <f>IFERROR(__xludf.DUMMYFUNCTION("INDEX(SPLIT(H385,"" ""),1)"),"#REF!")</f>
        <v>#REF!</v>
      </c>
      <c r="N385" s="3" t="str">
        <f>IFERROR(__xludf.DUMMYFUNCTION("MID(REGEXEXTRACT(H385,"" [^ ]* [^ ]*""),2,300)"),"#REF!")</f>
        <v>#REF!</v>
      </c>
      <c r="O385" s="3" t="str">
        <f>IFERROR(__xludf.DUMMYFUNCTION("INDEX(SPLIT(I385,"" ""),1)"),"#REF!")</f>
        <v>#REF!</v>
      </c>
      <c r="P385" s="3" t="str">
        <f>IFERROR(__xludf.DUMMYFUNCTION("MID(REGEXEXTRACT(I385,"" [^ ]* [^ ]*""),2,300)"),"#REF!")</f>
        <v>#REF!</v>
      </c>
      <c r="Q385" s="3" t="str">
        <f>IFERROR(__xludf.DUMMYFUNCTION("INDEX(SPLIT(J385,"" ""),1)"),"#REF!")</f>
        <v>#REF!</v>
      </c>
      <c r="R385" s="3" t="str">
        <f>IFERROR(__xludf.DUMMYFUNCTION("MID(REGEXEXTRACT(J385,"" [^ ]* [^ ]*""),2,300)"),"#REF!")</f>
        <v>#REF!</v>
      </c>
      <c r="S385" s="3">
        <f t="shared" si="2"/>
        <v>4</v>
      </c>
      <c r="T385" s="3" t="str">
        <f t="shared" si="3"/>
        <v>muted gray</v>
      </c>
      <c r="U385" s="3" t="str">
        <f t="shared" si="4"/>
        <v/>
      </c>
      <c r="V385" s="3" t="str">
        <f t="shared" si="5"/>
        <v/>
      </c>
      <c r="W385" s="3" t="str">
        <f t="shared" si="6"/>
        <v/>
      </c>
      <c r="X385" s="3" t="str">
        <f t="shared" si="7"/>
        <v/>
      </c>
      <c r="Y385" s="3" t="str">
        <f t="shared" si="8"/>
        <v/>
      </c>
      <c r="Z385" s="3" t="str">
        <f t="shared" si="9"/>
        <v/>
      </c>
      <c r="AA385" s="13">
        <f t="shared" si="10"/>
        <v>34858093</v>
      </c>
      <c r="AB385" s="3">
        <f t="shared" si="11"/>
        <v>34858092</v>
      </c>
      <c r="AC385" s="3">
        <f t="shared" si="12"/>
        <v>4</v>
      </c>
      <c r="AD385" s="3">
        <f t="shared" si="13"/>
        <v>8714523</v>
      </c>
      <c r="AE385" s="3" t="str">
        <f t="shared" si="14"/>
        <v/>
      </c>
      <c r="AF385" s="3">
        <f t="shared" si="15"/>
        <v>0</v>
      </c>
      <c r="AG385" s="3" t="str">
        <f t="shared" si="16"/>
        <v/>
      </c>
      <c r="AH385" s="3">
        <f t="shared" si="17"/>
        <v>0</v>
      </c>
      <c r="AI385" s="3" t="str">
        <f t="shared" si="18"/>
        <v/>
      </c>
      <c r="AJ385" s="3">
        <f t="shared" si="19"/>
        <v>0</v>
      </c>
    </row>
    <row r="386">
      <c r="C386" s="6" t="s">
        <v>386</v>
      </c>
      <c r="D386" s="3">
        <f t="shared" si="1"/>
        <v>3</v>
      </c>
      <c r="E386" s="3" t="str">
        <f>IFERROR(__xludf.DUMMYFUNCTION("REGEXEXTRACT(C386,""[^ ]* [^ ]*"")"),"mirrored olive")</f>
        <v>mirrored olive</v>
      </c>
      <c r="F386" s="3" t="str">
        <f>IFERROR(__xludf.DUMMYFUNCTION("MID(REGEXEXTRACT(C386,""contain.*$""),9,300)"),"5 bright lavender bags, 2 clear blue bags, 5 dotted crimson bags, 5 pale black bags.")</f>
        <v>5 bright lavender bags, 2 clear blue bags, 5 dotted crimson bags, 5 pale black bags.</v>
      </c>
      <c r="G386" s="3" t="str">
        <f>IFERROR(__xludf.DUMMYFUNCTION("INDEX(SPLIT($F386,"",""),COLUMN()-6)"),"5 bright lavender bags")</f>
        <v>5 bright lavender bags</v>
      </c>
      <c r="H386" s="3" t="str">
        <f>IFERROR(__xludf.DUMMYFUNCTION("MID(INDEX(SPLIT($F386,"",""),COLUMN()-6),2,300)"),"2 clear blue bags")</f>
        <v>2 clear blue bags</v>
      </c>
      <c r="I386" s="3" t="str">
        <f>IFERROR(__xludf.DUMMYFUNCTION("MID(INDEX(SPLIT($F386,"",""),COLUMN()-6),2,300)"),"5 dotted crimson bags")</f>
        <v>5 dotted crimson bags</v>
      </c>
      <c r="J386" s="3" t="str">
        <f>IFERROR(__xludf.DUMMYFUNCTION("MID(INDEX(SPLIT($F386,"",""),COLUMN()-6),2,300)"),"5 pale black bags.")</f>
        <v>5 pale black bags.</v>
      </c>
      <c r="K386" s="3">
        <f>IFERROR(__xludf.DUMMYFUNCTION("INDEX(SPLIT(G386,"" ""),1)"),5.0)</f>
        <v>5</v>
      </c>
      <c r="L386" s="3" t="str">
        <f>IFERROR(__xludf.DUMMYFUNCTION("REGEXEXTRACT(G386,"" [^ ]* [^ ]* "")")," bright lavender ")</f>
        <v> bright lavender </v>
      </c>
      <c r="M386" s="3">
        <f>IFERROR(__xludf.DUMMYFUNCTION("INDEX(SPLIT(H386,"" ""),1)"),2.0)</f>
        <v>2</v>
      </c>
      <c r="N386" s="3" t="str">
        <f>IFERROR(__xludf.DUMMYFUNCTION("MID(REGEXEXTRACT(H386,"" [^ ]* [^ ]*""),2,300)"),"clear blue")</f>
        <v>clear blue</v>
      </c>
      <c r="O386" s="3">
        <f>IFERROR(__xludf.DUMMYFUNCTION("INDEX(SPLIT(I386,"" ""),1)"),5.0)</f>
        <v>5</v>
      </c>
      <c r="P386" s="3" t="str">
        <f>IFERROR(__xludf.DUMMYFUNCTION("MID(REGEXEXTRACT(I386,"" [^ ]* [^ ]*""),2,300)"),"dotted crimson")</f>
        <v>dotted crimson</v>
      </c>
      <c r="Q386" s="3">
        <f>IFERROR(__xludf.DUMMYFUNCTION("INDEX(SPLIT(J386,"" ""),1)"),5.0)</f>
        <v>5</v>
      </c>
      <c r="R386" s="3" t="str">
        <f>IFERROR(__xludf.DUMMYFUNCTION("MID(REGEXEXTRACT(J386,"" [^ ]* [^ ]*""),2,300)"),"pale black")</f>
        <v>pale black</v>
      </c>
      <c r="S386" s="3">
        <f t="shared" si="2"/>
        <v>5</v>
      </c>
      <c r="T386" s="3" t="str">
        <f t="shared" si="3"/>
        <v>bright lavender</v>
      </c>
      <c r="U386" s="3">
        <f t="shared" si="4"/>
        <v>2</v>
      </c>
      <c r="V386" s="3" t="str">
        <f t="shared" si="5"/>
        <v>clear blue</v>
      </c>
      <c r="W386" s="3">
        <f t="shared" si="6"/>
        <v>5</v>
      </c>
      <c r="X386" s="3" t="str">
        <f t="shared" si="7"/>
        <v>dotted crimson</v>
      </c>
      <c r="Y386" s="3">
        <f t="shared" si="8"/>
        <v>5</v>
      </c>
      <c r="Z386" s="3" t="str">
        <f t="shared" si="9"/>
        <v>pale black</v>
      </c>
      <c r="AA386" s="13">
        <f t="shared" si="10"/>
        <v>7408</v>
      </c>
      <c r="AB386" s="3">
        <f t="shared" si="11"/>
        <v>7407</v>
      </c>
      <c r="AC386" s="3">
        <f t="shared" si="12"/>
        <v>5</v>
      </c>
      <c r="AD386" s="3">
        <f t="shared" si="13"/>
        <v>164</v>
      </c>
      <c r="AE386" s="3">
        <f t="shared" si="14"/>
        <v>2</v>
      </c>
      <c r="AF386" s="3">
        <f t="shared" si="15"/>
        <v>76</v>
      </c>
      <c r="AG386" s="3">
        <f t="shared" si="16"/>
        <v>5</v>
      </c>
      <c r="AH386" s="3">
        <f t="shared" si="17"/>
        <v>1279</v>
      </c>
      <c r="AI386" s="3">
        <f t="shared" si="18"/>
        <v>5</v>
      </c>
      <c r="AJ386" s="3">
        <f t="shared" si="19"/>
        <v>8</v>
      </c>
    </row>
    <row r="387">
      <c r="C387" s="6" t="s">
        <v>387</v>
      </c>
      <c r="D387" s="3">
        <f t="shared" si="1"/>
        <v>2</v>
      </c>
      <c r="E387" s="3" t="str">
        <f>IFERROR(__xludf.DUMMYFUNCTION("REGEXEXTRACT(C387,""[^ ]* [^ ]*"")"),"shiny tomato")</f>
        <v>shiny tomato</v>
      </c>
      <c r="F387" s="3" t="str">
        <f>IFERROR(__xludf.DUMMYFUNCTION("MID(REGEXEXTRACT(C387,""contain.*$""),9,300)"),"1 mirrored purple bag, 4 posh gold bags, 3 vibrant plum bags.")</f>
        <v>1 mirrored purple bag, 4 posh gold bags, 3 vibrant plum bags.</v>
      </c>
      <c r="G387" s="3" t="str">
        <f>IFERROR(__xludf.DUMMYFUNCTION("INDEX(SPLIT($F387,"",""),COLUMN()-6)"),"1 mirrored purple bag")</f>
        <v>1 mirrored purple bag</v>
      </c>
      <c r="H387" s="3" t="str">
        <f>IFERROR(__xludf.DUMMYFUNCTION("MID(INDEX(SPLIT($F387,"",""),COLUMN()-6),2,300)"),"4 posh gold bags")</f>
        <v>4 posh gold bags</v>
      </c>
      <c r="I387" s="3" t="str">
        <f>IFERROR(__xludf.DUMMYFUNCTION("MID(INDEX(SPLIT($F387,"",""),COLUMN()-6),2,300)"),"3 vibrant plum bags.")</f>
        <v>3 vibrant plum bags.</v>
      </c>
      <c r="J387" s="3" t="str">
        <f>IFERROR(__xludf.DUMMYFUNCTION("MID(INDEX(SPLIT($F387,"",""),COLUMN()-6),2,300)"),"#REF!")</f>
        <v>#REF!</v>
      </c>
      <c r="K387" s="3">
        <f>IFERROR(__xludf.DUMMYFUNCTION("INDEX(SPLIT(G387,"" ""),1)"),1.0)</f>
        <v>1</v>
      </c>
      <c r="L387" s="3" t="str">
        <f>IFERROR(__xludf.DUMMYFUNCTION("REGEXEXTRACT(G387,"" [^ ]* [^ ]* "")")," mirrored purple ")</f>
        <v> mirrored purple </v>
      </c>
      <c r="M387" s="3">
        <f>IFERROR(__xludf.DUMMYFUNCTION("INDEX(SPLIT(H387,"" ""),1)"),4.0)</f>
        <v>4</v>
      </c>
      <c r="N387" s="3" t="str">
        <f>IFERROR(__xludf.DUMMYFUNCTION("MID(REGEXEXTRACT(H387,"" [^ ]* [^ ]*""),2,300)"),"posh gold")</f>
        <v>posh gold</v>
      </c>
      <c r="O387" s="3">
        <f>IFERROR(__xludf.DUMMYFUNCTION("INDEX(SPLIT(I387,"" ""),1)"),3.0)</f>
        <v>3</v>
      </c>
      <c r="P387" s="3" t="str">
        <f>IFERROR(__xludf.DUMMYFUNCTION("MID(REGEXEXTRACT(I387,"" [^ ]* [^ ]*""),2,300)"),"vibrant plum")</f>
        <v>vibrant plum</v>
      </c>
      <c r="Q387" s="3" t="str">
        <f>IFERROR(__xludf.DUMMYFUNCTION("INDEX(SPLIT(J387,"" ""),1)"),"#REF!")</f>
        <v>#REF!</v>
      </c>
      <c r="R387" s="3" t="str">
        <f>IFERROR(__xludf.DUMMYFUNCTION("MID(REGEXEXTRACT(J387,"" [^ ]* [^ ]*""),2,300)"),"#REF!")</f>
        <v>#REF!</v>
      </c>
      <c r="S387" s="3">
        <f t="shared" si="2"/>
        <v>1</v>
      </c>
      <c r="T387" s="3" t="str">
        <f t="shared" si="3"/>
        <v>mirrored purple</v>
      </c>
      <c r="U387" s="3">
        <f t="shared" si="4"/>
        <v>4</v>
      </c>
      <c r="V387" s="3" t="str">
        <f t="shared" si="5"/>
        <v>posh gold</v>
      </c>
      <c r="W387" s="3">
        <f t="shared" si="6"/>
        <v>3</v>
      </c>
      <c r="X387" s="3" t="str">
        <f t="shared" si="7"/>
        <v>vibrant plum</v>
      </c>
      <c r="Y387" s="3" t="str">
        <f t="shared" si="8"/>
        <v/>
      </c>
      <c r="Z387" s="3" t="str">
        <f t="shared" si="9"/>
        <v/>
      </c>
      <c r="AA387" s="13">
        <f t="shared" si="10"/>
        <v>47611663</v>
      </c>
      <c r="AB387" s="3">
        <f t="shared" si="11"/>
        <v>47611662</v>
      </c>
      <c r="AC387" s="3">
        <f t="shared" si="12"/>
        <v>1</v>
      </c>
      <c r="AD387" s="3">
        <f t="shared" si="13"/>
        <v>47043416</v>
      </c>
      <c r="AE387" s="3">
        <f t="shared" si="14"/>
        <v>4</v>
      </c>
      <c r="AF387" s="3">
        <f t="shared" si="15"/>
        <v>122080</v>
      </c>
      <c r="AG387" s="3">
        <f t="shared" si="16"/>
        <v>3</v>
      </c>
      <c r="AH387" s="3">
        <f t="shared" si="17"/>
        <v>26642</v>
      </c>
      <c r="AI387" s="3" t="str">
        <f t="shared" si="18"/>
        <v/>
      </c>
      <c r="AJ387" s="3">
        <f t="shared" si="19"/>
        <v>0</v>
      </c>
    </row>
    <row r="388">
      <c r="C388" s="6" t="s">
        <v>388</v>
      </c>
      <c r="D388" s="3">
        <f t="shared" si="1"/>
        <v>3</v>
      </c>
      <c r="E388" s="3" t="str">
        <f>IFERROR(__xludf.DUMMYFUNCTION("REGEXEXTRACT(C388,""[^ ]* [^ ]*"")"),"striped coral")</f>
        <v>striped coral</v>
      </c>
      <c r="F388" s="3" t="str">
        <f>IFERROR(__xludf.DUMMYFUNCTION("MID(REGEXEXTRACT(C388,""contain.*$""),9,300)"),"5 clear orange bags, 3 muted coral bags, 4 bright green bags, 1 clear chartreuse bag.")</f>
        <v>5 clear orange bags, 3 muted coral bags, 4 bright green bags, 1 clear chartreuse bag.</v>
      </c>
      <c r="G388" s="3" t="str">
        <f>IFERROR(__xludf.DUMMYFUNCTION("INDEX(SPLIT($F388,"",""),COLUMN()-6)"),"5 clear orange bags")</f>
        <v>5 clear orange bags</v>
      </c>
      <c r="H388" s="3" t="str">
        <f>IFERROR(__xludf.DUMMYFUNCTION("MID(INDEX(SPLIT($F388,"",""),COLUMN()-6),2,300)"),"3 muted coral bags")</f>
        <v>3 muted coral bags</v>
      </c>
      <c r="I388" s="3" t="str">
        <f>IFERROR(__xludf.DUMMYFUNCTION("MID(INDEX(SPLIT($F388,"",""),COLUMN()-6),2,300)"),"4 bright green bags")</f>
        <v>4 bright green bags</v>
      </c>
      <c r="J388" s="3" t="str">
        <f>IFERROR(__xludf.DUMMYFUNCTION("MID(INDEX(SPLIT($F388,"",""),COLUMN()-6),2,300)"),"1 clear chartreuse bag.")</f>
        <v>1 clear chartreuse bag.</v>
      </c>
      <c r="K388" s="3">
        <f>IFERROR(__xludf.DUMMYFUNCTION("INDEX(SPLIT(G388,"" ""),1)"),5.0)</f>
        <v>5</v>
      </c>
      <c r="L388" s="3" t="str">
        <f>IFERROR(__xludf.DUMMYFUNCTION("REGEXEXTRACT(G388,"" [^ ]* [^ ]* "")")," clear orange ")</f>
        <v> clear orange </v>
      </c>
      <c r="M388" s="3">
        <f>IFERROR(__xludf.DUMMYFUNCTION("INDEX(SPLIT(H388,"" ""),1)"),3.0)</f>
        <v>3</v>
      </c>
      <c r="N388" s="3" t="str">
        <f>IFERROR(__xludf.DUMMYFUNCTION("MID(REGEXEXTRACT(H388,"" [^ ]* [^ ]*""),2,300)"),"muted coral")</f>
        <v>muted coral</v>
      </c>
      <c r="O388" s="3">
        <f>IFERROR(__xludf.DUMMYFUNCTION("INDEX(SPLIT(I388,"" ""),1)"),4.0)</f>
        <v>4</v>
      </c>
      <c r="P388" s="3" t="str">
        <f>IFERROR(__xludf.DUMMYFUNCTION("MID(REGEXEXTRACT(I388,"" [^ ]* [^ ]*""),2,300)"),"bright green")</f>
        <v>bright green</v>
      </c>
      <c r="Q388" s="3">
        <f>IFERROR(__xludf.DUMMYFUNCTION("INDEX(SPLIT(J388,"" ""),1)"),1.0)</f>
        <v>1</v>
      </c>
      <c r="R388" s="3" t="str">
        <f>IFERROR(__xludf.DUMMYFUNCTION("MID(REGEXEXTRACT(J388,"" [^ ]* [^ ]*""),2,300)"),"clear chartreuse")</f>
        <v>clear chartreuse</v>
      </c>
      <c r="S388" s="3">
        <f t="shared" si="2"/>
        <v>5</v>
      </c>
      <c r="T388" s="3" t="str">
        <f t="shared" si="3"/>
        <v>clear orange</v>
      </c>
      <c r="U388" s="3">
        <f t="shared" si="4"/>
        <v>3</v>
      </c>
      <c r="V388" s="3" t="str">
        <f t="shared" si="5"/>
        <v>muted coral</v>
      </c>
      <c r="W388" s="3">
        <f t="shared" si="6"/>
        <v>4</v>
      </c>
      <c r="X388" s="3" t="str">
        <f t="shared" si="7"/>
        <v>bright green</v>
      </c>
      <c r="Y388" s="3">
        <f t="shared" si="8"/>
        <v>1</v>
      </c>
      <c r="Z388" s="3" t="str">
        <f t="shared" si="9"/>
        <v>clear chartreuse</v>
      </c>
      <c r="AA388" s="13">
        <f t="shared" si="10"/>
        <v>82502159</v>
      </c>
      <c r="AB388" s="3">
        <f t="shared" si="11"/>
        <v>82502158</v>
      </c>
      <c r="AC388" s="3">
        <f t="shared" si="12"/>
        <v>5</v>
      </c>
      <c r="AD388" s="3">
        <f t="shared" si="13"/>
        <v>2656</v>
      </c>
      <c r="AE388" s="3">
        <f t="shared" si="14"/>
        <v>3</v>
      </c>
      <c r="AF388" s="3">
        <f t="shared" si="15"/>
        <v>9875186</v>
      </c>
      <c r="AG388" s="3">
        <f t="shared" si="16"/>
        <v>4</v>
      </c>
      <c r="AH388" s="3">
        <f t="shared" si="17"/>
        <v>134494</v>
      </c>
      <c r="AI388" s="3">
        <f t="shared" si="18"/>
        <v>1</v>
      </c>
      <c r="AJ388" s="3">
        <f t="shared" si="19"/>
        <v>52325344</v>
      </c>
    </row>
    <row r="389">
      <c r="C389" s="6" t="s">
        <v>389</v>
      </c>
      <c r="D389" s="3">
        <f t="shared" si="1"/>
        <v>0</v>
      </c>
      <c r="E389" s="3" t="str">
        <f>IFERROR(__xludf.DUMMYFUNCTION("REGEXEXTRACT(C389,""[^ ]* [^ ]*"")"),"mirrored chartreuse")</f>
        <v>mirrored chartreuse</v>
      </c>
      <c r="F389" s="3" t="str">
        <f>IFERROR(__xludf.DUMMYFUNCTION("MID(REGEXEXTRACT(C389,""contain.*$""),9,300)"),"4 clear blue bags.")</f>
        <v>4 clear blue bags.</v>
      </c>
      <c r="G389" s="3" t="str">
        <f>IFERROR(__xludf.DUMMYFUNCTION("INDEX(SPLIT($F389,"",""),COLUMN()-6)"),"4 clear blue bags.")</f>
        <v>4 clear blue bags.</v>
      </c>
      <c r="H389" s="3" t="str">
        <f>IFERROR(__xludf.DUMMYFUNCTION("MID(INDEX(SPLIT($F389,"",""),COLUMN()-6),2,300)"),"#REF!")</f>
        <v>#REF!</v>
      </c>
      <c r="I389" s="3" t="str">
        <f>IFERROR(__xludf.DUMMYFUNCTION("MID(INDEX(SPLIT($F389,"",""),COLUMN()-6),2,300)"),"#REF!")</f>
        <v>#REF!</v>
      </c>
      <c r="J389" s="3" t="str">
        <f>IFERROR(__xludf.DUMMYFUNCTION("MID(INDEX(SPLIT($F389,"",""),COLUMN()-6),2,300)"),"#REF!")</f>
        <v>#REF!</v>
      </c>
      <c r="K389" s="3">
        <f>IFERROR(__xludf.DUMMYFUNCTION("INDEX(SPLIT(G389,"" ""),1)"),4.0)</f>
        <v>4</v>
      </c>
      <c r="L389" s="3" t="str">
        <f>IFERROR(__xludf.DUMMYFUNCTION("REGEXEXTRACT(G389,"" [^ ]* [^ ]* "")")," clear blue ")</f>
        <v> clear blue </v>
      </c>
      <c r="M389" s="3" t="str">
        <f>IFERROR(__xludf.DUMMYFUNCTION("INDEX(SPLIT(H389,"" ""),1)"),"#REF!")</f>
        <v>#REF!</v>
      </c>
      <c r="N389" s="3" t="str">
        <f>IFERROR(__xludf.DUMMYFUNCTION("MID(REGEXEXTRACT(H389,"" [^ ]* [^ ]*""),2,300)"),"#REF!")</f>
        <v>#REF!</v>
      </c>
      <c r="O389" s="3" t="str">
        <f>IFERROR(__xludf.DUMMYFUNCTION("INDEX(SPLIT(I389,"" ""),1)"),"#REF!")</f>
        <v>#REF!</v>
      </c>
      <c r="P389" s="3" t="str">
        <f>IFERROR(__xludf.DUMMYFUNCTION("MID(REGEXEXTRACT(I389,"" [^ ]* [^ ]*""),2,300)"),"#REF!")</f>
        <v>#REF!</v>
      </c>
      <c r="Q389" s="3" t="str">
        <f>IFERROR(__xludf.DUMMYFUNCTION("INDEX(SPLIT(J389,"" ""),1)"),"#REF!")</f>
        <v>#REF!</v>
      </c>
      <c r="R389" s="3" t="str">
        <f>IFERROR(__xludf.DUMMYFUNCTION("MID(REGEXEXTRACT(J389,"" [^ ]* [^ ]*""),2,300)"),"#REF!")</f>
        <v>#REF!</v>
      </c>
      <c r="S389" s="3">
        <f t="shared" si="2"/>
        <v>4</v>
      </c>
      <c r="T389" s="3" t="str">
        <f t="shared" si="3"/>
        <v>clear blue</v>
      </c>
      <c r="U389" s="3" t="str">
        <f t="shared" si="4"/>
        <v/>
      </c>
      <c r="V389" s="3" t="str">
        <f t="shared" si="5"/>
        <v/>
      </c>
      <c r="W389" s="3" t="str">
        <f t="shared" si="6"/>
        <v/>
      </c>
      <c r="X389" s="3" t="str">
        <f t="shared" si="7"/>
        <v/>
      </c>
      <c r="Y389" s="3" t="str">
        <f t="shared" si="8"/>
        <v/>
      </c>
      <c r="Z389" s="3" t="str">
        <f t="shared" si="9"/>
        <v/>
      </c>
      <c r="AA389" s="13">
        <f t="shared" si="10"/>
        <v>305</v>
      </c>
      <c r="AB389" s="3">
        <f t="shared" si="11"/>
        <v>304</v>
      </c>
      <c r="AC389" s="3">
        <f t="shared" si="12"/>
        <v>4</v>
      </c>
      <c r="AD389" s="3">
        <f t="shared" si="13"/>
        <v>76</v>
      </c>
      <c r="AE389" s="3" t="str">
        <f t="shared" si="14"/>
        <v/>
      </c>
      <c r="AF389" s="3">
        <f t="shared" si="15"/>
        <v>0</v>
      </c>
      <c r="AG389" s="3" t="str">
        <f t="shared" si="16"/>
        <v/>
      </c>
      <c r="AH389" s="3">
        <f t="shared" si="17"/>
        <v>0</v>
      </c>
      <c r="AI389" s="3" t="str">
        <f t="shared" si="18"/>
        <v/>
      </c>
      <c r="AJ389" s="3">
        <f t="shared" si="19"/>
        <v>0</v>
      </c>
    </row>
    <row r="390">
      <c r="C390" s="6" t="s">
        <v>390</v>
      </c>
      <c r="D390" s="3">
        <f t="shared" si="1"/>
        <v>0</v>
      </c>
      <c r="E390" s="3" t="str">
        <f>IFERROR(__xludf.DUMMYFUNCTION("REGEXEXTRACT(C390,""[^ ]* [^ ]*"")"),"pale maroon")</f>
        <v>pale maroon</v>
      </c>
      <c r="F390" s="3" t="str">
        <f>IFERROR(__xludf.DUMMYFUNCTION("MID(REGEXEXTRACT(C390,""contain.*$""),9,300)"),"1 muted indigo bag.")</f>
        <v>1 muted indigo bag.</v>
      </c>
      <c r="G390" s="3" t="str">
        <f>IFERROR(__xludf.DUMMYFUNCTION("INDEX(SPLIT($F390,"",""),COLUMN()-6)"),"1 muted indigo bag.")</f>
        <v>1 muted indigo bag.</v>
      </c>
      <c r="H390" s="3" t="str">
        <f>IFERROR(__xludf.DUMMYFUNCTION("MID(INDEX(SPLIT($F390,"",""),COLUMN()-6),2,300)"),"#REF!")</f>
        <v>#REF!</v>
      </c>
      <c r="I390" s="3" t="str">
        <f>IFERROR(__xludf.DUMMYFUNCTION("MID(INDEX(SPLIT($F390,"",""),COLUMN()-6),2,300)"),"#REF!")</f>
        <v>#REF!</v>
      </c>
      <c r="J390" s="3" t="str">
        <f>IFERROR(__xludf.DUMMYFUNCTION("MID(INDEX(SPLIT($F390,"",""),COLUMN()-6),2,300)"),"#REF!")</f>
        <v>#REF!</v>
      </c>
      <c r="K390" s="3">
        <f>IFERROR(__xludf.DUMMYFUNCTION("INDEX(SPLIT(G390,"" ""),1)"),1.0)</f>
        <v>1</v>
      </c>
      <c r="L390" s="3" t="str">
        <f>IFERROR(__xludf.DUMMYFUNCTION("REGEXEXTRACT(G390,"" [^ ]* [^ ]* "")")," muted indigo ")</f>
        <v> muted indigo </v>
      </c>
      <c r="M390" s="3" t="str">
        <f>IFERROR(__xludf.DUMMYFUNCTION("INDEX(SPLIT(H390,"" ""),1)"),"#REF!")</f>
        <v>#REF!</v>
      </c>
      <c r="N390" s="3" t="str">
        <f>IFERROR(__xludf.DUMMYFUNCTION("MID(REGEXEXTRACT(H390,"" [^ ]* [^ ]*""),2,300)"),"#REF!")</f>
        <v>#REF!</v>
      </c>
      <c r="O390" s="3" t="str">
        <f>IFERROR(__xludf.DUMMYFUNCTION("INDEX(SPLIT(I390,"" ""),1)"),"#REF!")</f>
        <v>#REF!</v>
      </c>
      <c r="P390" s="3" t="str">
        <f>IFERROR(__xludf.DUMMYFUNCTION("MID(REGEXEXTRACT(I390,"" [^ ]* [^ ]*""),2,300)"),"#REF!")</f>
        <v>#REF!</v>
      </c>
      <c r="Q390" s="3" t="str">
        <f>IFERROR(__xludf.DUMMYFUNCTION("INDEX(SPLIT(J390,"" ""),1)"),"#REF!")</f>
        <v>#REF!</v>
      </c>
      <c r="R390" s="3" t="str">
        <f>IFERROR(__xludf.DUMMYFUNCTION("MID(REGEXEXTRACT(J390,"" [^ ]* [^ ]*""),2,300)"),"#REF!")</f>
        <v>#REF!</v>
      </c>
      <c r="S390" s="3">
        <f t="shared" si="2"/>
        <v>1</v>
      </c>
      <c r="T390" s="3" t="str">
        <f t="shared" si="3"/>
        <v>muted indigo</v>
      </c>
      <c r="U390" s="3" t="str">
        <f t="shared" si="4"/>
        <v/>
      </c>
      <c r="V390" s="3" t="str">
        <f t="shared" si="5"/>
        <v/>
      </c>
      <c r="W390" s="3" t="str">
        <f t="shared" si="6"/>
        <v/>
      </c>
      <c r="X390" s="3" t="str">
        <f t="shared" si="7"/>
        <v/>
      </c>
      <c r="Y390" s="3" t="str">
        <f t="shared" si="8"/>
        <v/>
      </c>
      <c r="Z390" s="3" t="str">
        <f t="shared" si="9"/>
        <v/>
      </c>
      <c r="AA390" s="13">
        <f t="shared" si="10"/>
        <v>362096</v>
      </c>
      <c r="AB390" s="3">
        <f t="shared" si="11"/>
        <v>362095</v>
      </c>
      <c r="AC390" s="3">
        <f t="shared" si="12"/>
        <v>1</v>
      </c>
      <c r="AD390" s="3">
        <f t="shared" si="13"/>
        <v>362095</v>
      </c>
      <c r="AE390" s="3" t="str">
        <f t="shared" si="14"/>
        <v/>
      </c>
      <c r="AF390" s="3">
        <f t="shared" si="15"/>
        <v>0</v>
      </c>
      <c r="AG390" s="3" t="str">
        <f t="shared" si="16"/>
        <v/>
      </c>
      <c r="AH390" s="3">
        <f t="shared" si="17"/>
        <v>0</v>
      </c>
      <c r="AI390" s="3" t="str">
        <f t="shared" si="18"/>
        <v/>
      </c>
      <c r="AJ390" s="3">
        <f t="shared" si="19"/>
        <v>0</v>
      </c>
    </row>
    <row r="391">
      <c r="C391" s="6" t="s">
        <v>391</v>
      </c>
      <c r="D391" s="3">
        <f t="shared" si="1"/>
        <v>3</v>
      </c>
      <c r="E391" s="3" t="str">
        <f>IFERROR(__xludf.DUMMYFUNCTION("REGEXEXTRACT(C391,""[^ ]* [^ ]*"")"),"striped black")</f>
        <v>striped black</v>
      </c>
      <c r="F391" s="3" t="str">
        <f>IFERROR(__xludf.DUMMYFUNCTION("MID(REGEXEXTRACT(C391,""contain.*$""),9,300)"),"3 striped gray bags, 1 striped lime bag, 4 bright cyan bags, 4 light orange bags.")</f>
        <v>3 striped gray bags, 1 striped lime bag, 4 bright cyan bags, 4 light orange bags.</v>
      </c>
      <c r="G391" s="3" t="str">
        <f>IFERROR(__xludf.DUMMYFUNCTION("INDEX(SPLIT($F391,"",""),COLUMN()-6)"),"3 striped gray bags")</f>
        <v>3 striped gray bags</v>
      </c>
      <c r="H391" s="3" t="str">
        <f>IFERROR(__xludf.DUMMYFUNCTION("MID(INDEX(SPLIT($F391,"",""),COLUMN()-6),2,300)"),"1 striped lime bag")</f>
        <v>1 striped lime bag</v>
      </c>
      <c r="I391" s="3" t="str">
        <f>IFERROR(__xludf.DUMMYFUNCTION("MID(INDEX(SPLIT($F391,"",""),COLUMN()-6),2,300)"),"4 bright cyan bags")</f>
        <v>4 bright cyan bags</v>
      </c>
      <c r="J391" s="3" t="str">
        <f>IFERROR(__xludf.DUMMYFUNCTION("MID(INDEX(SPLIT($F391,"",""),COLUMN()-6),2,300)"),"4 light orange bags.")</f>
        <v>4 light orange bags.</v>
      </c>
      <c r="K391" s="3">
        <f>IFERROR(__xludf.DUMMYFUNCTION("INDEX(SPLIT(G391,"" ""),1)"),3.0)</f>
        <v>3</v>
      </c>
      <c r="L391" s="3" t="str">
        <f>IFERROR(__xludf.DUMMYFUNCTION("REGEXEXTRACT(G391,"" [^ ]* [^ ]* "")")," striped gray ")</f>
        <v> striped gray </v>
      </c>
      <c r="M391" s="3">
        <f>IFERROR(__xludf.DUMMYFUNCTION("INDEX(SPLIT(H391,"" ""),1)"),1.0)</f>
        <v>1</v>
      </c>
      <c r="N391" s="3" t="str">
        <f>IFERROR(__xludf.DUMMYFUNCTION("MID(REGEXEXTRACT(H391,"" [^ ]* [^ ]*""),2,300)"),"striped lime")</f>
        <v>striped lime</v>
      </c>
      <c r="O391" s="3">
        <f>IFERROR(__xludf.DUMMYFUNCTION("INDEX(SPLIT(I391,"" ""),1)"),4.0)</f>
        <v>4</v>
      </c>
      <c r="P391" s="3" t="str">
        <f>IFERROR(__xludf.DUMMYFUNCTION("MID(REGEXEXTRACT(I391,"" [^ ]* [^ ]*""),2,300)"),"bright cyan")</f>
        <v>bright cyan</v>
      </c>
      <c r="Q391" s="3">
        <f>IFERROR(__xludf.DUMMYFUNCTION("INDEX(SPLIT(J391,"" ""),1)"),4.0)</f>
        <v>4</v>
      </c>
      <c r="R391" s="3" t="str">
        <f>IFERROR(__xludf.DUMMYFUNCTION("MID(REGEXEXTRACT(J391,"" [^ ]* [^ ]*""),2,300)"),"light orange")</f>
        <v>light orange</v>
      </c>
      <c r="S391" s="3">
        <f t="shared" si="2"/>
        <v>3</v>
      </c>
      <c r="T391" s="3" t="str">
        <f t="shared" si="3"/>
        <v>striped gray</v>
      </c>
      <c r="U391" s="3">
        <f t="shared" si="4"/>
        <v>1</v>
      </c>
      <c r="V391" s="3" t="str">
        <f t="shared" si="5"/>
        <v>striped lime</v>
      </c>
      <c r="W391" s="3">
        <f t="shared" si="6"/>
        <v>4</v>
      </c>
      <c r="X391" s="3" t="str">
        <f t="shared" si="7"/>
        <v>bright cyan</v>
      </c>
      <c r="Y391" s="3">
        <f t="shared" si="8"/>
        <v>4</v>
      </c>
      <c r="Z391" s="3" t="str">
        <f t="shared" si="9"/>
        <v>light orange</v>
      </c>
      <c r="AA391" s="13">
        <f t="shared" si="10"/>
        <v>18655055</v>
      </c>
      <c r="AB391" s="3">
        <f t="shared" si="11"/>
        <v>18655054</v>
      </c>
      <c r="AC391" s="3">
        <f t="shared" si="12"/>
        <v>3</v>
      </c>
      <c r="AD391" s="3">
        <f t="shared" si="13"/>
        <v>203468</v>
      </c>
      <c r="AE391" s="3">
        <f t="shared" si="14"/>
        <v>1</v>
      </c>
      <c r="AF391" s="3">
        <f t="shared" si="15"/>
        <v>12130</v>
      </c>
      <c r="AG391" s="3">
        <f t="shared" si="16"/>
        <v>4</v>
      </c>
      <c r="AH391" s="3">
        <f t="shared" si="17"/>
        <v>531</v>
      </c>
      <c r="AI391" s="3">
        <f t="shared" si="18"/>
        <v>4</v>
      </c>
      <c r="AJ391" s="3">
        <f t="shared" si="19"/>
        <v>4507599</v>
      </c>
    </row>
    <row r="392">
      <c r="C392" s="6" t="s">
        <v>392</v>
      </c>
      <c r="D392" s="3">
        <f t="shared" si="1"/>
        <v>0</v>
      </c>
      <c r="E392" s="3" t="str">
        <f>IFERROR(__xludf.DUMMYFUNCTION("REGEXEXTRACT(C392,""[^ ]* [^ ]*"")"),"dim maroon")</f>
        <v>dim maroon</v>
      </c>
      <c r="F392" s="3" t="str">
        <f>IFERROR(__xludf.DUMMYFUNCTION("MID(REGEXEXTRACT(C392,""contain.*$""),9,300)"),"4 dull cyan bags.")</f>
        <v>4 dull cyan bags.</v>
      </c>
      <c r="G392" s="3" t="str">
        <f>IFERROR(__xludf.DUMMYFUNCTION("INDEX(SPLIT($F392,"",""),COLUMN()-6)"),"4 dull cyan bags.")</f>
        <v>4 dull cyan bags.</v>
      </c>
      <c r="H392" s="3" t="str">
        <f>IFERROR(__xludf.DUMMYFUNCTION("MID(INDEX(SPLIT($F392,"",""),COLUMN()-6),2,300)"),"#REF!")</f>
        <v>#REF!</v>
      </c>
      <c r="I392" s="3" t="str">
        <f>IFERROR(__xludf.DUMMYFUNCTION("MID(INDEX(SPLIT($F392,"",""),COLUMN()-6),2,300)"),"#REF!")</f>
        <v>#REF!</v>
      </c>
      <c r="J392" s="3" t="str">
        <f>IFERROR(__xludf.DUMMYFUNCTION("MID(INDEX(SPLIT($F392,"",""),COLUMN()-6),2,300)"),"#REF!")</f>
        <v>#REF!</v>
      </c>
      <c r="K392" s="3">
        <f>IFERROR(__xludf.DUMMYFUNCTION("INDEX(SPLIT(G392,"" ""),1)"),4.0)</f>
        <v>4</v>
      </c>
      <c r="L392" s="3" t="str">
        <f>IFERROR(__xludf.DUMMYFUNCTION("REGEXEXTRACT(G392,"" [^ ]* [^ ]* "")")," dull cyan ")</f>
        <v> dull cyan </v>
      </c>
      <c r="M392" s="3" t="str">
        <f>IFERROR(__xludf.DUMMYFUNCTION("INDEX(SPLIT(H392,"" ""),1)"),"#REF!")</f>
        <v>#REF!</v>
      </c>
      <c r="N392" s="3" t="str">
        <f>IFERROR(__xludf.DUMMYFUNCTION("MID(REGEXEXTRACT(H392,"" [^ ]* [^ ]*""),2,300)"),"#REF!")</f>
        <v>#REF!</v>
      </c>
      <c r="O392" s="3" t="str">
        <f>IFERROR(__xludf.DUMMYFUNCTION("INDEX(SPLIT(I392,"" ""),1)"),"#REF!")</f>
        <v>#REF!</v>
      </c>
      <c r="P392" s="3" t="str">
        <f>IFERROR(__xludf.DUMMYFUNCTION("MID(REGEXEXTRACT(I392,"" [^ ]* [^ ]*""),2,300)"),"#REF!")</f>
        <v>#REF!</v>
      </c>
      <c r="Q392" s="3" t="str">
        <f>IFERROR(__xludf.DUMMYFUNCTION("INDEX(SPLIT(J392,"" ""),1)"),"#REF!")</f>
        <v>#REF!</v>
      </c>
      <c r="R392" s="3" t="str">
        <f>IFERROR(__xludf.DUMMYFUNCTION("MID(REGEXEXTRACT(J392,"" [^ ]* [^ ]*""),2,300)"),"#REF!")</f>
        <v>#REF!</v>
      </c>
      <c r="S392" s="3">
        <f t="shared" si="2"/>
        <v>4</v>
      </c>
      <c r="T392" s="3" t="str">
        <f t="shared" si="3"/>
        <v>dull cyan</v>
      </c>
      <c r="U392" s="3" t="str">
        <f t="shared" si="4"/>
        <v/>
      </c>
      <c r="V392" s="3" t="str">
        <f t="shared" si="5"/>
        <v/>
      </c>
      <c r="W392" s="3" t="str">
        <f t="shared" si="6"/>
        <v/>
      </c>
      <c r="X392" s="3" t="str">
        <f t="shared" si="7"/>
        <v/>
      </c>
      <c r="Y392" s="3" t="str">
        <f t="shared" si="8"/>
        <v/>
      </c>
      <c r="Z392" s="3" t="str">
        <f t="shared" si="9"/>
        <v/>
      </c>
      <c r="AA392" s="13">
        <f t="shared" si="10"/>
        <v>12033</v>
      </c>
      <c r="AB392" s="3">
        <f t="shared" si="11"/>
        <v>12032</v>
      </c>
      <c r="AC392" s="3">
        <f t="shared" si="12"/>
        <v>4</v>
      </c>
      <c r="AD392" s="3">
        <f t="shared" si="13"/>
        <v>3008</v>
      </c>
      <c r="AE392" s="3" t="str">
        <f t="shared" si="14"/>
        <v/>
      </c>
      <c r="AF392" s="3">
        <f t="shared" si="15"/>
        <v>0</v>
      </c>
      <c r="AG392" s="3" t="str">
        <f t="shared" si="16"/>
        <v/>
      </c>
      <c r="AH392" s="3">
        <f t="shared" si="17"/>
        <v>0</v>
      </c>
      <c r="AI392" s="3" t="str">
        <f t="shared" si="18"/>
        <v/>
      </c>
      <c r="AJ392" s="3">
        <f t="shared" si="19"/>
        <v>0</v>
      </c>
    </row>
    <row r="393">
      <c r="C393" s="6" t="s">
        <v>393</v>
      </c>
      <c r="D393" s="3">
        <f t="shared" si="1"/>
        <v>2</v>
      </c>
      <c r="E393" s="3" t="str">
        <f>IFERROR(__xludf.DUMMYFUNCTION("REGEXEXTRACT(C393,""[^ ]* [^ ]*"")"),"bright beige")</f>
        <v>bright beige</v>
      </c>
      <c r="F393" s="3" t="str">
        <f>IFERROR(__xludf.DUMMYFUNCTION("MID(REGEXEXTRACT(C393,""contain.*$""),9,300)"),"2 pale fuchsia bags, 5 vibrant beige bags, 1 light lavender bag.")</f>
        <v>2 pale fuchsia bags, 5 vibrant beige bags, 1 light lavender bag.</v>
      </c>
      <c r="G393" s="3" t="str">
        <f>IFERROR(__xludf.DUMMYFUNCTION("INDEX(SPLIT($F393,"",""),COLUMN()-6)"),"2 pale fuchsia bags")</f>
        <v>2 pale fuchsia bags</v>
      </c>
      <c r="H393" s="3" t="str">
        <f>IFERROR(__xludf.DUMMYFUNCTION("MID(INDEX(SPLIT($F393,"",""),COLUMN()-6),2,300)"),"5 vibrant beige bags")</f>
        <v>5 vibrant beige bags</v>
      </c>
      <c r="I393" s="3" t="str">
        <f>IFERROR(__xludf.DUMMYFUNCTION("MID(INDEX(SPLIT($F393,"",""),COLUMN()-6),2,300)"),"1 light lavender bag.")</f>
        <v>1 light lavender bag.</v>
      </c>
      <c r="J393" s="3" t="str">
        <f>IFERROR(__xludf.DUMMYFUNCTION("MID(INDEX(SPLIT($F393,"",""),COLUMN()-6),2,300)"),"#REF!")</f>
        <v>#REF!</v>
      </c>
      <c r="K393" s="3">
        <f>IFERROR(__xludf.DUMMYFUNCTION("INDEX(SPLIT(G393,"" ""),1)"),2.0)</f>
        <v>2</v>
      </c>
      <c r="L393" s="3" t="str">
        <f>IFERROR(__xludf.DUMMYFUNCTION("REGEXEXTRACT(G393,"" [^ ]* [^ ]* "")")," pale fuchsia ")</f>
        <v> pale fuchsia </v>
      </c>
      <c r="M393" s="3">
        <f>IFERROR(__xludf.DUMMYFUNCTION("INDEX(SPLIT(H393,"" ""),1)"),5.0)</f>
        <v>5</v>
      </c>
      <c r="N393" s="3" t="str">
        <f>IFERROR(__xludf.DUMMYFUNCTION("MID(REGEXEXTRACT(H393,"" [^ ]* [^ ]*""),2,300)"),"vibrant beige")</f>
        <v>vibrant beige</v>
      </c>
      <c r="O393" s="3">
        <f>IFERROR(__xludf.DUMMYFUNCTION("INDEX(SPLIT(I393,"" ""),1)"),1.0)</f>
        <v>1</v>
      </c>
      <c r="P393" s="3" t="str">
        <f>IFERROR(__xludf.DUMMYFUNCTION("MID(REGEXEXTRACT(I393,"" [^ ]* [^ ]*""),2,300)"),"light lavender")</f>
        <v>light lavender</v>
      </c>
      <c r="Q393" s="3" t="str">
        <f>IFERROR(__xludf.DUMMYFUNCTION("INDEX(SPLIT(J393,"" ""),1)"),"#REF!")</f>
        <v>#REF!</v>
      </c>
      <c r="R393" s="3" t="str">
        <f>IFERROR(__xludf.DUMMYFUNCTION("MID(REGEXEXTRACT(J393,"" [^ ]* [^ ]*""),2,300)"),"#REF!")</f>
        <v>#REF!</v>
      </c>
      <c r="S393" s="3">
        <f t="shared" si="2"/>
        <v>2</v>
      </c>
      <c r="T393" s="3" t="str">
        <f t="shared" si="3"/>
        <v>pale fuchsia</v>
      </c>
      <c r="U393" s="3">
        <f t="shared" si="4"/>
        <v>5</v>
      </c>
      <c r="V393" s="3" t="str">
        <f t="shared" si="5"/>
        <v>vibrant beige</v>
      </c>
      <c r="W393" s="3">
        <f t="shared" si="6"/>
        <v>1</v>
      </c>
      <c r="X393" s="3" t="str">
        <f t="shared" si="7"/>
        <v>light lavender</v>
      </c>
      <c r="Y393" s="3" t="str">
        <f t="shared" si="8"/>
        <v/>
      </c>
      <c r="Z393" s="3" t="str">
        <f t="shared" si="9"/>
        <v/>
      </c>
      <c r="AA393" s="13">
        <f t="shared" si="10"/>
        <v>5051689</v>
      </c>
      <c r="AB393" s="3">
        <f t="shared" si="11"/>
        <v>5051688</v>
      </c>
      <c r="AC393" s="3">
        <f t="shared" si="12"/>
        <v>2</v>
      </c>
      <c r="AD393" s="3">
        <f t="shared" si="13"/>
        <v>577866</v>
      </c>
      <c r="AE393" s="3">
        <f t="shared" si="14"/>
        <v>5</v>
      </c>
      <c r="AF393" s="3">
        <f t="shared" si="15"/>
        <v>4621</v>
      </c>
      <c r="AG393" s="3">
        <f t="shared" si="16"/>
        <v>1</v>
      </c>
      <c r="AH393" s="3">
        <f t="shared" si="17"/>
        <v>3872851</v>
      </c>
      <c r="AI393" s="3" t="str">
        <f t="shared" si="18"/>
        <v/>
      </c>
      <c r="AJ393" s="3">
        <f t="shared" si="19"/>
        <v>0</v>
      </c>
    </row>
    <row r="394">
      <c r="C394" s="6" t="s">
        <v>394</v>
      </c>
      <c r="D394" s="3">
        <f t="shared" si="1"/>
        <v>3</v>
      </c>
      <c r="E394" s="3" t="str">
        <f>IFERROR(__xludf.DUMMYFUNCTION("REGEXEXTRACT(C394,""[^ ]* [^ ]*"")"),"shiny gray")</f>
        <v>shiny gray</v>
      </c>
      <c r="F394" s="3" t="str">
        <f>IFERROR(__xludf.DUMMYFUNCTION("MID(REGEXEXTRACT(C394,""contain.*$""),9,300)"),"2 striped lime bags, 1 pale black bag, 4 wavy tomato bags, 2 vibrant brown bags.")</f>
        <v>2 striped lime bags, 1 pale black bag, 4 wavy tomato bags, 2 vibrant brown bags.</v>
      </c>
      <c r="G394" s="3" t="str">
        <f>IFERROR(__xludf.DUMMYFUNCTION("INDEX(SPLIT($F394,"",""),COLUMN()-6)"),"2 striped lime bags")</f>
        <v>2 striped lime bags</v>
      </c>
      <c r="H394" s="3" t="str">
        <f>IFERROR(__xludf.DUMMYFUNCTION("MID(INDEX(SPLIT($F394,"",""),COLUMN()-6),2,300)"),"1 pale black bag")</f>
        <v>1 pale black bag</v>
      </c>
      <c r="I394" s="3" t="str">
        <f>IFERROR(__xludf.DUMMYFUNCTION("MID(INDEX(SPLIT($F394,"",""),COLUMN()-6),2,300)"),"4 wavy tomato bags")</f>
        <v>4 wavy tomato bags</v>
      </c>
      <c r="J394" s="3" t="str">
        <f>IFERROR(__xludf.DUMMYFUNCTION("MID(INDEX(SPLIT($F394,"",""),COLUMN()-6),2,300)"),"2 vibrant brown bags.")</f>
        <v>2 vibrant brown bags.</v>
      </c>
      <c r="K394" s="3">
        <f>IFERROR(__xludf.DUMMYFUNCTION("INDEX(SPLIT(G394,"" ""),1)"),2.0)</f>
        <v>2</v>
      </c>
      <c r="L394" s="3" t="str">
        <f>IFERROR(__xludf.DUMMYFUNCTION("REGEXEXTRACT(G394,"" [^ ]* [^ ]* "")")," striped lime ")</f>
        <v> striped lime </v>
      </c>
      <c r="M394" s="3">
        <f>IFERROR(__xludf.DUMMYFUNCTION("INDEX(SPLIT(H394,"" ""),1)"),1.0)</f>
        <v>1</v>
      </c>
      <c r="N394" s="3" t="str">
        <f>IFERROR(__xludf.DUMMYFUNCTION("MID(REGEXEXTRACT(H394,"" [^ ]* [^ ]*""),2,300)"),"pale black")</f>
        <v>pale black</v>
      </c>
      <c r="O394" s="3">
        <f>IFERROR(__xludf.DUMMYFUNCTION("INDEX(SPLIT(I394,"" ""),1)"),4.0)</f>
        <v>4</v>
      </c>
      <c r="P394" s="3" t="str">
        <f>IFERROR(__xludf.DUMMYFUNCTION("MID(REGEXEXTRACT(I394,"" [^ ]* [^ ]*""),2,300)"),"wavy tomato")</f>
        <v>wavy tomato</v>
      </c>
      <c r="Q394" s="3">
        <f>IFERROR(__xludf.DUMMYFUNCTION("INDEX(SPLIT(J394,"" ""),1)"),2.0)</f>
        <v>2</v>
      </c>
      <c r="R394" s="3" t="str">
        <f>IFERROR(__xludf.DUMMYFUNCTION("MID(REGEXEXTRACT(J394,"" [^ ]* [^ ]*""),2,300)"),"vibrant brown")</f>
        <v>vibrant brown</v>
      </c>
      <c r="S394" s="3">
        <f t="shared" si="2"/>
        <v>2</v>
      </c>
      <c r="T394" s="3" t="str">
        <f t="shared" si="3"/>
        <v>striped lime</v>
      </c>
      <c r="U394" s="3">
        <f t="shared" si="4"/>
        <v>1</v>
      </c>
      <c r="V394" s="3" t="str">
        <f t="shared" si="5"/>
        <v>pale black</v>
      </c>
      <c r="W394" s="3">
        <f t="shared" si="6"/>
        <v>4</v>
      </c>
      <c r="X394" s="3" t="str">
        <f t="shared" si="7"/>
        <v>wavy tomato</v>
      </c>
      <c r="Y394" s="3">
        <f t="shared" si="8"/>
        <v>2</v>
      </c>
      <c r="Z394" s="3" t="str">
        <f t="shared" si="9"/>
        <v>vibrant brown</v>
      </c>
      <c r="AA394" s="13">
        <f t="shared" si="10"/>
        <v>34083</v>
      </c>
      <c r="AB394" s="3">
        <f t="shared" si="11"/>
        <v>34082</v>
      </c>
      <c r="AC394" s="3">
        <f t="shared" si="12"/>
        <v>2</v>
      </c>
      <c r="AD394" s="3">
        <f t="shared" si="13"/>
        <v>12130</v>
      </c>
      <c r="AE394" s="3">
        <f t="shared" si="14"/>
        <v>1</v>
      </c>
      <c r="AF394" s="3">
        <f t="shared" si="15"/>
        <v>8</v>
      </c>
      <c r="AG394" s="3">
        <f t="shared" si="16"/>
        <v>4</v>
      </c>
      <c r="AH394" s="3">
        <f t="shared" si="17"/>
        <v>265</v>
      </c>
      <c r="AI394" s="3">
        <f t="shared" si="18"/>
        <v>2</v>
      </c>
      <c r="AJ394" s="3">
        <f t="shared" si="19"/>
        <v>4377</v>
      </c>
    </row>
    <row r="395">
      <c r="C395" s="6" t="s">
        <v>395</v>
      </c>
      <c r="D395" s="3">
        <f t="shared" si="1"/>
        <v>1</v>
      </c>
      <c r="E395" s="3" t="str">
        <f>IFERROR(__xludf.DUMMYFUNCTION("REGEXEXTRACT(C395,""[^ ]* [^ ]*"")"),"drab lime")</f>
        <v>drab lime</v>
      </c>
      <c r="F395" s="3" t="str">
        <f>IFERROR(__xludf.DUMMYFUNCTION("MID(REGEXEXTRACT(C395,""contain.*$""),9,300)"),"5 muted bronze bags, 2 posh indigo bags.")</f>
        <v>5 muted bronze bags, 2 posh indigo bags.</v>
      </c>
      <c r="G395" s="3" t="str">
        <f>IFERROR(__xludf.DUMMYFUNCTION("INDEX(SPLIT($F395,"",""),COLUMN()-6)"),"5 muted bronze bags")</f>
        <v>5 muted bronze bags</v>
      </c>
      <c r="H395" s="3" t="str">
        <f>IFERROR(__xludf.DUMMYFUNCTION("MID(INDEX(SPLIT($F395,"",""),COLUMN()-6),2,300)"),"2 posh indigo bags.")</f>
        <v>2 posh indigo bags.</v>
      </c>
      <c r="I395" s="3" t="str">
        <f>IFERROR(__xludf.DUMMYFUNCTION("MID(INDEX(SPLIT($F395,"",""),COLUMN()-6),2,300)"),"#REF!")</f>
        <v>#REF!</v>
      </c>
      <c r="J395" s="3" t="str">
        <f>IFERROR(__xludf.DUMMYFUNCTION("MID(INDEX(SPLIT($F395,"",""),COLUMN()-6),2,300)"),"#REF!")</f>
        <v>#REF!</v>
      </c>
      <c r="K395" s="3">
        <f>IFERROR(__xludf.DUMMYFUNCTION("INDEX(SPLIT(G395,"" ""),1)"),5.0)</f>
        <v>5</v>
      </c>
      <c r="L395" s="3" t="str">
        <f>IFERROR(__xludf.DUMMYFUNCTION("REGEXEXTRACT(G395,"" [^ ]* [^ ]* "")")," muted bronze ")</f>
        <v> muted bronze </v>
      </c>
      <c r="M395" s="3">
        <f>IFERROR(__xludf.DUMMYFUNCTION("INDEX(SPLIT(H395,"" ""),1)"),2.0)</f>
        <v>2</v>
      </c>
      <c r="N395" s="3" t="str">
        <f>IFERROR(__xludf.DUMMYFUNCTION("MID(REGEXEXTRACT(H395,"" [^ ]* [^ ]*""),2,300)"),"posh indigo")</f>
        <v>posh indigo</v>
      </c>
      <c r="O395" s="3" t="str">
        <f>IFERROR(__xludf.DUMMYFUNCTION("INDEX(SPLIT(I395,"" ""),1)"),"#REF!")</f>
        <v>#REF!</v>
      </c>
      <c r="P395" s="3" t="str">
        <f>IFERROR(__xludf.DUMMYFUNCTION("MID(REGEXEXTRACT(I395,"" [^ ]* [^ ]*""),2,300)"),"#REF!")</f>
        <v>#REF!</v>
      </c>
      <c r="Q395" s="3" t="str">
        <f>IFERROR(__xludf.DUMMYFUNCTION("INDEX(SPLIT(J395,"" ""),1)"),"#REF!")</f>
        <v>#REF!</v>
      </c>
      <c r="R395" s="3" t="str">
        <f>IFERROR(__xludf.DUMMYFUNCTION("MID(REGEXEXTRACT(J395,"" [^ ]* [^ ]*""),2,300)"),"#REF!")</f>
        <v>#REF!</v>
      </c>
      <c r="S395" s="3">
        <f t="shared" si="2"/>
        <v>5</v>
      </c>
      <c r="T395" s="3" t="str">
        <f t="shared" si="3"/>
        <v>muted bronze</v>
      </c>
      <c r="U395" s="3">
        <f t="shared" si="4"/>
        <v>2</v>
      </c>
      <c r="V395" s="3" t="str">
        <f t="shared" si="5"/>
        <v>posh indigo</v>
      </c>
      <c r="W395" s="3" t="str">
        <f t="shared" si="6"/>
        <v/>
      </c>
      <c r="X395" s="3" t="str">
        <f t="shared" si="7"/>
        <v/>
      </c>
      <c r="Y395" s="3" t="str">
        <f t="shared" si="8"/>
        <v/>
      </c>
      <c r="Z395" s="3" t="str">
        <f t="shared" si="9"/>
        <v/>
      </c>
      <c r="AA395" s="13">
        <f t="shared" si="10"/>
        <v>675256480</v>
      </c>
      <c r="AB395" s="3">
        <f t="shared" si="11"/>
        <v>675256479</v>
      </c>
      <c r="AC395" s="3">
        <f t="shared" si="12"/>
        <v>5</v>
      </c>
      <c r="AD395" s="3">
        <f t="shared" si="13"/>
        <v>134923469</v>
      </c>
      <c r="AE395" s="3">
        <f t="shared" si="14"/>
        <v>2</v>
      </c>
      <c r="AF395" s="3">
        <f t="shared" si="15"/>
        <v>319567</v>
      </c>
      <c r="AG395" s="3" t="str">
        <f t="shared" si="16"/>
        <v/>
      </c>
      <c r="AH395" s="3">
        <f t="shared" si="17"/>
        <v>0</v>
      </c>
      <c r="AI395" s="3" t="str">
        <f t="shared" si="18"/>
        <v/>
      </c>
      <c r="AJ395" s="3">
        <f t="shared" si="19"/>
        <v>0</v>
      </c>
    </row>
    <row r="396">
      <c r="C396" s="6" t="s">
        <v>396</v>
      </c>
      <c r="D396" s="3">
        <f t="shared" si="1"/>
        <v>2</v>
      </c>
      <c r="E396" s="3" t="str">
        <f>IFERROR(__xludf.DUMMYFUNCTION("REGEXEXTRACT(C396,""[^ ]* [^ ]*"")"),"dull gray")</f>
        <v>dull gray</v>
      </c>
      <c r="F396" s="3" t="str">
        <f>IFERROR(__xludf.DUMMYFUNCTION("MID(REGEXEXTRACT(C396,""contain.*$""),9,300)"),"2 dull plum bags, 4 dim white bags, 2 shiny purple bags.")</f>
        <v>2 dull plum bags, 4 dim white bags, 2 shiny purple bags.</v>
      </c>
      <c r="G396" s="3" t="str">
        <f>IFERROR(__xludf.DUMMYFUNCTION("INDEX(SPLIT($F396,"",""),COLUMN()-6)"),"2 dull plum bags")</f>
        <v>2 dull plum bags</v>
      </c>
      <c r="H396" s="3" t="str">
        <f>IFERROR(__xludf.DUMMYFUNCTION("MID(INDEX(SPLIT($F396,"",""),COLUMN()-6),2,300)"),"4 dim white bags")</f>
        <v>4 dim white bags</v>
      </c>
      <c r="I396" s="3" t="str">
        <f>IFERROR(__xludf.DUMMYFUNCTION("MID(INDEX(SPLIT($F396,"",""),COLUMN()-6),2,300)"),"2 shiny purple bags.")</f>
        <v>2 shiny purple bags.</v>
      </c>
      <c r="J396" s="3" t="str">
        <f>IFERROR(__xludf.DUMMYFUNCTION("MID(INDEX(SPLIT($F396,"",""),COLUMN()-6),2,300)"),"#REF!")</f>
        <v>#REF!</v>
      </c>
      <c r="K396" s="3">
        <f>IFERROR(__xludf.DUMMYFUNCTION("INDEX(SPLIT(G396,"" ""),1)"),2.0)</f>
        <v>2</v>
      </c>
      <c r="L396" s="3" t="str">
        <f>IFERROR(__xludf.DUMMYFUNCTION("REGEXEXTRACT(G396,"" [^ ]* [^ ]* "")")," dull plum ")</f>
        <v> dull plum </v>
      </c>
      <c r="M396" s="3">
        <f>IFERROR(__xludf.DUMMYFUNCTION("INDEX(SPLIT(H396,"" ""),1)"),4.0)</f>
        <v>4</v>
      </c>
      <c r="N396" s="3" t="str">
        <f>IFERROR(__xludf.DUMMYFUNCTION("MID(REGEXEXTRACT(H396,"" [^ ]* [^ ]*""),2,300)"),"dim white")</f>
        <v>dim white</v>
      </c>
      <c r="O396" s="3">
        <f>IFERROR(__xludf.DUMMYFUNCTION("INDEX(SPLIT(I396,"" ""),1)"),2.0)</f>
        <v>2</v>
      </c>
      <c r="P396" s="3" t="str">
        <f>IFERROR(__xludf.DUMMYFUNCTION("MID(REGEXEXTRACT(I396,"" [^ ]* [^ ]*""),2,300)"),"shiny purple")</f>
        <v>shiny purple</v>
      </c>
      <c r="Q396" s="3" t="str">
        <f>IFERROR(__xludf.DUMMYFUNCTION("INDEX(SPLIT(J396,"" ""),1)"),"#REF!")</f>
        <v>#REF!</v>
      </c>
      <c r="R396" s="3" t="str">
        <f>IFERROR(__xludf.DUMMYFUNCTION("MID(REGEXEXTRACT(J396,"" [^ ]* [^ ]*""),2,300)"),"#REF!")</f>
        <v>#REF!</v>
      </c>
      <c r="S396" s="3">
        <f t="shared" si="2"/>
        <v>2</v>
      </c>
      <c r="T396" s="3" t="str">
        <f t="shared" si="3"/>
        <v>dull plum</v>
      </c>
      <c r="U396" s="3">
        <f t="shared" si="4"/>
        <v>4</v>
      </c>
      <c r="V396" s="3" t="str">
        <f t="shared" si="5"/>
        <v>dim white</v>
      </c>
      <c r="W396" s="3">
        <f t="shared" si="6"/>
        <v>2</v>
      </c>
      <c r="X396" s="3" t="str">
        <f t="shared" si="7"/>
        <v>shiny purple</v>
      </c>
      <c r="Y396" s="3" t="str">
        <f t="shared" si="8"/>
        <v/>
      </c>
      <c r="Z396" s="3" t="str">
        <f t="shared" si="9"/>
        <v/>
      </c>
      <c r="AA396" s="13">
        <f t="shared" si="10"/>
        <v>43694601</v>
      </c>
      <c r="AB396" s="3">
        <f t="shared" si="11"/>
        <v>43694600</v>
      </c>
      <c r="AC396" s="3">
        <f t="shared" si="12"/>
        <v>2</v>
      </c>
      <c r="AD396" s="3">
        <f t="shared" si="13"/>
        <v>13545768</v>
      </c>
      <c r="AE396" s="3">
        <f t="shared" si="14"/>
        <v>4</v>
      </c>
      <c r="AF396" s="3">
        <f t="shared" si="15"/>
        <v>16690</v>
      </c>
      <c r="AG396" s="3">
        <f t="shared" si="16"/>
        <v>2</v>
      </c>
      <c r="AH396" s="3">
        <f t="shared" si="17"/>
        <v>8268152</v>
      </c>
      <c r="AI396" s="3" t="str">
        <f t="shared" si="18"/>
        <v/>
      </c>
      <c r="AJ396" s="3">
        <f t="shared" si="19"/>
        <v>0</v>
      </c>
    </row>
    <row r="397">
      <c r="C397" s="6" t="s">
        <v>397</v>
      </c>
      <c r="D397" s="3">
        <f t="shared" si="1"/>
        <v>1</v>
      </c>
      <c r="E397" s="3" t="str">
        <f>IFERROR(__xludf.DUMMYFUNCTION("REGEXEXTRACT(C397,""[^ ]* [^ ]*"")"),"light olive")</f>
        <v>light olive</v>
      </c>
      <c r="F397" s="3" t="str">
        <f>IFERROR(__xludf.DUMMYFUNCTION("MID(REGEXEXTRACT(C397,""contain.*$""),9,300)"),"4 clear salmon bags, 1 dim indigo bag.")</f>
        <v>4 clear salmon bags, 1 dim indigo bag.</v>
      </c>
      <c r="G397" s="3" t="str">
        <f>IFERROR(__xludf.DUMMYFUNCTION("INDEX(SPLIT($F397,"",""),COLUMN()-6)"),"4 clear salmon bags")</f>
        <v>4 clear salmon bags</v>
      </c>
      <c r="H397" s="3" t="str">
        <f>IFERROR(__xludf.DUMMYFUNCTION("MID(INDEX(SPLIT($F397,"",""),COLUMN()-6),2,300)"),"1 dim indigo bag.")</f>
        <v>1 dim indigo bag.</v>
      </c>
      <c r="I397" s="3" t="str">
        <f>IFERROR(__xludf.DUMMYFUNCTION("MID(INDEX(SPLIT($F397,"",""),COLUMN()-6),2,300)"),"#REF!")</f>
        <v>#REF!</v>
      </c>
      <c r="J397" s="3" t="str">
        <f>IFERROR(__xludf.DUMMYFUNCTION("MID(INDEX(SPLIT($F397,"",""),COLUMN()-6),2,300)"),"#REF!")</f>
        <v>#REF!</v>
      </c>
      <c r="K397" s="3">
        <f>IFERROR(__xludf.DUMMYFUNCTION("INDEX(SPLIT(G397,"" ""),1)"),4.0)</f>
        <v>4</v>
      </c>
      <c r="L397" s="3" t="str">
        <f>IFERROR(__xludf.DUMMYFUNCTION("REGEXEXTRACT(G397,"" [^ ]* [^ ]* "")")," clear salmon ")</f>
        <v> clear salmon </v>
      </c>
      <c r="M397" s="3">
        <f>IFERROR(__xludf.DUMMYFUNCTION("INDEX(SPLIT(H397,"" ""),1)"),1.0)</f>
        <v>1</v>
      </c>
      <c r="N397" s="3" t="str">
        <f>IFERROR(__xludf.DUMMYFUNCTION("MID(REGEXEXTRACT(H397,"" [^ ]* [^ ]*""),2,300)"),"dim indigo")</f>
        <v>dim indigo</v>
      </c>
      <c r="O397" s="3" t="str">
        <f>IFERROR(__xludf.DUMMYFUNCTION("INDEX(SPLIT(I397,"" ""),1)"),"#REF!")</f>
        <v>#REF!</v>
      </c>
      <c r="P397" s="3" t="str">
        <f>IFERROR(__xludf.DUMMYFUNCTION("MID(REGEXEXTRACT(I397,"" [^ ]* [^ ]*""),2,300)"),"#REF!")</f>
        <v>#REF!</v>
      </c>
      <c r="Q397" s="3" t="str">
        <f>IFERROR(__xludf.DUMMYFUNCTION("INDEX(SPLIT(J397,"" ""),1)"),"#REF!")</f>
        <v>#REF!</v>
      </c>
      <c r="R397" s="3" t="str">
        <f>IFERROR(__xludf.DUMMYFUNCTION("MID(REGEXEXTRACT(J397,"" [^ ]* [^ ]*""),2,300)"),"#REF!")</f>
        <v>#REF!</v>
      </c>
      <c r="S397" s="3">
        <f t="shared" si="2"/>
        <v>4</v>
      </c>
      <c r="T397" s="3" t="str">
        <f t="shared" si="3"/>
        <v>clear salmon</v>
      </c>
      <c r="U397" s="3">
        <f t="shared" si="4"/>
        <v>1</v>
      </c>
      <c r="V397" s="3" t="str">
        <f t="shared" si="5"/>
        <v>dim indigo</v>
      </c>
      <c r="W397" s="3" t="str">
        <f t="shared" si="6"/>
        <v/>
      </c>
      <c r="X397" s="3" t="str">
        <f t="shared" si="7"/>
        <v/>
      </c>
      <c r="Y397" s="3" t="str">
        <f t="shared" si="8"/>
        <v/>
      </c>
      <c r="Z397" s="3" t="str">
        <f t="shared" si="9"/>
        <v/>
      </c>
      <c r="AA397" s="13">
        <f t="shared" si="10"/>
        <v>12655590</v>
      </c>
      <c r="AB397" s="3">
        <f t="shared" si="11"/>
        <v>12655589</v>
      </c>
      <c r="AC397" s="3">
        <f t="shared" si="12"/>
        <v>4</v>
      </c>
      <c r="AD397" s="3">
        <f t="shared" si="13"/>
        <v>3156488</v>
      </c>
      <c r="AE397" s="3">
        <f t="shared" si="14"/>
        <v>1</v>
      </c>
      <c r="AF397" s="3">
        <f t="shared" si="15"/>
        <v>29637</v>
      </c>
      <c r="AG397" s="3" t="str">
        <f t="shared" si="16"/>
        <v/>
      </c>
      <c r="AH397" s="3">
        <f t="shared" si="17"/>
        <v>0</v>
      </c>
      <c r="AI397" s="3" t="str">
        <f t="shared" si="18"/>
        <v/>
      </c>
      <c r="AJ397" s="3">
        <f t="shared" si="19"/>
        <v>0</v>
      </c>
    </row>
    <row r="398">
      <c r="C398" s="6" t="s">
        <v>398</v>
      </c>
      <c r="D398" s="3">
        <f t="shared" si="1"/>
        <v>3</v>
      </c>
      <c r="E398" s="3" t="str">
        <f>IFERROR(__xludf.DUMMYFUNCTION("REGEXEXTRACT(C398,""[^ ]* [^ ]*"")"),"vibrant violet")</f>
        <v>vibrant violet</v>
      </c>
      <c r="F398" s="3" t="str">
        <f>IFERROR(__xludf.DUMMYFUNCTION("MID(REGEXEXTRACT(C398,""contain.*$""),9,300)"),"5 striped tan bags, 1 pale lime bag, 4 posh plum bags, 4 mirrored black bags.")</f>
        <v>5 striped tan bags, 1 pale lime bag, 4 posh plum bags, 4 mirrored black bags.</v>
      </c>
      <c r="G398" s="3" t="str">
        <f>IFERROR(__xludf.DUMMYFUNCTION("INDEX(SPLIT($F398,"",""),COLUMN()-6)"),"5 striped tan bags")</f>
        <v>5 striped tan bags</v>
      </c>
      <c r="H398" s="3" t="str">
        <f>IFERROR(__xludf.DUMMYFUNCTION("MID(INDEX(SPLIT($F398,"",""),COLUMN()-6),2,300)"),"1 pale lime bag")</f>
        <v>1 pale lime bag</v>
      </c>
      <c r="I398" s="3" t="str">
        <f>IFERROR(__xludf.DUMMYFUNCTION("MID(INDEX(SPLIT($F398,"",""),COLUMN()-6),2,300)"),"4 posh plum bags")</f>
        <v>4 posh plum bags</v>
      </c>
      <c r="J398" s="3" t="str">
        <f>IFERROR(__xludf.DUMMYFUNCTION("MID(INDEX(SPLIT($F398,"",""),COLUMN()-6),2,300)"),"4 mirrored black bags.")</f>
        <v>4 mirrored black bags.</v>
      </c>
      <c r="K398" s="3">
        <f>IFERROR(__xludf.DUMMYFUNCTION("INDEX(SPLIT(G398,"" ""),1)"),5.0)</f>
        <v>5</v>
      </c>
      <c r="L398" s="3" t="str">
        <f>IFERROR(__xludf.DUMMYFUNCTION("REGEXEXTRACT(G398,"" [^ ]* [^ ]* "")")," striped tan ")</f>
        <v> striped tan </v>
      </c>
      <c r="M398" s="3">
        <f>IFERROR(__xludf.DUMMYFUNCTION("INDEX(SPLIT(H398,"" ""),1)"),1.0)</f>
        <v>1</v>
      </c>
      <c r="N398" s="3" t="str">
        <f>IFERROR(__xludf.DUMMYFUNCTION("MID(REGEXEXTRACT(H398,"" [^ ]* [^ ]*""),2,300)"),"pale lime")</f>
        <v>pale lime</v>
      </c>
      <c r="O398" s="3">
        <f>IFERROR(__xludf.DUMMYFUNCTION("INDEX(SPLIT(I398,"" ""),1)"),4.0)</f>
        <v>4</v>
      </c>
      <c r="P398" s="3" t="str">
        <f>IFERROR(__xludf.DUMMYFUNCTION("MID(REGEXEXTRACT(I398,"" [^ ]* [^ ]*""),2,300)"),"posh plum")</f>
        <v>posh plum</v>
      </c>
      <c r="Q398" s="3">
        <f>IFERROR(__xludf.DUMMYFUNCTION("INDEX(SPLIT(J398,"" ""),1)"),4.0)</f>
        <v>4</v>
      </c>
      <c r="R398" s="3" t="str">
        <f>IFERROR(__xludf.DUMMYFUNCTION("MID(REGEXEXTRACT(J398,"" [^ ]* [^ ]*""),2,300)"),"mirrored black")</f>
        <v>mirrored black</v>
      </c>
      <c r="S398" s="3">
        <f t="shared" si="2"/>
        <v>5</v>
      </c>
      <c r="T398" s="3" t="str">
        <f t="shared" si="3"/>
        <v>striped tan</v>
      </c>
      <c r="U398" s="3">
        <f t="shared" si="4"/>
        <v>1</v>
      </c>
      <c r="V398" s="3" t="str">
        <f t="shared" si="5"/>
        <v>pale lime</v>
      </c>
      <c r="W398" s="3">
        <f t="shared" si="6"/>
        <v>4</v>
      </c>
      <c r="X398" s="3" t="str">
        <f t="shared" si="7"/>
        <v>posh plum</v>
      </c>
      <c r="Y398" s="3">
        <f t="shared" si="8"/>
        <v>4</v>
      </c>
      <c r="Z398" s="3" t="str">
        <f t="shared" si="9"/>
        <v>mirrored black</v>
      </c>
      <c r="AA398" s="13">
        <f t="shared" si="10"/>
        <v>2775715</v>
      </c>
      <c r="AB398" s="3">
        <f t="shared" si="11"/>
        <v>2775714</v>
      </c>
      <c r="AC398" s="3">
        <f t="shared" si="12"/>
        <v>5</v>
      </c>
      <c r="AD398" s="3">
        <f t="shared" si="13"/>
        <v>541901</v>
      </c>
      <c r="AE398" s="3">
        <f t="shared" si="14"/>
        <v>1</v>
      </c>
      <c r="AF398" s="3">
        <f t="shared" si="15"/>
        <v>5333</v>
      </c>
      <c r="AG398" s="3">
        <f t="shared" si="16"/>
        <v>4</v>
      </c>
      <c r="AH398" s="3">
        <f t="shared" si="17"/>
        <v>6182</v>
      </c>
      <c r="AI398" s="3">
        <f t="shared" si="18"/>
        <v>4</v>
      </c>
      <c r="AJ398" s="3">
        <f t="shared" si="19"/>
        <v>9037</v>
      </c>
    </row>
    <row r="399">
      <c r="C399" s="6" t="s">
        <v>399</v>
      </c>
      <c r="D399" s="3">
        <f t="shared" si="1"/>
        <v>0</v>
      </c>
      <c r="E399" s="3" t="str">
        <f>IFERROR(__xludf.DUMMYFUNCTION("REGEXEXTRACT(C399,""[^ ]* [^ ]*"")"),"posh lavender")</f>
        <v>posh lavender</v>
      </c>
      <c r="F399" s="3" t="str">
        <f>IFERROR(__xludf.DUMMYFUNCTION("MID(REGEXEXTRACT(C399,""contain.*$""),9,300)"),"4 pale tomato bags.")</f>
        <v>4 pale tomato bags.</v>
      </c>
      <c r="G399" s="3" t="str">
        <f>IFERROR(__xludf.DUMMYFUNCTION("INDEX(SPLIT($F399,"",""),COLUMN()-6)"),"4 pale tomato bags.")</f>
        <v>4 pale tomato bags.</v>
      </c>
      <c r="H399" s="3" t="str">
        <f>IFERROR(__xludf.DUMMYFUNCTION("MID(INDEX(SPLIT($F399,"",""),COLUMN()-6),2,300)"),"#REF!")</f>
        <v>#REF!</v>
      </c>
      <c r="I399" s="3" t="str">
        <f>IFERROR(__xludf.DUMMYFUNCTION("MID(INDEX(SPLIT($F399,"",""),COLUMN()-6),2,300)"),"#REF!")</f>
        <v>#REF!</v>
      </c>
      <c r="J399" s="3" t="str">
        <f>IFERROR(__xludf.DUMMYFUNCTION("MID(INDEX(SPLIT($F399,"",""),COLUMN()-6),2,300)"),"#REF!")</f>
        <v>#REF!</v>
      </c>
      <c r="K399" s="3">
        <f>IFERROR(__xludf.DUMMYFUNCTION("INDEX(SPLIT(G399,"" ""),1)"),4.0)</f>
        <v>4</v>
      </c>
      <c r="L399" s="3" t="str">
        <f>IFERROR(__xludf.DUMMYFUNCTION("REGEXEXTRACT(G399,"" [^ ]* [^ ]* "")")," pale tomato ")</f>
        <v> pale tomato </v>
      </c>
      <c r="M399" s="3" t="str">
        <f>IFERROR(__xludf.DUMMYFUNCTION("INDEX(SPLIT(H399,"" ""),1)"),"#REF!")</f>
        <v>#REF!</v>
      </c>
      <c r="N399" s="3" t="str">
        <f>IFERROR(__xludf.DUMMYFUNCTION("MID(REGEXEXTRACT(H399,"" [^ ]* [^ ]*""),2,300)"),"#REF!")</f>
        <v>#REF!</v>
      </c>
      <c r="O399" s="3" t="str">
        <f>IFERROR(__xludf.DUMMYFUNCTION("INDEX(SPLIT(I399,"" ""),1)"),"#REF!")</f>
        <v>#REF!</v>
      </c>
      <c r="P399" s="3" t="str">
        <f>IFERROR(__xludf.DUMMYFUNCTION("MID(REGEXEXTRACT(I399,"" [^ ]* [^ ]*""),2,300)"),"#REF!")</f>
        <v>#REF!</v>
      </c>
      <c r="Q399" s="3" t="str">
        <f>IFERROR(__xludf.DUMMYFUNCTION("INDEX(SPLIT(J399,"" ""),1)"),"#REF!")</f>
        <v>#REF!</v>
      </c>
      <c r="R399" s="3" t="str">
        <f>IFERROR(__xludf.DUMMYFUNCTION("MID(REGEXEXTRACT(J399,"" [^ ]* [^ ]*""),2,300)"),"#REF!")</f>
        <v>#REF!</v>
      </c>
      <c r="S399" s="3">
        <f t="shared" si="2"/>
        <v>4</v>
      </c>
      <c r="T399" s="3" t="str">
        <f t="shared" si="3"/>
        <v>pale tomato</v>
      </c>
      <c r="U399" s="3" t="str">
        <f t="shared" si="4"/>
        <v/>
      </c>
      <c r="V399" s="3" t="str">
        <f t="shared" si="5"/>
        <v/>
      </c>
      <c r="W399" s="3" t="str">
        <f t="shared" si="6"/>
        <v/>
      </c>
      <c r="X399" s="3" t="str">
        <f t="shared" si="7"/>
        <v/>
      </c>
      <c r="Y399" s="3" t="str">
        <f t="shared" si="8"/>
        <v/>
      </c>
      <c r="Z399" s="3" t="str">
        <f t="shared" si="9"/>
        <v/>
      </c>
      <c r="AA399" s="13">
        <f t="shared" si="10"/>
        <v>1121077</v>
      </c>
      <c r="AB399" s="3">
        <f t="shared" si="11"/>
        <v>1121076</v>
      </c>
      <c r="AC399" s="3">
        <f t="shared" si="12"/>
        <v>4</v>
      </c>
      <c r="AD399" s="3">
        <f t="shared" si="13"/>
        <v>280269</v>
      </c>
      <c r="AE399" s="3" t="str">
        <f t="shared" si="14"/>
        <v/>
      </c>
      <c r="AF399" s="3">
        <f t="shared" si="15"/>
        <v>0</v>
      </c>
      <c r="AG399" s="3" t="str">
        <f t="shared" si="16"/>
        <v/>
      </c>
      <c r="AH399" s="3">
        <f t="shared" si="17"/>
        <v>0</v>
      </c>
      <c r="AI399" s="3" t="str">
        <f t="shared" si="18"/>
        <v/>
      </c>
      <c r="AJ399" s="3">
        <f t="shared" si="19"/>
        <v>0</v>
      </c>
    </row>
    <row r="400">
      <c r="C400" s="6" t="s">
        <v>400</v>
      </c>
      <c r="D400" s="3">
        <f t="shared" si="1"/>
        <v>2</v>
      </c>
      <c r="E400" s="3" t="str">
        <f>IFERROR(__xludf.DUMMYFUNCTION("REGEXEXTRACT(C400,""[^ ]* [^ ]*"")"),"plaid coral")</f>
        <v>plaid coral</v>
      </c>
      <c r="F400" s="3" t="str">
        <f>IFERROR(__xludf.DUMMYFUNCTION("MID(REGEXEXTRACT(C400,""contain.*$""),9,300)"),"3 mirrored olive bags, 2 muted black bags, 3 light plum bags.")</f>
        <v>3 mirrored olive bags, 2 muted black bags, 3 light plum bags.</v>
      </c>
      <c r="G400" s="3" t="str">
        <f>IFERROR(__xludf.DUMMYFUNCTION("INDEX(SPLIT($F400,"",""),COLUMN()-6)"),"3 mirrored olive bags")</f>
        <v>3 mirrored olive bags</v>
      </c>
      <c r="H400" s="3" t="str">
        <f>IFERROR(__xludf.DUMMYFUNCTION("MID(INDEX(SPLIT($F400,"",""),COLUMN()-6),2,300)"),"2 muted black bags")</f>
        <v>2 muted black bags</v>
      </c>
      <c r="I400" s="3" t="str">
        <f>IFERROR(__xludf.DUMMYFUNCTION("MID(INDEX(SPLIT($F400,"",""),COLUMN()-6),2,300)"),"3 light plum bags.")</f>
        <v>3 light plum bags.</v>
      </c>
      <c r="J400" s="3" t="str">
        <f>IFERROR(__xludf.DUMMYFUNCTION("MID(INDEX(SPLIT($F400,"",""),COLUMN()-6),2,300)"),"#REF!")</f>
        <v>#REF!</v>
      </c>
      <c r="K400" s="3">
        <f>IFERROR(__xludf.DUMMYFUNCTION("INDEX(SPLIT(G400,"" ""),1)"),3.0)</f>
        <v>3</v>
      </c>
      <c r="L400" s="3" t="str">
        <f>IFERROR(__xludf.DUMMYFUNCTION("REGEXEXTRACT(G400,"" [^ ]* [^ ]* "")")," mirrored olive ")</f>
        <v> mirrored olive </v>
      </c>
      <c r="M400" s="3">
        <f>IFERROR(__xludf.DUMMYFUNCTION("INDEX(SPLIT(H400,"" ""),1)"),2.0)</f>
        <v>2</v>
      </c>
      <c r="N400" s="3" t="str">
        <f>IFERROR(__xludf.DUMMYFUNCTION("MID(REGEXEXTRACT(H400,"" [^ ]* [^ ]*""),2,300)"),"muted black")</f>
        <v>muted black</v>
      </c>
      <c r="O400" s="3">
        <f>IFERROR(__xludf.DUMMYFUNCTION("INDEX(SPLIT(I400,"" ""),1)"),3.0)</f>
        <v>3</v>
      </c>
      <c r="P400" s="3" t="str">
        <f>IFERROR(__xludf.DUMMYFUNCTION("MID(REGEXEXTRACT(I400,"" [^ ]* [^ ]*""),2,300)"),"light plum")</f>
        <v>light plum</v>
      </c>
      <c r="Q400" s="3" t="str">
        <f>IFERROR(__xludf.DUMMYFUNCTION("INDEX(SPLIT(J400,"" ""),1)"),"#REF!")</f>
        <v>#REF!</v>
      </c>
      <c r="R400" s="3" t="str">
        <f>IFERROR(__xludf.DUMMYFUNCTION("MID(REGEXEXTRACT(J400,"" [^ ]* [^ ]*""),2,300)"),"#REF!")</f>
        <v>#REF!</v>
      </c>
      <c r="S400" s="3">
        <f t="shared" si="2"/>
        <v>3</v>
      </c>
      <c r="T400" s="3" t="str">
        <f t="shared" si="3"/>
        <v>mirrored olive</v>
      </c>
      <c r="U400" s="3">
        <f t="shared" si="4"/>
        <v>2</v>
      </c>
      <c r="V400" s="3" t="str">
        <f t="shared" si="5"/>
        <v>muted black</v>
      </c>
      <c r="W400" s="3">
        <f t="shared" si="6"/>
        <v>3</v>
      </c>
      <c r="X400" s="3" t="str">
        <f t="shared" si="7"/>
        <v>light plum</v>
      </c>
      <c r="Y400" s="3" t="str">
        <f t="shared" si="8"/>
        <v/>
      </c>
      <c r="Z400" s="3" t="str">
        <f t="shared" si="9"/>
        <v/>
      </c>
      <c r="AA400" s="13">
        <f t="shared" si="10"/>
        <v>28817922</v>
      </c>
      <c r="AB400" s="3">
        <f t="shared" si="11"/>
        <v>28817921</v>
      </c>
      <c r="AC400" s="3">
        <f t="shared" si="12"/>
        <v>3</v>
      </c>
      <c r="AD400" s="3">
        <f t="shared" si="13"/>
        <v>7408</v>
      </c>
      <c r="AE400" s="3">
        <f t="shared" si="14"/>
        <v>2</v>
      </c>
      <c r="AF400" s="3">
        <f t="shared" si="15"/>
        <v>14397844</v>
      </c>
      <c r="AG400" s="3">
        <f t="shared" si="16"/>
        <v>3</v>
      </c>
      <c r="AH400" s="3">
        <f t="shared" si="17"/>
        <v>3</v>
      </c>
      <c r="AI400" s="3" t="str">
        <f t="shared" si="18"/>
        <v/>
      </c>
      <c r="AJ400" s="3">
        <f t="shared" si="19"/>
        <v>0</v>
      </c>
    </row>
    <row r="401">
      <c r="C401" s="6" t="s">
        <v>401</v>
      </c>
      <c r="D401" s="3">
        <f t="shared" si="1"/>
        <v>0</v>
      </c>
      <c r="E401" s="3" t="str">
        <f>IFERROR(__xludf.DUMMYFUNCTION("REGEXEXTRACT(C401,""[^ ]* [^ ]*"")"),"vibrant blue")</f>
        <v>vibrant blue</v>
      </c>
      <c r="F401" s="3" t="str">
        <f>IFERROR(__xludf.DUMMYFUNCTION("MID(REGEXEXTRACT(C401,""contain.*$""),9,300)"),"4 mirrored silver bags.")</f>
        <v>4 mirrored silver bags.</v>
      </c>
      <c r="G401" s="3" t="str">
        <f>IFERROR(__xludf.DUMMYFUNCTION("INDEX(SPLIT($F401,"",""),COLUMN()-6)"),"4 mirrored silver bags.")</f>
        <v>4 mirrored silver bags.</v>
      </c>
      <c r="H401" s="3" t="str">
        <f>IFERROR(__xludf.DUMMYFUNCTION("MID(INDEX(SPLIT($F401,"",""),COLUMN()-6),2,300)"),"#REF!")</f>
        <v>#REF!</v>
      </c>
      <c r="I401" s="3" t="str">
        <f>IFERROR(__xludf.DUMMYFUNCTION("MID(INDEX(SPLIT($F401,"",""),COLUMN()-6),2,300)"),"#REF!")</f>
        <v>#REF!</v>
      </c>
      <c r="J401" s="3" t="str">
        <f>IFERROR(__xludf.DUMMYFUNCTION("MID(INDEX(SPLIT($F401,"",""),COLUMN()-6),2,300)"),"#REF!")</f>
        <v>#REF!</v>
      </c>
      <c r="K401" s="3">
        <f>IFERROR(__xludf.DUMMYFUNCTION("INDEX(SPLIT(G401,"" ""),1)"),4.0)</f>
        <v>4</v>
      </c>
      <c r="L401" s="3" t="str">
        <f>IFERROR(__xludf.DUMMYFUNCTION("REGEXEXTRACT(G401,"" [^ ]* [^ ]* "")")," mirrored silver ")</f>
        <v> mirrored silver </v>
      </c>
      <c r="M401" s="3" t="str">
        <f>IFERROR(__xludf.DUMMYFUNCTION("INDEX(SPLIT(H401,"" ""),1)"),"#REF!")</f>
        <v>#REF!</v>
      </c>
      <c r="N401" s="3" t="str">
        <f>IFERROR(__xludf.DUMMYFUNCTION("MID(REGEXEXTRACT(H401,"" [^ ]* [^ ]*""),2,300)"),"#REF!")</f>
        <v>#REF!</v>
      </c>
      <c r="O401" s="3" t="str">
        <f>IFERROR(__xludf.DUMMYFUNCTION("INDEX(SPLIT(I401,"" ""),1)"),"#REF!")</f>
        <v>#REF!</v>
      </c>
      <c r="P401" s="3" t="str">
        <f>IFERROR(__xludf.DUMMYFUNCTION("MID(REGEXEXTRACT(I401,"" [^ ]* [^ ]*""),2,300)"),"#REF!")</f>
        <v>#REF!</v>
      </c>
      <c r="Q401" s="3" t="str">
        <f>IFERROR(__xludf.DUMMYFUNCTION("INDEX(SPLIT(J401,"" ""),1)"),"#REF!")</f>
        <v>#REF!</v>
      </c>
      <c r="R401" s="3" t="str">
        <f>IFERROR(__xludf.DUMMYFUNCTION("MID(REGEXEXTRACT(J401,"" [^ ]* [^ ]*""),2,300)"),"#REF!")</f>
        <v>#REF!</v>
      </c>
      <c r="S401" s="3">
        <f t="shared" si="2"/>
        <v>4</v>
      </c>
      <c r="T401" s="3" t="str">
        <f t="shared" si="3"/>
        <v>mirrored silver</v>
      </c>
      <c r="U401" s="3" t="str">
        <f t="shared" si="4"/>
        <v/>
      </c>
      <c r="V401" s="3" t="str">
        <f t="shared" si="5"/>
        <v/>
      </c>
      <c r="W401" s="3" t="str">
        <f t="shared" si="6"/>
        <v/>
      </c>
      <c r="X401" s="3" t="str">
        <f t="shared" si="7"/>
        <v/>
      </c>
      <c r="Y401" s="3" t="str">
        <f t="shared" si="8"/>
        <v/>
      </c>
      <c r="Z401" s="3" t="str">
        <f t="shared" si="9"/>
        <v/>
      </c>
      <c r="AA401" s="13">
        <f t="shared" si="10"/>
        <v>1545</v>
      </c>
      <c r="AB401" s="3">
        <f t="shared" si="11"/>
        <v>1544</v>
      </c>
      <c r="AC401" s="3">
        <f t="shared" si="12"/>
        <v>4</v>
      </c>
      <c r="AD401" s="3">
        <f t="shared" si="13"/>
        <v>386</v>
      </c>
      <c r="AE401" s="3" t="str">
        <f t="shared" si="14"/>
        <v/>
      </c>
      <c r="AF401" s="3">
        <f t="shared" si="15"/>
        <v>0</v>
      </c>
      <c r="AG401" s="3" t="str">
        <f t="shared" si="16"/>
        <v/>
      </c>
      <c r="AH401" s="3">
        <f t="shared" si="17"/>
        <v>0</v>
      </c>
      <c r="AI401" s="3" t="str">
        <f t="shared" si="18"/>
        <v/>
      </c>
      <c r="AJ401" s="3">
        <f t="shared" si="19"/>
        <v>0</v>
      </c>
    </row>
    <row r="402">
      <c r="C402" s="6" t="s">
        <v>402</v>
      </c>
      <c r="D402" s="3">
        <f t="shared" si="1"/>
        <v>0</v>
      </c>
      <c r="E402" s="3" t="str">
        <f>IFERROR(__xludf.DUMMYFUNCTION("REGEXEXTRACT(C402,""[^ ]* [^ ]*"")"),"dim aqua")</f>
        <v>dim aqua</v>
      </c>
      <c r="F402" s="3" t="str">
        <f>IFERROR(__xludf.DUMMYFUNCTION("MID(REGEXEXTRACT(C402,""contain.*$""),9,300)"),"5 dim maroon bags.")</f>
        <v>5 dim maroon bags.</v>
      </c>
      <c r="G402" s="3" t="str">
        <f>IFERROR(__xludf.DUMMYFUNCTION("INDEX(SPLIT($F402,"",""),COLUMN()-6)"),"5 dim maroon bags.")</f>
        <v>5 dim maroon bags.</v>
      </c>
      <c r="H402" s="3" t="str">
        <f>IFERROR(__xludf.DUMMYFUNCTION("MID(INDEX(SPLIT($F402,"",""),COLUMN()-6),2,300)"),"#REF!")</f>
        <v>#REF!</v>
      </c>
      <c r="I402" s="3" t="str">
        <f>IFERROR(__xludf.DUMMYFUNCTION("MID(INDEX(SPLIT($F402,"",""),COLUMN()-6),2,300)"),"#REF!")</f>
        <v>#REF!</v>
      </c>
      <c r="J402" s="3" t="str">
        <f>IFERROR(__xludf.DUMMYFUNCTION("MID(INDEX(SPLIT($F402,"",""),COLUMN()-6),2,300)"),"#REF!")</f>
        <v>#REF!</v>
      </c>
      <c r="K402" s="3">
        <f>IFERROR(__xludf.DUMMYFUNCTION("INDEX(SPLIT(G402,"" ""),1)"),5.0)</f>
        <v>5</v>
      </c>
      <c r="L402" s="3" t="str">
        <f>IFERROR(__xludf.DUMMYFUNCTION("REGEXEXTRACT(G402,"" [^ ]* [^ ]* "")")," dim maroon ")</f>
        <v> dim maroon </v>
      </c>
      <c r="M402" s="3" t="str">
        <f>IFERROR(__xludf.DUMMYFUNCTION("INDEX(SPLIT(H402,"" ""),1)"),"#REF!")</f>
        <v>#REF!</v>
      </c>
      <c r="N402" s="3" t="str">
        <f>IFERROR(__xludf.DUMMYFUNCTION("MID(REGEXEXTRACT(H402,"" [^ ]* [^ ]*""),2,300)"),"#REF!")</f>
        <v>#REF!</v>
      </c>
      <c r="O402" s="3" t="str">
        <f>IFERROR(__xludf.DUMMYFUNCTION("INDEX(SPLIT(I402,"" ""),1)"),"#REF!")</f>
        <v>#REF!</v>
      </c>
      <c r="P402" s="3" t="str">
        <f>IFERROR(__xludf.DUMMYFUNCTION("MID(REGEXEXTRACT(I402,"" [^ ]* [^ ]*""),2,300)"),"#REF!")</f>
        <v>#REF!</v>
      </c>
      <c r="Q402" s="3" t="str">
        <f>IFERROR(__xludf.DUMMYFUNCTION("INDEX(SPLIT(J402,"" ""),1)"),"#REF!")</f>
        <v>#REF!</v>
      </c>
      <c r="R402" s="3" t="str">
        <f>IFERROR(__xludf.DUMMYFUNCTION("MID(REGEXEXTRACT(J402,"" [^ ]* [^ ]*""),2,300)"),"#REF!")</f>
        <v>#REF!</v>
      </c>
      <c r="S402" s="3">
        <f t="shared" si="2"/>
        <v>5</v>
      </c>
      <c r="T402" s="3" t="str">
        <f t="shared" si="3"/>
        <v>dim maroon</v>
      </c>
      <c r="U402" s="3" t="str">
        <f t="shared" si="4"/>
        <v/>
      </c>
      <c r="V402" s="3" t="str">
        <f t="shared" si="5"/>
        <v/>
      </c>
      <c r="W402" s="3" t="str">
        <f t="shared" si="6"/>
        <v/>
      </c>
      <c r="X402" s="3" t="str">
        <f t="shared" si="7"/>
        <v/>
      </c>
      <c r="Y402" s="3" t="str">
        <f t="shared" si="8"/>
        <v/>
      </c>
      <c r="Z402" s="3" t="str">
        <f t="shared" si="9"/>
        <v/>
      </c>
      <c r="AA402" s="13">
        <f t="shared" si="10"/>
        <v>60166</v>
      </c>
      <c r="AB402" s="3">
        <f t="shared" si="11"/>
        <v>60165</v>
      </c>
      <c r="AC402" s="3">
        <f t="shared" si="12"/>
        <v>5</v>
      </c>
      <c r="AD402" s="3">
        <f t="shared" si="13"/>
        <v>12033</v>
      </c>
      <c r="AE402" s="3" t="str">
        <f t="shared" si="14"/>
        <v/>
      </c>
      <c r="AF402" s="3">
        <f t="shared" si="15"/>
        <v>0</v>
      </c>
      <c r="AG402" s="3" t="str">
        <f t="shared" si="16"/>
        <v/>
      </c>
      <c r="AH402" s="3">
        <f t="shared" si="17"/>
        <v>0</v>
      </c>
      <c r="AI402" s="3" t="str">
        <f t="shared" si="18"/>
        <v/>
      </c>
      <c r="AJ402" s="3">
        <f t="shared" si="19"/>
        <v>0</v>
      </c>
    </row>
    <row r="403">
      <c r="C403" s="6" t="s">
        <v>403</v>
      </c>
      <c r="D403" s="3">
        <f t="shared" si="1"/>
        <v>2</v>
      </c>
      <c r="E403" s="3" t="str">
        <f>IFERROR(__xludf.DUMMYFUNCTION("REGEXEXTRACT(C403,""[^ ]* [^ ]*"")"),"wavy bronze")</f>
        <v>wavy bronze</v>
      </c>
      <c r="F403" s="3" t="str">
        <f>IFERROR(__xludf.DUMMYFUNCTION("MID(REGEXEXTRACT(C403,""contain.*$""),9,300)"),"5 wavy plum bags, 1 bright cyan bag, 2 drab chartreuse bags.")</f>
        <v>5 wavy plum bags, 1 bright cyan bag, 2 drab chartreuse bags.</v>
      </c>
      <c r="G403" s="3" t="str">
        <f>IFERROR(__xludf.DUMMYFUNCTION("INDEX(SPLIT($F403,"",""),COLUMN()-6)"),"5 wavy plum bags")</f>
        <v>5 wavy plum bags</v>
      </c>
      <c r="H403" s="3" t="str">
        <f>IFERROR(__xludf.DUMMYFUNCTION("MID(INDEX(SPLIT($F403,"",""),COLUMN()-6),2,300)"),"1 bright cyan bag")</f>
        <v>1 bright cyan bag</v>
      </c>
      <c r="I403" s="3" t="str">
        <f>IFERROR(__xludf.DUMMYFUNCTION("MID(INDEX(SPLIT($F403,"",""),COLUMN()-6),2,300)"),"2 drab chartreuse bags.")</f>
        <v>2 drab chartreuse bags.</v>
      </c>
      <c r="J403" s="3" t="str">
        <f>IFERROR(__xludf.DUMMYFUNCTION("MID(INDEX(SPLIT($F403,"",""),COLUMN()-6),2,300)"),"#REF!")</f>
        <v>#REF!</v>
      </c>
      <c r="K403" s="3">
        <f>IFERROR(__xludf.DUMMYFUNCTION("INDEX(SPLIT(G403,"" ""),1)"),5.0)</f>
        <v>5</v>
      </c>
      <c r="L403" s="3" t="str">
        <f>IFERROR(__xludf.DUMMYFUNCTION("REGEXEXTRACT(G403,"" [^ ]* [^ ]* "")")," wavy plum ")</f>
        <v> wavy plum </v>
      </c>
      <c r="M403" s="3">
        <f>IFERROR(__xludf.DUMMYFUNCTION("INDEX(SPLIT(H403,"" ""),1)"),1.0)</f>
        <v>1</v>
      </c>
      <c r="N403" s="3" t="str">
        <f>IFERROR(__xludf.DUMMYFUNCTION("MID(REGEXEXTRACT(H403,"" [^ ]* [^ ]*""),2,300)"),"bright cyan")</f>
        <v>bright cyan</v>
      </c>
      <c r="O403" s="3">
        <f>IFERROR(__xludf.DUMMYFUNCTION("INDEX(SPLIT(I403,"" ""),1)"),2.0)</f>
        <v>2</v>
      </c>
      <c r="P403" s="3" t="str">
        <f>IFERROR(__xludf.DUMMYFUNCTION("MID(REGEXEXTRACT(I403,"" [^ ]* [^ ]*""),2,300)"),"drab chartreuse")</f>
        <v>drab chartreuse</v>
      </c>
      <c r="Q403" s="3" t="str">
        <f>IFERROR(__xludf.DUMMYFUNCTION("INDEX(SPLIT(J403,"" ""),1)"),"#REF!")</f>
        <v>#REF!</v>
      </c>
      <c r="R403" s="3" t="str">
        <f>IFERROR(__xludf.DUMMYFUNCTION("MID(REGEXEXTRACT(J403,"" [^ ]* [^ ]*""),2,300)"),"#REF!")</f>
        <v>#REF!</v>
      </c>
      <c r="S403" s="3">
        <f t="shared" si="2"/>
        <v>5</v>
      </c>
      <c r="T403" s="3" t="str">
        <f t="shared" si="3"/>
        <v>wavy plum</v>
      </c>
      <c r="U403" s="3">
        <f t="shared" si="4"/>
        <v>1</v>
      </c>
      <c r="V403" s="3" t="str">
        <f t="shared" si="5"/>
        <v>bright cyan</v>
      </c>
      <c r="W403" s="3">
        <f t="shared" si="6"/>
        <v>2</v>
      </c>
      <c r="X403" s="3" t="str">
        <f t="shared" si="7"/>
        <v>drab chartreuse</v>
      </c>
      <c r="Y403" s="3" t="str">
        <f t="shared" si="8"/>
        <v/>
      </c>
      <c r="Z403" s="3" t="str">
        <f t="shared" si="9"/>
        <v/>
      </c>
      <c r="AA403" s="13">
        <f t="shared" si="10"/>
        <v>795360</v>
      </c>
      <c r="AB403" s="3">
        <f t="shared" si="11"/>
        <v>795359</v>
      </c>
      <c r="AC403" s="3">
        <f t="shared" si="12"/>
        <v>5</v>
      </c>
      <c r="AD403" s="3">
        <f t="shared" si="13"/>
        <v>148186</v>
      </c>
      <c r="AE403" s="3">
        <f t="shared" si="14"/>
        <v>1</v>
      </c>
      <c r="AF403" s="3">
        <f t="shared" si="15"/>
        <v>531</v>
      </c>
      <c r="AG403" s="3">
        <f t="shared" si="16"/>
        <v>2</v>
      </c>
      <c r="AH403" s="3">
        <f t="shared" si="17"/>
        <v>26949</v>
      </c>
      <c r="AI403" s="3" t="str">
        <f t="shared" si="18"/>
        <v/>
      </c>
      <c r="AJ403" s="3">
        <f t="shared" si="19"/>
        <v>0</v>
      </c>
    </row>
    <row r="404">
      <c r="C404" s="6" t="s">
        <v>404</v>
      </c>
      <c r="D404" s="3">
        <f t="shared" si="1"/>
        <v>2</v>
      </c>
      <c r="E404" s="3" t="str">
        <f>IFERROR(__xludf.DUMMYFUNCTION("REGEXEXTRACT(C404,""[^ ]* [^ ]*"")"),"muted plum")</f>
        <v>muted plum</v>
      </c>
      <c r="F404" s="3" t="str">
        <f>IFERROR(__xludf.DUMMYFUNCTION("MID(REGEXEXTRACT(C404,""contain.*$""),9,300)"),"3 plaid silver bags, 5 faded black bags, 3 drab maroon bags.")</f>
        <v>3 plaid silver bags, 5 faded black bags, 3 drab maroon bags.</v>
      </c>
      <c r="G404" s="3" t="str">
        <f>IFERROR(__xludf.DUMMYFUNCTION("INDEX(SPLIT($F404,"",""),COLUMN()-6)"),"3 plaid silver bags")</f>
        <v>3 plaid silver bags</v>
      </c>
      <c r="H404" s="3" t="str">
        <f>IFERROR(__xludf.DUMMYFUNCTION("MID(INDEX(SPLIT($F404,"",""),COLUMN()-6),2,300)"),"5 faded black bags")</f>
        <v>5 faded black bags</v>
      </c>
      <c r="I404" s="3" t="str">
        <f>IFERROR(__xludf.DUMMYFUNCTION("MID(INDEX(SPLIT($F404,"",""),COLUMN()-6),2,300)"),"3 drab maroon bags.")</f>
        <v>3 drab maroon bags.</v>
      </c>
      <c r="J404" s="3" t="str">
        <f>IFERROR(__xludf.DUMMYFUNCTION("MID(INDEX(SPLIT($F404,"",""),COLUMN()-6),2,300)"),"#REF!")</f>
        <v>#REF!</v>
      </c>
      <c r="K404" s="3">
        <f>IFERROR(__xludf.DUMMYFUNCTION("INDEX(SPLIT(G404,"" ""),1)"),3.0)</f>
        <v>3</v>
      </c>
      <c r="L404" s="3" t="str">
        <f>IFERROR(__xludf.DUMMYFUNCTION("REGEXEXTRACT(G404,"" [^ ]* [^ ]* "")")," plaid silver ")</f>
        <v> plaid silver </v>
      </c>
      <c r="M404" s="3">
        <f>IFERROR(__xludf.DUMMYFUNCTION("INDEX(SPLIT(H404,"" ""),1)"),5.0)</f>
        <v>5</v>
      </c>
      <c r="N404" s="3" t="str">
        <f>IFERROR(__xludf.DUMMYFUNCTION("MID(REGEXEXTRACT(H404,"" [^ ]* [^ ]*""),2,300)"),"faded black")</f>
        <v>faded black</v>
      </c>
      <c r="O404" s="3">
        <f>IFERROR(__xludf.DUMMYFUNCTION("INDEX(SPLIT(I404,"" ""),1)"),3.0)</f>
        <v>3</v>
      </c>
      <c r="P404" s="3" t="str">
        <f>IFERROR(__xludf.DUMMYFUNCTION("MID(REGEXEXTRACT(I404,"" [^ ]* [^ ]*""),2,300)"),"drab maroon")</f>
        <v>drab maroon</v>
      </c>
      <c r="Q404" s="3" t="str">
        <f>IFERROR(__xludf.DUMMYFUNCTION("INDEX(SPLIT(J404,"" ""),1)"),"#REF!")</f>
        <v>#REF!</v>
      </c>
      <c r="R404" s="3" t="str">
        <f>IFERROR(__xludf.DUMMYFUNCTION("MID(REGEXEXTRACT(J404,"" [^ ]* [^ ]*""),2,300)"),"#REF!")</f>
        <v>#REF!</v>
      </c>
      <c r="S404" s="3">
        <f t="shared" si="2"/>
        <v>3</v>
      </c>
      <c r="T404" s="3" t="str">
        <f t="shared" si="3"/>
        <v>plaid silver</v>
      </c>
      <c r="U404" s="3">
        <f t="shared" si="4"/>
        <v>5</v>
      </c>
      <c r="V404" s="3" t="str">
        <f t="shared" si="5"/>
        <v>faded black</v>
      </c>
      <c r="W404" s="3">
        <f t="shared" si="6"/>
        <v>3</v>
      </c>
      <c r="X404" s="3" t="str">
        <f t="shared" si="7"/>
        <v>drab maroon</v>
      </c>
      <c r="Y404" s="3" t="str">
        <f t="shared" si="8"/>
        <v/>
      </c>
      <c r="Z404" s="3" t="str">
        <f t="shared" si="9"/>
        <v/>
      </c>
      <c r="AA404" s="13">
        <f t="shared" si="10"/>
        <v>3100003</v>
      </c>
      <c r="AB404" s="3">
        <f t="shared" si="11"/>
        <v>3100002</v>
      </c>
      <c r="AC404" s="3">
        <f t="shared" si="12"/>
        <v>3</v>
      </c>
      <c r="AD404" s="3">
        <f t="shared" si="13"/>
        <v>86617</v>
      </c>
      <c r="AE404" s="3">
        <f t="shared" si="14"/>
        <v>5</v>
      </c>
      <c r="AF404" s="3">
        <f t="shared" si="15"/>
        <v>565872</v>
      </c>
      <c r="AG404" s="3">
        <f t="shared" si="16"/>
        <v>3</v>
      </c>
      <c r="AH404" s="3">
        <f t="shared" si="17"/>
        <v>3597</v>
      </c>
      <c r="AI404" s="3" t="str">
        <f t="shared" si="18"/>
        <v/>
      </c>
      <c r="AJ404" s="3">
        <f t="shared" si="19"/>
        <v>0</v>
      </c>
    </row>
    <row r="405">
      <c r="C405" s="6" t="s">
        <v>405</v>
      </c>
      <c r="D405" s="3">
        <f t="shared" si="1"/>
        <v>0</v>
      </c>
      <c r="E405" s="3" t="str">
        <f>IFERROR(__xludf.DUMMYFUNCTION("REGEXEXTRACT(C405,""[^ ]* [^ ]*"")"),"dull turquoise")</f>
        <v>dull turquoise</v>
      </c>
      <c r="F405" s="3" t="str">
        <f>IFERROR(__xludf.DUMMYFUNCTION("MID(REGEXEXTRACT(C405,""contain.*$""),9,300)"),"4 plaid silver bags.")</f>
        <v>4 plaid silver bags.</v>
      </c>
      <c r="G405" s="3" t="str">
        <f>IFERROR(__xludf.DUMMYFUNCTION("INDEX(SPLIT($F405,"",""),COLUMN()-6)"),"4 plaid silver bags.")</f>
        <v>4 plaid silver bags.</v>
      </c>
      <c r="H405" s="3" t="str">
        <f>IFERROR(__xludf.DUMMYFUNCTION("MID(INDEX(SPLIT($F405,"",""),COLUMN()-6),2,300)"),"#REF!")</f>
        <v>#REF!</v>
      </c>
      <c r="I405" s="3" t="str">
        <f>IFERROR(__xludf.DUMMYFUNCTION("MID(INDEX(SPLIT($F405,"",""),COLUMN()-6),2,300)"),"#REF!")</f>
        <v>#REF!</v>
      </c>
      <c r="J405" s="3" t="str">
        <f>IFERROR(__xludf.DUMMYFUNCTION("MID(INDEX(SPLIT($F405,"",""),COLUMN()-6),2,300)"),"#REF!")</f>
        <v>#REF!</v>
      </c>
      <c r="K405" s="3">
        <f>IFERROR(__xludf.DUMMYFUNCTION("INDEX(SPLIT(G405,"" ""),1)"),4.0)</f>
        <v>4</v>
      </c>
      <c r="L405" s="3" t="str">
        <f>IFERROR(__xludf.DUMMYFUNCTION("REGEXEXTRACT(G405,"" [^ ]* [^ ]* "")")," plaid silver ")</f>
        <v> plaid silver </v>
      </c>
      <c r="M405" s="3" t="str">
        <f>IFERROR(__xludf.DUMMYFUNCTION("INDEX(SPLIT(H405,"" ""),1)"),"#REF!")</f>
        <v>#REF!</v>
      </c>
      <c r="N405" s="3" t="str">
        <f>IFERROR(__xludf.DUMMYFUNCTION("MID(REGEXEXTRACT(H405,"" [^ ]* [^ ]*""),2,300)"),"#REF!")</f>
        <v>#REF!</v>
      </c>
      <c r="O405" s="3" t="str">
        <f>IFERROR(__xludf.DUMMYFUNCTION("INDEX(SPLIT(I405,"" ""),1)"),"#REF!")</f>
        <v>#REF!</v>
      </c>
      <c r="P405" s="3" t="str">
        <f>IFERROR(__xludf.DUMMYFUNCTION("MID(REGEXEXTRACT(I405,"" [^ ]* [^ ]*""),2,300)"),"#REF!")</f>
        <v>#REF!</v>
      </c>
      <c r="Q405" s="3" t="str">
        <f>IFERROR(__xludf.DUMMYFUNCTION("INDEX(SPLIT(J405,"" ""),1)"),"#REF!")</f>
        <v>#REF!</v>
      </c>
      <c r="R405" s="3" t="str">
        <f>IFERROR(__xludf.DUMMYFUNCTION("MID(REGEXEXTRACT(J405,"" [^ ]* [^ ]*""),2,300)"),"#REF!")</f>
        <v>#REF!</v>
      </c>
      <c r="S405" s="3">
        <f t="shared" si="2"/>
        <v>4</v>
      </c>
      <c r="T405" s="3" t="str">
        <f t="shared" si="3"/>
        <v>plaid silver</v>
      </c>
      <c r="U405" s="3" t="str">
        <f t="shared" si="4"/>
        <v/>
      </c>
      <c r="V405" s="3" t="str">
        <f t="shared" si="5"/>
        <v/>
      </c>
      <c r="W405" s="3" t="str">
        <f t="shared" si="6"/>
        <v/>
      </c>
      <c r="X405" s="3" t="str">
        <f t="shared" si="7"/>
        <v/>
      </c>
      <c r="Y405" s="3" t="str">
        <f t="shared" si="8"/>
        <v/>
      </c>
      <c r="Z405" s="3" t="str">
        <f t="shared" si="9"/>
        <v/>
      </c>
      <c r="AA405" s="13">
        <f t="shared" si="10"/>
        <v>346469</v>
      </c>
      <c r="AB405" s="3">
        <f t="shared" si="11"/>
        <v>346468</v>
      </c>
      <c r="AC405" s="3">
        <f t="shared" si="12"/>
        <v>4</v>
      </c>
      <c r="AD405" s="3">
        <f t="shared" si="13"/>
        <v>86617</v>
      </c>
      <c r="AE405" s="3" t="str">
        <f t="shared" si="14"/>
        <v/>
      </c>
      <c r="AF405" s="3">
        <f t="shared" si="15"/>
        <v>0</v>
      </c>
      <c r="AG405" s="3" t="str">
        <f t="shared" si="16"/>
        <v/>
      </c>
      <c r="AH405" s="3">
        <f t="shared" si="17"/>
        <v>0</v>
      </c>
      <c r="AI405" s="3" t="str">
        <f t="shared" si="18"/>
        <v/>
      </c>
      <c r="AJ405" s="3">
        <f t="shared" si="19"/>
        <v>0</v>
      </c>
    </row>
    <row r="406">
      <c r="C406" s="6" t="s">
        <v>406</v>
      </c>
      <c r="D406" s="3">
        <f t="shared" si="1"/>
        <v>0</v>
      </c>
      <c r="E406" s="3" t="str">
        <f>IFERROR(__xludf.DUMMYFUNCTION("REGEXEXTRACT(C406,""[^ ]* [^ ]*"")"),"plaid blue")</f>
        <v>plaid blue</v>
      </c>
      <c r="F406" s="3" t="str">
        <f>IFERROR(__xludf.DUMMYFUNCTION("MID(REGEXEXTRACT(C406,""contain.*$""),9,300)"),"3 plaid purple bags.")</f>
        <v>3 plaid purple bags.</v>
      </c>
      <c r="G406" s="3" t="str">
        <f>IFERROR(__xludf.DUMMYFUNCTION("INDEX(SPLIT($F406,"",""),COLUMN()-6)"),"3 plaid purple bags.")</f>
        <v>3 plaid purple bags.</v>
      </c>
      <c r="H406" s="3" t="str">
        <f>IFERROR(__xludf.DUMMYFUNCTION("MID(INDEX(SPLIT($F406,"",""),COLUMN()-6),2,300)"),"#REF!")</f>
        <v>#REF!</v>
      </c>
      <c r="I406" s="3" t="str">
        <f>IFERROR(__xludf.DUMMYFUNCTION("MID(INDEX(SPLIT($F406,"",""),COLUMN()-6),2,300)"),"#REF!")</f>
        <v>#REF!</v>
      </c>
      <c r="J406" s="3" t="str">
        <f>IFERROR(__xludf.DUMMYFUNCTION("MID(INDEX(SPLIT($F406,"",""),COLUMN()-6),2,300)"),"#REF!")</f>
        <v>#REF!</v>
      </c>
      <c r="K406" s="3">
        <f>IFERROR(__xludf.DUMMYFUNCTION("INDEX(SPLIT(G406,"" ""),1)"),3.0)</f>
        <v>3</v>
      </c>
      <c r="L406" s="3" t="str">
        <f>IFERROR(__xludf.DUMMYFUNCTION("REGEXEXTRACT(G406,"" [^ ]* [^ ]* "")")," plaid purple ")</f>
        <v> plaid purple </v>
      </c>
      <c r="M406" s="3" t="str">
        <f>IFERROR(__xludf.DUMMYFUNCTION("INDEX(SPLIT(H406,"" ""),1)"),"#REF!")</f>
        <v>#REF!</v>
      </c>
      <c r="N406" s="3" t="str">
        <f>IFERROR(__xludf.DUMMYFUNCTION("MID(REGEXEXTRACT(H406,"" [^ ]* [^ ]*""),2,300)"),"#REF!")</f>
        <v>#REF!</v>
      </c>
      <c r="O406" s="3" t="str">
        <f>IFERROR(__xludf.DUMMYFUNCTION("INDEX(SPLIT(I406,"" ""),1)"),"#REF!")</f>
        <v>#REF!</v>
      </c>
      <c r="P406" s="3" t="str">
        <f>IFERROR(__xludf.DUMMYFUNCTION("MID(REGEXEXTRACT(I406,"" [^ ]* [^ ]*""),2,300)"),"#REF!")</f>
        <v>#REF!</v>
      </c>
      <c r="Q406" s="3" t="str">
        <f>IFERROR(__xludf.DUMMYFUNCTION("INDEX(SPLIT(J406,"" ""),1)"),"#REF!")</f>
        <v>#REF!</v>
      </c>
      <c r="R406" s="3" t="str">
        <f>IFERROR(__xludf.DUMMYFUNCTION("MID(REGEXEXTRACT(J406,"" [^ ]* [^ ]*""),2,300)"),"#REF!")</f>
        <v>#REF!</v>
      </c>
      <c r="S406" s="3">
        <f t="shared" si="2"/>
        <v>3</v>
      </c>
      <c r="T406" s="3" t="str">
        <f t="shared" si="3"/>
        <v>plaid purple</v>
      </c>
      <c r="U406" s="3" t="str">
        <f t="shared" si="4"/>
        <v/>
      </c>
      <c r="V406" s="3" t="str">
        <f t="shared" si="5"/>
        <v/>
      </c>
      <c r="W406" s="3" t="str">
        <f t="shared" si="6"/>
        <v/>
      </c>
      <c r="X406" s="3" t="str">
        <f t="shared" si="7"/>
        <v/>
      </c>
      <c r="Y406" s="3" t="str">
        <f t="shared" si="8"/>
        <v/>
      </c>
      <c r="Z406" s="3" t="str">
        <f t="shared" si="9"/>
        <v/>
      </c>
      <c r="AA406" s="13">
        <f t="shared" si="10"/>
        <v>81694</v>
      </c>
      <c r="AB406" s="3">
        <f t="shared" si="11"/>
        <v>81693</v>
      </c>
      <c r="AC406" s="3">
        <f t="shared" si="12"/>
        <v>3</v>
      </c>
      <c r="AD406" s="3">
        <f t="shared" si="13"/>
        <v>27231</v>
      </c>
      <c r="AE406" s="3" t="str">
        <f t="shared" si="14"/>
        <v/>
      </c>
      <c r="AF406" s="3">
        <f t="shared" si="15"/>
        <v>0</v>
      </c>
      <c r="AG406" s="3" t="str">
        <f t="shared" si="16"/>
        <v/>
      </c>
      <c r="AH406" s="3">
        <f t="shared" si="17"/>
        <v>0</v>
      </c>
      <c r="AI406" s="3" t="str">
        <f t="shared" si="18"/>
        <v/>
      </c>
      <c r="AJ406" s="3">
        <f t="shared" si="19"/>
        <v>0</v>
      </c>
    </row>
    <row r="407">
      <c r="C407" s="6" t="s">
        <v>407</v>
      </c>
      <c r="D407" s="3">
        <f t="shared" si="1"/>
        <v>3</v>
      </c>
      <c r="E407" s="3" t="str">
        <f>IFERROR(__xludf.DUMMYFUNCTION("REGEXEXTRACT(C407,""[^ ]* [^ ]*"")"),"dotted tan")</f>
        <v>dotted tan</v>
      </c>
      <c r="F407" s="3" t="str">
        <f>IFERROR(__xludf.DUMMYFUNCTION("MID(REGEXEXTRACT(C407,""contain.*$""),9,300)"),"5 plaid chartreuse bags, 4 dotted coral bags, 4 posh green bags, 1 striped turquoise bag.")</f>
        <v>5 plaid chartreuse bags, 4 dotted coral bags, 4 posh green bags, 1 striped turquoise bag.</v>
      </c>
      <c r="G407" s="3" t="str">
        <f>IFERROR(__xludf.DUMMYFUNCTION("INDEX(SPLIT($F407,"",""),COLUMN()-6)"),"5 plaid chartreuse bags")</f>
        <v>5 plaid chartreuse bags</v>
      </c>
      <c r="H407" s="3" t="str">
        <f>IFERROR(__xludf.DUMMYFUNCTION("MID(INDEX(SPLIT($F407,"",""),COLUMN()-6),2,300)"),"4 dotted coral bags")</f>
        <v>4 dotted coral bags</v>
      </c>
      <c r="I407" s="3" t="str">
        <f>IFERROR(__xludf.DUMMYFUNCTION("MID(INDEX(SPLIT($F407,"",""),COLUMN()-6),2,300)"),"4 posh green bags")</f>
        <v>4 posh green bags</v>
      </c>
      <c r="J407" s="3" t="str">
        <f>IFERROR(__xludf.DUMMYFUNCTION("MID(INDEX(SPLIT($F407,"",""),COLUMN()-6),2,300)"),"1 striped turquoise bag.")</f>
        <v>1 striped turquoise bag.</v>
      </c>
      <c r="K407" s="3">
        <f>IFERROR(__xludf.DUMMYFUNCTION("INDEX(SPLIT(G407,"" ""),1)"),5.0)</f>
        <v>5</v>
      </c>
      <c r="L407" s="3" t="str">
        <f>IFERROR(__xludf.DUMMYFUNCTION("REGEXEXTRACT(G407,"" [^ ]* [^ ]* "")")," plaid chartreuse ")</f>
        <v> plaid chartreuse </v>
      </c>
      <c r="M407" s="3">
        <f>IFERROR(__xludf.DUMMYFUNCTION("INDEX(SPLIT(H407,"" ""),1)"),4.0)</f>
        <v>4</v>
      </c>
      <c r="N407" s="3" t="str">
        <f>IFERROR(__xludf.DUMMYFUNCTION("MID(REGEXEXTRACT(H407,"" [^ ]* [^ ]*""),2,300)"),"dotted coral")</f>
        <v>dotted coral</v>
      </c>
      <c r="O407" s="3">
        <f>IFERROR(__xludf.DUMMYFUNCTION("INDEX(SPLIT(I407,"" ""),1)"),4.0)</f>
        <v>4</v>
      </c>
      <c r="P407" s="3" t="str">
        <f>IFERROR(__xludf.DUMMYFUNCTION("MID(REGEXEXTRACT(I407,"" [^ ]* [^ ]*""),2,300)"),"posh green")</f>
        <v>posh green</v>
      </c>
      <c r="Q407" s="3">
        <f>IFERROR(__xludf.DUMMYFUNCTION("INDEX(SPLIT(J407,"" ""),1)"),1.0)</f>
        <v>1</v>
      </c>
      <c r="R407" s="3" t="str">
        <f>IFERROR(__xludf.DUMMYFUNCTION("MID(REGEXEXTRACT(J407,"" [^ ]* [^ ]*""),2,300)"),"striped turquoise")</f>
        <v>striped turquoise</v>
      </c>
      <c r="S407" s="3">
        <f t="shared" si="2"/>
        <v>5</v>
      </c>
      <c r="T407" s="3" t="str">
        <f t="shared" si="3"/>
        <v>plaid chartreuse</v>
      </c>
      <c r="U407" s="3">
        <f t="shared" si="4"/>
        <v>4</v>
      </c>
      <c r="V407" s="3" t="str">
        <f t="shared" si="5"/>
        <v>dotted coral</v>
      </c>
      <c r="W407" s="3">
        <f t="shared" si="6"/>
        <v>4</v>
      </c>
      <c r="X407" s="3" t="str">
        <f t="shared" si="7"/>
        <v>posh green</v>
      </c>
      <c r="Y407" s="3">
        <f t="shared" si="8"/>
        <v>1</v>
      </c>
      <c r="Z407" s="3" t="str">
        <f t="shared" si="9"/>
        <v>striped turquoise</v>
      </c>
      <c r="AA407" s="13">
        <f t="shared" si="10"/>
        <v>5517995297</v>
      </c>
      <c r="AB407" s="3">
        <f t="shared" si="11"/>
        <v>5517995296</v>
      </c>
      <c r="AC407" s="3">
        <f t="shared" si="12"/>
        <v>5</v>
      </c>
      <c r="AD407" s="3">
        <f t="shared" si="13"/>
        <v>199699352</v>
      </c>
      <c r="AE407" s="3">
        <f t="shared" si="14"/>
        <v>4</v>
      </c>
      <c r="AF407" s="3">
        <f t="shared" si="15"/>
        <v>10803</v>
      </c>
      <c r="AG407" s="3">
        <f t="shared" si="16"/>
        <v>4</v>
      </c>
      <c r="AH407" s="3">
        <f t="shared" si="17"/>
        <v>6367</v>
      </c>
      <c r="AI407" s="3">
        <f t="shared" si="18"/>
        <v>1</v>
      </c>
      <c r="AJ407" s="3">
        <f t="shared" si="19"/>
        <v>4519429856</v>
      </c>
    </row>
    <row r="408">
      <c r="C408" s="6" t="s">
        <v>408</v>
      </c>
      <c r="D408" s="3">
        <f t="shared" si="1"/>
        <v>1</v>
      </c>
      <c r="E408" s="3" t="str">
        <f>IFERROR(__xludf.DUMMYFUNCTION("REGEXEXTRACT(C408,""[^ ]* [^ ]*"")"),"plaid black")</f>
        <v>plaid black</v>
      </c>
      <c r="F408" s="3" t="str">
        <f>IFERROR(__xludf.DUMMYFUNCTION("MID(REGEXEXTRACT(C408,""contain.*$""),9,300)"),"2 drab salmon bags, 5 posh maroon bags.")</f>
        <v>2 drab salmon bags, 5 posh maroon bags.</v>
      </c>
      <c r="G408" s="3" t="str">
        <f>IFERROR(__xludf.DUMMYFUNCTION("INDEX(SPLIT($F408,"",""),COLUMN()-6)"),"2 drab salmon bags")</f>
        <v>2 drab salmon bags</v>
      </c>
      <c r="H408" s="3" t="str">
        <f>IFERROR(__xludf.DUMMYFUNCTION("MID(INDEX(SPLIT($F408,"",""),COLUMN()-6),2,300)"),"5 posh maroon bags.")</f>
        <v>5 posh maroon bags.</v>
      </c>
      <c r="I408" s="3" t="str">
        <f>IFERROR(__xludf.DUMMYFUNCTION("MID(INDEX(SPLIT($F408,"",""),COLUMN()-6),2,300)"),"#REF!")</f>
        <v>#REF!</v>
      </c>
      <c r="J408" s="3" t="str">
        <f>IFERROR(__xludf.DUMMYFUNCTION("MID(INDEX(SPLIT($F408,"",""),COLUMN()-6),2,300)"),"#REF!")</f>
        <v>#REF!</v>
      </c>
      <c r="K408" s="3">
        <f>IFERROR(__xludf.DUMMYFUNCTION("INDEX(SPLIT(G408,"" ""),1)"),2.0)</f>
        <v>2</v>
      </c>
      <c r="L408" s="3" t="str">
        <f>IFERROR(__xludf.DUMMYFUNCTION("REGEXEXTRACT(G408,"" [^ ]* [^ ]* "")")," drab salmon ")</f>
        <v> drab salmon </v>
      </c>
      <c r="M408" s="3">
        <f>IFERROR(__xludf.DUMMYFUNCTION("INDEX(SPLIT(H408,"" ""),1)"),5.0)</f>
        <v>5</v>
      </c>
      <c r="N408" s="3" t="str">
        <f>IFERROR(__xludf.DUMMYFUNCTION("MID(REGEXEXTRACT(H408,"" [^ ]* [^ ]*""),2,300)"),"posh maroon")</f>
        <v>posh maroon</v>
      </c>
      <c r="O408" s="3" t="str">
        <f>IFERROR(__xludf.DUMMYFUNCTION("INDEX(SPLIT(I408,"" ""),1)"),"#REF!")</f>
        <v>#REF!</v>
      </c>
      <c r="P408" s="3" t="str">
        <f>IFERROR(__xludf.DUMMYFUNCTION("MID(REGEXEXTRACT(I408,"" [^ ]* [^ ]*""),2,300)"),"#REF!")</f>
        <v>#REF!</v>
      </c>
      <c r="Q408" s="3" t="str">
        <f>IFERROR(__xludf.DUMMYFUNCTION("INDEX(SPLIT(J408,"" ""),1)"),"#REF!")</f>
        <v>#REF!</v>
      </c>
      <c r="R408" s="3" t="str">
        <f>IFERROR(__xludf.DUMMYFUNCTION("MID(REGEXEXTRACT(J408,"" [^ ]* [^ ]*""),2,300)"),"#REF!")</f>
        <v>#REF!</v>
      </c>
      <c r="S408" s="3">
        <f t="shared" si="2"/>
        <v>2</v>
      </c>
      <c r="T408" s="3" t="str">
        <f t="shared" si="3"/>
        <v>drab salmon</v>
      </c>
      <c r="U408" s="3">
        <f t="shared" si="4"/>
        <v>5</v>
      </c>
      <c r="V408" s="3" t="str">
        <f t="shared" si="5"/>
        <v>posh maroon</v>
      </c>
      <c r="W408" s="3" t="str">
        <f t="shared" si="6"/>
        <v/>
      </c>
      <c r="X408" s="3" t="str">
        <f t="shared" si="7"/>
        <v/>
      </c>
      <c r="Y408" s="3" t="str">
        <f t="shared" si="8"/>
        <v/>
      </c>
      <c r="Z408" s="3" t="str">
        <f t="shared" si="9"/>
        <v/>
      </c>
      <c r="AA408" s="13">
        <f t="shared" si="10"/>
        <v>134718206</v>
      </c>
      <c r="AB408" s="3">
        <f t="shared" si="11"/>
        <v>134718205</v>
      </c>
      <c r="AC408" s="3">
        <f t="shared" si="12"/>
        <v>2</v>
      </c>
      <c r="AD408" s="3">
        <f t="shared" si="13"/>
        <v>15045</v>
      </c>
      <c r="AE408" s="3">
        <f t="shared" si="14"/>
        <v>5</v>
      </c>
      <c r="AF408" s="3">
        <f t="shared" si="15"/>
        <v>26937623</v>
      </c>
      <c r="AG408" s="3" t="str">
        <f t="shared" si="16"/>
        <v/>
      </c>
      <c r="AH408" s="3">
        <f t="shared" si="17"/>
        <v>0</v>
      </c>
      <c r="AI408" s="3" t="str">
        <f t="shared" si="18"/>
        <v/>
      </c>
      <c r="AJ408" s="3">
        <f t="shared" si="19"/>
        <v>0</v>
      </c>
    </row>
    <row r="409">
      <c r="C409" s="6" t="s">
        <v>409</v>
      </c>
      <c r="D409" s="3">
        <f t="shared" si="1"/>
        <v>2</v>
      </c>
      <c r="E409" s="3" t="str">
        <f>IFERROR(__xludf.DUMMYFUNCTION("REGEXEXTRACT(C409,""[^ ]* [^ ]*"")"),"light cyan")</f>
        <v>light cyan</v>
      </c>
      <c r="F409" s="3" t="str">
        <f>IFERROR(__xludf.DUMMYFUNCTION("MID(REGEXEXTRACT(C409,""contain.*$""),9,300)"),"2 dotted orange bags, 5 drab green bags, 1 bright lavender bag.")</f>
        <v>2 dotted orange bags, 5 drab green bags, 1 bright lavender bag.</v>
      </c>
      <c r="G409" s="3" t="str">
        <f>IFERROR(__xludf.DUMMYFUNCTION("INDEX(SPLIT($F409,"",""),COLUMN()-6)"),"2 dotted orange bags")</f>
        <v>2 dotted orange bags</v>
      </c>
      <c r="H409" s="3" t="str">
        <f>IFERROR(__xludf.DUMMYFUNCTION("MID(INDEX(SPLIT($F409,"",""),COLUMN()-6),2,300)"),"5 drab green bags")</f>
        <v>5 drab green bags</v>
      </c>
      <c r="I409" s="3" t="str">
        <f>IFERROR(__xludf.DUMMYFUNCTION("MID(INDEX(SPLIT($F409,"",""),COLUMN()-6),2,300)"),"1 bright lavender bag.")</f>
        <v>1 bright lavender bag.</v>
      </c>
      <c r="J409" s="3" t="str">
        <f>IFERROR(__xludf.DUMMYFUNCTION("MID(INDEX(SPLIT($F409,"",""),COLUMN()-6),2,300)"),"#REF!")</f>
        <v>#REF!</v>
      </c>
      <c r="K409" s="3">
        <f>IFERROR(__xludf.DUMMYFUNCTION("INDEX(SPLIT(G409,"" ""),1)"),2.0)</f>
        <v>2</v>
      </c>
      <c r="L409" s="3" t="str">
        <f>IFERROR(__xludf.DUMMYFUNCTION("REGEXEXTRACT(G409,"" [^ ]* [^ ]* "")")," dotted orange ")</f>
        <v> dotted orange </v>
      </c>
      <c r="M409" s="3">
        <f>IFERROR(__xludf.DUMMYFUNCTION("INDEX(SPLIT(H409,"" ""),1)"),5.0)</f>
        <v>5</v>
      </c>
      <c r="N409" s="3" t="str">
        <f>IFERROR(__xludf.DUMMYFUNCTION("MID(REGEXEXTRACT(H409,"" [^ ]* [^ ]*""),2,300)"),"drab green")</f>
        <v>drab green</v>
      </c>
      <c r="O409" s="3">
        <f>IFERROR(__xludf.DUMMYFUNCTION("INDEX(SPLIT(I409,"" ""),1)"),1.0)</f>
        <v>1</v>
      </c>
      <c r="P409" s="3" t="str">
        <f>IFERROR(__xludf.DUMMYFUNCTION("MID(REGEXEXTRACT(I409,"" [^ ]* [^ ]*""),2,300)"),"bright lavender")</f>
        <v>bright lavender</v>
      </c>
      <c r="Q409" s="3" t="str">
        <f>IFERROR(__xludf.DUMMYFUNCTION("INDEX(SPLIT(J409,"" ""),1)"),"#REF!")</f>
        <v>#REF!</v>
      </c>
      <c r="R409" s="3" t="str">
        <f>IFERROR(__xludf.DUMMYFUNCTION("MID(REGEXEXTRACT(J409,"" [^ ]* [^ ]*""),2,300)"),"#REF!")</f>
        <v>#REF!</v>
      </c>
      <c r="S409" s="3">
        <f t="shared" si="2"/>
        <v>2</v>
      </c>
      <c r="T409" s="3" t="str">
        <f t="shared" si="3"/>
        <v>dotted orange</v>
      </c>
      <c r="U409" s="3">
        <f t="shared" si="4"/>
        <v>5</v>
      </c>
      <c r="V409" s="3" t="str">
        <f t="shared" si="5"/>
        <v>drab green</v>
      </c>
      <c r="W409" s="3">
        <f t="shared" si="6"/>
        <v>1</v>
      </c>
      <c r="X409" s="3" t="str">
        <f t="shared" si="7"/>
        <v>bright lavender</v>
      </c>
      <c r="Y409" s="3" t="str">
        <f t="shared" si="8"/>
        <v/>
      </c>
      <c r="Z409" s="3" t="str">
        <f t="shared" si="9"/>
        <v/>
      </c>
      <c r="AA409" s="13">
        <f t="shared" si="10"/>
        <v>3750</v>
      </c>
      <c r="AB409" s="3">
        <f t="shared" si="11"/>
        <v>3749</v>
      </c>
      <c r="AC409" s="3">
        <f t="shared" si="12"/>
        <v>2</v>
      </c>
      <c r="AD409" s="3">
        <f t="shared" si="13"/>
        <v>1780</v>
      </c>
      <c r="AE409" s="3">
        <f t="shared" si="14"/>
        <v>5</v>
      </c>
      <c r="AF409" s="3">
        <f t="shared" si="15"/>
        <v>5</v>
      </c>
      <c r="AG409" s="3">
        <f t="shared" si="16"/>
        <v>1</v>
      </c>
      <c r="AH409" s="3">
        <f t="shared" si="17"/>
        <v>164</v>
      </c>
      <c r="AI409" s="3" t="str">
        <f t="shared" si="18"/>
        <v/>
      </c>
      <c r="AJ409" s="3">
        <f t="shared" si="19"/>
        <v>0</v>
      </c>
    </row>
    <row r="410">
      <c r="C410" s="6" t="s">
        <v>410</v>
      </c>
      <c r="D410" s="3">
        <f t="shared" si="1"/>
        <v>3</v>
      </c>
      <c r="E410" s="3" t="str">
        <f>IFERROR(__xludf.DUMMYFUNCTION("REGEXEXTRACT(C410,""[^ ]* [^ ]*"")"),"dull fuchsia")</f>
        <v>dull fuchsia</v>
      </c>
      <c r="F410" s="3" t="str">
        <f>IFERROR(__xludf.DUMMYFUNCTION("MID(REGEXEXTRACT(C410,""contain.*$""),9,300)"),"2 posh red bags, 4 mirrored beige bags, 2 dull salmon bags, 4 striped purple bags.")</f>
        <v>2 posh red bags, 4 mirrored beige bags, 2 dull salmon bags, 4 striped purple bags.</v>
      </c>
      <c r="G410" s="3" t="str">
        <f>IFERROR(__xludf.DUMMYFUNCTION("INDEX(SPLIT($F410,"",""),COLUMN()-6)"),"2 posh red bags")</f>
        <v>2 posh red bags</v>
      </c>
      <c r="H410" s="3" t="str">
        <f>IFERROR(__xludf.DUMMYFUNCTION("MID(INDEX(SPLIT($F410,"",""),COLUMN()-6),2,300)"),"4 mirrored beige bags")</f>
        <v>4 mirrored beige bags</v>
      </c>
      <c r="I410" s="3" t="str">
        <f>IFERROR(__xludf.DUMMYFUNCTION("MID(INDEX(SPLIT($F410,"",""),COLUMN()-6),2,300)"),"2 dull salmon bags")</f>
        <v>2 dull salmon bags</v>
      </c>
      <c r="J410" s="3" t="str">
        <f>IFERROR(__xludf.DUMMYFUNCTION("MID(INDEX(SPLIT($F410,"",""),COLUMN()-6),2,300)"),"4 striped purple bags.")</f>
        <v>4 striped purple bags.</v>
      </c>
      <c r="K410" s="3">
        <f>IFERROR(__xludf.DUMMYFUNCTION("INDEX(SPLIT(G410,"" ""),1)"),2.0)</f>
        <v>2</v>
      </c>
      <c r="L410" s="3" t="str">
        <f>IFERROR(__xludf.DUMMYFUNCTION("REGEXEXTRACT(G410,"" [^ ]* [^ ]* "")")," posh red ")</f>
        <v> posh red </v>
      </c>
      <c r="M410" s="3">
        <f>IFERROR(__xludf.DUMMYFUNCTION("INDEX(SPLIT(H410,"" ""),1)"),4.0)</f>
        <v>4</v>
      </c>
      <c r="N410" s="3" t="str">
        <f>IFERROR(__xludf.DUMMYFUNCTION("MID(REGEXEXTRACT(H410,"" [^ ]* [^ ]*""),2,300)"),"mirrored beige")</f>
        <v>mirrored beige</v>
      </c>
      <c r="O410" s="3">
        <f>IFERROR(__xludf.DUMMYFUNCTION("INDEX(SPLIT(I410,"" ""),1)"),2.0)</f>
        <v>2</v>
      </c>
      <c r="P410" s="3" t="str">
        <f>IFERROR(__xludf.DUMMYFUNCTION("MID(REGEXEXTRACT(I410,"" [^ ]* [^ ]*""),2,300)"),"dull salmon")</f>
        <v>dull salmon</v>
      </c>
      <c r="Q410" s="3">
        <f>IFERROR(__xludf.DUMMYFUNCTION("INDEX(SPLIT(J410,"" ""),1)"),4.0)</f>
        <v>4</v>
      </c>
      <c r="R410" s="3" t="str">
        <f>IFERROR(__xludf.DUMMYFUNCTION("MID(REGEXEXTRACT(J410,"" [^ ]* [^ ]*""),2,300)"),"striped purple")</f>
        <v>striped purple</v>
      </c>
      <c r="S410" s="3">
        <f t="shared" si="2"/>
        <v>2</v>
      </c>
      <c r="T410" s="3" t="str">
        <f t="shared" si="3"/>
        <v>posh red</v>
      </c>
      <c r="U410" s="3">
        <f t="shared" si="4"/>
        <v>4</v>
      </c>
      <c r="V410" s="3" t="str">
        <f t="shared" si="5"/>
        <v>mirrored beige</v>
      </c>
      <c r="W410" s="3">
        <f t="shared" si="6"/>
        <v>2</v>
      </c>
      <c r="X410" s="3" t="str">
        <f t="shared" si="7"/>
        <v>dull salmon</v>
      </c>
      <c r="Y410" s="3">
        <f t="shared" si="8"/>
        <v>4</v>
      </c>
      <c r="Z410" s="3" t="str">
        <f t="shared" si="9"/>
        <v>striped purple</v>
      </c>
      <c r="AA410" s="13">
        <f t="shared" si="10"/>
        <v>395534963</v>
      </c>
      <c r="AB410" s="3">
        <f t="shared" si="11"/>
        <v>395534962</v>
      </c>
      <c r="AC410" s="3">
        <f t="shared" si="12"/>
        <v>2</v>
      </c>
      <c r="AD410" s="3">
        <f t="shared" si="13"/>
        <v>367934</v>
      </c>
      <c r="AE410" s="3">
        <f t="shared" si="14"/>
        <v>4</v>
      </c>
      <c r="AF410" s="3">
        <f t="shared" si="15"/>
        <v>598224</v>
      </c>
      <c r="AG410" s="3">
        <f t="shared" si="16"/>
        <v>2</v>
      </c>
      <c r="AH410" s="3">
        <f t="shared" si="17"/>
        <v>2893451</v>
      </c>
      <c r="AI410" s="3">
        <f t="shared" si="18"/>
        <v>4</v>
      </c>
      <c r="AJ410" s="3">
        <f t="shared" si="19"/>
        <v>96654824</v>
      </c>
    </row>
    <row r="411">
      <c r="C411" s="6" t="s">
        <v>411</v>
      </c>
      <c r="D411" s="3">
        <f t="shared" si="1"/>
        <v>3</v>
      </c>
      <c r="E411" s="3" t="str">
        <f>IFERROR(__xludf.DUMMYFUNCTION("REGEXEXTRACT(C411,""[^ ]* [^ ]*"")"),"dark turquoise")</f>
        <v>dark turquoise</v>
      </c>
      <c r="F411" s="3" t="str">
        <f>IFERROR(__xludf.DUMMYFUNCTION("MID(REGEXEXTRACT(C411,""contain.*$""),9,300)"),"4 drab tomato bags, 3 dotted chartreuse bags, 5 muted salmon bags, 4 posh magenta bags.")</f>
        <v>4 drab tomato bags, 3 dotted chartreuse bags, 5 muted salmon bags, 4 posh magenta bags.</v>
      </c>
      <c r="G411" s="3" t="str">
        <f>IFERROR(__xludf.DUMMYFUNCTION("INDEX(SPLIT($F411,"",""),COLUMN()-6)"),"4 drab tomato bags")</f>
        <v>4 drab tomato bags</v>
      </c>
      <c r="H411" s="3" t="str">
        <f>IFERROR(__xludf.DUMMYFUNCTION("MID(INDEX(SPLIT($F411,"",""),COLUMN()-6),2,300)"),"3 dotted chartreuse bags")</f>
        <v>3 dotted chartreuse bags</v>
      </c>
      <c r="I411" s="3" t="str">
        <f>IFERROR(__xludf.DUMMYFUNCTION("MID(INDEX(SPLIT($F411,"",""),COLUMN()-6),2,300)"),"5 muted salmon bags")</f>
        <v>5 muted salmon bags</v>
      </c>
      <c r="J411" s="3" t="str">
        <f>IFERROR(__xludf.DUMMYFUNCTION("MID(INDEX(SPLIT($F411,"",""),COLUMN()-6),2,300)"),"4 posh magenta bags.")</f>
        <v>4 posh magenta bags.</v>
      </c>
      <c r="K411" s="3">
        <f>IFERROR(__xludf.DUMMYFUNCTION("INDEX(SPLIT(G411,"" ""),1)"),4.0)</f>
        <v>4</v>
      </c>
      <c r="L411" s="3" t="str">
        <f>IFERROR(__xludf.DUMMYFUNCTION("REGEXEXTRACT(G411,"" [^ ]* [^ ]* "")")," drab tomato ")</f>
        <v> drab tomato </v>
      </c>
      <c r="M411" s="3">
        <f>IFERROR(__xludf.DUMMYFUNCTION("INDEX(SPLIT(H411,"" ""),1)"),3.0)</f>
        <v>3</v>
      </c>
      <c r="N411" s="3" t="str">
        <f>IFERROR(__xludf.DUMMYFUNCTION("MID(REGEXEXTRACT(H411,"" [^ ]* [^ ]*""),2,300)"),"dotted chartreuse")</f>
        <v>dotted chartreuse</v>
      </c>
      <c r="O411" s="3">
        <f>IFERROR(__xludf.DUMMYFUNCTION("INDEX(SPLIT(I411,"" ""),1)"),5.0)</f>
        <v>5</v>
      </c>
      <c r="P411" s="3" t="str">
        <f>IFERROR(__xludf.DUMMYFUNCTION("MID(REGEXEXTRACT(I411,"" [^ ]* [^ ]*""),2,300)"),"muted salmon")</f>
        <v>muted salmon</v>
      </c>
      <c r="Q411" s="3">
        <f>IFERROR(__xludf.DUMMYFUNCTION("INDEX(SPLIT(J411,"" ""),1)"),4.0)</f>
        <v>4</v>
      </c>
      <c r="R411" s="3" t="str">
        <f>IFERROR(__xludf.DUMMYFUNCTION("MID(REGEXEXTRACT(J411,"" [^ ]* [^ ]*""),2,300)"),"posh magenta")</f>
        <v>posh magenta</v>
      </c>
      <c r="S411" s="3">
        <f t="shared" si="2"/>
        <v>4</v>
      </c>
      <c r="T411" s="3" t="str">
        <f t="shared" si="3"/>
        <v>drab tomato</v>
      </c>
      <c r="U411" s="3">
        <f t="shared" si="4"/>
        <v>3</v>
      </c>
      <c r="V411" s="3" t="str">
        <f t="shared" si="5"/>
        <v>dotted chartreuse</v>
      </c>
      <c r="W411" s="3">
        <f t="shared" si="6"/>
        <v>5</v>
      </c>
      <c r="X411" s="3" t="str">
        <f t="shared" si="7"/>
        <v>muted salmon</v>
      </c>
      <c r="Y411" s="3">
        <f t="shared" si="8"/>
        <v>4</v>
      </c>
      <c r="Z411" s="3" t="str">
        <f t="shared" si="9"/>
        <v>posh magenta</v>
      </c>
      <c r="AA411" s="13">
        <f t="shared" si="10"/>
        <v>385699</v>
      </c>
      <c r="AB411" s="3">
        <f t="shared" si="11"/>
        <v>385698</v>
      </c>
      <c r="AC411" s="3">
        <f t="shared" si="12"/>
        <v>4</v>
      </c>
      <c r="AD411" s="3">
        <f t="shared" si="13"/>
        <v>38687</v>
      </c>
      <c r="AE411" s="3">
        <f t="shared" si="14"/>
        <v>3</v>
      </c>
      <c r="AF411" s="3">
        <f t="shared" si="15"/>
        <v>71962</v>
      </c>
      <c r="AG411" s="3">
        <f t="shared" si="16"/>
        <v>5</v>
      </c>
      <c r="AH411" s="3">
        <f t="shared" si="17"/>
        <v>3012</v>
      </c>
      <c r="AI411" s="3">
        <f t="shared" si="18"/>
        <v>4</v>
      </c>
      <c r="AJ411" s="3">
        <f t="shared" si="19"/>
        <v>1</v>
      </c>
    </row>
    <row r="412">
      <c r="C412" s="6" t="s">
        <v>412</v>
      </c>
      <c r="D412" s="3">
        <f t="shared" si="1"/>
        <v>3</v>
      </c>
      <c r="E412" s="3" t="str">
        <f>IFERROR(__xludf.DUMMYFUNCTION("REGEXEXTRACT(C412,""[^ ]* [^ ]*"")"),"vibrant silver")</f>
        <v>vibrant silver</v>
      </c>
      <c r="F412" s="3" t="str">
        <f>IFERROR(__xludf.DUMMYFUNCTION("MID(REGEXEXTRACT(C412,""contain.*$""),9,300)"),"3 dark brown bags, 2 wavy beige bags, 5 dull turquoise bags, 2 drab tan bags.")</f>
        <v>3 dark brown bags, 2 wavy beige bags, 5 dull turquoise bags, 2 drab tan bags.</v>
      </c>
      <c r="G412" s="3" t="str">
        <f>IFERROR(__xludf.DUMMYFUNCTION("INDEX(SPLIT($F412,"",""),COLUMN()-6)"),"3 dark brown bags")</f>
        <v>3 dark brown bags</v>
      </c>
      <c r="H412" s="3" t="str">
        <f>IFERROR(__xludf.DUMMYFUNCTION("MID(INDEX(SPLIT($F412,"",""),COLUMN()-6),2,300)"),"2 wavy beige bags")</f>
        <v>2 wavy beige bags</v>
      </c>
      <c r="I412" s="3" t="str">
        <f>IFERROR(__xludf.DUMMYFUNCTION("MID(INDEX(SPLIT($F412,"",""),COLUMN()-6),2,300)"),"5 dull turquoise bags")</f>
        <v>5 dull turquoise bags</v>
      </c>
      <c r="J412" s="3" t="str">
        <f>IFERROR(__xludf.DUMMYFUNCTION("MID(INDEX(SPLIT($F412,"",""),COLUMN()-6),2,300)"),"2 drab tan bags.")</f>
        <v>2 drab tan bags.</v>
      </c>
      <c r="K412" s="3">
        <f>IFERROR(__xludf.DUMMYFUNCTION("INDEX(SPLIT(G412,"" ""),1)"),3.0)</f>
        <v>3</v>
      </c>
      <c r="L412" s="3" t="str">
        <f>IFERROR(__xludf.DUMMYFUNCTION("REGEXEXTRACT(G412,"" [^ ]* [^ ]* "")")," dark brown ")</f>
        <v> dark brown </v>
      </c>
      <c r="M412" s="3">
        <f>IFERROR(__xludf.DUMMYFUNCTION("INDEX(SPLIT(H412,"" ""),1)"),2.0)</f>
        <v>2</v>
      </c>
      <c r="N412" s="3" t="str">
        <f>IFERROR(__xludf.DUMMYFUNCTION("MID(REGEXEXTRACT(H412,"" [^ ]* [^ ]*""),2,300)"),"wavy beige")</f>
        <v>wavy beige</v>
      </c>
      <c r="O412" s="3">
        <f>IFERROR(__xludf.DUMMYFUNCTION("INDEX(SPLIT(I412,"" ""),1)"),5.0)</f>
        <v>5</v>
      </c>
      <c r="P412" s="3" t="str">
        <f>IFERROR(__xludf.DUMMYFUNCTION("MID(REGEXEXTRACT(I412,"" [^ ]* [^ ]*""),2,300)"),"dull turquoise")</f>
        <v>dull turquoise</v>
      </c>
      <c r="Q412" s="3">
        <f>IFERROR(__xludf.DUMMYFUNCTION("INDEX(SPLIT(J412,"" ""),1)"),2.0)</f>
        <v>2</v>
      </c>
      <c r="R412" s="3" t="str">
        <f>IFERROR(__xludf.DUMMYFUNCTION("MID(REGEXEXTRACT(J412,"" [^ ]* [^ ]*""),2,300)"),"drab tan")</f>
        <v>drab tan</v>
      </c>
      <c r="S412" s="3">
        <f t="shared" si="2"/>
        <v>3</v>
      </c>
      <c r="T412" s="3" t="str">
        <f t="shared" si="3"/>
        <v>dark brown</v>
      </c>
      <c r="U412" s="3">
        <f t="shared" si="4"/>
        <v>2</v>
      </c>
      <c r="V412" s="3" t="str">
        <f t="shared" si="5"/>
        <v>wavy beige</v>
      </c>
      <c r="W412" s="3">
        <f t="shared" si="6"/>
        <v>5</v>
      </c>
      <c r="X412" s="3" t="str">
        <f t="shared" si="7"/>
        <v>dull turquoise</v>
      </c>
      <c r="Y412" s="3">
        <f t="shared" si="8"/>
        <v>2</v>
      </c>
      <c r="Z412" s="3" t="str">
        <f t="shared" si="9"/>
        <v>drab tan</v>
      </c>
      <c r="AA412" s="13">
        <f t="shared" si="10"/>
        <v>9408683</v>
      </c>
      <c r="AB412" s="3">
        <f t="shared" si="11"/>
        <v>9408682</v>
      </c>
      <c r="AC412" s="3">
        <f t="shared" si="12"/>
        <v>3</v>
      </c>
      <c r="AD412" s="3">
        <f t="shared" si="13"/>
        <v>134569</v>
      </c>
      <c r="AE412" s="3">
        <f t="shared" si="14"/>
        <v>2</v>
      </c>
      <c r="AF412" s="3">
        <f t="shared" si="15"/>
        <v>44878</v>
      </c>
      <c r="AG412" s="3">
        <f t="shared" si="16"/>
        <v>5</v>
      </c>
      <c r="AH412" s="3">
        <f t="shared" si="17"/>
        <v>346469</v>
      </c>
      <c r="AI412" s="3">
        <f t="shared" si="18"/>
        <v>2</v>
      </c>
      <c r="AJ412" s="3">
        <f t="shared" si="19"/>
        <v>3591437</v>
      </c>
    </row>
    <row r="413">
      <c r="C413" s="6" t="s">
        <v>413</v>
      </c>
      <c r="D413" s="3">
        <f t="shared" si="1"/>
        <v>3</v>
      </c>
      <c r="E413" s="3" t="str">
        <f>IFERROR(__xludf.DUMMYFUNCTION("REGEXEXTRACT(C413,""[^ ]* [^ ]*"")"),"dotted tomato")</f>
        <v>dotted tomato</v>
      </c>
      <c r="F413" s="3" t="str">
        <f>IFERROR(__xludf.DUMMYFUNCTION("MID(REGEXEXTRACT(C413,""contain.*$""),9,300)"),"3 drab tan bags, 2 striped magenta bags, 5 dim violet bags, 4 wavy tomato bags.")</f>
        <v>3 drab tan bags, 2 striped magenta bags, 5 dim violet bags, 4 wavy tomato bags.</v>
      </c>
      <c r="G413" s="3" t="str">
        <f>IFERROR(__xludf.DUMMYFUNCTION("INDEX(SPLIT($F413,"",""),COLUMN()-6)"),"3 drab tan bags")</f>
        <v>3 drab tan bags</v>
      </c>
      <c r="H413" s="3" t="str">
        <f>IFERROR(__xludf.DUMMYFUNCTION("MID(INDEX(SPLIT($F413,"",""),COLUMN()-6),2,300)"),"2 striped magenta bags")</f>
        <v>2 striped magenta bags</v>
      </c>
      <c r="I413" s="3" t="str">
        <f>IFERROR(__xludf.DUMMYFUNCTION("MID(INDEX(SPLIT($F413,"",""),COLUMN()-6),2,300)"),"5 dim violet bags")</f>
        <v>5 dim violet bags</v>
      </c>
      <c r="J413" s="3" t="str">
        <f>IFERROR(__xludf.DUMMYFUNCTION("MID(INDEX(SPLIT($F413,"",""),COLUMN()-6),2,300)"),"4 wavy tomato bags.")</f>
        <v>4 wavy tomato bags.</v>
      </c>
      <c r="K413" s="3">
        <f>IFERROR(__xludf.DUMMYFUNCTION("INDEX(SPLIT(G413,"" ""),1)"),3.0)</f>
        <v>3</v>
      </c>
      <c r="L413" s="3" t="str">
        <f>IFERROR(__xludf.DUMMYFUNCTION("REGEXEXTRACT(G413,"" [^ ]* [^ ]* "")")," drab tan ")</f>
        <v> drab tan </v>
      </c>
      <c r="M413" s="3">
        <f>IFERROR(__xludf.DUMMYFUNCTION("INDEX(SPLIT(H413,"" ""),1)"),2.0)</f>
        <v>2</v>
      </c>
      <c r="N413" s="3" t="str">
        <f>IFERROR(__xludf.DUMMYFUNCTION("MID(REGEXEXTRACT(H413,"" [^ ]* [^ ]*""),2,300)"),"striped magenta")</f>
        <v>striped magenta</v>
      </c>
      <c r="O413" s="3">
        <f>IFERROR(__xludf.DUMMYFUNCTION("INDEX(SPLIT(I413,"" ""),1)"),5.0)</f>
        <v>5</v>
      </c>
      <c r="P413" s="3" t="str">
        <f>IFERROR(__xludf.DUMMYFUNCTION("MID(REGEXEXTRACT(I413,"" [^ ]* [^ ]*""),2,300)"),"dim violet")</f>
        <v>dim violet</v>
      </c>
      <c r="Q413" s="3">
        <f>IFERROR(__xludf.DUMMYFUNCTION("INDEX(SPLIT(J413,"" ""),1)"),4.0)</f>
        <v>4</v>
      </c>
      <c r="R413" s="3" t="str">
        <f>IFERROR(__xludf.DUMMYFUNCTION("MID(REGEXEXTRACT(J413,"" [^ ]* [^ ]*""),2,300)"),"wavy tomato")</f>
        <v>wavy tomato</v>
      </c>
      <c r="S413" s="3">
        <f t="shared" si="2"/>
        <v>3</v>
      </c>
      <c r="T413" s="3" t="str">
        <f t="shared" si="3"/>
        <v>drab tan</v>
      </c>
      <c r="U413" s="3">
        <f t="shared" si="4"/>
        <v>2</v>
      </c>
      <c r="V413" s="3" t="str">
        <f t="shared" si="5"/>
        <v>striped magenta</v>
      </c>
      <c r="W413" s="3">
        <f t="shared" si="6"/>
        <v>5</v>
      </c>
      <c r="X413" s="3" t="str">
        <f t="shared" si="7"/>
        <v>dim violet</v>
      </c>
      <c r="Y413" s="3">
        <f t="shared" si="8"/>
        <v>4</v>
      </c>
      <c r="Z413" s="3" t="str">
        <f t="shared" si="9"/>
        <v>wavy tomato</v>
      </c>
      <c r="AA413" s="13">
        <f t="shared" si="10"/>
        <v>11056167</v>
      </c>
      <c r="AB413" s="3">
        <f t="shared" si="11"/>
        <v>11056166</v>
      </c>
      <c r="AC413" s="3">
        <f t="shared" si="12"/>
        <v>3</v>
      </c>
      <c r="AD413" s="3">
        <f t="shared" si="13"/>
        <v>3591437</v>
      </c>
      <c r="AE413" s="3">
        <f t="shared" si="14"/>
        <v>2</v>
      </c>
      <c r="AF413" s="3">
        <f t="shared" si="15"/>
        <v>140015</v>
      </c>
      <c r="AG413" s="3">
        <f t="shared" si="16"/>
        <v>5</v>
      </c>
      <c r="AH413" s="3">
        <f t="shared" si="17"/>
        <v>153</v>
      </c>
      <c r="AI413" s="3">
        <f t="shared" si="18"/>
        <v>4</v>
      </c>
      <c r="AJ413" s="3">
        <f t="shared" si="19"/>
        <v>265</v>
      </c>
    </row>
    <row r="414">
      <c r="C414" s="6" t="s">
        <v>414</v>
      </c>
      <c r="D414" s="3">
        <f t="shared" si="1"/>
        <v>3</v>
      </c>
      <c r="E414" s="3" t="str">
        <f>IFERROR(__xludf.DUMMYFUNCTION("REGEXEXTRACT(C414,""[^ ]* [^ ]*"")"),"vibrant white")</f>
        <v>vibrant white</v>
      </c>
      <c r="F414" s="3" t="str">
        <f>IFERROR(__xludf.DUMMYFUNCTION("MID(REGEXEXTRACT(C414,""contain.*$""),9,300)"),"5 bright crimson bags, 2 mirrored white bags, 5 mirrored indigo bags, 4 wavy teal bags.")</f>
        <v>5 bright crimson bags, 2 mirrored white bags, 5 mirrored indigo bags, 4 wavy teal bags.</v>
      </c>
      <c r="G414" s="3" t="str">
        <f>IFERROR(__xludf.DUMMYFUNCTION("INDEX(SPLIT($F414,"",""),COLUMN()-6)"),"5 bright crimson bags")</f>
        <v>5 bright crimson bags</v>
      </c>
      <c r="H414" s="3" t="str">
        <f>IFERROR(__xludf.DUMMYFUNCTION("MID(INDEX(SPLIT($F414,"",""),COLUMN()-6),2,300)"),"2 mirrored white bags")</f>
        <v>2 mirrored white bags</v>
      </c>
      <c r="I414" s="3" t="str">
        <f>IFERROR(__xludf.DUMMYFUNCTION("MID(INDEX(SPLIT($F414,"",""),COLUMN()-6),2,300)"),"5 mirrored indigo bags")</f>
        <v>5 mirrored indigo bags</v>
      </c>
      <c r="J414" s="3" t="str">
        <f>IFERROR(__xludf.DUMMYFUNCTION("MID(INDEX(SPLIT($F414,"",""),COLUMN()-6),2,300)"),"4 wavy teal bags.")</f>
        <v>4 wavy teal bags.</v>
      </c>
      <c r="K414" s="3">
        <f>IFERROR(__xludf.DUMMYFUNCTION("INDEX(SPLIT(G414,"" ""),1)"),5.0)</f>
        <v>5</v>
      </c>
      <c r="L414" s="3" t="str">
        <f>IFERROR(__xludf.DUMMYFUNCTION("REGEXEXTRACT(G414,"" [^ ]* [^ ]* "")")," bright crimson ")</f>
        <v> bright crimson </v>
      </c>
      <c r="M414" s="3">
        <f>IFERROR(__xludf.DUMMYFUNCTION("INDEX(SPLIT(H414,"" ""),1)"),2.0)</f>
        <v>2</v>
      </c>
      <c r="N414" s="3" t="str">
        <f>IFERROR(__xludf.DUMMYFUNCTION("MID(REGEXEXTRACT(H414,"" [^ ]* [^ ]*""),2,300)"),"mirrored white")</f>
        <v>mirrored white</v>
      </c>
      <c r="O414" s="3">
        <f>IFERROR(__xludf.DUMMYFUNCTION("INDEX(SPLIT(I414,"" ""),1)"),5.0)</f>
        <v>5</v>
      </c>
      <c r="P414" s="3" t="str">
        <f>IFERROR(__xludf.DUMMYFUNCTION("MID(REGEXEXTRACT(I414,"" [^ ]* [^ ]*""),2,300)"),"mirrored indigo")</f>
        <v>mirrored indigo</v>
      </c>
      <c r="Q414" s="3">
        <f>IFERROR(__xludf.DUMMYFUNCTION("INDEX(SPLIT(J414,"" ""),1)"),4.0)</f>
        <v>4</v>
      </c>
      <c r="R414" s="3" t="str">
        <f>IFERROR(__xludf.DUMMYFUNCTION("MID(REGEXEXTRACT(J414,"" [^ ]* [^ ]*""),2,300)"),"wavy teal")</f>
        <v>wavy teal</v>
      </c>
      <c r="S414" s="3">
        <f t="shared" si="2"/>
        <v>5</v>
      </c>
      <c r="T414" s="3" t="str">
        <f t="shared" si="3"/>
        <v>bright crimson</v>
      </c>
      <c r="U414" s="3">
        <f t="shared" si="4"/>
        <v>2</v>
      </c>
      <c r="V414" s="3" t="str">
        <f t="shared" si="5"/>
        <v>mirrored white</v>
      </c>
      <c r="W414" s="3">
        <f t="shared" si="6"/>
        <v>5</v>
      </c>
      <c r="X414" s="3" t="str">
        <f t="shared" si="7"/>
        <v>mirrored indigo</v>
      </c>
      <c r="Y414" s="3">
        <f t="shared" si="8"/>
        <v>4</v>
      </c>
      <c r="Z414" s="3" t="str">
        <f t="shared" si="9"/>
        <v>wavy teal</v>
      </c>
      <c r="AA414" s="13">
        <f t="shared" si="10"/>
        <v>1249859</v>
      </c>
      <c r="AB414" s="3">
        <f t="shared" si="11"/>
        <v>1249858</v>
      </c>
      <c r="AC414" s="3">
        <f t="shared" si="12"/>
        <v>5</v>
      </c>
      <c r="AD414" s="3">
        <f t="shared" si="13"/>
        <v>773</v>
      </c>
      <c r="AE414" s="3">
        <f t="shared" si="14"/>
        <v>2</v>
      </c>
      <c r="AF414" s="3">
        <f t="shared" si="15"/>
        <v>319</v>
      </c>
      <c r="AG414" s="3">
        <f t="shared" si="16"/>
        <v>5</v>
      </c>
      <c r="AH414" s="3">
        <f t="shared" si="17"/>
        <v>181271</v>
      </c>
      <c r="AI414" s="3">
        <f t="shared" si="18"/>
        <v>4</v>
      </c>
      <c r="AJ414" s="3">
        <f t="shared" si="19"/>
        <v>84750</v>
      </c>
    </row>
    <row r="415">
      <c r="C415" s="6" t="s">
        <v>415</v>
      </c>
      <c r="D415" s="3">
        <f t="shared" si="1"/>
        <v>0</v>
      </c>
      <c r="E415" s="3" t="str">
        <f>IFERROR(__xludf.DUMMYFUNCTION("REGEXEXTRACT(C415,""[^ ]* [^ ]*"")"),"shiny fuchsia")</f>
        <v>shiny fuchsia</v>
      </c>
      <c r="F415" s="3" t="str">
        <f>IFERROR(__xludf.DUMMYFUNCTION("MID(REGEXEXTRACT(C415,""contain.*$""),9,300)"),"1 pale lime bag.")</f>
        <v>1 pale lime bag.</v>
      </c>
      <c r="G415" s="3" t="str">
        <f>IFERROR(__xludf.DUMMYFUNCTION("INDEX(SPLIT($F415,"",""),COLUMN()-6)"),"1 pale lime bag.")</f>
        <v>1 pale lime bag.</v>
      </c>
      <c r="H415" s="3" t="str">
        <f>IFERROR(__xludf.DUMMYFUNCTION("MID(INDEX(SPLIT($F415,"",""),COLUMN()-6),2,300)"),"#REF!")</f>
        <v>#REF!</v>
      </c>
      <c r="I415" s="3" t="str">
        <f>IFERROR(__xludf.DUMMYFUNCTION("MID(INDEX(SPLIT($F415,"",""),COLUMN()-6),2,300)"),"#REF!")</f>
        <v>#REF!</v>
      </c>
      <c r="J415" s="3" t="str">
        <f>IFERROR(__xludf.DUMMYFUNCTION("MID(INDEX(SPLIT($F415,"",""),COLUMN()-6),2,300)"),"#REF!")</f>
        <v>#REF!</v>
      </c>
      <c r="K415" s="3">
        <f>IFERROR(__xludf.DUMMYFUNCTION("INDEX(SPLIT(G415,"" ""),1)"),1.0)</f>
        <v>1</v>
      </c>
      <c r="L415" s="3" t="str">
        <f>IFERROR(__xludf.DUMMYFUNCTION("REGEXEXTRACT(G415,"" [^ ]* [^ ]* "")")," pale lime ")</f>
        <v> pale lime </v>
      </c>
      <c r="M415" s="3" t="str">
        <f>IFERROR(__xludf.DUMMYFUNCTION("INDEX(SPLIT(H415,"" ""),1)"),"#REF!")</f>
        <v>#REF!</v>
      </c>
      <c r="N415" s="3" t="str">
        <f>IFERROR(__xludf.DUMMYFUNCTION("MID(REGEXEXTRACT(H415,"" [^ ]* [^ ]*""),2,300)"),"#REF!")</f>
        <v>#REF!</v>
      </c>
      <c r="O415" s="3" t="str">
        <f>IFERROR(__xludf.DUMMYFUNCTION("INDEX(SPLIT(I415,"" ""),1)"),"#REF!")</f>
        <v>#REF!</v>
      </c>
      <c r="P415" s="3" t="str">
        <f>IFERROR(__xludf.DUMMYFUNCTION("MID(REGEXEXTRACT(I415,"" [^ ]* [^ ]*""),2,300)"),"#REF!")</f>
        <v>#REF!</v>
      </c>
      <c r="Q415" s="3" t="str">
        <f>IFERROR(__xludf.DUMMYFUNCTION("INDEX(SPLIT(J415,"" ""),1)"),"#REF!")</f>
        <v>#REF!</v>
      </c>
      <c r="R415" s="3" t="str">
        <f>IFERROR(__xludf.DUMMYFUNCTION("MID(REGEXEXTRACT(J415,"" [^ ]* [^ ]*""),2,300)"),"#REF!")</f>
        <v>#REF!</v>
      </c>
      <c r="S415" s="3">
        <f t="shared" si="2"/>
        <v>1</v>
      </c>
      <c r="T415" s="3" t="str">
        <f t="shared" si="3"/>
        <v>pale lime</v>
      </c>
      <c r="U415" s="3" t="str">
        <f t="shared" si="4"/>
        <v/>
      </c>
      <c r="V415" s="3" t="str">
        <f t="shared" si="5"/>
        <v/>
      </c>
      <c r="W415" s="3" t="str">
        <f t="shared" si="6"/>
        <v/>
      </c>
      <c r="X415" s="3" t="str">
        <f t="shared" si="7"/>
        <v/>
      </c>
      <c r="Y415" s="3" t="str">
        <f t="shared" si="8"/>
        <v/>
      </c>
      <c r="Z415" s="3" t="str">
        <f t="shared" si="9"/>
        <v/>
      </c>
      <c r="AA415" s="13">
        <f t="shared" si="10"/>
        <v>5334</v>
      </c>
      <c r="AB415" s="3">
        <f t="shared" si="11"/>
        <v>5333</v>
      </c>
      <c r="AC415" s="3">
        <f t="shared" si="12"/>
        <v>1</v>
      </c>
      <c r="AD415" s="3">
        <f t="shared" si="13"/>
        <v>5333</v>
      </c>
      <c r="AE415" s="3" t="str">
        <f t="shared" si="14"/>
        <v/>
      </c>
      <c r="AF415" s="3">
        <f t="shared" si="15"/>
        <v>0</v>
      </c>
      <c r="AG415" s="3" t="str">
        <f t="shared" si="16"/>
        <v/>
      </c>
      <c r="AH415" s="3">
        <f t="shared" si="17"/>
        <v>0</v>
      </c>
      <c r="AI415" s="3" t="str">
        <f t="shared" si="18"/>
        <v/>
      </c>
      <c r="AJ415" s="3">
        <f t="shared" si="19"/>
        <v>0</v>
      </c>
    </row>
    <row r="416">
      <c r="C416" s="6" t="s">
        <v>416</v>
      </c>
      <c r="D416" s="3">
        <f t="shared" si="1"/>
        <v>0</v>
      </c>
      <c r="E416" s="3" t="str">
        <f>IFERROR(__xludf.DUMMYFUNCTION("REGEXEXTRACT(C416,""[^ ]* [^ ]*"")"),"wavy fuchsia")</f>
        <v>wavy fuchsia</v>
      </c>
      <c r="F416" s="3" t="str">
        <f>IFERROR(__xludf.DUMMYFUNCTION("MID(REGEXEXTRACT(C416,""contain.*$""),9,300)"),"4 clear cyan bags.")</f>
        <v>4 clear cyan bags.</v>
      </c>
      <c r="G416" s="3" t="str">
        <f>IFERROR(__xludf.DUMMYFUNCTION("INDEX(SPLIT($F416,"",""),COLUMN()-6)"),"4 clear cyan bags.")</f>
        <v>4 clear cyan bags.</v>
      </c>
      <c r="H416" s="3" t="str">
        <f>IFERROR(__xludf.DUMMYFUNCTION("MID(INDEX(SPLIT($F416,"",""),COLUMN()-6),2,300)"),"#REF!")</f>
        <v>#REF!</v>
      </c>
      <c r="I416" s="3" t="str">
        <f>IFERROR(__xludf.DUMMYFUNCTION("MID(INDEX(SPLIT($F416,"",""),COLUMN()-6),2,300)"),"#REF!")</f>
        <v>#REF!</v>
      </c>
      <c r="J416" s="3" t="str">
        <f>IFERROR(__xludf.DUMMYFUNCTION("MID(INDEX(SPLIT($F416,"",""),COLUMN()-6),2,300)"),"#REF!")</f>
        <v>#REF!</v>
      </c>
      <c r="K416" s="3">
        <f>IFERROR(__xludf.DUMMYFUNCTION("INDEX(SPLIT(G416,"" ""),1)"),4.0)</f>
        <v>4</v>
      </c>
      <c r="L416" s="3" t="str">
        <f>IFERROR(__xludf.DUMMYFUNCTION("REGEXEXTRACT(G416,"" [^ ]* [^ ]* "")")," clear cyan ")</f>
        <v> clear cyan </v>
      </c>
      <c r="M416" s="3" t="str">
        <f>IFERROR(__xludf.DUMMYFUNCTION("INDEX(SPLIT(H416,"" ""),1)"),"#REF!")</f>
        <v>#REF!</v>
      </c>
      <c r="N416" s="3" t="str">
        <f>IFERROR(__xludf.DUMMYFUNCTION("MID(REGEXEXTRACT(H416,"" [^ ]* [^ ]*""),2,300)"),"#REF!")</f>
        <v>#REF!</v>
      </c>
      <c r="O416" s="3" t="str">
        <f>IFERROR(__xludf.DUMMYFUNCTION("INDEX(SPLIT(I416,"" ""),1)"),"#REF!")</f>
        <v>#REF!</v>
      </c>
      <c r="P416" s="3" t="str">
        <f>IFERROR(__xludf.DUMMYFUNCTION("MID(REGEXEXTRACT(I416,"" [^ ]* [^ ]*""),2,300)"),"#REF!")</f>
        <v>#REF!</v>
      </c>
      <c r="Q416" s="3" t="str">
        <f>IFERROR(__xludf.DUMMYFUNCTION("INDEX(SPLIT(J416,"" ""),1)"),"#REF!")</f>
        <v>#REF!</v>
      </c>
      <c r="R416" s="3" t="str">
        <f>IFERROR(__xludf.DUMMYFUNCTION("MID(REGEXEXTRACT(J416,"" [^ ]* [^ ]*""),2,300)"),"#REF!")</f>
        <v>#REF!</v>
      </c>
      <c r="S416" s="3">
        <f t="shared" si="2"/>
        <v>4</v>
      </c>
      <c r="T416" s="3" t="str">
        <f t="shared" si="3"/>
        <v>clear cyan</v>
      </c>
      <c r="U416" s="3" t="str">
        <f t="shared" si="4"/>
        <v/>
      </c>
      <c r="V416" s="3" t="str">
        <f t="shared" si="5"/>
        <v/>
      </c>
      <c r="W416" s="3" t="str">
        <f t="shared" si="6"/>
        <v/>
      </c>
      <c r="X416" s="3" t="str">
        <f t="shared" si="7"/>
        <v/>
      </c>
      <c r="Y416" s="3" t="str">
        <f t="shared" si="8"/>
        <v/>
      </c>
      <c r="Z416" s="3" t="str">
        <f t="shared" si="9"/>
        <v/>
      </c>
      <c r="AA416" s="13">
        <f t="shared" si="10"/>
        <v>3596221</v>
      </c>
      <c r="AB416" s="3">
        <f t="shared" si="11"/>
        <v>3596220</v>
      </c>
      <c r="AC416" s="3">
        <f t="shared" si="12"/>
        <v>4</v>
      </c>
      <c r="AD416" s="3">
        <f t="shared" si="13"/>
        <v>899055</v>
      </c>
      <c r="AE416" s="3" t="str">
        <f t="shared" si="14"/>
        <v/>
      </c>
      <c r="AF416" s="3">
        <f t="shared" si="15"/>
        <v>0</v>
      </c>
      <c r="AG416" s="3" t="str">
        <f t="shared" si="16"/>
        <v/>
      </c>
      <c r="AH416" s="3">
        <f t="shared" si="17"/>
        <v>0</v>
      </c>
      <c r="AI416" s="3" t="str">
        <f t="shared" si="18"/>
        <v/>
      </c>
      <c r="AJ416" s="3">
        <f t="shared" si="19"/>
        <v>0</v>
      </c>
    </row>
    <row r="417">
      <c r="C417" s="6" t="s">
        <v>417</v>
      </c>
      <c r="D417" s="3">
        <f t="shared" si="1"/>
        <v>1</v>
      </c>
      <c r="E417" s="3" t="str">
        <f>IFERROR(__xludf.DUMMYFUNCTION("REGEXEXTRACT(C417,""[^ ]* [^ ]*"")"),"dotted gray")</f>
        <v>dotted gray</v>
      </c>
      <c r="F417" s="3" t="str">
        <f>IFERROR(__xludf.DUMMYFUNCTION("MID(REGEXEXTRACT(C417,""contain.*$""),9,300)"),"3 striped chartreuse bags, 1 dark fuchsia bag.")</f>
        <v>3 striped chartreuse bags, 1 dark fuchsia bag.</v>
      </c>
      <c r="G417" s="3" t="str">
        <f>IFERROR(__xludf.DUMMYFUNCTION("INDEX(SPLIT($F417,"",""),COLUMN()-6)"),"3 striped chartreuse bags")</f>
        <v>3 striped chartreuse bags</v>
      </c>
      <c r="H417" s="3" t="str">
        <f>IFERROR(__xludf.DUMMYFUNCTION("MID(INDEX(SPLIT($F417,"",""),COLUMN()-6),2,300)"),"1 dark fuchsia bag.")</f>
        <v>1 dark fuchsia bag.</v>
      </c>
      <c r="I417" s="3" t="str">
        <f>IFERROR(__xludf.DUMMYFUNCTION("MID(INDEX(SPLIT($F417,"",""),COLUMN()-6),2,300)"),"#REF!")</f>
        <v>#REF!</v>
      </c>
      <c r="J417" s="3" t="str">
        <f>IFERROR(__xludf.DUMMYFUNCTION("MID(INDEX(SPLIT($F417,"",""),COLUMN()-6),2,300)"),"#REF!")</f>
        <v>#REF!</v>
      </c>
      <c r="K417" s="3">
        <f>IFERROR(__xludf.DUMMYFUNCTION("INDEX(SPLIT(G417,"" ""),1)"),3.0)</f>
        <v>3</v>
      </c>
      <c r="L417" s="3" t="str">
        <f>IFERROR(__xludf.DUMMYFUNCTION("REGEXEXTRACT(G417,"" [^ ]* [^ ]* "")")," striped chartreuse ")</f>
        <v> striped chartreuse </v>
      </c>
      <c r="M417" s="3">
        <f>IFERROR(__xludf.DUMMYFUNCTION("INDEX(SPLIT(H417,"" ""),1)"),1.0)</f>
        <v>1</v>
      </c>
      <c r="N417" s="3" t="str">
        <f>IFERROR(__xludf.DUMMYFUNCTION("MID(REGEXEXTRACT(H417,"" [^ ]* [^ ]*""),2,300)"),"dark fuchsia")</f>
        <v>dark fuchsia</v>
      </c>
      <c r="O417" s="3" t="str">
        <f>IFERROR(__xludf.DUMMYFUNCTION("INDEX(SPLIT(I417,"" ""),1)"),"#REF!")</f>
        <v>#REF!</v>
      </c>
      <c r="P417" s="3" t="str">
        <f>IFERROR(__xludf.DUMMYFUNCTION("MID(REGEXEXTRACT(I417,"" [^ ]* [^ ]*""),2,300)"),"#REF!")</f>
        <v>#REF!</v>
      </c>
      <c r="Q417" s="3" t="str">
        <f>IFERROR(__xludf.DUMMYFUNCTION("INDEX(SPLIT(J417,"" ""),1)"),"#REF!")</f>
        <v>#REF!</v>
      </c>
      <c r="R417" s="3" t="str">
        <f>IFERROR(__xludf.DUMMYFUNCTION("MID(REGEXEXTRACT(J417,"" [^ ]* [^ ]*""),2,300)"),"#REF!")</f>
        <v>#REF!</v>
      </c>
      <c r="S417" s="3">
        <f t="shared" si="2"/>
        <v>3</v>
      </c>
      <c r="T417" s="3" t="str">
        <f t="shared" si="3"/>
        <v>striped chartreuse</v>
      </c>
      <c r="U417" s="3">
        <f t="shared" si="4"/>
        <v>1</v>
      </c>
      <c r="V417" s="3" t="str">
        <f t="shared" si="5"/>
        <v>dark fuchsia</v>
      </c>
      <c r="W417" s="3" t="str">
        <f t="shared" si="6"/>
        <v/>
      </c>
      <c r="X417" s="3" t="str">
        <f t="shared" si="7"/>
        <v/>
      </c>
      <c r="Y417" s="3" t="str">
        <f t="shared" si="8"/>
        <v/>
      </c>
      <c r="Z417" s="3" t="str">
        <f t="shared" si="9"/>
        <v/>
      </c>
      <c r="AA417" s="13">
        <f t="shared" si="10"/>
        <v>953436</v>
      </c>
      <c r="AB417" s="3">
        <f t="shared" si="11"/>
        <v>953435</v>
      </c>
      <c r="AC417" s="3">
        <f t="shared" si="12"/>
        <v>3</v>
      </c>
      <c r="AD417" s="3">
        <f t="shared" si="13"/>
        <v>4053</v>
      </c>
      <c r="AE417" s="3">
        <f t="shared" si="14"/>
        <v>1</v>
      </c>
      <c r="AF417" s="3">
        <f t="shared" si="15"/>
        <v>941276</v>
      </c>
      <c r="AG417" s="3" t="str">
        <f t="shared" si="16"/>
        <v/>
      </c>
      <c r="AH417" s="3">
        <f t="shared" si="17"/>
        <v>0</v>
      </c>
      <c r="AI417" s="3" t="str">
        <f t="shared" si="18"/>
        <v/>
      </c>
      <c r="AJ417" s="3">
        <f t="shared" si="19"/>
        <v>0</v>
      </c>
    </row>
    <row r="418">
      <c r="C418" s="6" t="s">
        <v>418</v>
      </c>
      <c r="D418" s="3">
        <f t="shared" si="1"/>
        <v>3</v>
      </c>
      <c r="E418" s="3" t="str">
        <f>IFERROR(__xludf.DUMMYFUNCTION("REGEXEXTRACT(C418,""[^ ]* [^ ]*"")"),"bright tomato")</f>
        <v>bright tomato</v>
      </c>
      <c r="F418" s="3" t="str">
        <f>IFERROR(__xludf.DUMMYFUNCTION("MID(REGEXEXTRACT(C418,""contain.*$""),9,300)"),"4 wavy orange bags, 2 dotted salmon bags, 1 striped gray bag, 3 pale tomato bags.")</f>
        <v>4 wavy orange bags, 2 dotted salmon bags, 1 striped gray bag, 3 pale tomato bags.</v>
      </c>
      <c r="G418" s="3" t="str">
        <f>IFERROR(__xludf.DUMMYFUNCTION("INDEX(SPLIT($F418,"",""),COLUMN()-6)"),"4 wavy orange bags")</f>
        <v>4 wavy orange bags</v>
      </c>
      <c r="H418" s="3" t="str">
        <f>IFERROR(__xludf.DUMMYFUNCTION("MID(INDEX(SPLIT($F418,"",""),COLUMN()-6),2,300)"),"2 dotted salmon bags")</f>
        <v>2 dotted salmon bags</v>
      </c>
      <c r="I418" s="3" t="str">
        <f>IFERROR(__xludf.DUMMYFUNCTION("MID(INDEX(SPLIT($F418,"",""),COLUMN()-6),2,300)"),"1 striped gray bag")</f>
        <v>1 striped gray bag</v>
      </c>
      <c r="J418" s="3" t="str">
        <f>IFERROR(__xludf.DUMMYFUNCTION("MID(INDEX(SPLIT($F418,"",""),COLUMN()-6),2,300)"),"3 pale tomato bags.")</f>
        <v>3 pale tomato bags.</v>
      </c>
      <c r="K418" s="3">
        <f>IFERROR(__xludf.DUMMYFUNCTION("INDEX(SPLIT(G418,"" ""),1)"),4.0)</f>
        <v>4</v>
      </c>
      <c r="L418" s="3" t="str">
        <f>IFERROR(__xludf.DUMMYFUNCTION("REGEXEXTRACT(G418,"" [^ ]* [^ ]* "")")," wavy orange ")</f>
        <v> wavy orange </v>
      </c>
      <c r="M418" s="3">
        <f>IFERROR(__xludf.DUMMYFUNCTION("INDEX(SPLIT(H418,"" ""),1)"),2.0)</f>
        <v>2</v>
      </c>
      <c r="N418" s="3" t="str">
        <f>IFERROR(__xludf.DUMMYFUNCTION("MID(REGEXEXTRACT(H418,"" [^ ]* [^ ]*""),2,300)"),"dotted salmon")</f>
        <v>dotted salmon</v>
      </c>
      <c r="O418" s="3">
        <f>IFERROR(__xludf.DUMMYFUNCTION("INDEX(SPLIT(I418,"" ""),1)"),1.0)</f>
        <v>1</v>
      </c>
      <c r="P418" s="3" t="str">
        <f>IFERROR(__xludf.DUMMYFUNCTION("MID(REGEXEXTRACT(I418,"" [^ ]* [^ ]*""),2,300)"),"striped gray")</f>
        <v>striped gray</v>
      </c>
      <c r="Q418" s="3">
        <f>IFERROR(__xludf.DUMMYFUNCTION("INDEX(SPLIT(J418,"" ""),1)"),3.0)</f>
        <v>3</v>
      </c>
      <c r="R418" s="3" t="str">
        <f>IFERROR(__xludf.DUMMYFUNCTION("MID(REGEXEXTRACT(J418,"" [^ ]* [^ ]*""),2,300)"),"pale tomato")</f>
        <v>pale tomato</v>
      </c>
      <c r="S418" s="3">
        <f t="shared" si="2"/>
        <v>4</v>
      </c>
      <c r="T418" s="3" t="str">
        <f t="shared" si="3"/>
        <v>wavy orange</v>
      </c>
      <c r="U418" s="3">
        <f t="shared" si="4"/>
        <v>2</v>
      </c>
      <c r="V418" s="3" t="str">
        <f t="shared" si="5"/>
        <v>dotted salmon</v>
      </c>
      <c r="W418" s="3">
        <f t="shared" si="6"/>
        <v>1</v>
      </c>
      <c r="X418" s="3" t="str">
        <f t="shared" si="7"/>
        <v>striped gray</v>
      </c>
      <c r="Y418" s="3">
        <f t="shared" si="8"/>
        <v>3</v>
      </c>
      <c r="Z418" s="3" t="str">
        <f t="shared" si="9"/>
        <v>pale tomato</v>
      </c>
      <c r="AA418" s="13">
        <f t="shared" si="10"/>
        <v>30973004</v>
      </c>
      <c r="AB418" s="3">
        <f t="shared" si="11"/>
        <v>30973003</v>
      </c>
      <c r="AC418" s="3">
        <f t="shared" si="12"/>
        <v>4</v>
      </c>
      <c r="AD418" s="3">
        <f t="shared" si="13"/>
        <v>7433534</v>
      </c>
      <c r="AE418" s="3">
        <f t="shared" si="14"/>
        <v>2</v>
      </c>
      <c r="AF418" s="3">
        <f t="shared" si="15"/>
        <v>97296</v>
      </c>
      <c r="AG418" s="3">
        <f t="shared" si="16"/>
        <v>1</v>
      </c>
      <c r="AH418" s="3">
        <f t="shared" si="17"/>
        <v>203468</v>
      </c>
      <c r="AI418" s="3">
        <f t="shared" si="18"/>
        <v>3</v>
      </c>
      <c r="AJ418" s="3">
        <f t="shared" si="19"/>
        <v>280269</v>
      </c>
    </row>
    <row r="419">
      <c r="C419" s="6" t="s">
        <v>419</v>
      </c>
      <c r="D419" s="3">
        <f t="shared" si="1"/>
        <v>0</v>
      </c>
      <c r="E419" s="3" t="str">
        <f>IFERROR(__xludf.DUMMYFUNCTION("REGEXEXTRACT(C419,""[^ ]* [^ ]*"")"),"clear chartreuse")</f>
        <v>clear chartreuse</v>
      </c>
      <c r="F419" s="3" t="str">
        <f>IFERROR(__xludf.DUMMYFUNCTION("MID(REGEXEXTRACT(C419,""contain.*$""),9,300)"),"3 clear purple bags.")</f>
        <v>3 clear purple bags.</v>
      </c>
      <c r="G419" s="3" t="str">
        <f>IFERROR(__xludf.DUMMYFUNCTION("INDEX(SPLIT($F419,"",""),COLUMN()-6)"),"3 clear purple bags.")</f>
        <v>3 clear purple bags.</v>
      </c>
      <c r="H419" s="3" t="str">
        <f>IFERROR(__xludf.DUMMYFUNCTION("MID(INDEX(SPLIT($F419,"",""),COLUMN()-6),2,300)"),"#REF!")</f>
        <v>#REF!</v>
      </c>
      <c r="I419" s="3" t="str">
        <f>IFERROR(__xludf.DUMMYFUNCTION("MID(INDEX(SPLIT($F419,"",""),COLUMN()-6),2,300)"),"#REF!")</f>
        <v>#REF!</v>
      </c>
      <c r="J419" s="3" t="str">
        <f>IFERROR(__xludf.DUMMYFUNCTION("MID(INDEX(SPLIT($F419,"",""),COLUMN()-6),2,300)"),"#REF!")</f>
        <v>#REF!</v>
      </c>
      <c r="K419" s="3">
        <f>IFERROR(__xludf.DUMMYFUNCTION("INDEX(SPLIT(G419,"" ""),1)"),3.0)</f>
        <v>3</v>
      </c>
      <c r="L419" s="3" t="str">
        <f>IFERROR(__xludf.DUMMYFUNCTION("REGEXEXTRACT(G419,"" [^ ]* [^ ]* "")")," clear purple ")</f>
        <v> clear purple </v>
      </c>
      <c r="M419" s="3" t="str">
        <f>IFERROR(__xludf.DUMMYFUNCTION("INDEX(SPLIT(H419,"" ""),1)"),"#REF!")</f>
        <v>#REF!</v>
      </c>
      <c r="N419" s="3" t="str">
        <f>IFERROR(__xludf.DUMMYFUNCTION("MID(REGEXEXTRACT(H419,"" [^ ]* [^ ]*""),2,300)"),"#REF!")</f>
        <v>#REF!</v>
      </c>
      <c r="O419" s="3" t="str">
        <f>IFERROR(__xludf.DUMMYFUNCTION("INDEX(SPLIT(I419,"" ""),1)"),"#REF!")</f>
        <v>#REF!</v>
      </c>
      <c r="P419" s="3" t="str">
        <f>IFERROR(__xludf.DUMMYFUNCTION("MID(REGEXEXTRACT(I419,"" [^ ]* [^ ]*""),2,300)"),"#REF!")</f>
        <v>#REF!</v>
      </c>
      <c r="Q419" s="3" t="str">
        <f>IFERROR(__xludf.DUMMYFUNCTION("INDEX(SPLIT(J419,"" ""),1)"),"#REF!")</f>
        <v>#REF!</v>
      </c>
      <c r="R419" s="3" t="str">
        <f>IFERROR(__xludf.DUMMYFUNCTION("MID(REGEXEXTRACT(J419,"" [^ ]* [^ ]*""),2,300)"),"#REF!")</f>
        <v>#REF!</v>
      </c>
      <c r="S419" s="3">
        <f t="shared" si="2"/>
        <v>3</v>
      </c>
      <c r="T419" s="3" t="str">
        <f t="shared" si="3"/>
        <v>clear purple</v>
      </c>
      <c r="U419" s="3" t="str">
        <f t="shared" si="4"/>
        <v/>
      </c>
      <c r="V419" s="3" t="str">
        <f t="shared" si="5"/>
        <v/>
      </c>
      <c r="W419" s="3" t="str">
        <f t="shared" si="6"/>
        <v/>
      </c>
      <c r="X419" s="3" t="str">
        <f t="shared" si="7"/>
        <v/>
      </c>
      <c r="Y419" s="3" t="str">
        <f t="shared" si="8"/>
        <v/>
      </c>
      <c r="Z419" s="3" t="str">
        <f t="shared" si="9"/>
        <v/>
      </c>
      <c r="AA419" s="13">
        <f t="shared" si="10"/>
        <v>52325344</v>
      </c>
      <c r="AB419" s="3">
        <f t="shared" si="11"/>
        <v>52325343</v>
      </c>
      <c r="AC419" s="3">
        <f t="shared" si="12"/>
        <v>3</v>
      </c>
      <c r="AD419" s="3">
        <f t="shared" si="13"/>
        <v>17441781</v>
      </c>
      <c r="AE419" s="3" t="str">
        <f t="shared" si="14"/>
        <v/>
      </c>
      <c r="AF419" s="3">
        <f t="shared" si="15"/>
        <v>0</v>
      </c>
      <c r="AG419" s="3" t="str">
        <f t="shared" si="16"/>
        <v/>
      </c>
      <c r="AH419" s="3">
        <f t="shared" si="17"/>
        <v>0</v>
      </c>
      <c r="AI419" s="3" t="str">
        <f t="shared" si="18"/>
        <v/>
      </c>
      <c r="AJ419" s="3">
        <f t="shared" si="19"/>
        <v>0</v>
      </c>
    </row>
    <row r="420">
      <c r="C420" s="6" t="s">
        <v>420</v>
      </c>
      <c r="D420" s="3">
        <f t="shared" si="1"/>
        <v>2</v>
      </c>
      <c r="E420" s="3" t="str">
        <f>IFERROR(__xludf.DUMMYFUNCTION("REGEXEXTRACT(C420,""[^ ]* [^ ]*"")"),"dim teal")</f>
        <v>dim teal</v>
      </c>
      <c r="F420" s="3" t="str">
        <f>IFERROR(__xludf.DUMMYFUNCTION("MID(REGEXEXTRACT(C420,""contain.*$""),9,300)"),"3 faded silver bags, 5 vibrant silver bags, 2 wavy fuchsia bags.")</f>
        <v>3 faded silver bags, 5 vibrant silver bags, 2 wavy fuchsia bags.</v>
      </c>
      <c r="G420" s="3" t="str">
        <f>IFERROR(__xludf.DUMMYFUNCTION("INDEX(SPLIT($F420,"",""),COLUMN()-6)"),"3 faded silver bags")</f>
        <v>3 faded silver bags</v>
      </c>
      <c r="H420" s="3" t="str">
        <f>IFERROR(__xludf.DUMMYFUNCTION("MID(INDEX(SPLIT($F420,"",""),COLUMN()-6),2,300)"),"5 vibrant silver bags")</f>
        <v>5 vibrant silver bags</v>
      </c>
      <c r="I420" s="3" t="str">
        <f>IFERROR(__xludf.DUMMYFUNCTION("MID(INDEX(SPLIT($F420,"",""),COLUMN()-6),2,300)"),"2 wavy fuchsia bags.")</f>
        <v>2 wavy fuchsia bags.</v>
      </c>
      <c r="J420" s="3" t="str">
        <f>IFERROR(__xludf.DUMMYFUNCTION("MID(INDEX(SPLIT($F420,"",""),COLUMN()-6),2,300)"),"#REF!")</f>
        <v>#REF!</v>
      </c>
      <c r="K420" s="3">
        <f>IFERROR(__xludf.DUMMYFUNCTION("INDEX(SPLIT(G420,"" ""),1)"),3.0)</f>
        <v>3</v>
      </c>
      <c r="L420" s="3" t="str">
        <f>IFERROR(__xludf.DUMMYFUNCTION("REGEXEXTRACT(G420,"" [^ ]* [^ ]* "")")," faded silver ")</f>
        <v> faded silver </v>
      </c>
      <c r="M420" s="3">
        <f>IFERROR(__xludf.DUMMYFUNCTION("INDEX(SPLIT(H420,"" ""),1)"),5.0)</f>
        <v>5</v>
      </c>
      <c r="N420" s="3" t="str">
        <f>IFERROR(__xludf.DUMMYFUNCTION("MID(REGEXEXTRACT(H420,"" [^ ]* [^ ]*""),2,300)"),"vibrant silver")</f>
        <v>vibrant silver</v>
      </c>
      <c r="O420" s="3">
        <f>IFERROR(__xludf.DUMMYFUNCTION("INDEX(SPLIT(I420,"" ""),1)"),2.0)</f>
        <v>2</v>
      </c>
      <c r="P420" s="3" t="str">
        <f>IFERROR(__xludf.DUMMYFUNCTION("MID(REGEXEXTRACT(I420,"" [^ ]* [^ ]*""),2,300)"),"wavy fuchsia")</f>
        <v>wavy fuchsia</v>
      </c>
      <c r="Q420" s="3" t="str">
        <f>IFERROR(__xludf.DUMMYFUNCTION("INDEX(SPLIT(J420,"" ""),1)"),"#REF!")</f>
        <v>#REF!</v>
      </c>
      <c r="R420" s="3" t="str">
        <f>IFERROR(__xludf.DUMMYFUNCTION("MID(REGEXEXTRACT(J420,"" [^ ]* [^ ]*""),2,300)"),"#REF!")</f>
        <v>#REF!</v>
      </c>
      <c r="S420" s="3">
        <f t="shared" si="2"/>
        <v>3</v>
      </c>
      <c r="T420" s="3" t="str">
        <f t="shared" si="3"/>
        <v>faded silver</v>
      </c>
      <c r="U420" s="3">
        <f t="shared" si="4"/>
        <v>5</v>
      </c>
      <c r="V420" s="3" t="str">
        <f t="shared" si="5"/>
        <v>vibrant silver</v>
      </c>
      <c r="W420" s="3">
        <f t="shared" si="6"/>
        <v>2</v>
      </c>
      <c r="X420" s="3" t="str">
        <f t="shared" si="7"/>
        <v>wavy fuchsia</v>
      </c>
      <c r="Y420" s="3" t="str">
        <f t="shared" si="8"/>
        <v/>
      </c>
      <c r="Z420" s="3" t="str">
        <f t="shared" si="9"/>
        <v/>
      </c>
      <c r="AA420" s="13">
        <f t="shared" si="10"/>
        <v>62425747</v>
      </c>
      <c r="AB420" s="3">
        <f t="shared" si="11"/>
        <v>62425746</v>
      </c>
      <c r="AC420" s="3">
        <f t="shared" si="12"/>
        <v>3</v>
      </c>
      <c r="AD420" s="3">
        <f t="shared" si="13"/>
        <v>2729963</v>
      </c>
      <c r="AE420" s="3">
        <f t="shared" si="14"/>
        <v>5</v>
      </c>
      <c r="AF420" s="3">
        <f t="shared" si="15"/>
        <v>9408683</v>
      </c>
      <c r="AG420" s="3">
        <f t="shared" si="16"/>
        <v>2</v>
      </c>
      <c r="AH420" s="3">
        <f t="shared" si="17"/>
        <v>3596221</v>
      </c>
      <c r="AI420" s="3" t="str">
        <f t="shared" si="18"/>
        <v/>
      </c>
      <c r="AJ420" s="3">
        <f t="shared" si="19"/>
        <v>0</v>
      </c>
    </row>
    <row r="421">
      <c r="C421" s="6" t="s">
        <v>421</v>
      </c>
      <c r="D421" s="3">
        <f t="shared" si="1"/>
        <v>1</v>
      </c>
      <c r="E421" s="3" t="str">
        <f>IFERROR(__xludf.DUMMYFUNCTION("REGEXEXTRACT(C421,""[^ ]* [^ ]*"")"),"dotted yellow")</f>
        <v>dotted yellow</v>
      </c>
      <c r="F421" s="3" t="str">
        <f>IFERROR(__xludf.DUMMYFUNCTION("MID(REGEXEXTRACT(C421,""contain.*$""),9,300)"),"5 bright bronze bags, 4 drab teal bags.")</f>
        <v>5 bright bronze bags, 4 drab teal bags.</v>
      </c>
      <c r="G421" s="3" t="str">
        <f>IFERROR(__xludf.DUMMYFUNCTION("INDEX(SPLIT($F421,"",""),COLUMN()-6)"),"5 bright bronze bags")</f>
        <v>5 bright bronze bags</v>
      </c>
      <c r="H421" s="3" t="str">
        <f>IFERROR(__xludf.DUMMYFUNCTION("MID(INDEX(SPLIT($F421,"",""),COLUMN()-6),2,300)"),"4 drab teal bags.")</f>
        <v>4 drab teal bags.</v>
      </c>
      <c r="I421" s="3" t="str">
        <f>IFERROR(__xludf.DUMMYFUNCTION("MID(INDEX(SPLIT($F421,"",""),COLUMN()-6),2,300)"),"#REF!")</f>
        <v>#REF!</v>
      </c>
      <c r="J421" s="3" t="str">
        <f>IFERROR(__xludf.DUMMYFUNCTION("MID(INDEX(SPLIT($F421,"",""),COLUMN()-6),2,300)"),"#REF!")</f>
        <v>#REF!</v>
      </c>
      <c r="K421" s="3">
        <f>IFERROR(__xludf.DUMMYFUNCTION("INDEX(SPLIT(G421,"" ""),1)"),5.0)</f>
        <v>5</v>
      </c>
      <c r="L421" s="3" t="str">
        <f>IFERROR(__xludf.DUMMYFUNCTION("REGEXEXTRACT(G421,"" [^ ]* [^ ]* "")")," bright bronze ")</f>
        <v> bright bronze </v>
      </c>
      <c r="M421" s="3">
        <f>IFERROR(__xludf.DUMMYFUNCTION("INDEX(SPLIT(H421,"" ""),1)"),4.0)</f>
        <v>4</v>
      </c>
      <c r="N421" s="3" t="str">
        <f>IFERROR(__xludf.DUMMYFUNCTION("MID(REGEXEXTRACT(H421,"" [^ ]* [^ ]*""),2,300)"),"drab teal")</f>
        <v>drab teal</v>
      </c>
      <c r="O421" s="3" t="str">
        <f>IFERROR(__xludf.DUMMYFUNCTION("INDEX(SPLIT(I421,"" ""),1)"),"#REF!")</f>
        <v>#REF!</v>
      </c>
      <c r="P421" s="3" t="str">
        <f>IFERROR(__xludf.DUMMYFUNCTION("MID(REGEXEXTRACT(I421,"" [^ ]* [^ ]*""),2,300)"),"#REF!")</f>
        <v>#REF!</v>
      </c>
      <c r="Q421" s="3" t="str">
        <f>IFERROR(__xludf.DUMMYFUNCTION("INDEX(SPLIT(J421,"" ""),1)"),"#REF!")</f>
        <v>#REF!</v>
      </c>
      <c r="R421" s="3" t="str">
        <f>IFERROR(__xludf.DUMMYFUNCTION("MID(REGEXEXTRACT(J421,"" [^ ]* [^ ]*""),2,300)"),"#REF!")</f>
        <v>#REF!</v>
      </c>
      <c r="S421" s="3">
        <f t="shared" si="2"/>
        <v>5</v>
      </c>
      <c r="T421" s="3" t="str">
        <f t="shared" si="3"/>
        <v>bright bronze</v>
      </c>
      <c r="U421" s="3">
        <f t="shared" si="4"/>
        <v>4</v>
      </c>
      <c r="V421" s="3" t="str">
        <f t="shared" si="5"/>
        <v>drab teal</v>
      </c>
      <c r="W421" s="3" t="str">
        <f t="shared" si="6"/>
        <v/>
      </c>
      <c r="X421" s="3" t="str">
        <f t="shared" si="7"/>
        <v/>
      </c>
      <c r="Y421" s="3" t="str">
        <f t="shared" si="8"/>
        <v/>
      </c>
      <c r="Z421" s="3" t="str">
        <f t="shared" si="9"/>
        <v/>
      </c>
      <c r="AA421" s="13">
        <f t="shared" si="10"/>
        <v>47862843</v>
      </c>
      <c r="AB421" s="3">
        <f t="shared" si="11"/>
        <v>47862842</v>
      </c>
      <c r="AC421" s="3">
        <f t="shared" si="12"/>
        <v>5</v>
      </c>
      <c r="AD421" s="3">
        <f t="shared" si="13"/>
        <v>9540014</v>
      </c>
      <c r="AE421" s="3">
        <f t="shared" si="14"/>
        <v>4</v>
      </c>
      <c r="AF421" s="3">
        <f t="shared" si="15"/>
        <v>40693</v>
      </c>
      <c r="AG421" s="3" t="str">
        <f t="shared" si="16"/>
        <v/>
      </c>
      <c r="AH421" s="3">
        <f t="shared" si="17"/>
        <v>0</v>
      </c>
      <c r="AI421" s="3" t="str">
        <f t="shared" si="18"/>
        <v/>
      </c>
      <c r="AJ421" s="3">
        <f t="shared" si="19"/>
        <v>0</v>
      </c>
    </row>
    <row r="422">
      <c r="C422" s="6" t="s">
        <v>422</v>
      </c>
      <c r="D422" s="3">
        <f t="shared" si="1"/>
        <v>1</v>
      </c>
      <c r="E422" s="3" t="str">
        <f>IFERROR(__xludf.DUMMYFUNCTION("REGEXEXTRACT(C422,""[^ ]* [^ ]*"")"),"dark indigo")</f>
        <v>dark indigo</v>
      </c>
      <c r="F422" s="3" t="str">
        <f>IFERROR(__xludf.DUMMYFUNCTION("MID(REGEXEXTRACT(C422,""contain.*$""),9,300)"),"5 plaid red bags, 5 dim purple bags.")</f>
        <v>5 plaid red bags, 5 dim purple bags.</v>
      </c>
      <c r="G422" s="3" t="str">
        <f>IFERROR(__xludf.DUMMYFUNCTION("INDEX(SPLIT($F422,"",""),COLUMN()-6)"),"5 plaid red bags")</f>
        <v>5 plaid red bags</v>
      </c>
      <c r="H422" s="3" t="str">
        <f>IFERROR(__xludf.DUMMYFUNCTION("MID(INDEX(SPLIT($F422,"",""),COLUMN()-6),2,300)"),"5 dim purple bags.")</f>
        <v>5 dim purple bags.</v>
      </c>
      <c r="I422" s="3" t="str">
        <f>IFERROR(__xludf.DUMMYFUNCTION("MID(INDEX(SPLIT($F422,"",""),COLUMN()-6),2,300)"),"#REF!")</f>
        <v>#REF!</v>
      </c>
      <c r="J422" s="3" t="str">
        <f>IFERROR(__xludf.DUMMYFUNCTION("MID(INDEX(SPLIT($F422,"",""),COLUMN()-6),2,300)"),"#REF!")</f>
        <v>#REF!</v>
      </c>
      <c r="K422" s="3">
        <f>IFERROR(__xludf.DUMMYFUNCTION("INDEX(SPLIT(G422,"" ""),1)"),5.0)</f>
        <v>5</v>
      </c>
      <c r="L422" s="3" t="str">
        <f>IFERROR(__xludf.DUMMYFUNCTION("REGEXEXTRACT(G422,"" [^ ]* [^ ]* "")")," plaid red ")</f>
        <v> plaid red </v>
      </c>
      <c r="M422" s="3">
        <f>IFERROR(__xludf.DUMMYFUNCTION("INDEX(SPLIT(H422,"" ""),1)"),5.0)</f>
        <v>5</v>
      </c>
      <c r="N422" s="3" t="str">
        <f>IFERROR(__xludf.DUMMYFUNCTION("MID(REGEXEXTRACT(H422,"" [^ ]* [^ ]*""),2,300)"),"dim purple")</f>
        <v>dim purple</v>
      </c>
      <c r="O422" s="3" t="str">
        <f>IFERROR(__xludf.DUMMYFUNCTION("INDEX(SPLIT(I422,"" ""),1)"),"#REF!")</f>
        <v>#REF!</v>
      </c>
      <c r="P422" s="3" t="str">
        <f>IFERROR(__xludf.DUMMYFUNCTION("MID(REGEXEXTRACT(I422,"" [^ ]* [^ ]*""),2,300)"),"#REF!")</f>
        <v>#REF!</v>
      </c>
      <c r="Q422" s="3" t="str">
        <f>IFERROR(__xludf.DUMMYFUNCTION("INDEX(SPLIT(J422,"" ""),1)"),"#REF!")</f>
        <v>#REF!</v>
      </c>
      <c r="R422" s="3" t="str">
        <f>IFERROR(__xludf.DUMMYFUNCTION("MID(REGEXEXTRACT(J422,"" [^ ]* [^ ]*""),2,300)"),"#REF!")</f>
        <v>#REF!</v>
      </c>
      <c r="S422" s="3">
        <f t="shared" si="2"/>
        <v>5</v>
      </c>
      <c r="T422" s="3" t="str">
        <f t="shared" si="3"/>
        <v>plaid red</v>
      </c>
      <c r="U422" s="3">
        <f t="shared" si="4"/>
        <v>5</v>
      </c>
      <c r="V422" s="3" t="str">
        <f t="shared" si="5"/>
        <v>dim purple</v>
      </c>
      <c r="W422" s="3" t="str">
        <f t="shared" si="6"/>
        <v/>
      </c>
      <c r="X422" s="3" t="str">
        <f t="shared" si="7"/>
        <v/>
      </c>
      <c r="Y422" s="3" t="str">
        <f t="shared" si="8"/>
        <v/>
      </c>
      <c r="Z422" s="3" t="str">
        <f t="shared" si="9"/>
        <v/>
      </c>
      <c r="AA422" s="13">
        <f t="shared" si="10"/>
        <v>756963601</v>
      </c>
      <c r="AB422" s="3">
        <f t="shared" si="11"/>
        <v>756963600</v>
      </c>
      <c r="AC422" s="3">
        <f t="shared" si="12"/>
        <v>5</v>
      </c>
      <c r="AD422" s="3">
        <f t="shared" si="13"/>
        <v>150232603</v>
      </c>
      <c r="AE422" s="3">
        <f t="shared" si="14"/>
        <v>5</v>
      </c>
      <c r="AF422" s="3">
        <f t="shared" si="15"/>
        <v>1160117</v>
      </c>
      <c r="AG422" s="3" t="str">
        <f t="shared" si="16"/>
        <v/>
      </c>
      <c r="AH422" s="3">
        <f t="shared" si="17"/>
        <v>0</v>
      </c>
      <c r="AI422" s="3" t="str">
        <f t="shared" si="18"/>
        <v/>
      </c>
      <c r="AJ422" s="3">
        <f t="shared" si="19"/>
        <v>0</v>
      </c>
    </row>
    <row r="423">
      <c r="C423" s="6" t="s">
        <v>423</v>
      </c>
      <c r="D423" s="3">
        <f t="shared" si="1"/>
        <v>3</v>
      </c>
      <c r="E423" s="3" t="str">
        <f>IFERROR(__xludf.DUMMYFUNCTION("REGEXEXTRACT(C423,""[^ ]* [^ ]*"")"),"wavy black")</f>
        <v>wavy black</v>
      </c>
      <c r="F423" s="3" t="str">
        <f>IFERROR(__xludf.DUMMYFUNCTION("MID(REGEXEXTRACT(C423,""contain.*$""),9,300)"),"5 shiny tomato bags, 2 clear gray bags, 4 dim lavender bags, 3 clear blue bags.")</f>
        <v>5 shiny tomato bags, 2 clear gray bags, 4 dim lavender bags, 3 clear blue bags.</v>
      </c>
      <c r="G423" s="3" t="str">
        <f>IFERROR(__xludf.DUMMYFUNCTION("INDEX(SPLIT($F423,"",""),COLUMN()-6)"),"5 shiny tomato bags")</f>
        <v>5 shiny tomato bags</v>
      </c>
      <c r="H423" s="3" t="str">
        <f>IFERROR(__xludf.DUMMYFUNCTION("MID(INDEX(SPLIT($F423,"",""),COLUMN()-6),2,300)"),"2 clear gray bags")</f>
        <v>2 clear gray bags</v>
      </c>
      <c r="I423" s="3" t="str">
        <f>IFERROR(__xludf.DUMMYFUNCTION("MID(INDEX(SPLIT($F423,"",""),COLUMN()-6),2,300)"),"4 dim lavender bags")</f>
        <v>4 dim lavender bags</v>
      </c>
      <c r="J423" s="3" t="str">
        <f>IFERROR(__xludf.DUMMYFUNCTION("MID(INDEX(SPLIT($F423,"",""),COLUMN()-6),2,300)"),"3 clear blue bags.")</f>
        <v>3 clear blue bags.</v>
      </c>
      <c r="K423" s="3">
        <f>IFERROR(__xludf.DUMMYFUNCTION("INDEX(SPLIT(G423,"" ""),1)"),5.0)</f>
        <v>5</v>
      </c>
      <c r="L423" s="3" t="str">
        <f>IFERROR(__xludf.DUMMYFUNCTION("REGEXEXTRACT(G423,"" [^ ]* [^ ]* "")")," shiny tomato ")</f>
        <v> shiny tomato </v>
      </c>
      <c r="M423" s="3">
        <f>IFERROR(__xludf.DUMMYFUNCTION("INDEX(SPLIT(H423,"" ""),1)"),2.0)</f>
        <v>2</v>
      </c>
      <c r="N423" s="3" t="str">
        <f>IFERROR(__xludf.DUMMYFUNCTION("MID(REGEXEXTRACT(H423,"" [^ ]* [^ ]*""),2,300)"),"clear gray")</f>
        <v>clear gray</v>
      </c>
      <c r="O423" s="3">
        <f>IFERROR(__xludf.DUMMYFUNCTION("INDEX(SPLIT(I423,"" ""),1)"),4.0)</f>
        <v>4</v>
      </c>
      <c r="P423" s="3" t="str">
        <f>IFERROR(__xludf.DUMMYFUNCTION("MID(REGEXEXTRACT(I423,"" [^ ]* [^ ]*""),2,300)"),"dim lavender")</f>
        <v>dim lavender</v>
      </c>
      <c r="Q423" s="3">
        <f>IFERROR(__xludf.DUMMYFUNCTION("INDEX(SPLIT(J423,"" ""),1)"),3.0)</f>
        <v>3</v>
      </c>
      <c r="R423" s="3" t="str">
        <f>IFERROR(__xludf.DUMMYFUNCTION("MID(REGEXEXTRACT(J423,"" [^ ]* [^ ]*""),2,300)"),"clear blue")</f>
        <v>clear blue</v>
      </c>
      <c r="S423" s="3">
        <f t="shared" si="2"/>
        <v>5</v>
      </c>
      <c r="T423" s="3" t="str">
        <f t="shared" si="3"/>
        <v>shiny tomato</v>
      </c>
      <c r="U423" s="3">
        <f t="shared" si="4"/>
        <v>2</v>
      </c>
      <c r="V423" s="3" t="str">
        <f t="shared" si="5"/>
        <v>clear gray</v>
      </c>
      <c r="W423" s="3">
        <f t="shared" si="6"/>
        <v>4</v>
      </c>
      <c r="X423" s="3" t="str">
        <f t="shared" si="7"/>
        <v>dim lavender</v>
      </c>
      <c r="Y423" s="3">
        <f t="shared" si="8"/>
        <v>3</v>
      </c>
      <c r="Z423" s="3" t="str">
        <f t="shared" si="9"/>
        <v>clear blue</v>
      </c>
      <c r="AA423" s="13">
        <f t="shared" si="10"/>
        <v>242332348</v>
      </c>
      <c r="AB423" s="3">
        <f t="shared" si="11"/>
        <v>242332347</v>
      </c>
      <c r="AC423" s="3">
        <f t="shared" si="12"/>
        <v>5</v>
      </c>
      <c r="AD423" s="3">
        <f t="shared" si="13"/>
        <v>47611663</v>
      </c>
      <c r="AE423" s="3">
        <f t="shared" si="14"/>
        <v>2</v>
      </c>
      <c r="AF423" s="3">
        <f t="shared" si="15"/>
        <v>594104</v>
      </c>
      <c r="AG423" s="3">
        <f t="shared" si="16"/>
        <v>4</v>
      </c>
      <c r="AH423" s="3">
        <f t="shared" si="17"/>
        <v>771399</v>
      </c>
      <c r="AI423" s="3">
        <f t="shared" si="18"/>
        <v>3</v>
      </c>
      <c r="AJ423" s="3">
        <f t="shared" si="19"/>
        <v>76</v>
      </c>
    </row>
    <row r="424">
      <c r="C424" s="6" t="s">
        <v>424</v>
      </c>
      <c r="D424" s="3">
        <f t="shared" si="1"/>
        <v>3</v>
      </c>
      <c r="E424" s="3" t="str">
        <f>IFERROR(__xludf.DUMMYFUNCTION("REGEXEXTRACT(C424,""[^ ]* [^ ]*"")"),"striped green")</f>
        <v>striped green</v>
      </c>
      <c r="F424" s="3" t="str">
        <f>IFERROR(__xludf.DUMMYFUNCTION("MID(REGEXEXTRACT(C424,""contain.*$""),9,300)"),"3 light crimson bags, 5 mirrored cyan bags, 2 mirrored maroon bags, 2 faded yellow bags.")</f>
        <v>3 light crimson bags, 5 mirrored cyan bags, 2 mirrored maroon bags, 2 faded yellow bags.</v>
      </c>
      <c r="G424" s="3" t="str">
        <f>IFERROR(__xludf.DUMMYFUNCTION("INDEX(SPLIT($F424,"",""),COLUMN()-6)"),"3 light crimson bags")</f>
        <v>3 light crimson bags</v>
      </c>
      <c r="H424" s="3" t="str">
        <f>IFERROR(__xludf.DUMMYFUNCTION("MID(INDEX(SPLIT($F424,"",""),COLUMN()-6),2,300)"),"5 mirrored cyan bags")</f>
        <v>5 mirrored cyan bags</v>
      </c>
      <c r="I424" s="3" t="str">
        <f>IFERROR(__xludf.DUMMYFUNCTION("MID(INDEX(SPLIT($F424,"",""),COLUMN()-6),2,300)"),"2 mirrored maroon bags")</f>
        <v>2 mirrored maroon bags</v>
      </c>
      <c r="J424" s="3" t="str">
        <f>IFERROR(__xludf.DUMMYFUNCTION("MID(INDEX(SPLIT($F424,"",""),COLUMN()-6),2,300)"),"2 faded yellow bags.")</f>
        <v>2 faded yellow bags.</v>
      </c>
      <c r="K424" s="3">
        <f>IFERROR(__xludf.DUMMYFUNCTION("INDEX(SPLIT(G424,"" ""),1)"),3.0)</f>
        <v>3</v>
      </c>
      <c r="L424" s="3" t="str">
        <f>IFERROR(__xludf.DUMMYFUNCTION("REGEXEXTRACT(G424,"" [^ ]* [^ ]* "")")," light crimson ")</f>
        <v> light crimson </v>
      </c>
      <c r="M424" s="3">
        <f>IFERROR(__xludf.DUMMYFUNCTION("INDEX(SPLIT(H424,"" ""),1)"),5.0)</f>
        <v>5</v>
      </c>
      <c r="N424" s="3" t="str">
        <f>IFERROR(__xludf.DUMMYFUNCTION("MID(REGEXEXTRACT(H424,"" [^ ]* [^ ]*""),2,300)"),"mirrored cyan")</f>
        <v>mirrored cyan</v>
      </c>
      <c r="O424" s="3">
        <f>IFERROR(__xludf.DUMMYFUNCTION("INDEX(SPLIT(I424,"" ""),1)"),2.0)</f>
        <v>2</v>
      </c>
      <c r="P424" s="3" t="str">
        <f>IFERROR(__xludf.DUMMYFUNCTION("MID(REGEXEXTRACT(I424,"" [^ ]* [^ ]*""),2,300)"),"mirrored maroon")</f>
        <v>mirrored maroon</v>
      </c>
      <c r="Q424" s="3">
        <f>IFERROR(__xludf.DUMMYFUNCTION("INDEX(SPLIT(J424,"" ""),1)"),2.0)</f>
        <v>2</v>
      </c>
      <c r="R424" s="3" t="str">
        <f>IFERROR(__xludf.DUMMYFUNCTION("MID(REGEXEXTRACT(J424,"" [^ ]* [^ ]*""),2,300)"),"faded yellow")</f>
        <v>faded yellow</v>
      </c>
      <c r="S424" s="3">
        <f t="shared" si="2"/>
        <v>3</v>
      </c>
      <c r="T424" s="3" t="str">
        <f t="shared" si="3"/>
        <v>light crimson</v>
      </c>
      <c r="U424" s="3">
        <f t="shared" si="4"/>
        <v>5</v>
      </c>
      <c r="V424" s="3" t="str">
        <f t="shared" si="5"/>
        <v>mirrored cyan</v>
      </c>
      <c r="W424" s="3">
        <f t="shared" si="6"/>
        <v>2</v>
      </c>
      <c r="X424" s="3" t="str">
        <f t="shared" si="7"/>
        <v>mirrored maroon</v>
      </c>
      <c r="Y424" s="3">
        <f t="shared" si="8"/>
        <v>2</v>
      </c>
      <c r="Z424" s="3" t="str">
        <f t="shared" si="9"/>
        <v>faded yellow</v>
      </c>
      <c r="AA424" s="13">
        <f t="shared" si="10"/>
        <v>11964728</v>
      </c>
      <c r="AB424" s="3">
        <f t="shared" si="11"/>
        <v>11964727</v>
      </c>
      <c r="AC424" s="3">
        <f t="shared" si="12"/>
        <v>3</v>
      </c>
      <c r="AD424" s="3">
        <f t="shared" si="13"/>
        <v>2442329</v>
      </c>
      <c r="AE424" s="3">
        <f t="shared" si="14"/>
        <v>5</v>
      </c>
      <c r="AF424" s="3">
        <f t="shared" si="15"/>
        <v>1854</v>
      </c>
      <c r="AG424" s="3">
        <f t="shared" si="16"/>
        <v>2</v>
      </c>
      <c r="AH424" s="3">
        <f t="shared" si="17"/>
        <v>2263272</v>
      </c>
      <c r="AI424" s="3">
        <f t="shared" si="18"/>
        <v>2</v>
      </c>
      <c r="AJ424" s="3">
        <f t="shared" si="19"/>
        <v>50963</v>
      </c>
    </row>
    <row r="425">
      <c r="C425" s="6" t="s">
        <v>425</v>
      </c>
      <c r="D425" s="3">
        <f t="shared" si="1"/>
        <v>0</v>
      </c>
      <c r="E425" s="3" t="str">
        <f>IFERROR(__xludf.DUMMYFUNCTION("REGEXEXTRACT(C425,""[^ ]* [^ ]*"")"),"dull lime")</f>
        <v>dull lime</v>
      </c>
      <c r="F425" s="3" t="str">
        <f>IFERROR(__xludf.DUMMYFUNCTION("MID(REGEXEXTRACT(C425,""contain.*$""),9,300)"),"3 pale yellow bags.")</f>
        <v>3 pale yellow bags.</v>
      </c>
      <c r="G425" s="3" t="str">
        <f>IFERROR(__xludf.DUMMYFUNCTION("INDEX(SPLIT($F425,"",""),COLUMN()-6)"),"3 pale yellow bags.")</f>
        <v>3 pale yellow bags.</v>
      </c>
      <c r="H425" s="3" t="str">
        <f>IFERROR(__xludf.DUMMYFUNCTION("MID(INDEX(SPLIT($F425,"",""),COLUMN()-6),2,300)"),"#REF!")</f>
        <v>#REF!</v>
      </c>
      <c r="I425" s="3" t="str">
        <f>IFERROR(__xludf.DUMMYFUNCTION("MID(INDEX(SPLIT($F425,"",""),COLUMN()-6),2,300)"),"#REF!")</f>
        <v>#REF!</v>
      </c>
      <c r="J425" s="3" t="str">
        <f>IFERROR(__xludf.DUMMYFUNCTION("MID(INDEX(SPLIT($F425,"",""),COLUMN()-6),2,300)"),"#REF!")</f>
        <v>#REF!</v>
      </c>
      <c r="K425" s="3">
        <f>IFERROR(__xludf.DUMMYFUNCTION("INDEX(SPLIT(G425,"" ""),1)"),3.0)</f>
        <v>3</v>
      </c>
      <c r="L425" s="3" t="str">
        <f>IFERROR(__xludf.DUMMYFUNCTION("REGEXEXTRACT(G425,"" [^ ]* [^ ]* "")")," pale yellow ")</f>
        <v> pale yellow </v>
      </c>
      <c r="M425" s="3" t="str">
        <f>IFERROR(__xludf.DUMMYFUNCTION("INDEX(SPLIT(H425,"" ""),1)"),"#REF!")</f>
        <v>#REF!</v>
      </c>
      <c r="N425" s="3" t="str">
        <f>IFERROR(__xludf.DUMMYFUNCTION("MID(REGEXEXTRACT(H425,"" [^ ]* [^ ]*""),2,300)"),"#REF!")</f>
        <v>#REF!</v>
      </c>
      <c r="O425" s="3" t="str">
        <f>IFERROR(__xludf.DUMMYFUNCTION("INDEX(SPLIT(I425,"" ""),1)"),"#REF!")</f>
        <v>#REF!</v>
      </c>
      <c r="P425" s="3" t="str">
        <f>IFERROR(__xludf.DUMMYFUNCTION("MID(REGEXEXTRACT(I425,"" [^ ]* [^ ]*""),2,300)"),"#REF!")</f>
        <v>#REF!</v>
      </c>
      <c r="Q425" s="3" t="str">
        <f>IFERROR(__xludf.DUMMYFUNCTION("INDEX(SPLIT(J425,"" ""),1)"),"#REF!")</f>
        <v>#REF!</v>
      </c>
      <c r="R425" s="3" t="str">
        <f>IFERROR(__xludf.DUMMYFUNCTION("MID(REGEXEXTRACT(J425,"" [^ ]* [^ ]*""),2,300)"),"#REF!")</f>
        <v>#REF!</v>
      </c>
      <c r="S425" s="3">
        <f t="shared" si="2"/>
        <v>3</v>
      </c>
      <c r="T425" s="3" t="str">
        <f t="shared" si="3"/>
        <v>pale yellow</v>
      </c>
      <c r="U425" s="3" t="str">
        <f t="shared" si="4"/>
        <v/>
      </c>
      <c r="V425" s="3" t="str">
        <f t="shared" si="5"/>
        <v/>
      </c>
      <c r="W425" s="3" t="str">
        <f t="shared" si="6"/>
        <v/>
      </c>
      <c r="X425" s="3" t="str">
        <f t="shared" si="7"/>
        <v/>
      </c>
      <c r="Y425" s="3" t="str">
        <f t="shared" si="8"/>
        <v/>
      </c>
      <c r="Z425" s="3" t="str">
        <f t="shared" si="9"/>
        <v/>
      </c>
      <c r="AA425" s="13">
        <f t="shared" si="10"/>
        <v>988</v>
      </c>
      <c r="AB425" s="3">
        <f t="shared" si="11"/>
        <v>987</v>
      </c>
      <c r="AC425" s="3">
        <f t="shared" si="12"/>
        <v>3</v>
      </c>
      <c r="AD425" s="3">
        <f t="shared" si="13"/>
        <v>329</v>
      </c>
      <c r="AE425" s="3" t="str">
        <f t="shared" si="14"/>
        <v/>
      </c>
      <c r="AF425" s="3">
        <f t="shared" si="15"/>
        <v>0</v>
      </c>
      <c r="AG425" s="3" t="str">
        <f t="shared" si="16"/>
        <v/>
      </c>
      <c r="AH425" s="3">
        <f t="shared" si="17"/>
        <v>0</v>
      </c>
      <c r="AI425" s="3" t="str">
        <f t="shared" si="18"/>
        <v/>
      </c>
      <c r="AJ425" s="3">
        <f t="shared" si="19"/>
        <v>0</v>
      </c>
    </row>
    <row r="426">
      <c r="C426" s="6" t="s">
        <v>426</v>
      </c>
      <c r="D426" s="3">
        <f t="shared" si="1"/>
        <v>3</v>
      </c>
      <c r="E426" s="3" t="str">
        <f>IFERROR(__xludf.DUMMYFUNCTION("REGEXEXTRACT(C426,""[^ ]* [^ ]*"")"),"faded chartreuse")</f>
        <v>faded chartreuse</v>
      </c>
      <c r="F426" s="3" t="str">
        <f>IFERROR(__xludf.DUMMYFUNCTION("MID(REGEXEXTRACT(C426,""contain.*$""),9,300)"),"2 wavy teal bags, 3 dim olive bags, 2 dull purple bags, 5 vibrant plum bags.")</f>
        <v>2 wavy teal bags, 3 dim olive bags, 2 dull purple bags, 5 vibrant plum bags.</v>
      </c>
      <c r="G426" s="3" t="str">
        <f>IFERROR(__xludf.DUMMYFUNCTION("INDEX(SPLIT($F426,"",""),COLUMN()-6)"),"2 wavy teal bags")</f>
        <v>2 wavy teal bags</v>
      </c>
      <c r="H426" s="3" t="str">
        <f>IFERROR(__xludf.DUMMYFUNCTION("MID(INDEX(SPLIT($F426,"",""),COLUMN()-6),2,300)"),"3 dim olive bags")</f>
        <v>3 dim olive bags</v>
      </c>
      <c r="I426" s="3" t="str">
        <f>IFERROR(__xludf.DUMMYFUNCTION("MID(INDEX(SPLIT($F426,"",""),COLUMN()-6),2,300)"),"2 dull purple bags")</f>
        <v>2 dull purple bags</v>
      </c>
      <c r="J426" s="3" t="str">
        <f>IFERROR(__xludf.DUMMYFUNCTION("MID(INDEX(SPLIT($F426,"",""),COLUMN()-6),2,300)"),"5 vibrant plum bags.")</f>
        <v>5 vibrant plum bags.</v>
      </c>
      <c r="K426" s="3">
        <f>IFERROR(__xludf.DUMMYFUNCTION("INDEX(SPLIT(G426,"" ""),1)"),2.0)</f>
        <v>2</v>
      </c>
      <c r="L426" s="3" t="str">
        <f>IFERROR(__xludf.DUMMYFUNCTION("REGEXEXTRACT(G426,"" [^ ]* [^ ]* "")")," wavy teal ")</f>
        <v> wavy teal </v>
      </c>
      <c r="M426" s="3">
        <f>IFERROR(__xludf.DUMMYFUNCTION("INDEX(SPLIT(H426,"" ""),1)"),3.0)</f>
        <v>3</v>
      </c>
      <c r="N426" s="3" t="str">
        <f>IFERROR(__xludf.DUMMYFUNCTION("MID(REGEXEXTRACT(H426,"" [^ ]* [^ ]*""),2,300)"),"dim olive")</f>
        <v>dim olive</v>
      </c>
      <c r="O426" s="3">
        <f>IFERROR(__xludf.DUMMYFUNCTION("INDEX(SPLIT(I426,"" ""),1)"),2.0)</f>
        <v>2</v>
      </c>
      <c r="P426" s="3" t="str">
        <f>IFERROR(__xludf.DUMMYFUNCTION("MID(REGEXEXTRACT(I426,"" [^ ]* [^ ]*""),2,300)"),"dull purple")</f>
        <v>dull purple</v>
      </c>
      <c r="Q426" s="3">
        <f>IFERROR(__xludf.DUMMYFUNCTION("INDEX(SPLIT(J426,"" ""),1)"),5.0)</f>
        <v>5</v>
      </c>
      <c r="R426" s="3" t="str">
        <f>IFERROR(__xludf.DUMMYFUNCTION("MID(REGEXEXTRACT(J426,"" [^ ]* [^ ]*""),2,300)"),"vibrant plum")</f>
        <v>vibrant plum</v>
      </c>
      <c r="S426" s="3">
        <f t="shared" si="2"/>
        <v>2</v>
      </c>
      <c r="T426" s="3" t="str">
        <f t="shared" si="3"/>
        <v>wavy teal</v>
      </c>
      <c r="U426" s="3">
        <f t="shared" si="4"/>
        <v>3</v>
      </c>
      <c r="V426" s="3" t="str">
        <f t="shared" si="5"/>
        <v>dim olive</v>
      </c>
      <c r="W426" s="3">
        <f t="shared" si="6"/>
        <v>2</v>
      </c>
      <c r="X426" s="3" t="str">
        <f t="shared" si="7"/>
        <v>dull purple</v>
      </c>
      <c r="Y426" s="3">
        <f t="shared" si="8"/>
        <v>5</v>
      </c>
      <c r="Z426" s="3" t="str">
        <f t="shared" si="9"/>
        <v>vibrant plum</v>
      </c>
      <c r="AA426" s="13">
        <f t="shared" si="10"/>
        <v>305892</v>
      </c>
      <c r="AB426" s="3">
        <f t="shared" si="11"/>
        <v>305891</v>
      </c>
      <c r="AC426" s="3">
        <f t="shared" si="12"/>
        <v>2</v>
      </c>
      <c r="AD426" s="3">
        <f t="shared" si="13"/>
        <v>84750</v>
      </c>
      <c r="AE426" s="3">
        <f t="shared" si="14"/>
        <v>3</v>
      </c>
      <c r="AF426" s="3">
        <f t="shared" si="15"/>
        <v>1</v>
      </c>
      <c r="AG426" s="3">
        <f t="shared" si="16"/>
        <v>2</v>
      </c>
      <c r="AH426" s="3">
        <f t="shared" si="17"/>
        <v>1589</v>
      </c>
      <c r="AI426" s="3">
        <f t="shared" si="18"/>
        <v>5</v>
      </c>
      <c r="AJ426" s="3">
        <f t="shared" si="19"/>
        <v>26642</v>
      </c>
    </row>
    <row r="427">
      <c r="C427" s="6" t="s">
        <v>427</v>
      </c>
      <c r="D427" s="3">
        <f t="shared" si="1"/>
        <v>0</v>
      </c>
      <c r="E427" s="3" t="str">
        <f>IFERROR(__xludf.DUMMYFUNCTION("REGEXEXTRACT(C427,""[^ ]* [^ ]*"")"),"dark yellow")</f>
        <v>dark yellow</v>
      </c>
      <c r="F427" s="3" t="str">
        <f>IFERROR(__xludf.DUMMYFUNCTION("MID(REGEXEXTRACT(C427,""contain.*$""),9,300)"),"2 muted brown bags.")</f>
        <v>2 muted brown bags.</v>
      </c>
      <c r="G427" s="3" t="str">
        <f>IFERROR(__xludf.DUMMYFUNCTION("INDEX(SPLIT($F427,"",""),COLUMN()-6)"),"2 muted brown bags.")</f>
        <v>2 muted brown bags.</v>
      </c>
      <c r="H427" s="3" t="str">
        <f>IFERROR(__xludf.DUMMYFUNCTION("MID(INDEX(SPLIT($F427,"",""),COLUMN()-6),2,300)"),"#REF!")</f>
        <v>#REF!</v>
      </c>
      <c r="I427" s="3" t="str">
        <f>IFERROR(__xludf.DUMMYFUNCTION("MID(INDEX(SPLIT($F427,"",""),COLUMN()-6),2,300)"),"#REF!")</f>
        <v>#REF!</v>
      </c>
      <c r="J427" s="3" t="str">
        <f>IFERROR(__xludf.DUMMYFUNCTION("MID(INDEX(SPLIT($F427,"",""),COLUMN()-6),2,300)"),"#REF!")</f>
        <v>#REF!</v>
      </c>
      <c r="K427" s="3">
        <f>IFERROR(__xludf.DUMMYFUNCTION("INDEX(SPLIT(G427,"" ""),1)"),2.0)</f>
        <v>2</v>
      </c>
      <c r="L427" s="3" t="str">
        <f>IFERROR(__xludf.DUMMYFUNCTION("REGEXEXTRACT(G427,"" [^ ]* [^ ]* "")")," muted brown ")</f>
        <v> muted brown </v>
      </c>
      <c r="M427" s="3" t="str">
        <f>IFERROR(__xludf.DUMMYFUNCTION("INDEX(SPLIT(H427,"" ""),1)"),"#REF!")</f>
        <v>#REF!</v>
      </c>
      <c r="N427" s="3" t="str">
        <f>IFERROR(__xludf.DUMMYFUNCTION("MID(REGEXEXTRACT(H427,"" [^ ]* [^ ]*""),2,300)"),"#REF!")</f>
        <v>#REF!</v>
      </c>
      <c r="O427" s="3" t="str">
        <f>IFERROR(__xludf.DUMMYFUNCTION("INDEX(SPLIT(I427,"" ""),1)"),"#REF!")</f>
        <v>#REF!</v>
      </c>
      <c r="P427" s="3" t="str">
        <f>IFERROR(__xludf.DUMMYFUNCTION("MID(REGEXEXTRACT(I427,"" [^ ]* [^ ]*""),2,300)"),"#REF!")</f>
        <v>#REF!</v>
      </c>
      <c r="Q427" s="3" t="str">
        <f>IFERROR(__xludf.DUMMYFUNCTION("INDEX(SPLIT(J427,"" ""),1)"),"#REF!")</f>
        <v>#REF!</v>
      </c>
      <c r="R427" s="3" t="str">
        <f>IFERROR(__xludf.DUMMYFUNCTION("MID(REGEXEXTRACT(J427,"" [^ ]* [^ ]*""),2,300)"),"#REF!")</f>
        <v>#REF!</v>
      </c>
      <c r="S427" s="3">
        <f t="shared" si="2"/>
        <v>2</v>
      </c>
      <c r="T427" s="3" t="str">
        <f t="shared" si="3"/>
        <v>muted brown</v>
      </c>
      <c r="U427" s="3" t="str">
        <f t="shared" si="4"/>
        <v/>
      </c>
      <c r="V427" s="3" t="str">
        <f t="shared" si="5"/>
        <v/>
      </c>
      <c r="W427" s="3" t="str">
        <f t="shared" si="6"/>
        <v/>
      </c>
      <c r="X427" s="3" t="str">
        <f t="shared" si="7"/>
        <v/>
      </c>
      <c r="Y427" s="3" t="str">
        <f t="shared" si="8"/>
        <v/>
      </c>
      <c r="Z427" s="3" t="str">
        <f t="shared" si="9"/>
        <v/>
      </c>
      <c r="AA427" s="13">
        <f t="shared" si="10"/>
        <v>1182161</v>
      </c>
      <c r="AB427" s="3">
        <f t="shared" si="11"/>
        <v>1182160</v>
      </c>
      <c r="AC427" s="3">
        <f t="shared" si="12"/>
        <v>2</v>
      </c>
      <c r="AD427" s="3">
        <f t="shared" si="13"/>
        <v>591080</v>
      </c>
      <c r="AE427" s="3" t="str">
        <f t="shared" si="14"/>
        <v/>
      </c>
      <c r="AF427" s="3">
        <f t="shared" si="15"/>
        <v>0</v>
      </c>
      <c r="AG427" s="3" t="str">
        <f t="shared" si="16"/>
        <v/>
      </c>
      <c r="AH427" s="3">
        <f t="shared" si="17"/>
        <v>0</v>
      </c>
      <c r="AI427" s="3" t="str">
        <f t="shared" si="18"/>
        <v/>
      </c>
      <c r="AJ427" s="3">
        <f t="shared" si="19"/>
        <v>0</v>
      </c>
    </row>
    <row r="428">
      <c r="C428" s="6" t="s">
        <v>428</v>
      </c>
      <c r="D428" s="3">
        <f t="shared" si="1"/>
        <v>3</v>
      </c>
      <c r="E428" s="3" t="str">
        <f>IFERROR(__xludf.DUMMYFUNCTION("REGEXEXTRACT(C428,""[^ ]* [^ ]*"")"),"plaid beige")</f>
        <v>plaid beige</v>
      </c>
      <c r="F428" s="3" t="str">
        <f>IFERROR(__xludf.DUMMYFUNCTION("MID(REGEXEXTRACT(C428,""contain.*$""),9,300)"),"3 pale green bags, 3 bright purple bags, 5 faded black bags, 1 drab brown bag.")</f>
        <v>3 pale green bags, 3 bright purple bags, 5 faded black bags, 1 drab brown bag.</v>
      </c>
      <c r="G428" s="3" t="str">
        <f>IFERROR(__xludf.DUMMYFUNCTION("INDEX(SPLIT($F428,"",""),COLUMN()-6)"),"3 pale green bags")</f>
        <v>3 pale green bags</v>
      </c>
      <c r="H428" s="3" t="str">
        <f>IFERROR(__xludf.DUMMYFUNCTION("MID(INDEX(SPLIT($F428,"",""),COLUMN()-6),2,300)"),"3 bright purple bags")</f>
        <v>3 bright purple bags</v>
      </c>
      <c r="I428" s="3" t="str">
        <f>IFERROR(__xludf.DUMMYFUNCTION("MID(INDEX(SPLIT($F428,"",""),COLUMN()-6),2,300)"),"5 faded black bags")</f>
        <v>5 faded black bags</v>
      </c>
      <c r="J428" s="3" t="str">
        <f>IFERROR(__xludf.DUMMYFUNCTION("MID(INDEX(SPLIT($F428,"",""),COLUMN()-6),2,300)"),"1 drab brown bag.")</f>
        <v>1 drab brown bag.</v>
      </c>
      <c r="K428" s="3">
        <f>IFERROR(__xludf.DUMMYFUNCTION("INDEX(SPLIT(G428,"" ""),1)"),3.0)</f>
        <v>3</v>
      </c>
      <c r="L428" s="3" t="str">
        <f>IFERROR(__xludf.DUMMYFUNCTION("REGEXEXTRACT(G428,"" [^ ]* [^ ]* "")")," pale green ")</f>
        <v> pale green </v>
      </c>
      <c r="M428" s="3">
        <f>IFERROR(__xludf.DUMMYFUNCTION("INDEX(SPLIT(H428,"" ""),1)"),3.0)</f>
        <v>3</v>
      </c>
      <c r="N428" s="3" t="str">
        <f>IFERROR(__xludf.DUMMYFUNCTION("MID(REGEXEXTRACT(H428,"" [^ ]* [^ ]*""),2,300)"),"bright purple")</f>
        <v>bright purple</v>
      </c>
      <c r="O428" s="3">
        <f>IFERROR(__xludf.DUMMYFUNCTION("INDEX(SPLIT(I428,"" ""),1)"),5.0)</f>
        <v>5</v>
      </c>
      <c r="P428" s="3" t="str">
        <f>IFERROR(__xludf.DUMMYFUNCTION("MID(REGEXEXTRACT(I428,"" [^ ]* [^ ]*""),2,300)"),"faded black")</f>
        <v>faded black</v>
      </c>
      <c r="Q428" s="3">
        <f>IFERROR(__xludf.DUMMYFUNCTION("INDEX(SPLIT(J428,"" ""),1)"),1.0)</f>
        <v>1</v>
      </c>
      <c r="R428" s="3" t="str">
        <f>IFERROR(__xludf.DUMMYFUNCTION("MID(REGEXEXTRACT(J428,"" [^ ]* [^ ]*""),2,300)"),"drab brown")</f>
        <v>drab brown</v>
      </c>
      <c r="S428" s="3">
        <f t="shared" si="2"/>
        <v>3</v>
      </c>
      <c r="T428" s="3" t="str">
        <f t="shared" si="3"/>
        <v>pale green</v>
      </c>
      <c r="U428" s="3">
        <f t="shared" si="4"/>
        <v>3</v>
      </c>
      <c r="V428" s="3" t="str">
        <f t="shared" si="5"/>
        <v>bright purple</v>
      </c>
      <c r="W428" s="3">
        <f t="shared" si="6"/>
        <v>5</v>
      </c>
      <c r="X428" s="3" t="str">
        <f t="shared" si="7"/>
        <v>faded black</v>
      </c>
      <c r="Y428" s="3">
        <f t="shared" si="8"/>
        <v>1</v>
      </c>
      <c r="Z428" s="3" t="str">
        <f t="shared" si="9"/>
        <v>drab brown</v>
      </c>
      <c r="AA428" s="13">
        <f t="shared" si="10"/>
        <v>47706683</v>
      </c>
      <c r="AB428" s="3">
        <f t="shared" si="11"/>
        <v>47706682</v>
      </c>
      <c r="AC428" s="3">
        <f t="shared" si="12"/>
        <v>3</v>
      </c>
      <c r="AD428" s="3">
        <f t="shared" si="13"/>
        <v>8485185</v>
      </c>
      <c r="AE428" s="3">
        <f t="shared" si="14"/>
        <v>3</v>
      </c>
      <c r="AF428" s="3">
        <f t="shared" si="15"/>
        <v>6441642</v>
      </c>
      <c r="AG428" s="3">
        <f t="shared" si="16"/>
        <v>5</v>
      </c>
      <c r="AH428" s="3">
        <f t="shared" si="17"/>
        <v>565872</v>
      </c>
      <c r="AI428" s="3">
        <f t="shared" si="18"/>
        <v>1</v>
      </c>
      <c r="AJ428" s="3">
        <f t="shared" si="19"/>
        <v>96841</v>
      </c>
    </row>
    <row r="429">
      <c r="C429" s="6" t="s">
        <v>429</v>
      </c>
      <c r="D429" s="3">
        <f t="shared" si="1"/>
        <v>0</v>
      </c>
      <c r="E429" s="3" t="str">
        <f>IFERROR(__xludf.DUMMYFUNCTION("REGEXEXTRACT(C429,""[^ ]* [^ ]*"")"),"faded maroon")</f>
        <v>faded maroon</v>
      </c>
      <c r="F429" s="3" t="str">
        <f>IFERROR(__xludf.DUMMYFUNCTION("MID(REGEXEXTRACT(C429,""contain.*$""),9,300)"),"5 drab tomato bags.")</f>
        <v>5 drab tomato bags.</v>
      </c>
      <c r="G429" s="3" t="str">
        <f>IFERROR(__xludf.DUMMYFUNCTION("INDEX(SPLIT($F429,"",""),COLUMN()-6)"),"5 drab tomato bags.")</f>
        <v>5 drab tomato bags.</v>
      </c>
      <c r="H429" s="3" t="str">
        <f>IFERROR(__xludf.DUMMYFUNCTION("MID(INDEX(SPLIT($F429,"",""),COLUMN()-6),2,300)"),"#REF!")</f>
        <v>#REF!</v>
      </c>
      <c r="I429" s="3" t="str">
        <f>IFERROR(__xludf.DUMMYFUNCTION("MID(INDEX(SPLIT($F429,"",""),COLUMN()-6),2,300)"),"#REF!")</f>
        <v>#REF!</v>
      </c>
      <c r="J429" s="3" t="str">
        <f>IFERROR(__xludf.DUMMYFUNCTION("MID(INDEX(SPLIT($F429,"",""),COLUMN()-6),2,300)"),"#REF!")</f>
        <v>#REF!</v>
      </c>
      <c r="K429" s="3">
        <f>IFERROR(__xludf.DUMMYFUNCTION("INDEX(SPLIT(G429,"" ""),1)"),5.0)</f>
        <v>5</v>
      </c>
      <c r="L429" s="3" t="str">
        <f>IFERROR(__xludf.DUMMYFUNCTION("REGEXEXTRACT(G429,"" [^ ]* [^ ]* "")")," drab tomato ")</f>
        <v> drab tomato </v>
      </c>
      <c r="M429" s="3" t="str">
        <f>IFERROR(__xludf.DUMMYFUNCTION("INDEX(SPLIT(H429,"" ""),1)"),"#REF!")</f>
        <v>#REF!</v>
      </c>
      <c r="N429" s="3" t="str">
        <f>IFERROR(__xludf.DUMMYFUNCTION("MID(REGEXEXTRACT(H429,"" [^ ]* [^ ]*""),2,300)"),"#REF!")</f>
        <v>#REF!</v>
      </c>
      <c r="O429" s="3" t="str">
        <f>IFERROR(__xludf.DUMMYFUNCTION("INDEX(SPLIT(I429,"" ""),1)"),"#REF!")</f>
        <v>#REF!</v>
      </c>
      <c r="P429" s="3" t="str">
        <f>IFERROR(__xludf.DUMMYFUNCTION("MID(REGEXEXTRACT(I429,"" [^ ]* [^ ]*""),2,300)"),"#REF!")</f>
        <v>#REF!</v>
      </c>
      <c r="Q429" s="3" t="str">
        <f>IFERROR(__xludf.DUMMYFUNCTION("INDEX(SPLIT(J429,"" ""),1)"),"#REF!")</f>
        <v>#REF!</v>
      </c>
      <c r="R429" s="3" t="str">
        <f>IFERROR(__xludf.DUMMYFUNCTION("MID(REGEXEXTRACT(J429,"" [^ ]* [^ ]*""),2,300)"),"#REF!")</f>
        <v>#REF!</v>
      </c>
      <c r="S429" s="3">
        <f t="shared" si="2"/>
        <v>5</v>
      </c>
      <c r="T429" s="3" t="str">
        <f t="shared" si="3"/>
        <v>drab tomato</v>
      </c>
      <c r="U429" s="3" t="str">
        <f t="shared" si="4"/>
        <v/>
      </c>
      <c r="V429" s="3" t="str">
        <f t="shared" si="5"/>
        <v/>
      </c>
      <c r="W429" s="3" t="str">
        <f t="shared" si="6"/>
        <v/>
      </c>
      <c r="X429" s="3" t="str">
        <f t="shared" si="7"/>
        <v/>
      </c>
      <c r="Y429" s="3" t="str">
        <f t="shared" si="8"/>
        <v/>
      </c>
      <c r="Z429" s="3" t="str">
        <f t="shared" si="9"/>
        <v/>
      </c>
      <c r="AA429" s="13">
        <f t="shared" si="10"/>
        <v>193436</v>
      </c>
      <c r="AB429" s="3">
        <f t="shared" si="11"/>
        <v>193435</v>
      </c>
      <c r="AC429" s="3">
        <f t="shared" si="12"/>
        <v>5</v>
      </c>
      <c r="AD429" s="3">
        <f t="shared" si="13"/>
        <v>38687</v>
      </c>
      <c r="AE429" s="3" t="str">
        <f t="shared" si="14"/>
        <v/>
      </c>
      <c r="AF429" s="3">
        <f t="shared" si="15"/>
        <v>0</v>
      </c>
      <c r="AG429" s="3" t="str">
        <f t="shared" si="16"/>
        <v/>
      </c>
      <c r="AH429" s="3">
        <f t="shared" si="17"/>
        <v>0</v>
      </c>
      <c r="AI429" s="3" t="str">
        <f t="shared" si="18"/>
        <v/>
      </c>
      <c r="AJ429" s="3">
        <f t="shared" si="19"/>
        <v>0</v>
      </c>
    </row>
    <row r="430">
      <c r="C430" s="6" t="s">
        <v>430</v>
      </c>
      <c r="D430" s="3">
        <f t="shared" si="1"/>
        <v>3</v>
      </c>
      <c r="E430" s="3" t="str">
        <f>IFERROR(__xludf.DUMMYFUNCTION("REGEXEXTRACT(C430,""[^ ]* [^ ]*"")"),"muted silver")</f>
        <v>muted silver</v>
      </c>
      <c r="F430" s="3" t="str">
        <f>IFERROR(__xludf.DUMMYFUNCTION("MID(REGEXEXTRACT(C430,""contain.*$""),9,300)"),"3 striped lime bags, 3 dim orange bags, 3 muted aqua bags, 1 plaid black bag.")</f>
        <v>3 striped lime bags, 3 dim orange bags, 3 muted aqua bags, 1 plaid black bag.</v>
      </c>
      <c r="G430" s="3" t="str">
        <f>IFERROR(__xludf.DUMMYFUNCTION("INDEX(SPLIT($F430,"",""),COLUMN()-6)"),"3 striped lime bags")</f>
        <v>3 striped lime bags</v>
      </c>
      <c r="H430" s="3" t="str">
        <f>IFERROR(__xludf.DUMMYFUNCTION("MID(INDEX(SPLIT($F430,"",""),COLUMN()-6),2,300)"),"3 dim orange bags")</f>
        <v>3 dim orange bags</v>
      </c>
      <c r="I430" s="3" t="str">
        <f>IFERROR(__xludf.DUMMYFUNCTION("MID(INDEX(SPLIT($F430,"",""),COLUMN()-6),2,300)"),"3 muted aqua bags")</f>
        <v>3 muted aqua bags</v>
      </c>
      <c r="J430" s="3" t="str">
        <f>IFERROR(__xludf.DUMMYFUNCTION("MID(INDEX(SPLIT($F430,"",""),COLUMN()-6),2,300)"),"1 plaid black bag.")</f>
        <v>1 plaid black bag.</v>
      </c>
      <c r="K430" s="3">
        <f>IFERROR(__xludf.DUMMYFUNCTION("INDEX(SPLIT(G430,"" ""),1)"),3.0)</f>
        <v>3</v>
      </c>
      <c r="L430" s="3" t="str">
        <f>IFERROR(__xludf.DUMMYFUNCTION("REGEXEXTRACT(G430,"" [^ ]* [^ ]* "")")," striped lime ")</f>
        <v> striped lime </v>
      </c>
      <c r="M430" s="3">
        <f>IFERROR(__xludf.DUMMYFUNCTION("INDEX(SPLIT(H430,"" ""),1)"),3.0)</f>
        <v>3</v>
      </c>
      <c r="N430" s="3" t="str">
        <f>IFERROR(__xludf.DUMMYFUNCTION("MID(REGEXEXTRACT(H430,"" [^ ]* [^ ]*""),2,300)"),"dim orange")</f>
        <v>dim orange</v>
      </c>
      <c r="O430" s="3">
        <f>IFERROR(__xludf.DUMMYFUNCTION("INDEX(SPLIT(I430,"" ""),1)"),3.0)</f>
        <v>3</v>
      </c>
      <c r="P430" s="3" t="str">
        <f>IFERROR(__xludf.DUMMYFUNCTION("MID(REGEXEXTRACT(I430,"" [^ ]* [^ ]*""),2,300)"),"muted aqua")</f>
        <v>muted aqua</v>
      </c>
      <c r="Q430" s="3">
        <f>IFERROR(__xludf.DUMMYFUNCTION("INDEX(SPLIT(J430,"" ""),1)"),1.0)</f>
        <v>1</v>
      </c>
      <c r="R430" s="3" t="str">
        <f>IFERROR(__xludf.DUMMYFUNCTION("MID(REGEXEXTRACT(J430,"" [^ ]* [^ ]*""),2,300)"),"plaid black")</f>
        <v>plaid black</v>
      </c>
      <c r="S430" s="3">
        <f t="shared" si="2"/>
        <v>3</v>
      </c>
      <c r="T430" s="3" t="str">
        <f t="shared" si="3"/>
        <v>striped lime</v>
      </c>
      <c r="U430" s="3">
        <f t="shared" si="4"/>
        <v>3</v>
      </c>
      <c r="V430" s="3" t="str">
        <f t="shared" si="5"/>
        <v>dim orange</v>
      </c>
      <c r="W430" s="3">
        <f t="shared" si="6"/>
        <v>3</v>
      </c>
      <c r="X430" s="3" t="str">
        <f t="shared" si="7"/>
        <v>muted aqua</v>
      </c>
      <c r="Y430" s="3">
        <f t="shared" si="8"/>
        <v>1</v>
      </c>
      <c r="Z430" s="3" t="str">
        <f t="shared" si="9"/>
        <v>plaid black</v>
      </c>
      <c r="AA430" s="13">
        <f t="shared" si="10"/>
        <v>5232754824</v>
      </c>
      <c r="AB430" s="3">
        <f t="shared" si="11"/>
        <v>5232754823</v>
      </c>
      <c r="AC430" s="3">
        <f t="shared" si="12"/>
        <v>3</v>
      </c>
      <c r="AD430" s="3">
        <f t="shared" si="13"/>
        <v>12130</v>
      </c>
      <c r="AE430" s="3">
        <f t="shared" si="14"/>
        <v>3</v>
      </c>
      <c r="AF430" s="3">
        <f t="shared" si="15"/>
        <v>1699303326</v>
      </c>
      <c r="AG430" s="3">
        <f t="shared" si="16"/>
        <v>3</v>
      </c>
      <c r="AH430" s="3">
        <f t="shared" si="17"/>
        <v>30083</v>
      </c>
      <c r="AI430" s="3">
        <f t="shared" si="18"/>
        <v>1</v>
      </c>
      <c r="AJ430" s="3">
        <f t="shared" si="19"/>
        <v>134718206</v>
      </c>
    </row>
    <row r="431">
      <c r="C431" s="6" t="s">
        <v>431</v>
      </c>
      <c r="D431" s="3">
        <f t="shared" si="1"/>
        <v>3</v>
      </c>
      <c r="E431" s="3" t="str">
        <f>IFERROR(__xludf.DUMMYFUNCTION("REGEXEXTRACT(C431,""[^ ]* [^ ]*"")"),"pale violet")</f>
        <v>pale violet</v>
      </c>
      <c r="F431" s="3" t="str">
        <f>IFERROR(__xludf.DUMMYFUNCTION("MID(REGEXEXTRACT(C431,""contain.*$""),9,300)"),"1 mirrored gray bag, 1 dull gold bag, 1 wavy crimson bag, 1 pale magenta bag.")</f>
        <v>1 mirrored gray bag, 1 dull gold bag, 1 wavy crimson bag, 1 pale magenta bag.</v>
      </c>
      <c r="G431" s="3" t="str">
        <f>IFERROR(__xludf.DUMMYFUNCTION("INDEX(SPLIT($F431,"",""),COLUMN()-6)"),"1 mirrored gray bag")</f>
        <v>1 mirrored gray bag</v>
      </c>
      <c r="H431" s="3" t="str">
        <f>IFERROR(__xludf.DUMMYFUNCTION("MID(INDEX(SPLIT($F431,"",""),COLUMN()-6),2,300)"),"1 dull gold bag")</f>
        <v>1 dull gold bag</v>
      </c>
      <c r="I431" s="3" t="str">
        <f>IFERROR(__xludf.DUMMYFUNCTION("MID(INDEX(SPLIT($F431,"",""),COLUMN()-6),2,300)"),"1 wavy crimson bag")</f>
        <v>1 wavy crimson bag</v>
      </c>
      <c r="J431" s="3" t="str">
        <f>IFERROR(__xludf.DUMMYFUNCTION("MID(INDEX(SPLIT($F431,"",""),COLUMN()-6),2,300)"),"1 pale magenta bag.")</f>
        <v>1 pale magenta bag.</v>
      </c>
      <c r="K431" s="3">
        <f>IFERROR(__xludf.DUMMYFUNCTION("INDEX(SPLIT(G431,"" ""),1)"),1.0)</f>
        <v>1</v>
      </c>
      <c r="L431" s="3" t="str">
        <f>IFERROR(__xludf.DUMMYFUNCTION("REGEXEXTRACT(G431,"" [^ ]* [^ ]* "")")," mirrored gray ")</f>
        <v> mirrored gray </v>
      </c>
      <c r="M431" s="3">
        <f>IFERROR(__xludf.DUMMYFUNCTION("INDEX(SPLIT(H431,"" ""),1)"),1.0)</f>
        <v>1</v>
      </c>
      <c r="N431" s="3" t="str">
        <f>IFERROR(__xludf.DUMMYFUNCTION("MID(REGEXEXTRACT(H431,"" [^ ]* [^ ]*""),2,300)"),"dull gold")</f>
        <v>dull gold</v>
      </c>
      <c r="O431" s="3">
        <f>IFERROR(__xludf.DUMMYFUNCTION("INDEX(SPLIT(I431,"" ""),1)"),1.0)</f>
        <v>1</v>
      </c>
      <c r="P431" s="3" t="str">
        <f>IFERROR(__xludf.DUMMYFUNCTION("MID(REGEXEXTRACT(I431,"" [^ ]* [^ ]*""),2,300)"),"wavy crimson")</f>
        <v>wavy crimson</v>
      </c>
      <c r="Q431" s="3">
        <f>IFERROR(__xludf.DUMMYFUNCTION("INDEX(SPLIT(J431,"" ""),1)"),1.0)</f>
        <v>1</v>
      </c>
      <c r="R431" s="3" t="str">
        <f>IFERROR(__xludf.DUMMYFUNCTION("MID(REGEXEXTRACT(J431,"" [^ ]* [^ ]*""),2,300)"),"pale magenta")</f>
        <v>pale magenta</v>
      </c>
      <c r="S431" s="3">
        <f t="shared" si="2"/>
        <v>1</v>
      </c>
      <c r="T431" s="3" t="str">
        <f t="shared" si="3"/>
        <v>mirrored gray</v>
      </c>
      <c r="U431" s="3">
        <f t="shared" si="4"/>
        <v>1</v>
      </c>
      <c r="V431" s="3" t="str">
        <f t="shared" si="5"/>
        <v>dull gold</v>
      </c>
      <c r="W431" s="3">
        <f t="shared" si="6"/>
        <v>1</v>
      </c>
      <c r="X431" s="3" t="str">
        <f t="shared" si="7"/>
        <v>wavy crimson</v>
      </c>
      <c r="Y431" s="3">
        <f t="shared" si="8"/>
        <v>1</v>
      </c>
      <c r="Z431" s="3" t="str">
        <f t="shared" si="9"/>
        <v>pale magenta</v>
      </c>
      <c r="AA431" s="13">
        <f t="shared" si="10"/>
        <v>985224380</v>
      </c>
      <c r="AB431" s="3">
        <f t="shared" si="11"/>
        <v>985224379</v>
      </c>
      <c r="AC431" s="3">
        <f t="shared" si="12"/>
        <v>1</v>
      </c>
      <c r="AD431" s="3">
        <f t="shared" si="13"/>
        <v>8</v>
      </c>
      <c r="AE431" s="3">
        <f t="shared" si="14"/>
        <v>1</v>
      </c>
      <c r="AF431" s="3">
        <f t="shared" si="15"/>
        <v>1781</v>
      </c>
      <c r="AG431" s="3">
        <f t="shared" si="16"/>
        <v>1</v>
      </c>
      <c r="AH431" s="3">
        <f t="shared" si="17"/>
        <v>75933549</v>
      </c>
      <c r="AI431" s="3">
        <f t="shared" si="18"/>
        <v>1</v>
      </c>
      <c r="AJ431" s="3">
        <f t="shared" si="19"/>
        <v>909289041</v>
      </c>
    </row>
    <row r="432">
      <c r="C432" s="6" t="s">
        <v>432</v>
      </c>
      <c r="D432" s="3">
        <f t="shared" si="1"/>
        <v>0</v>
      </c>
      <c r="E432" s="3" t="str">
        <f>IFERROR(__xludf.DUMMYFUNCTION("REGEXEXTRACT(C432,""[^ ]* [^ ]*"")"),"dim olive")</f>
        <v>dim olive</v>
      </c>
      <c r="F432" s="3" t="str">
        <f>IFERROR(__xludf.DUMMYFUNCTION("MID(REGEXEXTRACT(C432,""contain.*$""),9,300)"),"no other bags.")</f>
        <v>no other bags.</v>
      </c>
      <c r="G432" s="3" t="str">
        <f>IFERROR(__xludf.DUMMYFUNCTION("INDEX(SPLIT($F432,"",""),COLUMN()-6)"),"no other bags.")</f>
        <v>no other bags.</v>
      </c>
      <c r="H432" s="3" t="str">
        <f>IFERROR(__xludf.DUMMYFUNCTION("MID(INDEX(SPLIT($F432,"",""),COLUMN()-6),2,300)"),"#REF!")</f>
        <v>#REF!</v>
      </c>
      <c r="I432" s="3" t="str">
        <f>IFERROR(__xludf.DUMMYFUNCTION("MID(INDEX(SPLIT($F432,"",""),COLUMN()-6),2,300)"),"#REF!")</f>
        <v>#REF!</v>
      </c>
      <c r="J432" s="3" t="str">
        <f>IFERROR(__xludf.DUMMYFUNCTION("MID(INDEX(SPLIT($F432,"",""),COLUMN()-6),2,300)"),"#REF!")</f>
        <v>#REF!</v>
      </c>
      <c r="K432" s="3" t="str">
        <f>IFERROR(__xludf.DUMMYFUNCTION("INDEX(SPLIT(G432,"" ""),1)"),"no")</f>
        <v>no</v>
      </c>
      <c r="L432" s="3" t="str">
        <f>IFERROR(__xludf.DUMMYFUNCTION("REGEXEXTRACT(G432,"" [^ ]* [^ ]* "")"),"#N/A")</f>
        <v>#N/A</v>
      </c>
      <c r="M432" s="3" t="str">
        <f>IFERROR(__xludf.DUMMYFUNCTION("INDEX(SPLIT(H432,"" ""),1)"),"#REF!")</f>
        <v>#REF!</v>
      </c>
      <c r="N432" s="3" t="str">
        <f>IFERROR(__xludf.DUMMYFUNCTION("MID(REGEXEXTRACT(H432,"" [^ ]* [^ ]*""),2,300)"),"#REF!")</f>
        <v>#REF!</v>
      </c>
      <c r="O432" s="3" t="str">
        <f>IFERROR(__xludf.DUMMYFUNCTION("INDEX(SPLIT(I432,"" ""),1)"),"#REF!")</f>
        <v>#REF!</v>
      </c>
      <c r="P432" s="3" t="str">
        <f>IFERROR(__xludf.DUMMYFUNCTION("MID(REGEXEXTRACT(I432,"" [^ ]* [^ ]*""),2,300)"),"#REF!")</f>
        <v>#REF!</v>
      </c>
      <c r="Q432" s="3" t="str">
        <f>IFERROR(__xludf.DUMMYFUNCTION("INDEX(SPLIT(J432,"" ""),1)"),"#REF!")</f>
        <v>#REF!</v>
      </c>
      <c r="R432" s="3" t="str">
        <f>IFERROR(__xludf.DUMMYFUNCTION("MID(REGEXEXTRACT(J432,"" [^ ]* [^ ]*""),2,300)"),"#REF!")</f>
        <v>#REF!</v>
      </c>
      <c r="S432" s="3" t="str">
        <f t="shared" si="2"/>
        <v/>
      </c>
      <c r="T432" s="3" t="str">
        <f t="shared" si="3"/>
        <v/>
      </c>
      <c r="U432" s="3" t="str">
        <f t="shared" si="4"/>
        <v/>
      </c>
      <c r="V432" s="3" t="str">
        <f t="shared" si="5"/>
        <v/>
      </c>
      <c r="W432" s="3" t="str">
        <f t="shared" si="6"/>
        <v/>
      </c>
      <c r="X432" s="3" t="str">
        <f t="shared" si="7"/>
        <v/>
      </c>
      <c r="Y432" s="3" t="str">
        <f t="shared" si="8"/>
        <v/>
      </c>
      <c r="Z432" s="3" t="str">
        <f t="shared" si="9"/>
        <v/>
      </c>
      <c r="AA432" s="13">
        <f t="shared" si="10"/>
        <v>1</v>
      </c>
      <c r="AB432" s="3">
        <f t="shared" si="11"/>
        <v>0</v>
      </c>
      <c r="AC432" s="3" t="str">
        <f t="shared" si="12"/>
        <v/>
      </c>
      <c r="AD432" s="3">
        <f t="shared" si="13"/>
        <v>0</v>
      </c>
      <c r="AE432" s="3" t="str">
        <f t="shared" si="14"/>
        <v/>
      </c>
      <c r="AF432" s="3">
        <f t="shared" si="15"/>
        <v>0</v>
      </c>
      <c r="AG432" s="3" t="str">
        <f t="shared" si="16"/>
        <v/>
      </c>
      <c r="AH432" s="3">
        <f t="shared" si="17"/>
        <v>0</v>
      </c>
      <c r="AI432" s="3" t="str">
        <f t="shared" si="18"/>
        <v/>
      </c>
      <c r="AJ432" s="3">
        <f t="shared" si="19"/>
        <v>0</v>
      </c>
    </row>
    <row r="433">
      <c r="C433" s="6" t="s">
        <v>433</v>
      </c>
      <c r="D433" s="3">
        <f t="shared" si="1"/>
        <v>0</v>
      </c>
      <c r="E433" s="3" t="str">
        <f>IFERROR(__xludf.DUMMYFUNCTION("REGEXEXTRACT(C433,""[^ ]* [^ ]*"")"),"mirrored bronze")</f>
        <v>mirrored bronze</v>
      </c>
      <c r="F433" s="3" t="str">
        <f>IFERROR(__xludf.DUMMYFUNCTION("MID(REGEXEXTRACT(C433,""contain.*$""),9,300)"),"2 drab white bags.")</f>
        <v>2 drab white bags.</v>
      </c>
      <c r="G433" s="3" t="str">
        <f>IFERROR(__xludf.DUMMYFUNCTION("INDEX(SPLIT($F433,"",""),COLUMN()-6)"),"2 drab white bags.")</f>
        <v>2 drab white bags.</v>
      </c>
      <c r="H433" s="3" t="str">
        <f>IFERROR(__xludf.DUMMYFUNCTION("MID(INDEX(SPLIT($F433,"",""),COLUMN()-6),2,300)"),"#REF!")</f>
        <v>#REF!</v>
      </c>
      <c r="I433" s="3" t="str">
        <f>IFERROR(__xludf.DUMMYFUNCTION("MID(INDEX(SPLIT($F433,"",""),COLUMN()-6),2,300)"),"#REF!")</f>
        <v>#REF!</v>
      </c>
      <c r="J433" s="3" t="str">
        <f>IFERROR(__xludf.DUMMYFUNCTION("MID(INDEX(SPLIT($F433,"",""),COLUMN()-6),2,300)"),"#REF!")</f>
        <v>#REF!</v>
      </c>
      <c r="K433" s="3">
        <f>IFERROR(__xludf.DUMMYFUNCTION("INDEX(SPLIT(G433,"" ""),1)"),2.0)</f>
        <v>2</v>
      </c>
      <c r="L433" s="3" t="str">
        <f>IFERROR(__xludf.DUMMYFUNCTION("REGEXEXTRACT(G433,"" [^ ]* [^ ]* "")")," drab white ")</f>
        <v> drab white </v>
      </c>
      <c r="M433" s="3" t="str">
        <f>IFERROR(__xludf.DUMMYFUNCTION("INDEX(SPLIT(H433,"" ""),1)"),"#REF!")</f>
        <v>#REF!</v>
      </c>
      <c r="N433" s="3" t="str">
        <f>IFERROR(__xludf.DUMMYFUNCTION("MID(REGEXEXTRACT(H433,"" [^ ]* [^ ]*""),2,300)"),"#REF!")</f>
        <v>#REF!</v>
      </c>
      <c r="O433" s="3" t="str">
        <f>IFERROR(__xludf.DUMMYFUNCTION("INDEX(SPLIT(I433,"" ""),1)"),"#REF!")</f>
        <v>#REF!</v>
      </c>
      <c r="P433" s="3" t="str">
        <f>IFERROR(__xludf.DUMMYFUNCTION("MID(REGEXEXTRACT(I433,"" [^ ]* [^ ]*""),2,300)"),"#REF!")</f>
        <v>#REF!</v>
      </c>
      <c r="Q433" s="3" t="str">
        <f>IFERROR(__xludf.DUMMYFUNCTION("INDEX(SPLIT(J433,"" ""),1)"),"#REF!")</f>
        <v>#REF!</v>
      </c>
      <c r="R433" s="3" t="str">
        <f>IFERROR(__xludf.DUMMYFUNCTION("MID(REGEXEXTRACT(J433,"" [^ ]* [^ ]*""),2,300)"),"#REF!")</f>
        <v>#REF!</v>
      </c>
      <c r="S433" s="3">
        <f t="shared" si="2"/>
        <v>2</v>
      </c>
      <c r="T433" s="3" t="str">
        <f t="shared" si="3"/>
        <v>drab white</v>
      </c>
      <c r="U433" s="3" t="str">
        <f t="shared" si="4"/>
        <v/>
      </c>
      <c r="V433" s="3" t="str">
        <f t="shared" si="5"/>
        <v/>
      </c>
      <c r="W433" s="3" t="str">
        <f t="shared" si="6"/>
        <v/>
      </c>
      <c r="X433" s="3" t="str">
        <f t="shared" si="7"/>
        <v/>
      </c>
      <c r="Y433" s="3" t="str">
        <f t="shared" si="8"/>
        <v/>
      </c>
      <c r="Z433" s="3" t="str">
        <f t="shared" si="9"/>
        <v/>
      </c>
      <c r="AA433" s="13">
        <f t="shared" si="10"/>
        <v>29923</v>
      </c>
      <c r="AB433" s="3">
        <f t="shared" si="11"/>
        <v>29922</v>
      </c>
      <c r="AC433" s="3">
        <f t="shared" si="12"/>
        <v>2</v>
      </c>
      <c r="AD433" s="3">
        <f t="shared" si="13"/>
        <v>14961</v>
      </c>
      <c r="AE433" s="3" t="str">
        <f t="shared" si="14"/>
        <v/>
      </c>
      <c r="AF433" s="3">
        <f t="shared" si="15"/>
        <v>0</v>
      </c>
      <c r="AG433" s="3" t="str">
        <f t="shared" si="16"/>
        <v/>
      </c>
      <c r="AH433" s="3">
        <f t="shared" si="17"/>
        <v>0</v>
      </c>
      <c r="AI433" s="3" t="str">
        <f t="shared" si="18"/>
        <v/>
      </c>
      <c r="AJ433" s="3">
        <f t="shared" si="19"/>
        <v>0</v>
      </c>
    </row>
    <row r="434">
      <c r="C434" s="6" t="s">
        <v>434</v>
      </c>
      <c r="D434" s="3">
        <f t="shared" si="1"/>
        <v>3</v>
      </c>
      <c r="E434" s="3" t="str">
        <f>IFERROR(__xludf.DUMMYFUNCTION("REGEXEXTRACT(C434,""[^ ]* [^ ]*"")"),"dull green")</f>
        <v>dull green</v>
      </c>
      <c r="F434" s="3" t="str">
        <f>IFERROR(__xludf.DUMMYFUNCTION("MID(REGEXEXTRACT(C434,""contain.*$""),9,300)"),"1 striped silver bag, 2 bright orange bags, 4 dull yellow bags, 4 dotted chartreuse bags.")</f>
        <v>1 striped silver bag, 2 bright orange bags, 4 dull yellow bags, 4 dotted chartreuse bags.</v>
      </c>
      <c r="G434" s="3" t="str">
        <f>IFERROR(__xludf.DUMMYFUNCTION("INDEX(SPLIT($F434,"",""),COLUMN()-6)"),"1 striped silver bag")</f>
        <v>1 striped silver bag</v>
      </c>
      <c r="H434" s="3" t="str">
        <f>IFERROR(__xludf.DUMMYFUNCTION("MID(INDEX(SPLIT($F434,"",""),COLUMN()-6),2,300)"),"2 bright orange bags")</f>
        <v>2 bright orange bags</v>
      </c>
      <c r="I434" s="3" t="str">
        <f>IFERROR(__xludf.DUMMYFUNCTION("MID(INDEX(SPLIT($F434,"",""),COLUMN()-6),2,300)"),"4 dull yellow bags")</f>
        <v>4 dull yellow bags</v>
      </c>
      <c r="J434" s="3" t="str">
        <f>IFERROR(__xludf.DUMMYFUNCTION("MID(INDEX(SPLIT($F434,"",""),COLUMN()-6),2,300)"),"4 dotted chartreuse bags.")</f>
        <v>4 dotted chartreuse bags.</v>
      </c>
      <c r="K434" s="3">
        <f>IFERROR(__xludf.DUMMYFUNCTION("INDEX(SPLIT(G434,"" ""),1)"),1.0)</f>
        <v>1</v>
      </c>
      <c r="L434" s="3" t="str">
        <f>IFERROR(__xludf.DUMMYFUNCTION("REGEXEXTRACT(G434,"" [^ ]* [^ ]* "")")," striped silver ")</f>
        <v> striped silver </v>
      </c>
      <c r="M434" s="3">
        <f>IFERROR(__xludf.DUMMYFUNCTION("INDEX(SPLIT(H434,"" ""),1)"),2.0)</f>
        <v>2</v>
      </c>
      <c r="N434" s="3" t="str">
        <f>IFERROR(__xludf.DUMMYFUNCTION("MID(REGEXEXTRACT(H434,"" [^ ]* [^ ]*""),2,300)"),"bright orange")</f>
        <v>bright orange</v>
      </c>
      <c r="O434" s="3">
        <f>IFERROR(__xludf.DUMMYFUNCTION("INDEX(SPLIT(I434,"" ""),1)"),4.0)</f>
        <v>4</v>
      </c>
      <c r="P434" s="3" t="str">
        <f>IFERROR(__xludf.DUMMYFUNCTION("MID(REGEXEXTRACT(I434,"" [^ ]* [^ ]*""),2,300)"),"dull yellow")</f>
        <v>dull yellow</v>
      </c>
      <c r="Q434" s="3">
        <f>IFERROR(__xludf.DUMMYFUNCTION("INDEX(SPLIT(J434,"" ""),1)"),4.0)</f>
        <v>4</v>
      </c>
      <c r="R434" s="3" t="str">
        <f>IFERROR(__xludf.DUMMYFUNCTION("MID(REGEXEXTRACT(J434,"" [^ ]* [^ ]*""),2,300)"),"dotted chartreuse")</f>
        <v>dotted chartreuse</v>
      </c>
      <c r="S434" s="3">
        <f t="shared" si="2"/>
        <v>1</v>
      </c>
      <c r="T434" s="3" t="str">
        <f t="shared" si="3"/>
        <v>striped silver</v>
      </c>
      <c r="U434" s="3">
        <f t="shared" si="4"/>
        <v>2</v>
      </c>
      <c r="V434" s="3" t="str">
        <f t="shared" si="5"/>
        <v>bright orange</v>
      </c>
      <c r="W434" s="3">
        <f t="shared" si="6"/>
        <v>4</v>
      </c>
      <c r="X434" s="3" t="str">
        <f t="shared" si="7"/>
        <v>dull yellow</v>
      </c>
      <c r="Y434" s="3">
        <f t="shared" si="8"/>
        <v>4</v>
      </c>
      <c r="Z434" s="3" t="str">
        <f t="shared" si="9"/>
        <v>dotted chartreuse</v>
      </c>
      <c r="AA434" s="13">
        <f t="shared" si="10"/>
        <v>1072376</v>
      </c>
      <c r="AB434" s="3">
        <f t="shared" si="11"/>
        <v>1072375</v>
      </c>
      <c r="AC434" s="3">
        <f t="shared" si="12"/>
        <v>1</v>
      </c>
      <c r="AD434" s="3">
        <f t="shared" si="13"/>
        <v>19119</v>
      </c>
      <c r="AE434" s="3">
        <f t="shared" si="14"/>
        <v>2</v>
      </c>
      <c r="AF434" s="3">
        <f t="shared" si="15"/>
        <v>2666</v>
      </c>
      <c r="AG434" s="3">
        <f t="shared" si="16"/>
        <v>4</v>
      </c>
      <c r="AH434" s="3">
        <f t="shared" si="17"/>
        <v>190019</v>
      </c>
      <c r="AI434" s="3">
        <f t="shared" si="18"/>
        <v>4</v>
      </c>
      <c r="AJ434" s="3">
        <f t="shared" si="19"/>
        <v>71962</v>
      </c>
    </row>
    <row r="435">
      <c r="C435" s="6" t="s">
        <v>435</v>
      </c>
      <c r="D435" s="3">
        <f t="shared" si="1"/>
        <v>3</v>
      </c>
      <c r="E435" s="3" t="str">
        <f>IFERROR(__xludf.DUMMYFUNCTION("REGEXEXTRACT(C435,""[^ ]* [^ ]*"")"),"bright gray")</f>
        <v>bright gray</v>
      </c>
      <c r="F435" s="3" t="str">
        <f>IFERROR(__xludf.DUMMYFUNCTION("MID(REGEXEXTRACT(C435,""contain.*$""),9,300)"),"1 striped gray bag, 5 dull teal bags, 4 light beige bags, 2 vibrant orange bags.")</f>
        <v>1 striped gray bag, 5 dull teal bags, 4 light beige bags, 2 vibrant orange bags.</v>
      </c>
      <c r="G435" s="3" t="str">
        <f>IFERROR(__xludf.DUMMYFUNCTION("INDEX(SPLIT($F435,"",""),COLUMN()-6)"),"1 striped gray bag")</f>
        <v>1 striped gray bag</v>
      </c>
      <c r="H435" s="3" t="str">
        <f>IFERROR(__xludf.DUMMYFUNCTION("MID(INDEX(SPLIT($F435,"",""),COLUMN()-6),2,300)"),"5 dull teal bags")</f>
        <v>5 dull teal bags</v>
      </c>
      <c r="I435" s="3" t="str">
        <f>IFERROR(__xludf.DUMMYFUNCTION("MID(INDEX(SPLIT($F435,"",""),COLUMN()-6),2,300)"),"4 light beige bags")</f>
        <v>4 light beige bags</v>
      </c>
      <c r="J435" s="3" t="str">
        <f>IFERROR(__xludf.DUMMYFUNCTION("MID(INDEX(SPLIT($F435,"",""),COLUMN()-6),2,300)"),"2 vibrant orange bags.")</f>
        <v>2 vibrant orange bags.</v>
      </c>
      <c r="K435" s="3">
        <f>IFERROR(__xludf.DUMMYFUNCTION("INDEX(SPLIT(G435,"" ""),1)"),1.0)</f>
        <v>1</v>
      </c>
      <c r="L435" s="3" t="str">
        <f>IFERROR(__xludf.DUMMYFUNCTION("REGEXEXTRACT(G435,"" [^ ]* [^ ]* "")")," striped gray ")</f>
        <v> striped gray </v>
      </c>
      <c r="M435" s="3">
        <f>IFERROR(__xludf.DUMMYFUNCTION("INDEX(SPLIT(H435,"" ""),1)"),5.0)</f>
        <v>5</v>
      </c>
      <c r="N435" s="3" t="str">
        <f>IFERROR(__xludf.DUMMYFUNCTION("MID(REGEXEXTRACT(H435,"" [^ ]* [^ ]*""),2,300)"),"dull teal")</f>
        <v>dull teal</v>
      </c>
      <c r="O435" s="3">
        <f>IFERROR(__xludf.DUMMYFUNCTION("INDEX(SPLIT(I435,"" ""),1)"),4.0)</f>
        <v>4</v>
      </c>
      <c r="P435" s="3" t="str">
        <f>IFERROR(__xludf.DUMMYFUNCTION("MID(REGEXEXTRACT(I435,"" [^ ]* [^ ]*""),2,300)"),"light beige")</f>
        <v>light beige</v>
      </c>
      <c r="Q435" s="3">
        <f>IFERROR(__xludf.DUMMYFUNCTION("INDEX(SPLIT(J435,"" ""),1)"),2.0)</f>
        <v>2</v>
      </c>
      <c r="R435" s="3" t="str">
        <f>IFERROR(__xludf.DUMMYFUNCTION("MID(REGEXEXTRACT(J435,"" [^ ]* [^ ]*""),2,300)"),"vibrant orange")</f>
        <v>vibrant orange</v>
      </c>
      <c r="S435" s="3">
        <f t="shared" si="2"/>
        <v>1</v>
      </c>
      <c r="T435" s="3" t="str">
        <f t="shared" si="3"/>
        <v>striped gray</v>
      </c>
      <c r="U435" s="3">
        <f t="shared" si="4"/>
        <v>5</v>
      </c>
      <c r="V435" s="3" t="str">
        <f t="shared" si="5"/>
        <v>dull teal</v>
      </c>
      <c r="W435" s="3">
        <f t="shared" si="6"/>
        <v>4</v>
      </c>
      <c r="X435" s="3" t="str">
        <f t="shared" si="7"/>
        <v>light beige</v>
      </c>
      <c r="Y435" s="3">
        <f t="shared" si="8"/>
        <v>2</v>
      </c>
      <c r="Z435" s="3" t="str">
        <f t="shared" si="9"/>
        <v>vibrant orange</v>
      </c>
      <c r="AA435" s="13">
        <f t="shared" si="10"/>
        <v>31045906438</v>
      </c>
      <c r="AB435" s="3">
        <f t="shared" si="11"/>
        <v>31045906437</v>
      </c>
      <c r="AC435" s="3">
        <f t="shared" si="12"/>
        <v>1</v>
      </c>
      <c r="AD435" s="3">
        <f t="shared" si="13"/>
        <v>203468</v>
      </c>
      <c r="AE435" s="3">
        <f t="shared" si="14"/>
        <v>5</v>
      </c>
      <c r="AF435" s="3">
        <f t="shared" si="15"/>
        <v>6184519899</v>
      </c>
      <c r="AG435" s="3">
        <f t="shared" si="16"/>
        <v>4</v>
      </c>
      <c r="AH435" s="3">
        <f t="shared" si="17"/>
        <v>30775348</v>
      </c>
      <c r="AI435" s="3">
        <f t="shared" si="18"/>
        <v>2</v>
      </c>
      <c r="AJ435" s="3">
        <f t="shared" si="19"/>
        <v>1041</v>
      </c>
    </row>
    <row r="436">
      <c r="C436" s="6" t="s">
        <v>436</v>
      </c>
      <c r="D436" s="3">
        <f t="shared" si="1"/>
        <v>3</v>
      </c>
      <c r="E436" s="3" t="str">
        <f>IFERROR(__xludf.DUMMYFUNCTION("REGEXEXTRACT(C436,""[^ ]* [^ ]*"")"),"light indigo")</f>
        <v>light indigo</v>
      </c>
      <c r="F436" s="3" t="str">
        <f>IFERROR(__xludf.DUMMYFUNCTION("MID(REGEXEXTRACT(C436,""contain.*$""),9,300)"),"1 dim maroon bag, 4 dark indigo bags, 1 dark brown bag, 2 muted beige bags.")</f>
        <v>1 dim maroon bag, 4 dark indigo bags, 1 dark brown bag, 2 muted beige bags.</v>
      </c>
      <c r="G436" s="3" t="str">
        <f>IFERROR(__xludf.DUMMYFUNCTION("INDEX(SPLIT($F436,"",""),COLUMN()-6)"),"1 dim maroon bag")</f>
        <v>1 dim maroon bag</v>
      </c>
      <c r="H436" s="3" t="str">
        <f>IFERROR(__xludf.DUMMYFUNCTION("MID(INDEX(SPLIT($F436,"",""),COLUMN()-6),2,300)"),"4 dark indigo bags")</f>
        <v>4 dark indigo bags</v>
      </c>
      <c r="I436" s="3" t="str">
        <f>IFERROR(__xludf.DUMMYFUNCTION("MID(INDEX(SPLIT($F436,"",""),COLUMN()-6),2,300)"),"1 dark brown bag")</f>
        <v>1 dark brown bag</v>
      </c>
      <c r="J436" s="3" t="str">
        <f>IFERROR(__xludf.DUMMYFUNCTION("MID(INDEX(SPLIT($F436,"",""),COLUMN()-6),2,300)"),"2 muted beige bags.")</f>
        <v>2 muted beige bags.</v>
      </c>
      <c r="K436" s="3">
        <f>IFERROR(__xludf.DUMMYFUNCTION("INDEX(SPLIT(G436,"" ""),1)"),1.0)</f>
        <v>1</v>
      </c>
      <c r="L436" s="3" t="str">
        <f>IFERROR(__xludf.DUMMYFUNCTION("REGEXEXTRACT(G436,"" [^ ]* [^ ]* "")")," dim maroon ")</f>
        <v> dim maroon </v>
      </c>
      <c r="M436" s="3">
        <f>IFERROR(__xludf.DUMMYFUNCTION("INDEX(SPLIT(H436,"" ""),1)"),4.0)</f>
        <v>4</v>
      </c>
      <c r="N436" s="3" t="str">
        <f>IFERROR(__xludf.DUMMYFUNCTION("MID(REGEXEXTRACT(H436,"" [^ ]* [^ ]*""),2,300)"),"dark indigo")</f>
        <v>dark indigo</v>
      </c>
      <c r="O436" s="3">
        <f>IFERROR(__xludf.DUMMYFUNCTION("INDEX(SPLIT(I436,"" ""),1)"),1.0)</f>
        <v>1</v>
      </c>
      <c r="P436" s="3" t="str">
        <f>IFERROR(__xludf.DUMMYFUNCTION("MID(REGEXEXTRACT(I436,"" [^ ]* [^ ]*""),2,300)"),"dark brown")</f>
        <v>dark brown</v>
      </c>
      <c r="Q436" s="3">
        <f>IFERROR(__xludf.DUMMYFUNCTION("INDEX(SPLIT(J436,"" ""),1)"),2.0)</f>
        <v>2</v>
      </c>
      <c r="R436" s="3" t="str">
        <f>IFERROR(__xludf.DUMMYFUNCTION("MID(REGEXEXTRACT(J436,"" [^ ]* [^ ]*""),2,300)"),"muted beige")</f>
        <v>muted beige</v>
      </c>
      <c r="S436" s="3">
        <f t="shared" si="2"/>
        <v>1</v>
      </c>
      <c r="T436" s="3" t="str">
        <f t="shared" si="3"/>
        <v>dim maroon</v>
      </c>
      <c r="U436" s="3">
        <f t="shared" si="4"/>
        <v>4</v>
      </c>
      <c r="V436" s="3" t="str">
        <f t="shared" si="5"/>
        <v>dark indigo</v>
      </c>
      <c r="W436" s="3">
        <f t="shared" si="6"/>
        <v>1</v>
      </c>
      <c r="X436" s="3" t="str">
        <f t="shared" si="7"/>
        <v>dark brown</v>
      </c>
      <c r="Y436" s="3">
        <f t="shared" si="8"/>
        <v>2</v>
      </c>
      <c r="Z436" s="3" t="str">
        <f t="shared" si="9"/>
        <v>muted beige</v>
      </c>
      <c r="AA436" s="13">
        <f t="shared" si="10"/>
        <v>3065952097</v>
      </c>
      <c r="AB436" s="3">
        <f t="shared" si="11"/>
        <v>3065952096</v>
      </c>
      <c r="AC436" s="3">
        <f t="shared" si="12"/>
        <v>1</v>
      </c>
      <c r="AD436" s="3">
        <f t="shared" si="13"/>
        <v>12033</v>
      </c>
      <c r="AE436" s="3">
        <f t="shared" si="14"/>
        <v>4</v>
      </c>
      <c r="AF436" s="3">
        <f t="shared" si="15"/>
        <v>756963601</v>
      </c>
      <c r="AG436" s="3">
        <f t="shared" si="16"/>
        <v>1</v>
      </c>
      <c r="AH436" s="3">
        <f t="shared" si="17"/>
        <v>134569</v>
      </c>
      <c r="AI436" s="3">
        <f t="shared" si="18"/>
        <v>2</v>
      </c>
      <c r="AJ436" s="3">
        <f t="shared" si="19"/>
        <v>18975545</v>
      </c>
    </row>
    <row r="437">
      <c r="C437" s="6" t="s">
        <v>437</v>
      </c>
      <c r="D437" s="3">
        <f t="shared" si="1"/>
        <v>0</v>
      </c>
      <c r="E437" s="3" t="str">
        <f>IFERROR(__xludf.DUMMYFUNCTION("REGEXEXTRACT(C437,""[^ ]* [^ ]*"")"),"bright magenta")</f>
        <v>bright magenta</v>
      </c>
      <c r="F437" s="3" t="str">
        <f>IFERROR(__xludf.DUMMYFUNCTION("MID(REGEXEXTRACT(C437,""contain.*$""),9,300)"),"2 muted lime bags.")</f>
        <v>2 muted lime bags.</v>
      </c>
      <c r="G437" s="3" t="str">
        <f>IFERROR(__xludf.DUMMYFUNCTION("INDEX(SPLIT($F437,"",""),COLUMN()-6)"),"2 muted lime bags.")</f>
        <v>2 muted lime bags.</v>
      </c>
      <c r="H437" s="3" t="str">
        <f>IFERROR(__xludf.DUMMYFUNCTION("MID(INDEX(SPLIT($F437,"",""),COLUMN()-6),2,300)"),"#REF!")</f>
        <v>#REF!</v>
      </c>
      <c r="I437" s="3" t="str">
        <f>IFERROR(__xludf.DUMMYFUNCTION("MID(INDEX(SPLIT($F437,"",""),COLUMN()-6),2,300)"),"#REF!")</f>
        <v>#REF!</v>
      </c>
      <c r="J437" s="3" t="str">
        <f>IFERROR(__xludf.DUMMYFUNCTION("MID(INDEX(SPLIT($F437,"",""),COLUMN()-6),2,300)"),"#REF!")</f>
        <v>#REF!</v>
      </c>
      <c r="K437" s="3">
        <f>IFERROR(__xludf.DUMMYFUNCTION("INDEX(SPLIT(G437,"" ""),1)"),2.0)</f>
        <v>2</v>
      </c>
      <c r="L437" s="3" t="str">
        <f>IFERROR(__xludf.DUMMYFUNCTION("REGEXEXTRACT(G437,"" [^ ]* [^ ]* "")")," muted lime ")</f>
        <v> muted lime </v>
      </c>
      <c r="M437" s="3" t="str">
        <f>IFERROR(__xludf.DUMMYFUNCTION("INDEX(SPLIT(H437,"" ""),1)"),"#REF!")</f>
        <v>#REF!</v>
      </c>
      <c r="N437" s="3" t="str">
        <f>IFERROR(__xludf.DUMMYFUNCTION("MID(REGEXEXTRACT(H437,"" [^ ]* [^ ]*""),2,300)"),"#REF!")</f>
        <v>#REF!</v>
      </c>
      <c r="O437" s="3" t="str">
        <f>IFERROR(__xludf.DUMMYFUNCTION("INDEX(SPLIT(I437,"" ""),1)"),"#REF!")</f>
        <v>#REF!</v>
      </c>
      <c r="P437" s="3" t="str">
        <f>IFERROR(__xludf.DUMMYFUNCTION("MID(REGEXEXTRACT(I437,"" [^ ]* [^ ]*""),2,300)"),"#REF!")</f>
        <v>#REF!</v>
      </c>
      <c r="Q437" s="3" t="str">
        <f>IFERROR(__xludf.DUMMYFUNCTION("INDEX(SPLIT(J437,"" ""),1)"),"#REF!")</f>
        <v>#REF!</v>
      </c>
      <c r="R437" s="3" t="str">
        <f>IFERROR(__xludf.DUMMYFUNCTION("MID(REGEXEXTRACT(J437,"" [^ ]* [^ ]*""),2,300)"),"#REF!")</f>
        <v>#REF!</v>
      </c>
      <c r="S437" s="3">
        <f t="shared" si="2"/>
        <v>2</v>
      </c>
      <c r="T437" s="3" t="str">
        <f t="shared" si="3"/>
        <v>muted lime</v>
      </c>
      <c r="U437" s="3" t="str">
        <f t="shared" si="4"/>
        <v/>
      </c>
      <c r="V437" s="3" t="str">
        <f t="shared" si="5"/>
        <v/>
      </c>
      <c r="W437" s="3" t="str">
        <f t="shared" si="6"/>
        <v/>
      </c>
      <c r="X437" s="3" t="str">
        <f t="shared" si="7"/>
        <v/>
      </c>
      <c r="Y437" s="3" t="str">
        <f t="shared" si="8"/>
        <v/>
      </c>
      <c r="Z437" s="3" t="str">
        <f t="shared" si="9"/>
        <v/>
      </c>
      <c r="AA437" s="13">
        <f t="shared" si="10"/>
        <v>210190173</v>
      </c>
      <c r="AB437" s="3">
        <f t="shared" si="11"/>
        <v>210190172</v>
      </c>
      <c r="AC437" s="3">
        <f t="shared" si="12"/>
        <v>2</v>
      </c>
      <c r="AD437" s="3">
        <f t="shared" si="13"/>
        <v>105095086</v>
      </c>
      <c r="AE437" s="3" t="str">
        <f t="shared" si="14"/>
        <v/>
      </c>
      <c r="AF437" s="3">
        <f t="shared" si="15"/>
        <v>0</v>
      </c>
      <c r="AG437" s="3" t="str">
        <f t="shared" si="16"/>
        <v/>
      </c>
      <c r="AH437" s="3">
        <f t="shared" si="17"/>
        <v>0</v>
      </c>
      <c r="AI437" s="3" t="str">
        <f t="shared" si="18"/>
        <v/>
      </c>
      <c r="AJ437" s="3">
        <f t="shared" si="19"/>
        <v>0</v>
      </c>
    </row>
    <row r="438">
      <c r="C438" s="6" t="s">
        <v>438</v>
      </c>
      <c r="D438" s="3">
        <f t="shared" si="1"/>
        <v>1</v>
      </c>
      <c r="E438" s="3" t="str">
        <f>IFERROR(__xludf.DUMMYFUNCTION("REGEXEXTRACT(C438,""[^ ]* [^ ]*"")"),"posh crimson")</f>
        <v>posh crimson</v>
      </c>
      <c r="F438" s="3" t="str">
        <f>IFERROR(__xludf.DUMMYFUNCTION("MID(REGEXEXTRACT(C438,""contain.*$""),9,300)"),"4 pale indigo bags, 2 faded green bags.")</f>
        <v>4 pale indigo bags, 2 faded green bags.</v>
      </c>
      <c r="G438" s="3" t="str">
        <f>IFERROR(__xludf.DUMMYFUNCTION("INDEX(SPLIT($F438,"",""),COLUMN()-6)"),"4 pale indigo bags")</f>
        <v>4 pale indigo bags</v>
      </c>
      <c r="H438" s="3" t="str">
        <f>IFERROR(__xludf.DUMMYFUNCTION("MID(INDEX(SPLIT($F438,"",""),COLUMN()-6),2,300)"),"2 faded green bags.")</f>
        <v>2 faded green bags.</v>
      </c>
      <c r="I438" s="3" t="str">
        <f>IFERROR(__xludf.DUMMYFUNCTION("MID(INDEX(SPLIT($F438,"",""),COLUMN()-6),2,300)"),"#REF!")</f>
        <v>#REF!</v>
      </c>
      <c r="J438" s="3" t="str">
        <f>IFERROR(__xludf.DUMMYFUNCTION("MID(INDEX(SPLIT($F438,"",""),COLUMN()-6),2,300)"),"#REF!")</f>
        <v>#REF!</v>
      </c>
      <c r="K438" s="3">
        <f>IFERROR(__xludf.DUMMYFUNCTION("INDEX(SPLIT(G438,"" ""),1)"),4.0)</f>
        <v>4</v>
      </c>
      <c r="L438" s="3" t="str">
        <f>IFERROR(__xludf.DUMMYFUNCTION("REGEXEXTRACT(G438,"" [^ ]* [^ ]* "")")," pale indigo ")</f>
        <v> pale indigo </v>
      </c>
      <c r="M438" s="3">
        <f>IFERROR(__xludf.DUMMYFUNCTION("INDEX(SPLIT(H438,"" ""),1)"),2.0)</f>
        <v>2</v>
      </c>
      <c r="N438" s="3" t="str">
        <f>IFERROR(__xludf.DUMMYFUNCTION("MID(REGEXEXTRACT(H438,"" [^ ]* [^ ]*""),2,300)"),"faded green")</f>
        <v>faded green</v>
      </c>
      <c r="O438" s="3" t="str">
        <f>IFERROR(__xludf.DUMMYFUNCTION("INDEX(SPLIT(I438,"" ""),1)"),"#REF!")</f>
        <v>#REF!</v>
      </c>
      <c r="P438" s="3" t="str">
        <f>IFERROR(__xludf.DUMMYFUNCTION("MID(REGEXEXTRACT(I438,"" [^ ]* [^ ]*""),2,300)"),"#REF!")</f>
        <v>#REF!</v>
      </c>
      <c r="Q438" s="3" t="str">
        <f>IFERROR(__xludf.DUMMYFUNCTION("INDEX(SPLIT(J438,"" ""),1)"),"#REF!")</f>
        <v>#REF!</v>
      </c>
      <c r="R438" s="3" t="str">
        <f>IFERROR(__xludf.DUMMYFUNCTION("MID(REGEXEXTRACT(J438,"" [^ ]* [^ ]*""),2,300)"),"#REF!")</f>
        <v>#REF!</v>
      </c>
      <c r="S438" s="3">
        <f t="shared" si="2"/>
        <v>4</v>
      </c>
      <c r="T438" s="3" t="str">
        <f t="shared" si="3"/>
        <v>pale indigo</v>
      </c>
      <c r="U438" s="3">
        <f t="shared" si="4"/>
        <v>2</v>
      </c>
      <c r="V438" s="3" t="str">
        <f t="shared" si="5"/>
        <v>faded green</v>
      </c>
      <c r="W438" s="3" t="str">
        <f t="shared" si="6"/>
        <v/>
      </c>
      <c r="X438" s="3" t="str">
        <f t="shared" si="7"/>
        <v/>
      </c>
      <c r="Y438" s="3" t="str">
        <f t="shared" si="8"/>
        <v/>
      </c>
      <c r="Z438" s="3" t="str">
        <f t="shared" si="9"/>
        <v/>
      </c>
      <c r="AA438" s="13">
        <f t="shared" si="10"/>
        <v>375299205</v>
      </c>
      <c r="AB438" s="3">
        <f t="shared" si="11"/>
        <v>375299204</v>
      </c>
      <c r="AC438" s="3">
        <f t="shared" si="12"/>
        <v>4</v>
      </c>
      <c r="AD438" s="3">
        <f t="shared" si="13"/>
        <v>93823002</v>
      </c>
      <c r="AE438" s="3">
        <f t="shared" si="14"/>
        <v>2</v>
      </c>
      <c r="AF438" s="3">
        <f t="shared" si="15"/>
        <v>3598</v>
      </c>
      <c r="AG438" s="3" t="str">
        <f t="shared" si="16"/>
        <v/>
      </c>
      <c r="AH438" s="3">
        <f t="shared" si="17"/>
        <v>0</v>
      </c>
      <c r="AI438" s="3" t="str">
        <f t="shared" si="18"/>
        <v/>
      </c>
      <c r="AJ438" s="3">
        <f t="shared" si="19"/>
        <v>0</v>
      </c>
    </row>
    <row r="439">
      <c r="C439" s="6" t="s">
        <v>439</v>
      </c>
      <c r="D439" s="3">
        <f t="shared" si="1"/>
        <v>3</v>
      </c>
      <c r="E439" s="3" t="str">
        <f>IFERROR(__xludf.DUMMYFUNCTION("REGEXEXTRACT(C439,""[^ ]* [^ ]*"")"),"vibrant plum")</f>
        <v>vibrant plum</v>
      </c>
      <c r="F439" s="3" t="str">
        <f>IFERROR(__xludf.DUMMYFUNCTION("MID(REGEXEXTRACT(C439,""contain.*$""),9,300)"),"1 posh gray bag, 3 mirrored silver bags, 4 bright brown bags, 2 posh magenta bags.")</f>
        <v>1 posh gray bag, 3 mirrored silver bags, 4 bright brown bags, 2 posh magenta bags.</v>
      </c>
      <c r="G439" s="3" t="str">
        <f>IFERROR(__xludf.DUMMYFUNCTION("INDEX(SPLIT($F439,"",""),COLUMN()-6)"),"1 posh gray bag")</f>
        <v>1 posh gray bag</v>
      </c>
      <c r="H439" s="3" t="str">
        <f>IFERROR(__xludf.DUMMYFUNCTION("MID(INDEX(SPLIT($F439,"",""),COLUMN()-6),2,300)"),"3 mirrored silver bags")</f>
        <v>3 mirrored silver bags</v>
      </c>
      <c r="I439" s="3" t="str">
        <f>IFERROR(__xludf.DUMMYFUNCTION("MID(INDEX(SPLIT($F439,"",""),COLUMN()-6),2,300)"),"4 bright brown bags")</f>
        <v>4 bright brown bags</v>
      </c>
      <c r="J439" s="3" t="str">
        <f>IFERROR(__xludf.DUMMYFUNCTION("MID(INDEX(SPLIT($F439,"",""),COLUMN()-6),2,300)"),"2 posh magenta bags.")</f>
        <v>2 posh magenta bags.</v>
      </c>
      <c r="K439" s="3">
        <f>IFERROR(__xludf.DUMMYFUNCTION("INDEX(SPLIT(G439,"" ""),1)"),1.0)</f>
        <v>1</v>
      </c>
      <c r="L439" s="3" t="str">
        <f>IFERROR(__xludf.DUMMYFUNCTION("REGEXEXTRACT(G439,"" [^ ]* [^ ]* "")")," posh gray ")</f>
        <v> posh gray </v>
      </c>
      <c r="M439" s="3">
        <f>IFERROR(__xludf.DUMMYFUNCTION("INDEX(SPLIT(H439,"" ""),1)"),3.0)</f>
        <v>3</v>
      </c>
      <c r="N439" s="3" t="str">
        <f>IFERROR(__xludf.DUMMYFUNCTION("MID(REGEXEXTRACT(H439,"" [^ ]* [^ ]*""),2,300)"),"mirrored silver")</f>
        <v>mirrored silver</v>
      </c>
      <c r="O439" s="3">
        <f>IFERROR(__xludf.DUMMYFUNCTION("INDEX(SPLIT(I439,"" ""),1)"),4.0)</f>
        <v>4</v>
      </c>
      <c r="P439" s="3" t="str">
        <f>IFERROR(__xludf.DUMMYFUNCTION("MID(REGEXEXTRACT(I439,"" [^ ]* [^ ]*""),2,300)"),"bright brown")</f>
        <v>bright brown</v>
      </c>
      <c r="Q439" s="3">
        <f>IFERROR(__xludf.DUMMYFUNCTION("INDEX(SPLIT(J439,"" ""),1)"),2.0)</f>
        <v>2</v>
      </c>
      <c r="R439" s="3" t="str">
        <f>IFERROR(__xludf.DUMMYFUNCTION("MID(REGEXEXTRACT(J439,"" [^ ]* [^ ]*""),2,300)"),"posh magenta")</f>
        <v>posh magenta</v>
      </c>
      <c r="S439" s="3">
        <f t="shared" si="2"/>
        <v>1</v>
      </c>
      <c r="T439" s="3" t="str">
        <f t="shared" si="3"/>
        <v>posh gray</v>
      </c>
      <c r="U439" s="3">
        <f t="shared" si="4"/>
        <v>3</v>
      </c>
      <c r="V439" s="3" t="str">
        <f t="shared" si="5"/>
        <v>mirrored silver</v>
      </c>
      <c r="W439" s="3">
        <f t="shared" si="6"/>
        <v>4</v>
      </c>
      <c r="X439" s="3" t="str">
        <f t="shared" si="7"/>
        <v>bright brown</v>
      </c>
      <c r="Y439" s="3">
        <f t="shared" si="8"/>
        <v>2</v>
      </c>
      <c r="Z439" s="3" t="str">
        <f t="shared" si="9"/>
        <v>posh magenta</v>
      </c>
      <c r="AA439" s="13">
        <f t="shared" si="10"/>
        <v>26642</v>
      </c>
      <c r="AB439" s="3">
        <f t="shared" si="11"/>
        <v>26641</v>
      </c>
      <c r="AC439" s="3">
        <f t="shared" si="12"/>
        <v>1</v>
      </c>
      <c r="AD439" s="3">
        <f t="shared" si="13"/>
        <v>25477</v>
      </c>
      <c r="AE439" s="3">
        <f t="shared" si="14"/>
        <v>3</v>
      </c>
      <c r="AF439" s="3">
        <f t="shared" si="15"/>
        <v>386</v>
      </c>
      <c r="AG439" s="3">
        <f t="shared" si="16"/>
        <v>4</v>
      </c>
      <c r="AH439" s="3">
        <f t="shared" si="17"/>
        <v>1</v>
      </c>
      <c r="AI439" s="3">
        <f t="shared" si="18"/>
        <v>2</v>
      </c>
      <c r="AJ439" s="3">
        <f t="shared" si="19"/>
        <v>1</v>
      </c>
    </row>
    <row r="440">
      <c r="C440" s="6" t="s">
        <v>440</v>
      </c>
      <c r="D440" s="3">
        <f t="shared" si="1"/>
        <v>3</v>
      </c>
      <c r="E440" s="3" t="str">
        <f>IFERROR(__xludf.DUMMYFUNCTION("REGEXEXTRACT(C440,""[^ ]* [^ ]*"")"),"wavy lime")</f>
        <v>wavy lime</v>
      </c>
      <c r="F440" s="3" t="str">
        <f>IFERROR(__xludf.DUMMYFUNCTION("MID(REGEXEXTRACT(C440,""contain.*$""),9,300)"),"4 wavy black bags, 4 shiny cyan bags, 5 striped aqua bags, 4 plaid gray bags.")</f>
        <v>4 wavy black bags, 4 shiny cyan bags, 5 striped aqua bags, 4 plaid gray bags.</v>
      </c>
      <c r="G440" s="3" t="str">
        <f>IFERROR(__xludf.DUMMYFUNCTION("INDEX(SPLIT($F440,"",""),COLUMN()-6)"),"4 wavy black bags")</f>
        <v>4 wavy black bags</v>
      </c>
      <c r="H440" s="3" t="str">
        <f>IFERROR(__xludf.DUMMYFUNCTION("MID(INDEX(SPLIT($F440,"",""),COLUMN()-6),2,300)"),"4 shiny cyan bags")</f>
        <v>4 shiny cyan bags</v>
      </c>
      <c r="I440" s="3" t="str">
        <f>IFERROR(__xludf.DUMMYFUNCTION("MID(INDEX(SPLIT($F440,"",""),COLUMN()-6),2,300)"),"5 striped aqua bags")</f>
        <v>5 striped aqua bags</v>
      </c>
      <c r="J440" s="3" t="str">
        <f>IFERROR(__xludf.DUMMYFUNCTION("MID(INDEX(SPLIT($F440,"",""),COLUMN()-6),2,300)"),"4 plaid gray bags.")</f>
        <v>4 plaid gray bags.</v>
      </c>
      <c r="K440" s="3">
        <f>IFERROR(__xludf.DUMMYFUNCTION("INDEX(SPLIT(G440,"" ""),1)"),4.0)</f>
        <v>4</v>
      </c>
      <c r="L440" s="3" t="str">
        <f>IFERROR(__xludf.DUMMYFUNCTION("REGEXEXTRACT(G440,"" [^ ]* [^ ]* "")")," wavy black ")</f>
        <v> wavy black </v>
      </c>
      <c r="M440" s="3">
        <f>IFERROR(__xludf.DUMMYFUNCTION("INDEX(SPLIT(H440,"" ""),1)"),4.0)</f>
        <v>4</v>
      </c>
      <c r="N440" s="3" t="str">
        <f>IFERROR(__xludf.DUMMYFUNCTION("MID(REGEXEXTRACT(H440,"" [^ ]* [^ ]*""),2,300)"),"shiny cyan")</f>
        <v>shiny cyan</v>
      </c>
      <c r="O440" s="3">
        <f>IFERROR(__xludf.DUMMYFUNCTION("INDEX(SPLIT(I440,"" ""),1)"),5.0)</f>
        <v>5</v>
      </c>
      <c r="P440" s="3" t="str">
        <f>IFERROR(__xludf.DUMMYFUNCTION("MID(REGEXEXTRACT(I440,"" [^ ]* [^ ]*""),2,300)"),"striped aqua")</f>
        <v>striped aqua</v>
      </c>
      <c r="Q440" s="3">
        <f>IFERROR(__xludf.DUMMYFUNCTION("INDEX(SPLIT(J440,"" ""),1)"),4.0)</f>
        <v>4</v>
      </c>
      <c r="R440" s="3" t="str">
        <f>IFERROR(__xludf.DUMMYFUNCTION("MID(REGEXEXTRACT(J440,"" [^ ]* [^ ]*""),2,300)"),"plaid gray")</f>
        <v>plaid gray</v>
      </c>
      <c r="S440" s="3">
        <f t="shared" si="2"/>
        <v>4</v>
      </c>
      <c r="T440" s="3" t="str">
        <f t="shared" si="3"/>
        <v>wavy black</v>
      </c>
      <c r="U440" s="3">
        <f t="shared" si="4"/>
        <v>4</v>
      </c>
      <c r="V440" s="3" t="str">
        <f t="shared" si="5"/>
        <v>shiny cyan</v>
      </c>
      <c r="W440" s="3">
        <f t="shared" si="6"/>
        <v>5</v>
      </c>
      <c r="X440" s="3" t="str">
        <f t="shared" si="7"/>
        <v>striped aqua</v>
      </c>
      <c r="Y440" s="3">
        <f t="shared" si="8"/>
        <v>4</v>
      </c>
      <c r="Z440" s="3" t="str">
        <f t="shared" si="9"/>
        <v>plaid gray</v>
      </c>
      <c r="AA440" s="13">
        <f t="shared" si="10"/>
        <v>970267225</v>
      </c>
      <c r="AB440" s="3">
        <f t="shared" si="11"/>
        <v>970267224</v>
      </c>
      <c r="AC440" s="3">
        <f t="shared" si="12"/>
        <v>4</v>
      </c>
      <c r="AD440" s="3">
        <f t="shared" si="13"/>
        <v>242332348</v>
      </c>
      <c r="AE440" s="3">
        <f t="shared" si="14"/>
        <v>4</v>
      </c>
      <c r="AF440" s="3">
        <f t="shared" si="15"/>
        <v>4</v>
      </c>
      <c r="AG440" s="3">
        <f t="shared" si="16"/>
        <v>5</v>
      </c>
      <c r="AH440" s="3">
        <f t="shared" si="17"/>
        <v>187520</v>
      </c>
      <c r="AI440" s="3">
        <f t="shared" si="18"/>
        <v>4</v>
      </c>
      <c r="AJ440" s="3">
        <f t="shared" si="19"/>
        <v>54</v>
      </c>
    </row>
    <row r="441">
      <c r="C441" s="6" t="s">
        <v>441</v>
      </c>
      <c r="D441" s="3">
        <f t="shared" si="1"/>
        <v>2</v>
      </c>
      <c r="E441" s="3" t="str">
        <f>IFERROR(__xludf.DUMMYFUNCTION("REGEXEXTRACT(C441,""[^ ]* [^ ]*"")"),"shiny silver")</f>
        <v>shiny silver</v>
      </c>
      <c r="F441" s="3" t="str">
        <f>IFERROR(__xludf.DUMMYFUNCTION("MID(REGEXEXTRACT(C441,""contain.*$""),9,300)"),"5 dotted crimson bags, 2 wavy turquoise bags, 1 shiny coral bag.")</f>
        <v>5 dotted crimson bags, 2 wavy turquoise bags, 1 shiny coral bag.</v>
      </c>
      <c r="G441" s="3" t="str">
        <f>IFERROR(__xludf.DUMMYFUNCTION("INDEX(SPLIT($F441,"",""),COLUMN()-6)"),"5 dotted crimson bags")</f>
        <v>5 dotted crimson bags</v>
      </c>
      <c r="H441" s="3" t="str">
        <f>IFERROR(__xludf.DUMMYFUNCTION("MID(INDEX(SPLIT($F441,"",""),COLUMN()-6),2,300)"),"2 wavy turquoise bags")</f>
        <v>2 wavy turquoise bags</v>
      </c>
      <c r="I441" s="3" t="str">
        <f>IFERROR(__xludf.DUMMYFUNCTION("MID(INDEX(SPLIT($F441,"",""),COLUMN()-6),2,300)"),"1 shiny coral bag.")</f>
        <v>1 shiny coral bag.</v>
      </c>
      <c r="J441" s="3" t="str">
        <f>IFERROR(__xludf.DUMMYFUNCTION("MID(INDEX(SPLIT($F441,"",""),COLUMN()-6),2,300)"),"#REF!")</f>
        <v>#REF!</v>
      </c>
      <c r="K441" s="3">
        <f>IFERROR(__xludf.DUMMYFUNCTION("INDEX(SPLIT(G441,"" ""),1)"),5.0)</f>
        <v>5</v>
      </c>
      <c r="L441" s="3" t="str">
        <f>IFERROR(__xludf.DUMMYFUNCTION("REGEXEXTRACT(G441,"" [^ ]* [^ ]* "")")," dotted crimson ")</f>
        <v> dotted crimson </v>
      </c>
      <c r="M441" s="3">
        <f>IFERROR(__xludf.DUMMYFUNCTION("INDEX(SPLIT(H441,"" ""),1)"),2.0)</f>
        <v>2</v>
      </c>
      <c r="N441" s="3" t="str">
        <f>IFERROR(__xludf.DUMMYFUNCTION("MID(REGEXEXTRACT(H441,"" [^ ]* [^ ]*""),2,300)"),"wavy turquoise")</f>
        <v>wavy turquoise</v>
      </c>
      <c r="O441" s="3">
        <f>IFERROR(__xludf.DUMMYFUNCTION("INDEX(SPLIT(I441,"" ""),1)"),1.0)</f>
        <v>1</v>
      </c>
      <c r="P441" s="3" t="str">
        <f>IFERROR(__xludf.DUMMYFUNCTION("MID(REGEXEXTRACT(I441,"" [^ ]* [^ ]*""),2,300)"),"shiny coral")</f>
        <v>shiny coral</v>
      </c>
      <c r="Q441" s="3" t="str">
        <f>IFERROR(__xludf.DUMMYFUNCTION("INDEX(SPLIT(J441,"" ""),1)"),"#REF!")</f>
        <v>#REF!</v>
      </c>
      <c r="R441" s="3" t="str">
        <f>IFERROR(__xludf.DUMMYFUNCTION("MID(REGEXEXTRACT(J441,"" [^ ]* [^ ]*""),2,300)"),"#REF!")</f>
        <v>#REF!</v>
      </c>
      <c r="S441" s="3">
        <f t="shared" si="2"/>
        <v>5</v>
      </c>
      <c r="T441" s="3" t="str">
        <f t="shared" si="3"/>
        <v>dotted crimson</v>
      </c>
      <c r="U441" s="3">
        <f t="shared" si="4"/>
        <v>2</v>
      </c>
      <c r="V441" s="3" t="str">
        <f t="shared" si="5"/>
        <v>wavy turquoise</v>
      </c>
      <c r="W441" s="3">
        <f t="shared" si="6"/>
        <v>1</v>
      </c>
      <c r="X441" s="3" t="str">
        <f t="shared" si="7"/>
        <v>shiny coral</v>
      </c>
      <c r="Y441" s="3" t="str">
        <f t="shared" si="8"/>
        <v/>
      </c>
      <c r="Z441" s="3" t="str">
        <f t="shared" si="9"/>
        <v/>
      </c>
      <c r="AA441" s="13">
        <f t="shared" si="10"/>
        <v>29367</v>
      </c>
      <c r="AB441" s="3">
        <f t="shared" si="11"/>
        <v>29366</v>
      </c>
      <c r="AC441" s="3">
        <f t="shared" si="12"/>
        <v>5</v>
      </c>
      <c r="AD441" s="3">
        <f t="shared" si="13"/>
        <v>1279</v>
      </c>
      <c r="AE441" s="3">
        <f t="shared" si="14"/>
        <v>2</v>
      </c>
      <c r="AF441" s="3">
        <f t="shared" si="15"/>
        <v>11485</v>
      </c>
      <c r="AG441" s="3">
        <f t="shared" si="16"/>
        <v>1</v>
      </c>
      <c r="AH441" s="3">
        <f t="shared" si="17"/>
        <v>1</v>
      </c>
      <c r="AI441" s="3" t="str">
        <f t="shared" si="18"/>
        <v/>
      </c>
      <c r="AJ441" s="3">
        <f t="shared" si="19"/>
        <v>0</v>
      </c>
    </row>
    <row r="442">
      <c r="C442" s="6" t="s">
        <v>442</v>
      </c>
      <c r="D442" s="3">
        <f t="shared" si="1"/>
        <v>0</v>
      </c>
      <c r="E442" s="3" t="str">
        <f>IFERROR(__xludf.DUMMYFUNCTION("REGEXEXTRACT(C442,""[^ ]* [^ ]*"")"),"dark tan")</f>
        <v>dark tan</v>
      </c>
      <c r="F442" s="3" t="str">
        <f>IFERROR(__xludf.DUMMYFUNCTION("MID(REGEXEXTRACT(C442,""contain.*$""),9,300)"),"5 clear silver bags.")</f>
        <v>5 clear silver bags.</v>
      </c>
      <c r="G442" s="3" t="str">
        <f>IFERROR(__xludf.DUMMYFUNCTION("INDEX(SPLIT($F442,"",""),COLUMN()-6)"),"5 clear silver bags.")</f>
        <v>5 clear silver bags.</v>
      </c>
      <c r="H442" s="3" t="str">
        <f>IFERROR(__xludf.DUMMYFUNCTION("MID(INDEX(SPLIT($F442,"",""),COLUMN()-6),2,300)"),"#REF!")</f>
        <v>#REF!</v>
      </c>
      <c r="I442" s="3" t="str">
        <f>IFERROR(__xludf.DUMMYFUNCTION("MID(INDEX(SPLIT($F442,"",""),COLUMN()-6),2,300)"),"#REF!")</f>
        <v>#REF!</v>
      </c>
      <c r="J442" s="3" t="str">
        <f>IFERROR(__xludf.DUMMYFUNCTION("MID(INDEX(SPLIT($F442,"",""),COLUMN()-6),2,300)"),"#REF!")</f>
        <v>#REF!</v>
      </c>
      <c r="K442" s="3">
        <f>IFERROR(__xludf.DUMMYFUNCTION("INDEX(SPLIT(G442,"" ""),1)"),5.0)</f>
        <v>5</v>
      </c>
      <c r="L442" s="3" t="str">
        <f>IFERROR(__xludf.DUMMYFUNCTION("REGEXEXTRACT(G442,"" [^ ]* [^ ]* "")")," clear silver ")</f>
        <v> clear silver </v>
      </c>
      <c r="M442" s="3" t="str">
        <f>IFERROR(__xludf.DUMMYFUNCTION("INDEX(SPLIT(H442,"" ""),1)"),"#REF!")</f>
        <v>#REF!</v>
      </c>
      <c r="N442" s="3" t="str">
        <f>IFERROR(__xludf.DUMMYFUNCTION("MID(REGEXEXTRACT(H442,"" [^ ]* [^ ]*""),2,300)"),"#REF!")</f>
        <v>#REF!</v>
      </c>
      <c r="O442" s="3" t="str">
        <f>IFERROR(__xludf.DUMMYFUNCTION("INDEX(SPLIT(I442,"" ""),1)"),"#REF!")</f>
        <v>#REF!</v>
      </c>
      <c r="P442" s="3" t="str">
        <f>IFERROR(__xludf.DUMMYFUNCTION("MID(REGEXEXTRACT(I442,"" [^ ]* [^ ]*""),2,300)"),"#REF!")</f>
        <v>#REF!</v>
      </c>
      <c r="Q442" s="3" t="str">
        <f>IFERROR(__xludf.DUMMYFUNCTION("INDEX(SPLIT(J442,"" ""),1)"),"#REF!")</f>
        <v>#REF!</v>
      </c>
      <c r="R442" s="3" t="str">
        <f>IFERROR(__xludf.DUMMYFUNCTION("MID(REGEXEXTRACT(J442,"" [^ ]* [^ ]*""),2,300)"),"#REF!")</f>
        <v>#REF!</v>
      </c>
      <c r="S442" s="3">
        <f t="shared" si="2"/>
        <v>5</v>
      </c>
      <c r="T442" s="3" t="str">
        <f t="shared" si="3"/>
        <v>clear silver</v>
      </c>
      <c r="U442" s="3" t="str">
        <f t="shared" si="4"/>
        <v/>
      </c>
      <c r="V442" s="3" t="str">
        <f t="shared" si="5"/>
        <v/>
      </c>
      <c r="W442" s="3" t="str">
        <f t="shared" si="6"/>
        <v/>
      </c>
      <c r="X442" s="3" t="str">
        <f t="shared" si="7"/>
        <v/>
      </c>
      <c r="Y442" s="3" t="str">
        <f t="shared" si="8"/>
        <v/>
      </c>
      <c r="Z442" s="3" t="str">
        <f t="shared" si="9"/>
        <v/>
      </c>
      <c r="AA442" s="13">
        <f t="shared" si="10"/>
        <v>1086</v>
      </c>
      <c r="AB442" s="3">
        <f t="shared" si="11"/>
        <v>1085</v>
      </c>
      <c r="AC442" s="3">
        <f t="shared" si="12"/>
        <v>5</v>
      </c>
      <c r="AD442" s="3">
        <f t="shared" si="13"/>
        <v>217</v>
      </c>
      <c r="AE442" s="3" t="str">
        <f t="shared" si="14"/>
        <v/>
      </c>
      <c r="AF442" s="3">
        <f t="shared" si="15"/>
        <v>0</v>
      </c>
      <c r="AG442" s="3" t="str">
        <f t="shared" si="16"/>
        <v/>
      </c>
      <c r="AH442" s="3">
        <f t="shared" si="17"/>
        <v>0</v>
      </c>
      <c r="AI442" s="3" t="str">
        <f t="shared" si="18"/>
        <v/>
      </c>
      <c r="AJ442" s="3">
        <f t="shared" si="19"/>
        <v>0</v>
      </c>
    </row>
    <row r="443">
      <c r="C443" s="6" t="s">
        <v>443</v>
      </c>
      <c r="D443" s="3">
        <f t="shared" si="1"/>
        <v>3</v>
      </c>
      <c r="E443" s="3" t="str">
        <f>IFERROR(__xludf.DUMMYFUNCTION("REGEXEXTRACT(C443,""[^ ]* [^ ]*"")"),"mirrored brown")</f>
        <v>mirrored brown</v>
      </c>
      <c r="F443" s="3" t="str">
        <f>IFERROR(__xludf.DUMMYFUNCTION("MID(REGEXEXTRACT(C443,""contain.*$""),9,300)"),"1 dotted brown bag, 2 plaid gray bags, 5 dull tomato bags, 5 clear black bags.")</f>
        <v>1 dotted brown bag, 2 plaid gray bags, 5 dull tomato bags, 5 clear black bags.</v>
      </c>
      <c r="G443" s="3" t="str">
        <f>IFERROR(__xludf.DUMMYFUNCTION("INDEX(SPLIT($F443,"",""),COLUMN()-6)"),"1 dotted brown bag")</f>
        <v>1 dotted brown bag</v>
      </c>
      <c r="H443" s="3" t="str">
        <f>IFERROR(__xludf.DUMMYFUNCTION("MID(INDEX(SPLIT($F443,"",""),COLUMN()-6),2,300)"),"2 plaid gray bags")</f>
        <v>2 plaid gray bags</v>
      </c>
      <c r="I443" s="3" t="str">
        <f>IFERROR(__xludf.DUMMYFUNCTION("MID(INDEX(SPLIT($F443,"",""),COLUMN()-6),2,300)"),"5 dull tomato bags")</f>
        <v>5 dull tomato bags</v>
      </c>
      <c r="J443" s="3" t="str">
        <f>IFERROR(__xludf.DUMMYFUNCTION("MID(INDEX(SPLIT($F443,"",""),COLUMN()-6),2,300)"),"5 clear black bags.")</f>
        <v>5 clear black bags.</v>
      </c>
      <c r="K443" s="3">
        <f>IFERROR(__xludf.DUMMYFUNCTION("INDEX(SPLIT(G443,"" ""),1)"),1.0)</f>
        <v>1</v>
      </c>
      <c r="L443" s="3" t="str">
        <f>IFERROR(__xludf.DUMMYFUNCTION("REGEXEXTRACT(G443,"" [^ ]* [^ ]* "")")," dotted brown ")</f>
        <v> dotted brown </v>
      </c>
      <c r="M443" s="3">
        <f>IFERROR(__xludf.DUMMYFUNCTION("INDEX(SPLIT(H443,"" ""),1)"),2.0)</f>
        <v>2</v>
      </c>
      <c r="N443" s="3" t="str">
        <f>IFERROR(__xludf.DUMMYFUNCTION("MID(REGEXEXTRACT(H443,"" [^ ]* [^ ]*""),2,300)"),"plaid gray")</f>
        <v>plaid gray</v>
      </c>
      <c r="O443" s="3">
        <f>IFERROR(__xludf.DUMMYFUNCTION("INDEX(SPLIT(I443,"" ""),1)"),5.0)</f>
        <v>5</v>
      </c>
      <c r="P443" s="3" t="str">
        <f>IFERROR(__xludf.DUMMYFUNCTION("MID(REGEXEXTRACT(I443,"" [^ ]* [^ ]*""),2,300)"),"dull tomato")</f>
        <v>dull tomato</v>
      </c>
      <c r="Q443" s="3">
        <f>IFERROR(__xludf.DUMMYFUNCTION("INDEX(SPLIT(J443,"" ""),1)"),5.0)</f>
        <v>5</v>
      </c>
      <c r="R443" s="3" t="str">
        <f>IFERROR(__xludf.DUMMYFUNCTION("MID(REGEXEXTRACT(J443,"" [^ ]* [^ ]*""),2,300)"),"clear black")</f>
        <v>clear black</v>
      </c>
      <c r="S443" s="3">
        <f t="shared" si="2"/>
        <v>1</v>
      </c>
      <c r="T443" s="3" t="str">
        <f t="shared" si="3"/>
        <v>dotted brown</v>
      </c>
      <c r="U443" s="3">
        <f t="shared" si="4"/>
        <v>2</v>
      </c>
      <c r="V443" s="3" t="str">
        <f t="shared" si="5"/>
        <v>plaid gray</v>
      </c>
      <c r="W443" s="3">
        <f t="shared" si="6"/>
        <v>5</v>
      </c>
      <c r="X443" s="3" t="str">
        <f t="shared" si="7"/>
        <v>dull tomato</v>
      </c>
      <c r="Y443" s="3">
        <f t="shared" si="8"/>
        <v>5</v>
      </c>
      <c r="Z443" s="3" t="str">
        <f t="shared" si="9"/>
        <v>clear black</v>
      </c>
      <c r="AA443" s="13">
        <f t="shared" si="10"/>
        <v>529</v>
      </c>
      <c r="AB443" s="3">
        <f t="shared" si="11"/>
        <v>528</v>
      </c>
      <c r="AC443" s="3">
        <f t="shared" si="12"/>
        <v>1</v>
      </c>
      <c r="AD443" s="3">
        <f t="shared" si="13"/>
        <v>305</v>
      </c>
      <c r="AE443" s="3">
        <f t="shared" si="14"/>
        <v>2</v>
      </c>
      <c r="AF443" s="3">
        <f t="shared" si="15"/>
        <v>54</v>
      </c>
      <c r="AG443" s="3">
        <f t="shared" si="16"/>
        <v>5</v>
      </c>
      <c r="AH443" s="3">
        <f t="shared" si="17"/>
        <v>11</v>
      </c>
      <c r="AI443" s="3">
        <f t="shared" si="18"/>
        <v>5</v>
      </c>
      <c r="AJ443" s="3">
        <f t="shared" si="19"/>
        <v>12</v>
      </c>
    </row>
    <row r="444">
      <c r="C444" s="6" t="s">
        <v>444</v>
      </c>
      <c r="D444" s="3">
        <f t="shared" si="1"/>
        <v>2</v>
      </c>
      <c r="E444" s="3" t="str">
        <f>IFERROR(__xludf.DUMMYFUNCTION("REGEXEXTRACT(C444,""[^ ]* [^ ]*"")"),"muted brown")</f>
        <v>muted brown</v>
      </c>
      <c r="F444" s="3" t="str">
        <f>IFERROR(__xludf.DUMMYFUNCTION("MID(REGEXEXTRACT(C444,""contain.*$""),9,300)"),"3 drab magenta bags, 4 plaid aqua bags, 5 dim black bags.")</f>
        <v>3 drab magenta bags, 4 plaid aqua bags, 5 dim black bags.</v>
      </c>
      <c r="G444" s="3" t="str">
        <f>IFERROR(__xludf.DUMMYFUNCTION("INDEX(SPLIT($F444,"",""),COLUMN()-6)"),"3 drab magenta bags")</f>
        <v>3 drab magenta bags</v>
      </c>
      <c r="H444" s="3" t="str">
        <f>IFERROR(__xludf.DUMMYFUNCTION("MID(INDEX(SPLIT($F444,"",""),COLUMN()-6),2,300)"),"4 plaid aqua bags")</f>
        <v>4 plaid aqua bags</v>
      </c>
      <c r="I444" s="3" t="str">
        <f>IFERROR(__xludf.DUMMYFUNCTION("MID(INDEX(SPLIT($F444,"",""),COLUMN()-6),2,300)"),"5 dim black bags.")</f>
        <v>5 dim black bags.</v>
      </c>
      <c r="J444" s="3" t="str">
        <f>IFERROR(__xludf.DUMMYFUNCTION("MID(INDEX(SPLIT($F444,"",""),COLUMN()-6),2,300)"),"#REF!")</f>
        <v>#REF!</v>
      </c>
      <c r="K444" s="3">
        <f>IFERROR(__xludf.DUMMYFUNCTION("INDEX(SPLIT(G444,"" ""),1)"),3.0)</f>
        <v>3</v>
      </c>
      <c r="L444" s="3" t="str">
        <f>IFERROR(__xludf.DUMMYFUNCTION("REGEXEXTRACT(G444,"" [^ ]* [^ ]* "")")," drab magenta ")</f>
        <v> drab magenta </v>
      </c>
      <c r="M444" s="3">
        <f>IFERROR(__xludf.DUMMYFUNCTION("INDEX(SPLIT(H444,"" ""),1)"),4.0)</f>
        <v>4</v>
      </c>
      <c r="N444" s="3" t="str">
        <f>IFERROR(__xludf.DUMMYFUNCTION("MID(REGEXEXTRACT(H444,"" [^ ]* [^ ]*""),2,300)"),"plaid aqua")</f>
        <v>plaid aqua</v>
      </c>
      <c r="O444" s="3">
        <f>IFERROR(__xludf.DUMMYFUNCTION("INDEX(SPLIT(I444,"" ""),1)"),5.0)</f>
        <v>5</v>
      </c>
      <c r="P444" s="3" t="str">
        <f>IFERROR(__xludf.DUMMYFUNCTION("MID(REGEXEXTRACT(I444,"" [^ ]* [^ ]*""),2,300)"),"dim black")</f>
        <v>dim black</v>
      </c>
      <c r="Q444" s="3" t="str">
        <f>IFERROR(__xludf.DUMMYFUNCTION("INDEX(SPLIT(J444,"" ""),1)"),"#REF!")</f>
        <v>#REF!</v>
      </c>
      <c r="R444" s="3" t="str">
        <f>IFERROR(__xludf.DUMMYFUNCTION("MID(REGEXEXTRACT(J444,"" [^ ]* [^ ]*""),2,300)"),"#REF!")</f>
        <v>#REF!</v>
      </c>
      <c r="S444" s="3">
        <f t="shared" si="2"/>
        <v>3</v>
      </c>
      <c r="T444" s="3" t="str">
        <f t="shared" si="3"/>
        <v>drab magenta</v>
      </c>
      <c r="U444" s="3">
        <f t="shared" si="4"/>
        <v>4</v>
      </c>
      <c r="V444" s="3" t="str">
        <f t="shared" si="5"/>
        <v>plaid aqua</v>
      </c>
      <c r="W444" s="3">
        <f t="shared" si="6"/>
        <v>5</v>
      </c>
      <c r="X444" s="3" t="str">
        <f t="shared" si="7"/>
        <v>dim black</v>
      </c>
      <c r="Y444" s="3" t="str">
        <f t="shared" si="8"/>
        <v/>
      </c>
      <c r="Z444" s="3" t="str">
        <f t="shared" si="9"/>
        <v/>
      </c>
      <c r="AA444" s="13">
        <f t="shared" si="10"/>
        <v>591080</v>
      </c>
      <c r="AB444" s="3">
        <f t="shared" si="11"/>
        <v>591079</v>
      </c>
      <c r="AC444" s="3">
        <f t="shared" si="12"/>
        <v>3</v>
      </c>
      <c r="AD444" s="3">
        <f t="shared" si="13"/>
        <v>1225</v>
      </c>
      <c r="AE444" s="3">
        <f t="shared" si="14"/>
        <v>4</v>
      </c>
      <c r="AF444" s="3">
        <f t="shared" si="15"/>
        <v>1</v>
      </c>
      <c r="AG444" s="3">
        <f t="shared" si="16"/>
        <v>5</v>
      </c>
      <c r="AH444" s="3">
        <f t="shared" si="17"/>
        <v>117480</v>
      </c>
      <c r="AI444" s="3" t="str">
        <f t="shared" si="18"/>
        <v/>
      </c>
      <c r="AJ444" s="3">
        <f t="shared" si="19"/>
        <v>0</v>
      </c>
    </row>
    <row r="445">
      <c r="C445" s="6" t="s">
        <v>445</v>
      </c>
      <c r="D445" s="3">
        <f t="shared" si="1"/>
        <v>2</v>
      </c>
      <c r="E445" s="3" t="str">
        <f>IFERROR(__xludf.DUMMYFUNCTION("REGEXEXTRACT(C445,""[^ ]* [^ ]*"")"),"posh black")</f>
        <v>posh black</v>
      </c>
      <c r="F445" s="3" t="str">
        <f>IFERROR(__xludf.DUMMYFUNCTION("MID(REGEXEXTRACT(C445,""contain.*$""),9,300)"),"2 bright turquoise bags, 3 mirrored maroon bags, 1 dull white bag.")</f>
        <v>2 bright turquoise bags, 3 mirrored maroon bags, 1 dull white bag.</v>
      </c>
      <c r="G445" s="3" t="str">
        <f>IFERROR(__xludf.DUMMYFUNCTION("INDEX(SPLIT($F445,"",""),COLUMN()-6)"),"2 bright turquoise bags")</f>
        <v>2 bright turquoise bags</v>
      </c>
      <c r="H445" s="3" t="str">
        <f>IFERROR(__xludf.DUMMYFUNCTION("MID(INDEX(SPLIT($F445,"",""),COLUMN()-6),2,300)"),"3 mirrored maroon bags")</f>
        <v>3 mirrored maroon bags</v>
      </c>
      <c r="I445" s="3" t="str">
        <f>IFERROR(__xludf.DUMMYFUNCTION("MID(INDEX(SPLIT($F445,"",""),COLUMN()-6),2,300)"),"1 dull white bag.")</f>
        <v>1 dull white bag.</v>
      </c>
      <c r="J445" s="3" t="str">
        <f>IFERROR(__xludf.DUMMYFUNCTION("MID(INDEX(SPLIT($F445,"",""),COLUMN()-6),2,300)"),"#REF!")</f>
        <v>#REF!</v>
      </c>
      <c r="K445" s="3">
        <f>IFERROR(__xludf.DUMMYFUNCTION("INDEX(SPLIT(G445,"" ""),1)"),2.0)</f>
        <v>2</v>
      </c>
      <c r="L445" s="3" t="str">
        <f>IFERROR(__xludf.DUMMYFUNCTION("REGEXEXTRACT(G445,"" [^ ]* [^ ]* "")")," bright turquoise ")</f>
        <v> bright turquoise </v>
      </c>
      <c r="M445" s="3">
        <f>IFERROR(__xludf.DUMMYFUNCTION("INDEX(SPLIT(H445,"" ""),1)"),3.0)</f>
        <v>3</v>
      </c>
      <c r="N445" s="3" t="str">
        <f>IFERROR(__xludf.DUMMYFUNCTION("MID(REGEXEXTRACT(H445,"" [^ ]* [^ ]*""),2,300)"),"mirrored maroon")</f>
        <v>mirrored maroon</v>
      </c>
      <c r="O445" s="3">
        <f>IFERROR(__xludf.DUMMYFUNCTION("INDEX(SPLIT(I445,"" ""),1)"),1.0)</f>
        <v>1</v>
      </c>
      <c r="P445" s="3" t="str">
        <f>IFERROR(__xludf.DUMMYFUNCTION("MID(REGEXEXTRACT(I445,"" [^ ]* [^ ]*""),2,300)"),"dull white")</f>
        <v>dull white</v>
      </c>
      <c r="Q445" s="3" t="str">
        <f>IFERROR(__xludf.DUMMYFUNCTION("INDEX(SPLIT(J445,"" ""),1)"),"#REF!")</f>
        <v>#REF!</v>
      </c>
      <c r="R445" s="3" t="str">
        <f>IFERROR(__xludf.DUMMYFUNCTION("MID(REGEXEXTRACT(J445,"" [^ ]* [^ ]*""),2,300)"),"#REF!")</f>
        <v>#REF!</v>
      </c>
      <c r="S445" s="3">
        <f t="shared" si="2"/>
        <v>2</v>
      </c>
      <c r="T445" s="3" t="str">
        <f t="shared" si="3"/>
        <v>bright turquoise</v>
      </c>
      <c r="U445" s="3">
        <f t="shared" si="4"/>
        <v>3</v>
      </c>
      <c r="V445" s="3" t="str">
        <f t="shared" si="5"/>
        <v>mirrored maroon</v>
      </c>
      <c r="W445" s="3">
        <f t="shared" si="6"/>
        <v>1</v>
      </c>
      <c r="X445" s="3" t="str">
        <f t="shared" si="7"/>
        <v>dull white</v>
      </c>
      <c r="Y445" s="3" t="str">
        <f t="shared" si="8"/>
        <v/>
      </c>
      <c r="Z445" s="3" t="str">
        <f t="shared" si="9"/>
        <v/>
      </c>
      <c r="AA445" s="13">
        <f t="shared" si="10"/>
        <v>828853501</v>
      </c>
      <c r="AB445" s="3">
        <f t="shared" si="11"/>
        <v>828853500</v>
      </c>
      <c r="AC445" s="3">
        <f t="shared" si="12"/>
        <v>2</v>
      </c>
      <c r="AD445" s="3">
        <f t="shared" si="13"/>
        <v>12227506</v>
      </c>
      <c r="AE445" s="3">
        <f t="shared" si="14"/>
        <v>3</v>
      </c>
      <c r="AF445" s="3">
        <f t="shared" si="15"/>
        <v>2263272</v>
      </c>
      <c r="AG445" s="3">
        <f t="shared" si="16"/>
        <v>1</v>
      </c>
      <c r="AH445" s="3">
        <f t="shared" si="17"/>
        <v>797608672</v>
      </c>
      <c r="AI445" s="3" t="str">
        <f t="shared" si="18"/>
        <v/>
      </c>
      <c r="AJ445" s="3">
        <f t="shared" si="19"/>
        <v>0</v>
      </c>
    </row>
    <row r="446">
      <c r="C446" s="6" t="s">
        <v>446</v>
      </c>
      <c r="D446" s="3">
        <f t="shared" si="1"/>
        <v>1</v>
      </c>
      <c r="E446" s="3" t="str">
        <f>IFERROR(__xludf.DUMMYFUNCTION("REGEXEXTRACT(C446,""[^ ]* [^ ]*"")"),"wavy aqua")</f>
        <v>wavy aqua</v>
      </c>
      <c r="F446" s="3" t="str">
        <f>IFERROR(__xludf.DUMMYFUNCTION("MID(REGEXEXTRACT(C446,""contain.*$""),9,300)"),"3 drab green bags, 3 clear magenta bags.")</f>
        <v>3 drab green bags, 3 clear magenta bags.</v>
      </c>
      <c r="G446" s="3" t="str">
        <f>IFERROR(__xludf.DUMMYFUNCTION("INDEX(SPLIT($F446,"",""),COLUMN()-6)"),"3 drab green bags")</f>
        <v>3 drab green bags</v>
      </c>
      <c r="H446" s="3" t="str">
        <f>IFERROR(__xludf.DUMMYFUNCTION("MID(INDEX(SPLIT($F446,"",""),COLUMN()-6),2,300)"),"3 clear magenta bags.")</f>
        <v>3 clear magenta bags.</v>
      </c>
      <c r="I446" s="3" t="str">
        <f>IFERROR(__xludf.DUMMYFUNCTION("MID(INDEX(SPLIT($F446,"",""),COLUMN()-6),2,300)"),"#REF!")</f>
        <v>#REF!</v>
      </c>
      <c r="J446" s="3" t="str">
        <f>IFERROR(__xludf.DUMMYFUNCTION("MID(INDEX(SPLIT($F446,"",""),COLUMN()-6),2,300)"),"#REF!")</f>
        <v>#REF!</v>
      </c>
      <c r="K446" s="3">
        <f>IFERROR(__xludf.DUMMYFUNCTION("INDEX(SPLIT(G446,"" ""),1)"),3.0)</f>
        <v>3</v>
      </c>
      <c r="L446" s="3" t="str">
        <f>IFERROR(__xludf.DUMMYFUNCTION("REGEXEXTRACT(G446,"" [^ ]* [^ ]* "")")," drab green ")</f>
        <v> drab green </v>
      </c>
      <c r="M446" s="3">
        <f>IFERROR(__xludf.DUMMYFUNCTION("INDEX(SPLIT(H446,"" ""),1)"),3.0)</f>
        <v>3</v>
      </c>
      <c r="N446" s="3" t="str">
        <f>IFERROR(__xludf.DUMMYFUNCTION("MID(REGEXEXTRACT(H446,"" [^ ]* [^ ]*""),2,300)"),"clear magenta")</f>
        <v>clear magenta</v>
      </c>
      <c r="O446" s="3" t="str">
        <f>IFERROR(__xludf.DUMMYFUNCTION("INDEX(SPLIT(I446,"" ""),1)"),"#REF!")</f>
        <v>#REF!</v>
      </c>
      <c r="P446" s="3" t="str">
        <f>IFERROR(__xludf.DUMMYFUNCTION("MID(REGEXEXTRACT(I446,"" [^ ]* [^ ]*""),2,300)"),"#REF!")</f>
        <v>#REF!</v>
      </c>
      <c r="Q446" s="3" t="str">
        <f>IFERROR(__xludf.DUMMYFUNCTION("INDEX(SPLIT(J446,"" ""),1)"),"#REF!")</f>
        <v>#REF!</v>
      </c>
      <c r="R446" s="3" t="str">
        <f>IFERROR(__xludf.DUMMYFUNCTION("MID(REGEXEXTRACT(J446,"" [^ ]* [^ ]*""),2,300)"),"#REF!")</f>
        <v>#REF!</v>
      </c>
      <c r="S446" s="3">
        <f t="shared" si="2"/>
        <v>3</v>
      </c>
      <c r="T446" s="3" t="str">
        <f t="shared" si="3"/>
        <v>drab green</v>
      </c>
      <c r="U446" s="3">
        <f t="shared" si="4"/>
        <v>3</v>
      </c>
      <c r="V446" s="3" t="str">
        <f t="shared" si="5"/>
        <v>clear magenta</v>
      </c>
      <c r="W446" s="3" t="str">
        <f t="shared" si="6"/>
        <v/>
      </c>
      <c r="X446" s="3" t="str">
        <f t="shared" si="7"/>
        <v/>
      </c>
      <c r="Y446" s="3" t="str">
        <f t="shared" si="8"/>
        <v/>
      </c>
      <c r="Z446" s="3" t="str">
        <f t="shared" si="9"/>
        <v/>
      </c>
      <c r="AA446" s="13">
        <f t="shared" si="10"/>
        <v>666381979</v>
      </c>
      <c r="AB446" s="3">
        <f t="shared" si="11"/>
        <v>666381978</v>
      </c>
      <c r="AC446" s="3">
        <f t="shared" si="12"/>
        <v>3</v>
      </c>
      <c r="AD446" s="3">
        <f t="shared" si="13"/>
        <v>5</v>
      </c>
      <c r="AE446" s="3">
        <f t="shared" si="14"/>
        <v>3</v>
      </c>
      <c r="AF446" s="3">
        <f t="shared" si="15"/>
        <v>222127321</v>
      </c>
      <c r="AG446" s="3" t="str">
        <f t="shared" si="16"/>
        <v/>
      </c>
      <c r="AH446" s="3">
        <f t="shared" si="17"/>
        <v>0</v>
      </c>
      <c r="AI446" s="3" t="str">
        <f t="shared" si="18"/>
        <v/>
      </c>
      <c r="AJ446" s="3">
        <f t="shared" si="19"/>
        <v>0</v>
      </c>
    </row>
    <row r="447">
      <c r="C447" s="6" t="s">
        <v>447</v>
      </c>
      <c r="D447" s="3">
        <f t="shared" si="1"/>
        <v>0</v>
      </c>
      <c r="E447" s="3" t="str">
        <f>IFERROR(__xludf.DUMMYFUNCTION("REGEXEXTRACT(C447,""[^ ]* [^ ]*"")"),"vibrant chartreuse")</f>
        <v>vibrant chartreuse</v>
      </c>
      <c r="F447" s="3" t="str">
        <f>IFERROR(__xludf.DUMMYFUNCTION("MID(REGEXEXTRACT(C447,""contain.*$""),9,300)"),"3 muted violet bags.")</f>
        <v>3 muted violet bags.</v>
      </c>
      <c r="G447" s="3" t="str">
        <f>IFERROR(__xludf.DUMMYFUNCTION("INDEX(SPLIT($F447,"",""),COLUMN()-6)"),"3 muted violet bags.")</f>
        <v>3 muted violet bags.</v>
      </c>
      <c r="H447" s="3" t="str">
        <f>IFERROR(__xludf.DUMMYFUNCTION("MID(INDEX(SPLIT($F447,"",""),COLUMN()-6),2,300)"),"#REF!")</f>
        <v>#REF!</v>
      </c>
      <c r="I447" s="3" t="str">
        <f>IFERROR(__xludf.DUMMYFUNCTION("MID(INDEX(SPLIT($F447,"",""),COLUMN()-6),2,300)"),"#REF!")</f>
        <v>#REF!</v>
      </c>
      <c r="J447" s="3" t="str">
        <f>IFERROR(__xludf.DUMMYFUNCTION("MID(INDEX(SPLIT($F447,"",""),COLUMN()-6),2,300)"),"#REF!")</f>
        <v>#REF!</v>
      </c>
      <c r="K447" s="3">
        <f>IFERROR(__xludf.DUMMYFUNCTION("INDEX(SPLIT(G447,"" ""),1)"),3.0)</f>
        <v>3</v>
      </c>
      <c r="L447" s="3" t="str">
        <f>IFERROR(__xludf.DUMMYFUNCTION("REGEXEXTRACT(G447,"" [^ ]* [^ ]* "")")," muted violet ")</f>
        <v> muted violet </v>
      </c>
      <c r="M447" s="3" t="str">
        <f>IFERROR(__xludf.DUMMYFUNCTION("INDEX(SPLIT(H447,"" ""),1)"),"#REF!")</f>
        <v>#REF!</v>
      </c>
      <c r="N447" s="3" t="str">
        <f>IFERROR(__xludf.DUMMYFUNCTION("MID(REGEXEXTRACT(H447,"" [^ ]* [^ ]*""),2,300)"),"#REF!")</f>
        <v>#REF!</v>
      </c>
      <c r="O447" s="3" t="str">
        <f>IFERROR(__xludf.DUMMYFUNCTION("INDEX(SPLIT(I447,"" ""),1)"),"#REF!")</f>
        <v>#REF!</v>
      </c>
      <c r="P447" s="3" t="str">
        <f>IFERROR(__xludf.DUMMYFUNCTION("MID(REGEXEXTRACT(I447,"" [^ ]* [^ ]*""),2,300)"),"#REF!")</f>
        <v>#REF!</v>
      </c>
      <c r="Q447" s="3" t="str">
        <f>IFERROR(__xludf.DUMMYFUNCTION("INDEX(SPLIT(J447,"" ""),1)"),"#REF!")</f>
        <v>#REF!</v>
      </c>
      <c r="R447" s="3" t="str">
        <f>IFERROR(__xludf.DUMMYFUNCTION("MID(REGEXEXTRACT(J447,"" [^ ]* [^ ]*""),2,300)"),"#REF!")</f>
        <v>#REF!</v>
      </c>
      <c r="S447" s="3">
        <f t="shared" si="2"/>
        <v>3</v>
      </c>
      <c r="T447" s="3" t="str">
        <f t="shared" si="3"/>
        <v>muted violet</v>
      </c>
      <c r="U447" s="3" t="str">
        <f t="shared" si="4"/>
        <v/>
      </c>
      <c r="V447" s="3" t="str">
        <f t="shared" si="5"/>
        <v/>
      </c>
      <c r="W447" s="3" t="str">
        <f t="shared" si="6"/>
        <v/>
      </c>
      <c r="X447" s="3" t="str">
        <f t="shared" si="7"/>
        <v/>
      </c>
      <c r="Y447" s="3" t="str">
        <f t="shared" si="8"/>
        <v/>
      </c>
      <c r="Z447" s="3" t="str">
        <f t="shared" si="9"/>
        <v/>
      </c>
      <c r="AA447" s="13">
        <f t="shared" si="10"/>
        <v>13</v>
      </c>
      <c r="AB447" s="3">
        <f t="shared" si="11"/>
        <v>12</v>
      </c>
      <c r="AC447" s="3">
        <f t="shared" si="12"/>
        <v>3</v>
      </c>
      <c r="AD447" s="3">
        <f t="shared" si="13"/>
        <v>4</v>
      </c>
      <c r="AE447" s="3" t="str">
        <f t="shared" si="14"/>
        <v/>
      </c>
      <c r="AF447" s="3">
        <f t="shared" si="15"/>
        <v>0</v>
      </c>
      <c r="AG447" s="3" t="str">
        <f t="shared" si="16"/>
        <v/>
      </c>
      <c r="AH447" s="3">
        <f t="shared" si="17"/>
        <v>0</v>
      </c>
      <c r="AI447" s="3" t="str">
        <f t="shared" si="18"/>
        <v/>
      </c>
      <c r="AJ447" s="3">
        <f t="shared" si="19"/>
        <v>0</v>
      </c>
    </row>
    <row r="448">
      <c r="C448" s="6" t="s">
        <v>448</v>
      </c>
      <c r="D448" s="3">
        <f t="shared" si="1"/>
        <v>1</v>
      </c>
      <c r="E448" s="3" t="str">
        <f>IFERROR(__xludf.DUMMYFUNCTION("REGEXEXTRACT(C448,""[^ ]* [^ ]*"")"),"wavy silver")</f>
        <v>wavy silver</v>
      </c>
      <c r="F448" s="3" t="str">
        <f>IFERROR(__xludf.DUMMYFUNCTION("MID(REGEXEXTRACT(C448,""contain.*$""),9,300)"),"2 muted yellow bags, 4 plaid violet bags.")</f>
        <v>2 muted yellow bags, 4 plaid violet bags.</v>
      </c>
      <c r="G448" s="3" t="str">
        <f>IFERROR(__xludf.DUMMYFUNCTION("INDEX(SPLIT($F448,"",""),COLUMN()-6)"),"2 muted yellow bags")</f>
        <v>2 muted yellow bags</v>
      </c>
      <c r="H448" s="3" t="str">
        <f>IFERROR(__xludf.DUMMYFUNCTION("MID(INDEX(SPLIT($F448,"",""),COLUMN()-6),2,300)"),"4 plaid violet bags.")</f>
        <v>4 plaid violet bags.</v>
      </c>
      <c r="I448" s="3" t="str">
        <f>IFERROR(__xludf.DUMMYFUNCTION("MID(INDEX(SPLIT($F448,"",""),COLUMN()-6),2,300)"),"#REF!")</f>
        <v>#REF!</v>
      </c>
      <c r="J448" s="3" t="str">
        <f>IFERROR(__xludf.DUMMYFUNCTION("MID(INDEX(SPLIT($F448,"",""),COLUMN()-6),2,300)"),"#REF!")</f>
        <v>#REF!</v>
      </c>
      <c r="K448" s="3">
        <f>IFERROR(__xludf.DUMMYFUNCTION("INDEX(SPLIT(G448,"" ""),1)"),2.0)</f>
        <v>2</v>
      </c>
      <c r="L448" s="3" t="str">
        <f>IFERROR(__xludf.DUMMYFUNCTION("REGEXEXTRACT(G448,"" [^ ]* [^ ]* "")")," muted yellow ")</f>
        <v> muted yellow </v>
      </c>
      <c r="M448" s="3">
        <f>IFERROR(__xludf.DUMMYFUNCTION("INDEX(SPLIT(H448,"" ""),1)"),4.0)</f>
        <v>4</v>
      </c>
      <c r="N448" s="3" t="str">
        <f>IFERROR(__xludf.DUMMYFUNCTION("MID(REGEXEXTRACT(H448,"" [^ ]* [^ ]*""),2,300)"),"plaid violet")</f>
        <v>plaid violet</v>
      </c>
      <c r="O448" s="3" t="str">
        <f>IFERROR(__xludf.DUMMYFUNCTION("INDEX(SPLIT(I448,"" ""),1)"),"#REF!")</f>
        <v>#REF!</v>
      </c>
      <c r="P448" s="3" t="str">
        <f>IFERROR(__xludf.DUMMYFUNCTION("MID(REGEXEXTRACT(I448,"" [^ ]* [^ ]*""),2,300)"),"#REF!")</f>
        <v>#REF!</v>
      </c>
      <c r="Q448" s="3" t="str">
        <f>IFERROR(__xludf.DUMMYFUNCTION("INDEX(SPLIT(J448,"" ""),1)"),"#REF!")</f>
        <v>#REF!</v>
      </c>
      <c r="R448" s="3" t="str">
        <f>IFERROR(__xludf.DUMMYFUNCTION("MID(REGEXEXTRACT(J448,"" [^ ]* [^ ]*""),2,300)"),"#REF!")</f>
        <v>#REF!</v>
      </c>
      <c r="S448" s="3">
        <f t="shared" si="2"/>
        <v>2</v>
      </c>
      <c r="T448" s="3" t="str">
        <f t="shared" si="3"/>
        <v>muted yellow</v>
      </c>
      <c r="U448" s="3">
        <f t="shared" si="4"/>
        <v>4</v>
      </c>
      <c r="V448" s="3" t="str">
        <f t="shared" si="5"/>
        <v>plaid violet</v>
      </c>
      <c r="W448" s="3" t="str">
        <f t="shared" si="6"/>
        <v/>
      </c>
      <c r="X448" s="3" t="str">
        <f t="shared" si="7"/>
        <v/>
      </c>
      <c r="Y448" s="3" t="str">
        <f t="shared" si="8"/>
        <v/>
      </c>
      <c r="Z448" s="3" t="str">
        <f t="shared" si="9"/>
        <v/>
      </c>
      <c r="AA448" s="13">
        <f t="shared" si="10"/>
        <v>101252381</v>
      </c>
      <c r="AB448" s="3">
        <f t="shared" si="11"/>
        <v>101252380</v>
      </c>
      <c r="AC448" s="3">
        <f t="shared" si="12"/>
        <v>2</v>
      </c>
      <c r="AD448" s="3">
        <f t="shared" si="13"/>
        <v>3828</v>
      </c>
      <c r="AE448" s="3">
        <f t="shared" si="14"/>
        <v>4</v>
      </c>
      <c r="AF448" s="3">
        <f t="shared" si="15"/>
        <v>25311181</v>
      </c>
      <c r="AG448" s="3" t="str">
        <f t="shared" si="16"/>
        <v/>
      </c>
      <c r="AH448" s="3">
        <f t="shared" si="17"/>
        <v>0</v>
      </c>
      <c r="AI448" s="3" t="str">
        <f t="shared" si="18"/>
        <v/>
      </c>
      <c r="AJ448" s="3">
        <f t="shared" si="19"/>
        <v>0</v>
      </c>
    </row>
    <row r="449">
      <c r="C449" s="6" t="s">
        <v>449</v>
      </c>
      <c r="D449" s="3">
        <f t="shared" si="1"/>
        <v>0</v>
      </c>
      <c r="E449" s="3" t="str">
        <f>IFERROR(__xludf.DUMMYFUNCTION("REGEXEXTRACT(C449,""[^ ]* [^ ]*"")"),"shiny salmon")</f>
        <v>shiny salmon</v>
      </c>
      <c r="F449" s="3" t="str">
        <f>IFERROR(__xludf.DUMMYFUNCTION("MID(REGEXEXTRACT(C449,""contain.*$""),9,300)"),"1 clear yellow bag.")</f>
        <v>1 clear yellow bag.</v>
      </c>
      <c r="G449" s="3" t="str">
        <f>IFERROR(__xludf.DUMMYFUNCTION("INDEX(SPLIT($F449,"",""),COLUMN()-6)"),"1 clear yellow bag.")</f>
        <v>1 clear yellow bag.</v>
      </c>
      <c r="H449" s="3" t="str">
        <f>IFERROR(__xludf.DUMMYFUNCTION("MID(INDEX(SPLIT($F449,"",""),COLUMN()-6),2,300)"),"#REF!")</f>
        <v>#REF!</v>
      </c>
      <c r="I449" s="3" t="str">
        <f>IFERROR(__xludf.DUMMYFUNCTION("MID(INDEX(SPLIT($F449,"",""),COLUMN()-6),2,300)"),"#REF!")</f>
        <v>#REF!</v>
      </c>
      <c r="J449" s="3" t="str">
        <f>IFERROR(__xludf.DUMMYFUNCTION("MID(INDEX(SPLIT($F449,"",""),COLUMN()-6),2,300)"),"#REF!")</f>
        <v>#REF!</v>
      </c>
      <c r="K449" s="3">
        <f>IFERROR(__xludf.DUMMYFUNCTION("INDEX(SPLIT(G449,"" ""),1)"),1.0)</f>
        <v>1</v>
      </c>
      <c r="L449" s="3" t="str">
        <f>IFERROR(__xludf.DUMMYFUNCTION("REGEXEXTRACT(G449,"" [^ ]* [^ ]* "")")," clear yellow ")</f>
        <v> clear yellow </v>
      </c>
      <c r="M449" s="3" t="str">
        <f>IFERROR(__xludf.DUMMYFUNCTION("INDEX(SPLIT(H449,"" ""),1)"),"#REF!")</f>
        <v>#REF!</v>
      </c>
      <c r="N449" s="3" t="str">
        <f>IFERROR(__xludf.DUMMYFUNCTION("MID(REGEXEXTRACT(H449,"" [^ ]* [^ ]*""),2,300)"),"#REF!")</f>
        <v>#REF!</v>
      </c>
      <c r="O449" s="3" t="str">
        <f>IFERROR(__xludf.DUMMYFUNCTION("INDEX(SPLIT(I449,"" ""),1)"),"#REF!")</f>
        <v>#REF!</v>
      </c>
      <c r="P449" s="3" t="str">
        <f>IFERROR(__xludf.DUMMYFUNCTION("MID(REGEXEXTRACT(I449,"" [^ ]* [^ ]*""),2,300)"),"#REF!")</f>
        <v>#REF!</v>
      </c>
      <c r="Q449" s="3" t="str">
        <f>IFERROR(__xludf.DUMMYFUNCTION("INDEX(SPLIT(J449,"" ""),1)"),"#REF!")</f>
        <v>#REF!</v>
      </c>
      <c r="R449" s="3" t="str">
        <f>IFERROR(__xludf.DUMMYFUNCTION("MID(REGEXEXTRACT(J449,"" [^ ]* [^ ]*""),2,300)"),"#REF!")</f>
        <v>#REF!</v>
      </c>
      <c r="S449" s="3">
        <f t="shared" si="2"/>
        <v>1</v>
      </c>
      <c r="T449" s="3" t="str">
        <f t="shared" si="3"/>
        <v>clear yellow</v>
      </c>
      <c r="U449" s="3" t="str">
        <f t="shared" si="4"/>
        <v/>
      </c>
      <c r="V449" s="3" t="str">
        <f t="shared" si="5"/>
        <v/>
      </c>
      <c r="W449" s="3" t="str">
        <f t="shared" si="6"/>
        <v/>
      </c>
      <c r="X449" s="3" t="str">
        <f t="shared" si="7"/>
        <v/>
      </c>
      <c r="Y449" s="3" t="str">
        <f t="shared" si="8"/>
        <v/>
      </c>
      <c r="Z449" s="3" t="str">
        <f t="shared" si="9"/>
        <v/>
      </c>
      <c r="AA449" s="13">
        <f t="shared" si="10"/>
        <v>18112</v>
      </c>
      <c r="AB449" s="3">
        <f t="shared" si="11"/>
        <v>18111</v>
      </c>
      <c r="AC449" s="3">
        <f t="shared" si="12"/>
        <v>1</v>
      </c>
      <c r="AD449" s="3">
        <f t="shared" si="13"/>
        <v>18111</v>
      </c>
      <c r="AE449" s="3" t="str">
        <f t="shared" si="14"/>
        <v/>
      </c>
      <c r="AF449" s="3">
        <f t="shared" si="15"/>
        <v>0</v>
      </c>
      <c r="AG449" s="3" t="str">
        <f t="shared" si="16"/>
        <v/>
      </c>
      <c r="AH449" s="3">
        <f t="shared" si="17"/>
        <v>0</v>
      </c>
      <c r="AI449" s="3" t="str">
        <f t="shared" si="18"/>
        <v/>
      </c>
      <c r="AJ449" s="3">
        <f t="shared" si="19"/>
        <v>0</v>
      </c>
    </row>
    <row r="450">
      <c r="C450" s="6" t="s">
        <v>450</v>
      </c>
      <c r="D450" s="3">
        <f t="shared" si="1"/>
        <v>1</v>
      </c>
      <c r="E450" s="3" t="str">
        <f>IFERROR(__xludf.DUMMYFUNCTION("REGEXEXTRACT(C450,""[^ ]* [^ ]*"")"),"clear purple")</f>
        <v>clear purple</v>
      </c>
      <c r="F450" s="3" t="str">
        <f>IFERROR(__xludf.DUMMYFUNCTION("MID(REGEXEXTRACT(C450,""contain.*$""),9,300)"),"2 posh green bags, 2 muted gray bags.")</f>
        <v>2 posh green bags, 2 muted gray bags.</v>
      </c>
      <c r="G450" s="3" t="str">
        <f>IFERROR(__xludf.DUMMYFUNCTION("INDEX(SPLIT($F450,"",""),COLUMN()-6)"),"2 posh green bags")</f>
        <v>2 posh green bags</v>
      </c>
      <c r="H450" s="3" t="str">
        <f>IFERROR(__xludf.DUMMYFUNCTION("MID(INDEX(SPLIT($F450,"",""),COLUMN()-6),2,300)"),"2 muted gray bags.")</f>
        <v>2 muted gray bags.</v>
      </c>
      <c r="I450" s="3" t="str">
        <f>IFERROR(__xludf.DUMMYFUNCTION("MID(INDEX(SPLIT($F450,"",""),COLUMN()-6),2,300)"),"#REF!")</f>
        <v>#REF!</v>
      </c>
      <c r="J450" s="3" t="str">
        <f>IFERROR(__xludf.DUMMYFUNCTION("MID(INDEX(SPLIT($F450,"",""),COLUMN()-6),2,300)"),"#REF!")</f>
        <v>#REF!</v>
      </c>
      <c r="K450" s="3">
        <f>IFERROR(__xludf.DUMMYFUNCTION("INDEX(SPLIT(G450,"" ""),1)"),2.0)</f>
        <v>2</v>
      </c>
      <c r="L450" s="3" t="str">
        <f>IFERROR(__xludf.DUMMYFUNCTION("REGEXEXTRACT(G450,"" [^ ]* [^ ]* "")")," posh green ")</f>
        <v> posh green </v>
      </c>
      <c r="M450" s="3">
        <f>IFERROR(__xludf.DUMMYFUNCTION("INDEX(SPLIT(H450,"" ""),1)"),2.0)</f>
        <v>2</v>
      </c>
      <c r="N450" s="3" t="str">
        <f>IFERROR(__xludf.DUMMYFUNCTION("MID(REGEXEXTRACT(H450,"" [^ ]* [^ ]*""),2,300)"),"muted gray")</f>
        <v>muted gray</v>
      </c>
      <c r="O450" s="3" t="str">
        <f>IFERROR(__xludf.DUMMYFUNCTION("INDEX(SPLIT(I450,"" ""),1)"),"#REF!")</f>
        <v>#REF!</v>
      </c>
      <c r="P450" s="3" t="str">
        <f>IFERROR(__xludf.DUMMYFUNCTION("MID(REGEXEXTRACT(I450,"" [^ ]* [^ ]*""),2,300)"),"#REF!")</f>
        <v>#REF!</v>
      </c>
      <c r="Q450" s="3" t="str">
        <f>IFERROR(__xludf.DUMMYFUNCTION("INDEX(SPLIT(J450,"" ""),1)"),"#REF!")</f>
        <v>#REF!</v>
      </c>
      <c r="R450" s="3" t="str">
        <f>IFERROR(__xludf.DUMMYFUNCTION("MID(REGEXEXTRACT(J450,"" [^ ]* [^ ]*""),2,300)"),"#REF!")</f>
        <v>#REF!</v>
      </c>
      <c r="S450" s="3">
        <f t="shared" si="2"/>
        <v>2</v>
      </c>
      <c r="T450" s="3" t="str">
        <f t="shared" si="3"/>
        <v>posh green</v>
      </c>
      <c r="U450" s="3">
        <f t="shared" si="4"/>
        <v>2</v>
      </c>
      <c r="V450" s="3" t="str">
        <f t="shared" si="5"/>
        <v>muted gray</v>
      </c>
      <c r="W450" s="3" t="str">
        <f t="shared" si="6"/>
        <v/>
      </c>
      <c r="X450" s="3" t="str">
        <f t="shared" si="7"/>
        <v/>
      </c>
      <c r="Y450" s="3" t="str">
        <f t="shared" si="8"/>
        <v/>
      </c>
      <c r="Z450" s="3" t="str">
        <f t="shared" si="9"/>
        <v/>
      </c>
      <c r="AA450" s="13">
        <f t="shared" si="10"/>
        <v>17441781</v>
      </c>
      <c r="AB450" s="3">
        <f t="shared" si="11"/>
        <v>17441780</v>
      </c>
      <c r="AC450" s="3">
        <f t="shared" si="12"/>
        <v>2</v>
      </c>
      <c r="AD450" s="3">
        <f t="shared" si="13"/>
        <v>6367</v>
      </c>
      <c r="AE450" s="3">
        <f t="shared" si="14"/>
        <v>2</v>
      </c>
      <c r="AF450" s="3">
        <f t="shared" si="15"/>
        <v>8714523</v>
      </c>
      <c r="AG450" s="3" t="str">
        <f t="shared" si="16"/>
        <v/>
      </c>
      <c r="AH450" s="3">
        <f t="shared" si="17"/>
        <v>0</v>
      </c>
      <c r="AI450" s="3" t="str">
        <f t="shared" si="18"/>
        <v/>
      </c>
      <c r="AJ450" s="3">
        <f t="shared" si="19"/>
        <v>0</v>
      </c>
    </row>
    <row r="451">
      <c r="C451" s="6" t="s">
        <v>451</v>
      </c>
      <c r="D451" s="3">
        <f t="shared" si="1"/>
        <v>3</v>
      </c>
      <c r="E451" s="3" t="str">
        <f>IFERROR(__xludf.DUMMYFUNCTION("REGEXEXTRACT(C451,""[^ ]* [^ ]*"")"),"clear cyan")</f>
        <v>clear cyan</v>
      </c>
      <c r="F451" s="3" t="str">
        <f>IFERROR(__xludf.DUMMYFUNCTION("MID(REGEXEXTRACT(C451,""contain.*$""),9,300)"),"5 posh gray bags, 5 plaid aqua bags, 1 wavy tomato bag, 1 dim lavender bag.")</f>
        <v>5 posh gray bags, 5 plaid aqua bags, 1 wavy tomato bag, 1 dim lavender bag.</v>
      </c>
      <c r="G451" s="3" t="str">
        <f>IFERROR(__xludf.DUMMYFUNCTION("INDEX(SPLIT($F451,"",""),COLUMN()-6)"),"5 posh gray bags")</f>
        <v>5 posh gray bags</v>
      </c>
      <c r="H451" s="3" t="str">
        <f>IFERROR(__xludf.DUMMYFUNCTION("MID(INDEX(SPLIT($F451,"",""),COLUMN()-6),2,300)"),"5 plaid aqua bags")</f>
        <v>5 plaid aqua bags</v>
      </c>
      <c r="I451" s="3" t="str">
        <f>IFERROR(__xludf.DUMMYFUNCTION("MID(INDEX(SPLIT($F451,"",""),COLUMN()-6),2,300)"),"1 wavy tomato bag")</f>
        <v>1 wavy tomato bag</v>
      </c>
      <c r="J451" s="3" t="str">
        <f>IFERROR(__xludf.DUMMYFUNCTION("MID(INDEX(SPLIT($F451,"",""),COLUMN()-6),2,300)"),"1 dim lavender bag.")</f>
        <v>1 dim lavender bag.</v>
      </c>
      <c r="K451" s="3">
        <f>IFERROR(__xludf.DUMMYFUNCTION("INDEX(SPLIT(G451,"" ""),1)"),5.0)</f>
        <v>5</v>
      </c>
      <c r="L451" s="3" t="str">
        <f>IFERROR(__xludf.DUMMYFUNCTION("REGEXEXTRACT(G451,"" [^ ]* [^ ]* "")")," posh gray ")</f>
        <v> posh gray </v>
      </c>
      <c r="M451" s="3">
        <f>IFERROR(__xludf.DUMMYFUNCTION("INDEX(SPLIT(H451,"" ""),1)"),5.0)</f>
        <v>5</v>
      </c>
      <c r="N451" s="3" t="str">
        <f>IFERROR(__xludf.DUMMYFUNCTION("MID(REGEXEXTRACT(H451,"" [^ ]* [^ ]*""),2,300)"),"plaid aqua")</f>
        <v>plaid aqua</v>
      </c>
      <c r="O451" s="3">
        <f>IFERROR(__xludf.DUMMYFUNCTION("INDEX(SPLIT(I451,"" ""),1)"),1.0)</f>
        <v>1</v>
      </c>
      <c r="P451" s="3" t="str">
        <f>IFERROR(__xludf.DUMMYFUNCTION("MID(REGEXEXTRACT(I451,"" [^ ]* [^ ]*""),2,300)"),"wavy tomato")</f>
        <v>wavy tomato</v>
      </c>
      <c r="Q451" s="3">
        <f>IFERROR(__xludf.DUMMYFUNCTION("INDEX(SPLIT(J451,"" ""),1)"),1.0)</f>
        <v>1</v>
      </c>
      <c r="R451" s="3" t="str">
        <f>IFERROR(__xludf.DUMMYFUNCTION("MID(REGEXEXTRACT(J451,"" [^ ]* [^ ]*""),2,300)"),"dim lavender")</f>
        <v>dim lavender</v>
      </c>
      <c r="S451" s="3">
        <f t="shared" si="2"/>
        <v>5</v>
      </c>
      <c r="T451" s="3" t="str">
        <f t="shared" si="3"/>
        <v>posh gray</v>
      </c>
      <c r="U451" s="3">
        <f t="shared" si="4"/>
        <v>5</v>
      </c>
      <c r="V451" s="3" t="str">
        <f t="shared" si="5"/>
        <v>plaid aqua</v>
      </c>
      <c r="W451" s="3">
        <f t="shared" si="6"/>
        <v>1</v>
      </c>
      <c r="X451" s="3" t="str">
        <f t="shared" si="7"/>
        <v>wavy tomato</v>
      </c>
      <c r="Y451" s="3">
        <f t="shared" si="8"/>
        <v>1</v>
      </c>
      <c r="Z451" s="3" t="str">
        <f t="shared" si="9"/>
        <v>dim lavender</v>
      </c>
      <c r="AA451" s="13">
        <f t="shared" si="10"/>
        <v>899055</v>
      </c>
      <c r="AB451" s="3">
        <f t="shared" si="11"/>
        <v>899054</v>
      </c>
      <c r="AC451" s="3">
        <f t="shared" si="12"/>
        <v>5</v>
      </c>
      <c r="AD451" s="3">
        <f t="shared" si="13"/>
        <v>25477</v>
      </c>
      <c r="AE451" s="3">
        <f t="shared" si="14"/>
        <v>5</v>
      </c>
      <c r="AF451" s="3">
        <f t="shared" si="15"/>
        <v>1</v>
      </c>
      <c r="AG451" s="3">
        <f t="shared" si="16"/>
        <v>1</v>
      </c>
      <c r="AH451" s="3">
        <f t="shared" si="17"/>
        <v>265</v>
      </c>
      <c r="AI451" s="3">
        <f t="shared" si="18"/>
        <v>1</v>
      </c>
      <c r="AJ451" s="3">
        <f t="shared" si="19"/>
        <v>771399</v>
      </c>
    </row>
    <row r="452">
      <c r="C452" s="6" t="s">
        <v>452</v>
      </c>
      <c r="D452" s="3">
        <f t="shared" si="1"/>
        <v>1</v>
      </c>
      <c r="E452" s="3" t="str">
        <f>IFERROR(__xludf.DUMMYFUNCTION("REGEXEXTRACT(C452,""[^ ]* [^ ]*"")"),"wavy coral")</f>
        <v>wavy coral</v>
      </c>
      <c r="F452" s="3" t="str">
        <f>IFERROR(__xludf.DUMMYFUNCTION("MID(REGEXEXTRACT(C452,""contain.*$""),9,300)"),"5 dim yellow bags, 3 clear yellow bags.")</f>
        <v>5 dim yellow bags, 3 clear yellow bags.</v>
      </c>
      <c r="G452" s="3" t="str">
        <f>IFERROR(__xludf.DUMMYFUNCTION("INDEX(SPLIT($F452,"",""),COLUMN()-6)"),"5 dim yellow bags")</f>
        <v>5 dim yellow bags</v>
      </c>
      <c r="H452" s="3" t="str">
        <f>IFERROR(__xludf.DUMMYFUNCTION("MID(INDEX(SPLIT($F452,"",""),COLUMN()-6),2,300)"),"3 clear yellow bags.")</f>
        <v>3 clear yellow bags.</v>
      </c>
      <c r="I452" s="3" t="str">
        <f>IFERROR(__xludf.DUMMYFUNCTION("MID(INDEX(SPLIT($F452,"",""),COLUMN()-6),2,300)"),"#REF!")</f>
        <v>#REF!</v>
      </c>
      <c r="J452" s="3" t="str">
        <f>IFERROR(__xludf.DUMMYFUNCTION("MID(INDEX(SPLIT($F452,"",""),COLUMN()-6),2,300)"),"#REF!")</f>
        <v>#REF!</v>
      </c>
      <c r="K452" s="3">
        <f>IFERROR(__xludf.DUMMYFUNCTION("INDEX(SPLIT(G452,"" ""),1)"),5.0)</f>
        <v>5</v>
      </c>
      <c r="L452" s="3" t="str">
        <f>IFERROR(__xludf.DUMMYFUNCTION("REGEXEXTRACT(G452,"" [^ ]* [^ ]* "")")," dim yellow ")</f>
        <v> dim yellow </v>
      </c>
      <c r="M452" s="3">
        <f>IFERROR(__xludf.DUMMYFUNCTION("INDEX(SPLIT(H452,"" ""),1)"),3.0)</f>
        <v>3</v>
      </c>
      <c r="N452" s="3" t="str">
        <f>IFERROR(__xludf.DUMMYFUNCTION("MID(REGEXEXTRACT(H452,"" [^ ]* [^ ]*""),2,300)"),"clear yellow")</f>
        <v>clear yellow</v>
      </c>
      <c r="O452" s="3" t="str">
        <f>IFERROR(__xludf.DUMMYFUNCTION("INDEX(SPLIT(I452,"" ""),1)"),"#REF!")</f>
        <v>#REF!</v>
      </c>
      <c r="P452" s="3" t="str">
        <f>IFERROR(__xludf.DUMMYFUNCTION("MID(REGEXEXTRACT(I452,"" [^ ]* [^ ]*""),2,300)"),"#REF!")</f>
        <v>#REF!</v>
      </c>
      <c r="Q452" s="3" t="str">
        <f>IFERROR(__xludf.DUMMYFUNCTION("INDEX(SPLIT(J452,"" ""),1)"),"#REF!")</f>
        <v>#REF!</v>
      </c>
      <c r="R452" s="3" t="str">
        <f>IFERROR(__xludf.DUMMYFUNCTION("MID(REGEXEXTRACT(J452,"" [^ ]* [^ ]*""),2,300)"),"#REF!")</f>
        <v>#REF!</v>
      </c>
      <c r="S452" s="3">
        <f t="shared" si="2"/>
        <v>5</v>
      </c>
      <c r="T452" s="3" t="str">
        <f t="shared" si="3"/>
        <v>dim yellow</v>
      </c>
      <c r="U452" s="3">
        <f t="shared" si="4"/>
        <v>3</v>
      </c>
      <c r="V452" s="3" t="str">
        <f t="shared" si="5"/>
        <v>clear yellow</v>
      </c>
      <c r="W452" s="3" t="str">
        <f t="shared" si="6"/>
        <v/>
      </c>
      <c r="X452" s="3" t="str">
        <f t="shared" si="7"/>
        <v/>
      </c>
      <c r="Y452" s="3" t="str">
        <f t="shared" si="8"/>
        <v/>
      </c>
      <c r="Z452" s="3" t="str">
        <f t="shared" si="9"/>
        <v/>
      </c>
      <c r="AA452" s="13">
        <f t="shared" si="10"/>
        <v>1138059</v>
      </c>
      <c r="AB452" s="3">
        <f t="shared" si="11"/>
        <v>1138058</v>
      </c>
      <c r="AC452" s="3">
        <f t="shared" si="12"/>
        <v>5</v>
      </c>
      <c r="AD452" s="3">
        <f t="shared" si="13"/>
        <v>216745</v>
      </c>
      <c r="AE452" s="3">
        <f t="shared" si="14"/>
        <v>3</v>
      </c>
      <c r="AF452" s="3">
        <f t="shared" si="15"/>
        <v>18111</v>
      </c>
      <c r="AG452" s="3" t="str">
        <f t="shared" si="16"/>
        <v/>
      </c>
      <c r="AH452" s="3">
        <f t="shared" si="17"/>
        <v>0</v>
      </c>
      <c r="AI452" s="3" t="str">
        <f t="shared" si="18"/>
        <v/>
      </c>
      <c r="AJ452" s="3">
        <f t="shared" si="19"/>
        <v>0</v>
      </c>
    </row>
    <row r="453">
      <c r="C453" s="6" t="s">
        <v>453</v>
      </c>
      <c r="D453" s="3">
        <f t="shared" si="1"/>
        <v>1</v>
      </c>
      <c r="E453" s="3" t="str">
        <f>IFERROR(__xludf.DUMMYFUNCTION("REGEXEXTRACT(C453,""[^ ]* [^ ]*"")"),"wavy green")</f>
        <v>wavy green</v>
      </c>
      <c r="F453" s="3" t="str">
        <f>IFERROR(__xludf.DUMMYFUNCTION("MID(REGEXEXTRACT(C453,""contain.*$""),9,300)"),"4 plaid bronze bags, 4 dull coral bags.")</f>
        <v>4 plaid bronze bags, 4 dull coral bags.</v>
      </c>
      <c r="G453" s="3" t="str">
        <f>IFERROR(__xludf.DUMMYFUNCTION("INDEX(SPLIT($F453,"",""),COLUMN()-6)"),"4 plaid bronze bags")</f>
        <v>4 plaid bronze bags</v>
      </c>
      <c r="H453" s="3" t="str">
        <f>IFERROR(__xludf.DUMMYFUNCTION("MID(INDEX(SPLIT($F453,"",""),COLUMN()-6),2,300)"),"4 dull coral bags.")</f>
        <v>4 dull coral bags.</v>
      </c>
      <c r="I453" s="3" t="str">
        <f>IFERROR(__xludf.DUMMYFUNCTION("MID(INDEX(SPLIT($F453,"",""),COLUMN()-6),2,300)"),"#REF!")</f>
        <v>#REF!</v>
      </c>
      <c r="J453" s="3" t="str">
        <f>IFERROR(__xludf.DUMMYFUNCTION("MID(INDEX(SPLIT($F453,"",""),COLUMN()-6),2,300)"),"#REF!")</f>
        <v>#REF!</v>
      </c>
      <c r="K453" s="3">
        <f>IFERROR(__xludf.DUMMYFUNCTION("INDEX(SPLIT(G453,"" ""),1)"),4.0)</f>
        <v>4</v>
      </c>
      <c r="L453" s="3" t="str">
        <f>IFERROR(__xludf.DUMMYFUNCTION("REGEXEXTRACT(G453,"" [^ ]* [^ ]* "")")," plaid bronze ")</f>
        <v> plaid bronze </v>
      </c>
      <c r="M453" s="3">
        <f>IFERROR(__xludf.DUMMYFUNCTION("INDEX(SPLIT(H453,"" ""),1)"),4.0)</f>
        <v>4</v>
      </c>
      <c r="N453" s="3" t="str">
        <f>IFERROR(__xludf.DUMMYFUNCTION("MID(REGEXEXTRACT(H453,"" [^ ]* [^ ]*""),2,300)"),"dull coral")</f>
        <v>dull coral</v>
      </c>
      <c r="O453" s="3" t="str">
        <f>IFERROR(__xludf.DUMMYFUNCTION("INDEX(SPLIT(I453,"" ""),1)"),"#REF!")</f>
        <v>#REF!</v>
      </c>
      <c r="P453" s="3" t="str">
        <f>IFERROR(__xludf.DUMMYFUNCTION("MID(REGEXEXTRACT(I453,"" [^ ]* [^ ]*""),2,300)"),"#REF!")</f>
        <v>#REF!</v>
      </c>
      <c r="Q453" s="3" t="str">
        <f>IFERROR(__xludf.DUMMYFUNCTION("INDEX(SPLIT(J453,"" ""),1)"),"#REF!")</f>
        <v>#REF!</v>
      </c>
      <c r="R453" s="3" t="str">
        <f>IFERROR(__xludf.DUMMYFUNCTION("MID(REGEXEXTRACT(J453,"" [^ ]* [^ ]*""),2,300)"),"#REF!")</f>
        <v>#REF!</v>
      </c>
      <c r="S453" s="3">
        <f t="shared" si="2"/>
        <v>4</v>
      </c>
      <c r="T453" s="3" t="str">
        <f t="shared" si="3"/>
        <v>plaid bronze</v>
      </c>
      <c r="U453" s="3">
        <f t="shared" si="4"/>
        <v>4</v>
      </c>
      <c r="V453" s="3" t="str">
        <f t="shared" si="5"/>
        <v>dull coral</v>
      </c>
      <c r="W453" s="3" t="str">
        <f t="shared" si="6"/>
        <v/>
      </c>
      <c r="X453" s="3" t="str">
        <f t="shared" si="7"/>
        <v/>
      </c>
      <c r="Y453" s="3" t="str">
        <f t="shared" si="8"/>
        <v/>
      </c>
      <c r="Z453" s="3" t="str">
        <f t="shared" si="9"/>
        <v/>
      </c>
      <c r="AA453" s="13">
        <f t="shared" si="10"/>
        <v>831685</v>
      </c>
      <c r="AB453" s="3">
        <f t="shared" si="11"/>
        <v>831684</v>
      </c>
      <c r="AC453" s="3">
        <f t="shared" si="12"/>
        <v>4</v>
      </c>
      <c r="AD453" s="3">
        <f t="shared" si="13"/>
        <v>206997</v>
      </c>
      <c r="AE453" s="3">
        <f t="shared" si="14"/>
        <v>4</v>
      </c>
      <c r="AF453" s="3">
        <f t="shared" si="15"/>
        <v>924</v>
      </c>
      <c r="AG453" s="3" t="str">
        <f t="shared" si="16"/>
        <v/>
      </c>
      <c r="AH453" s="3">
        <f t="shared" si="17"/>
        <v>0</v>
      </c>
      <c r="AI453" s="3" t="str">
        <f t="shared" si="18"/>
        <v/>
      </c>
      <c r="AJ453" s="3">
        <f t="shared" si="19"/>
        <v>0</v>
      </c>
    </row>
    <row r="454">
      <c r="C454" s="6" t="s">
        <v>454</v>
      </c>
      <c r="D454" s="3">
        <f t="shared" si="1"/>
        <v>0</v>
      </c>
      <c r="E454" s="3" t="str">
        <f>IFERROR(__xludf.DUMMYFUNCTION("REGEXEXTRACT(C454,""[^ ]* [^ ]*"")"),"mirrored gold")</f>
        <v>mirrored gold</v>
      </c>
      <c r="F454" s="3" t="str">
        <f>IFERROR(__xludf.DUMMYFUNCTION("MID(REGEXEXTRACT(C454,""contain.*$""),9,300)"),"5 bright lavender bags.")</f>
        <v>5 bright lavender bags.</v>
      </c>
      <c r="G454" s="3" t="str">
        <f>IFERROR(__xludf.DUMMYFUNCTION("INDEX(SPLIT($F454,"",""),COLUMN()-6)"),"5 bright lavender bags.")</f>
        <v>5 bright lavender bags.</v>
      </c>
      <c r="H454" s="3" t="str">
        <f>IFERROR(__xludf.DUMMYFUNCTION("MID(INDEX(SPLIT($F454,"",""),COLUMN()-6),2,300)"),"#REF!")</f>
        <v>#REF!</v>
      </c>
      <c r="I454" s="3" t="str">
        <f>IFERROR(__xludf.DUMMYFUNCTION("MID(INDEX(SPLIT($F454,"",""),COLUMN()-6),2,300)"),"#REF!")</f>
        <v>#REF!</v>
      </c>
      <c r="J454" s="3" t="str">
        <f>IFERROR(__xludf.DUMMYFUNCTION("MID(INDEX(SPLIT($F454,"",""),COLUMN()-6),2,300)"),"#REF!")</f>
        <v>#REF!</v>
      </c>
      <c r="K454" s="3">
        <f>IFERROR(__xludf.DUMMYFUNCTION("INDEX(SPLIT(G454,"" ""),1)"),5.0)</f>
        <v>5</v>
      </c>
      <c r="L454" s="3" t="str">
        <f>IFERROR(__xludf.DUMMYFUNCTION("REGEXEXTRACT(G454,"" [^ ]* [^ ]* "")")," bright lavender ")</f>
        <v> bright lavender </v>
      </c>
      <c r="M454" s="3" t="str">
        <f>IFERROR(__xludf.DUMMYFUNCTION("INDEX(SPLIT(H454,"" ""),1)"),"#REF!")</f>
        <v>#REF!</v>
      </c>
      <c r="N454" s="3" t="str">
        <f>IFERROR(__xludf.DUMMYFUNCTION("MID(REGEXEXTRACT(H454,"" [^ ]* [^ ]*""),2,300)"),"#REF!")</f>
        <v>#REF!</v>
      </c>
      <c r="O454" s="3" t="str">
        <f>IFERROR(__xludf.DUMMYFUNCTION("INDEX(SPLIT(I454,"" ""),1)"),"#REF!")</f>
        <v>#REF!</v>
      </c>
      <c r="P454" s="3" t="str">
        <f>IFERROR(__xludf.DUMMYFUNCTION("MID(REGEXEXTRACT(I454,"" [^ ]* [^ ]*""),2,300)"),"#REF!")</f>
        <v>#REF!</v>
      </c>
      <c r="Q454" s="3" t="str">
        <f>IFERROR(__xludf.DUMMYFUNCTION("INDEX(SPLIT(J454,"" ""),1)"),"#REF!")</f>
        <v>#REF!</v>
      </c>
      <c r="R454" s="3" t="str">
        <f>IFERROR(__xludf.DUMMYFUNCTION("MID(REGEXEXTRACT(J454,"" [^ ]* [^ ]*""),2,300)"),"#REF!")</f>
        <v>#REF!</v>
      </c>
      <c r="S454" s="3">
        <f t="shared" si="2"/>
        <v>5</v>
      </c>
      <c r="T454" s="3" t="str">
        <f t="shared" si="3"/>
        <v>bright lavender</v>
      </c>
      <c r="U454" s="3" t="str">
        <f t="shared" si="4"/>
        <v/>
      </c>
      <c r="V454" s="3" t="str">
        <f t="shared" si="5"/>
        <v/>
      </c>
      <c r="W454" s="3" t="str">
        <f t="shared" si="6"/>
        <v/>
      </c>
      <c r="X454" s="3" t="str">
        <f t="shared" si="7"/>
        <v/>
      </c>
      <c r="Y454" s="3" t="str">
        <f t="shared" si="8"/>
        <v/>
      </c>
      <c r="Z454" s="3" t="str">
        <f t="shared" si="9"/>
        <v/>
      </c>
      <c r="AA454" s="13">
        <f t="shared" si="10"/>
        <v>821</v>
      </c>
      <c r="AB454" s="3">
        <f t="shared" si="11"/>
        <v>820</v>
      </c>
      <c r="AC454" s="3">
        <f t="shared" si="12"/>
        <v>5</v>
      </c>
      <c r="AD454" s="3">
        <f t="shared" si="13"/>
        <v>164</v>
      </c>
      <c r="AE454" s="3" t="str">
        <f t="shared" si="14"/>
        <v/>
      </c>
      <c r="AF454" s="3">
        <f t="shared" si="15"/>
        <v>0</v>
      </c>
      <c r="AG454" s="3" t="str">
        <f t="shared" si="16"/>
        <v/>
      </c>
      <c r="AH454" s="3">
        <f t="shared" si="17"/>
        <v>0</v>
      </c>
      <c r="AI454" s="3" t="str">
        <f t="shared" si="18"/>
        <v/>
      </c>
      <c r="AJ454" s="3">
        <f t="shared" si="19"/>
        <v>0</v>
      </c>
    </row>
    <row r="455">
      <c r="C455" s="6" t="s">
        <v>455</v>
      </c>
      <c r="D455" s="3">
        <f t="shared" si="1"/>
        <v>0</v>
      </c>
      <c r="E455" s="3" t="str">
        <f>IFERROR(__xludf.DUMMYFUNCTION("REGEXEXTRACT(C455,""[^ ]* [^ ]*"")"),"muted fuchsia")</f>
        <v>muted fuchsia</v>
      </c>
      <c r="F455" s="3" t="str">
        <f>IFERROR(__xludf.DUMMYFUNCTION("MID(REGEXEXTRACT(C455,""contain.*$""),9,300)"),"1 dotted purple bag.")</f>
        <v>1 dotted purple bag.</v>
      </c>
      <c r="G455" s="3" t="str">
        <f>IFERROR(__xludf.DUMMYFUNCTION("INDEX(SPLIT($F455,"",""),COLUMN()-6)"),"1 dotted purple bag.")</f>
        <v>1 dotted purple bag.</v>
      </c>
      <c r="H455" s="3" t="str">
        <f>IFERROR(__xludf.DUMMYFUNCTION("MID(INDEX(SPLIT($F455,"",""),COLUMN()-6),2,300)"),"#REF!")</f>
        <v>#REF!</v>
      </c>
      <c r="I455" s="3" t="str">
        <f>IFERROR(__xludf.DUMMYFUNCTION("MID(INDEX(SPLIT($F455,"",""),COLUMN()-6),2,300)"),"#REF!")</f>
        <v>#REF!</v>
      </c>
      <c r="J455" s="3" t="str">
        <f>IFERROR(__xludf.DUMMYFUNCTION("MID(INDEX(SPLIT($F455,"",""),COLUMN()-6),2,300)"),"#REF!")</f>
        <v>#REF!</v>
      </c>
      <c r="K455" s="3">
        <f>IFERROR(__xludf.DUMMYFUNCTION("INDEX(SPLIT(G455,"" ""),1)"),1.0)</f>
        <v>1</v>
      </c>
      <c r="L455" s="3" t="str">
        <f>IFERROR(__xludf.DUMMYFUNCTION("REGEXEXTRACT(G455,"" [^ ]* [^ ]* "")")," dotted purple ")</f>
        <v> dotted purple </v>
      </c>
      <c r="M455" s="3" t="str">
        <f>IFERROR(__xludf.DUMMYFUNCTION("INDEX(SPLIT(H455,"" ""),1)"),"#REF!")</f>
        <v>#REF!</v>
      </c>
      <c r="N455" s="3" t="str">
        <f>IFERROR(__xludf.DUMMYFUNCTION("MID(REGEXEXTRACT(H455,"" [^ ]* [^ ]*""),2,300)"),"#REF!")</f>
        <v>#REF!</v>
      </c>
      <c r="O455" s="3" t="str">
        <f>IFERROR(__xludf.DUMMYFUNCTION("INDEX(SPLIT(I455,"" ""),1)"),"#REF!")</f>
        <v>#REF!</v>
      </c>
      <c r="P455" s="3" t="str">
        <f>IFERROR(__xludf.DUMMYFUNCTION("MID(REGEXEXTRACT(I455,"" [^ ]* [^ ]*""),2,300)"),"#REF!")</f>
        <v>#REF!</v>
      </c>
      <c r="Q455" s="3" t="str">
        <f>IFERROR(__xludf.DUMMYFUNCTION("INDEX(SPLIT(J455,"" ""),1)"),"#REF!")</f>
        <v>#REF!</v>
      </c>
      <c r="R455" s="3" t="str">
        <f>IFERROR(__xludf.DUMMYFUNCTION("MID(REGEXEXTRACT(J455,"" [^ ]* [^ ]*""),2,300)"),"#REF!")</f>
        <v>#REF!</v>
      </c>
      <c r="S455" s="3">
        <f t="shared" si="2"/>
        <v>1</v>
      </c>
      <c r="T455" s="3" t="str">
        <f t="shared" si="3"/>
        <v>dotted purple</v>
      </c>
      <c r="U455" s="3" t="str">
        <f t="shared" si="4"/>
        <v/>
      </c>
      <c r="V455" s="3" t="str">
        <f t="shared" si="5"/>
        <v/>
      </c>
      <c r="W455" s="3" t="str">
        <f t="shared" si="6"/>
        <v/>
      </c>
      <c r="X455" s="3" t="str">
        <f t="shared" si="7"/>
        <v/>
      </c>
      <c r="Y455" s="3" t="str">
        <f t="shared" si="8"/>
        <v/>
      </c>
      <c r="Z455" s="3" t="str">
        <f t="shared" si="9"/>
        <v/>
      </c>
      <c r="AA455" s="13">
        <f t="shared" si="10"/>
        <v>19267</v>
      </c>
      <c r="AB455" s="3">
        <f t="shared" si="11"/>
        <v>19266</v>
      </c>
      <c r="AC455" s="3">
        <f t="shared" si="12"/>
        <v>1</v>
      </c>
      <c r="AD455" s="3">
        <f t="shared" si="13"/>
        <v>19266</v>
      </c>
      <c r="AE455" s="3" t="str">
        <f t="shared" si="14"/>
        <v/>
      </c>
      <c r="AF455" s="3">
        <f t="shared" si="15"/>
        <v>0</v>
      </c>
      <c r="AG455" s="3" t="str">
        <f t="shared" si="16"/>
        <v/>
      </c>
      <c r="AH455" s="3">
        <f t="shared" si="17"/>
        <v>0</v>
      </c>
      <c r="AI455" s="3" t="str">
        <f t="shared" si="18"/>
        <v/>
      </c>
      <c r="AJ455" s="3">
        <f t="shared" si="19"/>
        <v>0</v>
      </c>
    </row>
    <row r="456">
      <c r="C456" s="6" t="s">
        <v>456</v>
      </c>
      <c r="D456" s="3">
        <f t="shared" si="1"/>
        <v>2</v>
      </c>
      <c r="E456" s="3" t="str">
        <f>IFERROR(__xludf.DUMMYFUNCTION("REGEXEXTRACT(C456,""[^ ]* [^ ]*"")"),"clear maroon")</f>
        <v>clear maroon</v>
      </c>
      <c r="F456" s="3" t="str">
        <f>IFERROR(__xludf.DUMMYFUNCTION("MID(REGEXEXTRACT(C456,""contain.*$""),9,300)"),"3 muted gray bags, 2 bright chartreuse bags, 3 dotted gold bags.")</f>
        <v>3 muted gray bags, 2 bright chartreuse bags, 3 dotted gold bags.</v>
      </c>
      <c r="G456" s="3" t="str">
        <f>IFERROR(__xludf.DUMMYFUNCTION("INDEX(SPLIT($F456,"",""),COLUMN()-6)"),"3 muted gray bags")</f>
        <v>3 muted gray bags</v>
      </c>
      <c r="H456" s="3" t="str">
        <f>IFERROR(__xludf.DUMMYFUNCTION("MID(INDEX(SPLIT($F456,"",""),COLUMN()-6),2,300)"),"2 bright chartreuse bags")</f>
        <v>2 bright chartreuse bags</v>
      </c>
      <c r="I456" s="3" t="str">
        <f>IFERROR(__xludf.DUMMYFUNCTION("MID(INDEX(SPLIT($F456,"",""),COLUMN()-6),2,300)"),"3 dotted gold bags.")</f>
        <v>3 dotted gold bags.</v>
      </c>
      <c r="J456" s="3" t="str">
        <f>IFERROR(__xludf.DUMMYFUNCTION("MID(INDEX(SPLIT($F456,"",""),COLUMN()-6),2,300)"),"#REF!")</f>
        <v>#REF!</v>
      </c>
      <c r="K456" s="3">
        <f>IFERROR(__xludf.DUMMYFUNCTION("INDEX(SPLIT(G456,"" ""),1)"),3.0)</f>
        <v>3</v>
      </c>
      <c r="L456" s="3" t="str">
        <f>IFERROR(__xludf.DUMMYFUNCTION("REGEXEXTRACT(G456,"" [^ ]* [^ ]* "")")," muted gray ")</f>
        <v> muted gray </v>
      </c>
      <c r="M456" s="3">
        <f>IFERROR(__xludf.DUMMYFUNCTION("INDEX(SPLIT(H456,"" ""),1)"),2.0)</f>
        <v>2</v>
      </c>
      <c r="N456" s="3" t="str">
        <f>IFERROR(__xludf.DUMMYFUNCTION("MID(REGEXEXTRACT(H456,"" [^ ]* [^ ]*""),2,300)"),"bright chartreuse")</f>
        <v>bright chartreuse</v>
      </c>
      <c r="O456" s="3">
        <f>IFERROR(__xludf.DUMMYFUNCTION("INDEX(SPLIT(I456,"" ""),1)"),3.0)</f>
        <v>3</v>
      </c>
      <c r="P456" s="3" t="str">
        <f>IFERROR(__xludf.DUMMYFUNCTION("MID(REGEXEXTRACT(I456,"" [^ ]* [^ ]*""),2,300)"),"dotted gold")</f>
        <v>dotted gold</v>
      </c>
      <c r="Q456" s="3" t="str">
        <f>IFERROR(__xludf.DUMMYFUNCTION("INDEX(SPLIT(J456,"" ""),1)"),"#REF!")</f>
        <v>#REF!</v>
      </c>
      <c r="R456" s="3" t="str">
        <f>IFERROR(__xludf.DUMMYFUNCTION("MID(REGEXEXTRACT(J456,"" [^ ]* [^ ]*""),2,300)"),"#REF!")</f>
        <v>#REF!</v>
      </c>
      <c r="S456" s="3">
        <f t="shared" si="2"/>
        <v>3</v>
      </c>
      <c r="T456" s="3" t="str">
        <f t="shared" si="3"/>
        <v>muted gray</v>
      </c>
      <c r="U456" s="3">
        <f t="shared" si="4"/>
        <v>2</v>
      </c>
      <c r="V456" s="3" t="str">
        <f t="shared" si="5"/>
        <v>bright chartreuse</v>
      </c>
      <c r="W456" s="3">
        <f t="shared" si="6"/>
        <v>3</v>
      </c>
      <c r="X456" s="3" t="str">
        <f t="shared" si="7"/>
        <v>dotted gold</v>
      </c>
      <c r="Y456" s="3" t="str">
        <f t="shared" si="8"/>
        <v/>
      </c>
      <c r="Z456" s="3" t="str">
        <f t="shared" si="9"/>
        <v/>
      </c>
      <c r="AA456" s="13">
        <f t="shared" si="10"/>
        <v>26408808</v>
      </c>
      <c r="AB456" s="3">
        <f t="shared" si="11"/>
        <v>26408807</v>
      </c>
      <c r="AC456" s="3">
        <f t="shared" si="12"/>
        <v>3</v>
      </c>
      <c r="AD456" s="3">
        <f t="shared" si="13"/>
        <v>8714523</v>
      </c>
      <c r="AE456" s="3">
        <f t="shared" si="14"/>
        <v>2</v>
      </c>
      <c r="AF456" s="3">
        <f t="shared" si="15"/>
        <v>132604</v>
      </c>
      <c r="AG456" s="3">
        <f t="shared" si="16"/>
        <v>3</v>
      </c>
      <c r="AH456" s="3">
        <f t="shared" si="17"/>
        <v>10</v>
      </c>
      <c r="AI456" s="3" t="str">
        <f t="shared" si="18"/>
        <v/>
      </c>
      <c r="AJ456" s="3">
        <f t="shared" si="19"/>
        <v>0</v>
      </c>
    </row>
    <row r="457">
      <c r="C457" s="6" t="s">
        <v>457</v>
      </c>
      <c r="D457" s="3">
        <f t="shared" si="1"/>
        <v>0</v>
      </c>
      <c r="E457" s="3" t="str">
        <f>IFERROR(__xludf.DUMMYFUNCTION("REGEXEXTRACT(C457,""[^ ]* [^ ]*"")"),"faded salmon")</f>
        <v>faded salmon</v>
      </c>
      <c r="F457" s="3" t="str">
        <f>IFERROR(__xludf.DUMMYFUNCTION("MID(REGEXEXTRACT(C457,""contain.*$""),9,300)"),"5 clear green bags.")</f>
        <v>5 clear green bags.</v>
      </c>
      <c r="G457" s="3" t="str">
        <f>IFERROR(__xludf.DUMMYFUNCTION("INDEX(SPLIT($F457,"",""),COLUMN()-6)"),"5 clear green bags.")</f>
        <v>5 clear green bags.</v>
      </c>
      <c r="H457" s="3" t="str">
        <f>IFERROR(__xludf.DUMMYFUNCTION("MID(INDEX(SPLIT($F457,"",""),COLUMN()-6),2,300)"),"#REF!")</f>
        <v>#REF!</v>
      </c>
      <c r="I457" s="3" t="str">
        <f>IFERROR(__xludf.DUMMYFUNCTION("MID(INDEX(SPLIT($F457,"",""),COLUMN()-6),2,300)"),"#REF!")</f>
        <v>#REF!</v>
      </c>
      <c r="J457" s="3" t="str">
        <f>IFERROR(__xludf.DUMMYFUNCTION("MID(INDEX(SPLIT($F457,"",""),COLUMN()-6),2,300)"),"#REF!")</f>
        <v>#REF!</v>
      </c>
      <c r="K457" s="3">
        <f>IFERROR(__xludf.DUMMYFUNCTION("INDEX(SPLIT(G457,"" ""),1)"),5.0)</f>
        <v>5</v>
      </c>
      <c r="L457" s="3" t="str">
        <f>IFERROR(__xludf.DUMMYFUNCTION("REGEXEXTRACT(G457,"" [^ ]* [^ ]* "")")," clear green ")</f>
        <v> clear green </v>
      </c>
      <c r="M457" s="3" t="str">
        <f>IFERROR(__xludf.DUMMYFUNCTION("INDEX(SPLIT(H457,"" ""),1)"),"#REF!")</f>
        <v>#REF!</v>
      </c>
      <c r="N457" s="3" t="str">
        <f>IFERROR(__xludf.DUMMYFUNCTION("MID(REGEXEXTRACT(H457,"" [^ ]* [^ ]*""),2,300)"),"#REF!")</f>
        <v>#REF!</v>
      </c>
      <c r="O457" s="3" t="str">
        <f>IFERROR(__xludf.DUMMYFUNCTION("INDEX(SPLIT(I457,"" ""),1)"),"#REF!")</f>
        <v>#REF!</v>
      </c>
      <c r="P457" s="3" t="str">
        <f>IFERROR(__xludf.DUMMYFUNCTION("MID(REGEXEXTRACT(I457,"" [^ ]* [^ ]*""),2,300)"),"#REF!")</f>
        <v>#REF!</v>
      </c>
      <c r="Q457" s="3" t="str">
        <f>IFERROR(__xludf.DUMMYFUNCTION("INDEX(SPLIT(J457,"" ""),1)"),"#REF!")</f>
        <v>#REF!</v>
      </c>
      <c r="R457" s="3" t="str">
        <f>IFERROR(__xludf.DUMMYFUNCTION("MID(REGEXEXTRACT(J457,"" [^ ]* [^ ]*""),2,300)"),"#REF!")</f>
        <v>#REF!</v>
      </c>
      <c r="S457" s="3">
        <f t="shared" si="2"/>
        <v>5</v>
      </c>
      <c r="T457" s="3" t="str">
        <f t="shared" si="3"/>
        <v>clear green</v>
      </c>
      <c r="U457" s="3" t="str">
        <f t="shared" si="4"/>
        <v/>
      </c>
      <c r="V457" s="3" t="str">
        <f t="shared" si="5"/>
        <v/>
      </c>
      <c r="W457" s="3" t="str">
        <f t="shared" si="6"/>
        <v/>
      </c>
      <c r="X457" s="3" t="str">
        <f t="shared" si="7"/>
        <v/>
      </c>
      <c r="Y457" s="3" t="str">
        <f t="shared" si="8"/>
        <v/>
      </c>
      <c r="Z457" s="3" t="str">
        <f t="shared" si="9"/>
        <v/>
      </c>
      <c r="AA457" s="13">
        <f t="shared" si="10"/>
        <v>23596</v>
      </c>
      <c r="AB457" s="3">
        <f t="shared" si="11"/>
        <v>23595</v>
      </c>
      <c r="AC457" s="3">
        <f t="shared" si="12"/>
        <v>5</v>
      </c>
      <c r="AD457" s="3">
        <f t="shared" si="13"/>
        <v>4719</v>
      </c>
      <c r="AE457" s="3" t="str">
        <f t="shared" si="14"/>
        <v/>
      </c>
      <c r="AF457" s="3">
        <f t="shared" si="15"/>
        <v>0</v>
      </c>
      <c r="AG457" s="3" t="str">
        <f t="shared" si="16"/>
        <v/>
      </c>
      <c r="AH457" s="3">
        <f t="shared" si="17"/>
        <v>0</v>
      </c>
      <c r="AI457" s="3" t="str">
        <f t="shared" si="18"/>
        <v/>
      </c>
      <c r="AJ457" s="3">
        <f t="shared" si="19"/>
        <v>0</v>
      </c>
    </row>
    <row r="458">
      <c r="C458" s="6" t="s">
        <v>458</v>
      </c>
      <c r="D458" s="3">
        <f t="shared" si="1"/>
        <v>3</v>
      </c>
      <c r="E458" s="3" t="str">
        <f>IFERROR(__xludf.DUMMYFUNCTION("REGEXEXTRACT(C458,""[^ ]* [^ ]*"")"),"striped aqua")</f>
        <v>striped aqua</v>
      </c>
      <c r="F458" s="3" t="str">
        <f>IFERROR(__xludf.DUMMYFUNCTION("MID(REGEXEXTRACT(C458,""contain.*$""),9,300)"),"5 pale yellow bags, 1 dotted salmon bag, 1 wavy teal bag, 1 muted yellow bag.")</f>
        <v>5 pale yellow bags, 1 dotted salmon bag, 1 wavy teal bag, 1 muted yellow bag.</v>
      </c>
      <c r="G458" s="3" t="str">
        <f>IFERROR(__xludf.DUMMYFUNCTION("INDEX(SPLIT($F458,"",""),COLUMN()-6)"),"5 pale yellow bags")</f>
        <v>5 pale yellow bags</v>
      </c>
      <c r="H458" s="3" t="str">
        <f>IFERROR(__xludf.DUMMYFUNCTION("MID(INDEX(SPLIT($F458,"",""),COLUMN()-6),2,300)"),"1 dotted salmon bag")</f>
        <v>1 dotted salmon bag</v>
      </c>
      <c r="I458" s="3" t="str">
        <f>IFERROR(__xludf.DUMMYFUNCTION("MID(INDEX(SPLIT($F458,"",""),COLUMN()-6),2,300)"),"1 wavy teal bag")</f>
        <v>1 wavy teal bag</v>
      </c>
      <c r="J458" s="3" t="str">
        <f>IFERROR(__xludf.DUMMYFUNCTION("MID(INDEX(SPLIT($F458,"",""),COLUMN()-6),2,300)"),"1 muted yellow bag.")</f>
        <v>1 muted yellow bag.</v>
      </c>
      <c r="K458" s="3">
        <f>IFERROR(__xludf.DUMMYFUNCTION("INDEX(SPLIT(G458,"" ""),1)"),5.0)</f>
        <v>5</v>
      </c>
      <c r="L458" s="3" t="str">
        <f>IFERROR(__xludf.DUMMYFUNCTION("REGEXEXTRACT(G458,"" [^ ]* [^ ]* "")")," pale yellow ")</f>
        <v> pale yellow </v>
      </c>
      <c r="M458" s="3">
        <f>IFERROR(__xludf.DUMMYFUNCTION("INDEX(SPLIT(H458,"" ""),1)"),1.0)</f>
        <v>1</v>
      </c>
      <c r="N458" s="3" t="str">
        <f>IFERROR(__xludf.DUMMYFUNCTION("MID(REGEXEXTRACT(H458,"" [^ ]* [^ ]*""),2,300)"),"dotted salmon")</f>
        <v>dotted salmon</v>
      </c>
      <c r="O458" s="3">
        <f>IFERROR(__xludf.DUMMYFUNCTION("INDEX(SPLIT(I458,"" ""),1)"),1.0)</f>
        <v>1</v>
      </c>
      <c r="P458" s="3" t="str">
        <f>IFERROR(__xludf.DUMMYFUNCTION("MID(REGEXEXTRACT(I458,"" [^ ]* [^ ]*""),2,300)"),"wavy teal")</f>
        <v>wavy teal</v>
      </c>
      <c r="Q458" s="3">
        <f>IFERROR(__xludf.DUMMYFUNCTION("INDEX(SPLIT(J458,"" ""),1)"),1.0)</f>
        <v>1</v>
      </c>
      <c r="R458" s="3" t="str">
        <f>IFERROR(__xludf.DUMMYFUNCTION("MID(REGEXEXTRACT(J458,"" [^ ]* [^ ]*""),2,300)"),"muted yellow")</f>
        <v>muted yellow</v>
      </c>
      <c r="S458" s="3">
        <f t="shared" si="2"/>
        <v>5</v>
      </c>
      <c r="T458" s="3" t="str">
        <f t="shared" si="3"/>
        <v>pale yellow</v>
      </c>
      <c r="U458" s="3">
        <f t="shared" si="4"/>
        <v>1</v>
      </c>
      <c r="V458" s="3" t="str">
        <f t="shared" si="5"/>
        <v>dotted salmon</v>
      </c>
      <c r="W458" s="3">
        <f t="shared" si="6"/>
        <v>1</v>
      </c>
      <c r="X458" s="3" t="str">
        <f t="shared" si="7"/>
        <v>wavy teal</v>
      </c>
      <c r="Y458" s="3">
        <f t="shared" si="8"/>
        <v>1</v>
      </c>
      <c r="Z458" s="3" t="str">
        <f t="shared" si="9"/>
        <v>muted yellow</v>
      </c>
      <c r="AA458" s="13">
        <f t="shared" si="10"/>
        <v>187520</v>
      </c>
      <c r="AB458" s="3">
        <f t="shared" si="11"/>
        <v>187519</v>
      </c>
      <c r="AC458" s="3">
        <f t="shared" si="12"/>
        <v>5</v>
      </c>
      <c r="AD458" s="3">
        <f t="shared" si="13"/>
        <v>329</v>
      </c>
      <c r="AE458" s="3">
        <f t="shared" si="14"/>
        <v>1</v>
      </c>
      <c r="AF458" s="3">
        <f t="shared" si="15"/>
        <v>97296</v>
      </c>
      <c r="AG458" s="3">
        <f t="shared" si="16"/>
        <v>1</v>
      </c>
      <c r="AH458" s="3">
        <f t="shared" si="17"/>
        <v>84750</v>
      </c>
      <c r="AI458" s="3">
        <f t="shared" si="18"/>
        <v>1</v>
      </c>
      <c r="AJ458" s="3">
        <f t="shared" si="19"/>
        <v>3828</v>
      </c>
    </row>
    <row r="459">
      <c r="C459" s="6" t="s">
        <v>459</v>
      </c>
      <c r="D459" s="3">
        <f t="shared" si="1"/>
        <v>0</v>
      </c>
      <c r="E459" s="3" t="str">
        <f>IFERROR(__xludf.DUMMYFUNCTION("REGEXEXTRACT(C459,""[^ ]* [^ ]*"")"),"plaid fuchsia")</f>
        <v>plaid fuchsia</v>
      </c>
      <c r="F459" s="3" t="str">
        <f>IFERROR(__xludf.DUMMYFUNCTION("MID(REGEXEXTRACT(C459,""contain.*$""),9,300)"),"2 dim olive bags.")</f>
        <v>2 dim olive bags.</v>
      </c>
      <c r="G459" s="3" t="str">
        <f>IFERROR(__xludf.DUMMYFUNCTION("INDEX(SPLIT($F459,"",""),COLUMN()-6)"),"2 dim olive bags.")</f>
        <v>2 dim olive bags.</v>
      </c>
      <c r="H459" s="3" t="str">
        <f>IFERROR(__xludf.DUMMYFUNCTION("MID(INDEX(SPLIT($F459,"",""),COLUMN()-6),2,300)"),"#REF!")</f>
        <v>#REF!</v>
      </c>
      <c r="I459" s="3" t="str">
        <f>IFERROR(__xludf.DUMMYFUNCTION("MID(INDEX(SPLIT($F459,"",""),COLUMN()-6),2,300)"),"#REF!")</f>
        <v>#REF!</v>
      </c>
      <c r="J459" s="3" t="str">
        <f>IFERROR(__xludf.DUMMYFUNCTION("MID(INDEX(SPLIT($F459,"",""),COLUMN()-6),2,300)"),"#REF!")</f>
        <v>#REF!</v>
      </c>
      <c r="K459" s="3">
        <f>IFERROR(__xludf.DUMMYFUNCTION("INDEX(SPLIT(G459,"" ""),1)"),2.0)</f>
        <v>2</v>
      </c>
      <c r="L459" s="3" t="str">
        <f>IFERROR(__xludf.DUMMYFUNCTION("REGEXEXTRACT(G459,"" [^ ]* [^ ]* "")")," dim olive ")</f>
        <v> dim olive </v>
      </c>
      <c r="M459" s="3" t="str">
        <f>IFERROR(__xludf.DUMMYFUNCTION("INDEX(SPLIT(H459,"" ""),1)"),"#REF!")</f>
        <v>#REF!</v>
      </c>
      <c r="N459" s="3" t="str">
        <f>IFERROR(__xludf.DUMMYFUNCTION("MID(REGEXEXTRACT(H459,"" [^ ]* [^ ]*""),2,300)"),"#REF!")</f>
        <v>#REF!</v>
      </c>
      <c r="O459" s="3" t="str">
        <f>IFERROR(__xludf.DUMMYFUNCTION("INDEX(SPLIT(I459,"" ""),1)"),"#REF!")</f>
        <v>#REF!</v>
      </c>
      <c r="P459" s="3" t="str">
        <f>IFERROR(__xludf.DUMMYFUNCTION("MID(REGEXEXTRACT(I459,"" [^ ]* [^ ]*""),2,300)"),"#REF!")</f>
        <v>#REF!</v>
      </c>
      <c r="Q459" s="3" t="str">
        <f>IFERROR(__xludf.DUMMYFUNCTION("INDEX(SPLIT(J459,"" ""),1)"),"#REF!")</f>
        <v>#REF!</v>
      </c>
      <c r="R459" s="3" t="str">
        <f>IFERROR(__xludf.DUMMYFUNCTION("MID(REGEXEXTRACT(J459,"" [^ ]* [^ ]*""),2,300)"),"#REF!")</f>
        <v>#REF!</v>
      </c>
      <c r="S459" s="3">
        <f t="shared" si="2"/>
        <v>2</v>
      </c>
      <c r="T459" s="3" t="str">
        <f t="shared" si="3"/>
        <v>dim olive</v>
      </c>
      <c r="U459" s="3" t="str">
        <f t="shared" si="4"/>
        <v/>
      </c>
      <c r="V459" s="3" t="str">
        <f t="shared" si="5"/>
        <v/>
      </c>
      <c r="W459" s="3" t="str">
        <f t="shared" si="6"/>
        <v/>
      </c>
      <c r="X459" s="3" t="str">
        <f t="shared" si="7"/>
        <v/>
      </c>
      <c r="Y459" s="3" t="str">
        <f t="shared" si="8"/>
        <v/>
      </c>
      <c r="Z459" s="3" t="str">
        <f t="shared" si="9"/>
        <v/>
      </c>
      <c r="AA459" s="13">
        <f t="shared" si="10"/>
        <v>3</v>
      </c>
      <c r="AB459" s="3">
        <f t="shared" si="11"/>
        <v>2</v>
      </c>
      <c r="AC459" s="3">
        <f t="shared" si="12"/>
        <v>2</v>
      </c>
      <c r="AD459" s="3">
        <f t="shared" si="13"/>
        <v>1</v>
      </c>
      <c r="AE459" s="3" t="str">
        <f t="shared" si="14"/>
        <v/>
      </c>
      <c r="AF459" s="3">
        <f t="shared" si="15"/>
        <v>0</v>
      </c>
      <c r="AG459" s="3" t="str">
        <f t="shared" si="16"/>
        <v/>
      </c>
      <c r="AH459" s="3">
        <f t="shared" si="17"/>
        <v>0</v>
      </c>
      <c r="AI459" s="3" t="str">
        <f t="shared" si="18"/>
        <v/>
      </c>
      <c r="AJ459" s="3">
        <f t="shared" si="19"/>
        <v>0</v>
      </c>
    </row>
    <row r="460">
      <c r="C460" s="6" t="s">
        <v>460</v>
      </c>
      <c r="D460" s="3">
        <f t="shared" si="1"/>
        <v>1</v>
      </c>
      <c r="E460" s="3" t="str">
        <f>IFERROR(__xludf.DUMMYFUNCTION("REGEXEXTRACT(C460,""[^ ]* [^ ]*"")"),"pale chartreuse")</f>
        <v>pale chartreuse</v>
      </c>
      <c r="F460" s="3" t="str">
        <f>IFERROR(__xludf.DUMMYFUNCTION("MID(REGEXEXTRACT(C460,""contain.*$""),9,300)"),"3 posh magenta bags, 3 mirrored yellow bags.")</f>
        <v>3 posh magenta bags, 3 mirrored yellow bags.</v>
      </c>
      <c r="G460" s="3" t="str">
        <f>IFERROR(__xludf.DUMMYFUNCTION("INDEX(SPLIT($F460,"",""),COLUMN()-6)"),"3 posh magenta bags")</f>
        <v>3 posh magenta bags</v>
      </c>
      <c r="H460" s="3" t="str">
        <f>IFERROR(__xludf.DUMMYFUNCTION("MID(INDEX(SPLIT($F460,"",""),COLUMN()-6),2,300)"),"3 mirrored yellow bags.")</f>
        <v>3 mirrored yellow bags.</v>
      </c>
      <c r="I460" s="3" t="str">
        <f>IFERROR(__xludf.DUMMYFUNCTION("MID(INDEX(SPLIT($F460,"",""),COLUMN()-6),2,300)"),"#REF!")</f>
        <v>#REF!</v>
      </c>
      <c r="J460" s="3" t="str">
        <f>IFERROR(__xludf.DUMMYFUNCTION("MID(INDEX(SPLIT($F460,"",""),COLUMN()-6),2,300)"),"#REF!")</f>
        <v>#REF!</v>
      </c>
      <c r="K460" s="3">
        <f>IFERROR(__xludf.DUMMYFUNCTION("INDEX(SPLIT(G460,"" ""),1)"),3.0)</f>
        <v>3</v>
      </c>
      <c r="L460" s="3" t="str">
        <f>IFERROR(__xludf.DUMMYFUNCTION("REGEXEXTRACT(G460,"" [^ ]* [^ ]* "")")," posh magenta ")</f>
        <v> posh magenta </v>
      </c>
      <c r="M460" s="3">
        <f>IFERROR(__xludf.DUMMYFUNCTION("INDEX(SPLIT(H460,"" ""),1)"),3.0)</f>
        <v>3</v>
      </c>
      <c r="N460" s="3" t="str">
        <f>IFERROR(__xludf.DUMMYFUNCTION("MID(REGEXEXTRACT(H460,"" [^ ]* [^ ]*""),2,300)"),"mirrored yellow")</f>
        <v>mirrored yellow</v>
      </c>
      <c r="O460" s="3" t="str">
        <f>IFERROR(__xludf.DUMMYFUNCTION("INDEX(SPLIT(I460,"" ""),1)"),"#REF!")</f>
        <v>#REF!</v>
      </c>
      <c r="P460" s="3" t="str">
        <f>IFERROR(__xludf.DUMMYFUNCTION("MID(REGEXEXTRACT(I460,"" [^ ]* [^ ]*""),2,300)"),"#REF!")</f>
        <v>#REF!</v>
      </c>
      <c r="Q460" s="3" t="str">
        <f>IFERROR(__xludf.DUMMYFUNCTION("INDEX(SPLIT(J460,"" ""),1)"),"#REF!")</f>
        <v>#REF!</v>
      </c>
      <c r="R460" s="3" t="str">
        <f>IFERROR(__xludf.DUMMYFUNCTION("MID(REGEXEXTRACT(J460,"" [^ ]* [^ ]*""),2,300)"),"#REF!")</f>
        <v>#REF!</v>
      </c>
      <c r="S460" s="3">
        <f t="shared" si="2"/>
        <v>3</v>
      </c>
      <c r="T460" s="3" t="str">
        <f t="shared" si="3"/>
        <v>posh magenta</v>
      </c>
      <c r="U460" s="3">
        <f t="shared" si="4"/>
        <v>3</v>
      </c>
      <c r="V460" s="3" t="str">
        <f t="shared" si="5"/>
        <v>mirrored yellow</v>
      </c>
      <c r="W460" s="3" t="str">
        <f t="shared" si="6"/>
        <v/>
      </c>
      <c r="X460" s="3" t="str">
        <f t="shared" si="7"/>
        <v/>
      </c>
      <c r="Y460" s="3" t="str">
        <f t="shared" si="8"/>
        <v/>
      </c>
      <c r="Z460" s="3" t="str">
        <f t="shared" si="9"/>
        <v/>
      </c>
      <c r="AA460" s="13">
        <f t="shared" si="10"/>
        <v>157505668</v>
      </c>
      <c r="AB460" s="3">
        <f t="shared" si="11"/>
        <v>157505667</v>
      </c>
      <c r="AC460" s="3">
        <f t="shared" si="12"/>
        <v>3</v>
      </c>
      <c r="AD460" s="3">
        <f t="shared" si="13"/>
        <v>1</v>
      </c>
      <c r="AE460" s="3">
        <f t="shared" si="14"/>
        <v>3</v>
      </c>
      <c r="AF460" s="3">
        <f t="shared" si="15"/>
        <v>52501888</v>
      </c>
      <c r="AG460" s="3" t="str">
        <f t="shared" si="16"/>
        <v/>
      </c>
      <c r="AH460" s="3">
        <f t="shared" si="17"/>
        <v>0</v>
      </c>
      <c r="AI460" s="3" t="str">
        <f t="shared" si="18"/>
        <v/>
      </c>
      <c r="AJ460" s="3">
        <f t="shared" si="19"/>
        <v>0</v>
      </c>
    </row>
    <row r="461">
      <c r="C461" s="6" t="s">
        <v>461</v>
      </c>
      <c r="D461" s="3">
        <f t="shared" si="1"/>
        <v>0</v>
      </c>
      <c r="E461" s="3" t="str">
        <f>IFERROR(__xludf.DUMMYFUNCTION("REGEXEXTRACT(C461,""[^ ]* [^ ]*"")"),"shiny beige")</f>
        <v>shiny beige</v>
      </c>
      <c r="F461" s="3" t="str">
        <f>IFERROR(__xludf.DUMMYFUNCTION("MID(REGEXEXTRACT(C461,""contain.*$""),9,300)"),"1 mirrored indigo bag.")</f>
        <v>1 mirrored indigo bag.</v>
      </c>
      <c r="G461" s="3" t="str">
        <f>IFERROR(__xludf.DUMMYFUNCTION("INDEX(SPLIT($F461,"",""),COLUMN()-6)"),"1 mirrored indigo bag.")</f>
        <v>1 mirrored indigo bag.</v>
      </c>
      <c r="H461" s="3" t="str">
        <f>IFERROR(__xludf.DUMMYFUNCTION("MID(INDEX(SPLIT($F461,"",""),COLUMN()-6),2,300)"),"#REF!")</f>
        <v>#REF!</v>
      </c>
      <c r="I461" s="3" t="str">
        <f>IFERROR(__xludf.DUMMYFUNCTION("MID(INDEX(SPLIT($F461,"",""),COLUMN()-6),2,300)"),"#REF!")</f>
        <v>#REF!</v>
      </c>
      <c r="J461" s="3" t="str">
        <f>IFERROR(__xludf.DUMMYFUNCTION("MID(INDEX(SPLIT($F461,"",""),COLUMN()-6),2,300)"),"#REF!")</f>
        <v>#REF!</v>
      </c>
      <c r="K461" s="3">
        <f>IFERROR(__xludf.DUMMYFUNCTION("INDEX(SPLIT(G461,"" ""),1)"),1.0)</f>
        <v>1</v>
      </c>
      <c r="L461" s="3" t="str">
        <f>IFERROR(__xludf.DUMMYFUNCTION("REGEXEXTRACT(G461,"" [^ ]* [^ ]* "")")," mirrored indigo ")</f>
        <v> mirrored indigo </v>
      </c>
      <c r="M461" s="3" t="str">
        <f>IFERROR(__xludf.DUMMYFUNCTION("INDEX(SPLIT(H461,"" ""),1)"),"#REF!")</f>
        <v>#REF!</v>
      </c>
      <c r="N461" s="3" t="str">
        <f>IFERROR(__xludf.DUMMYFUNCTION("MID(REGEXEXTRACT(H461,"" [^ ]* [^ ]*""),2,300)"),"#REF!")</f>
        <v>#REF!</v>
      </c>
      <c r="O461" s="3" t="str">
        <f>IFERROR(__xludf.DUMMYFUNCTION("INDEX(SPLIT(I461,"" ""),1)"),"#REF!")</f>
        <v>#REF!</v>
      </c>
      <c r="P461" s="3" t="str">
        <f>IFERROR(__xludf.DUMMYFUNCTION("MID(REGEXEXTRACT(I461,"" [^ ]* [^ ]*""),2,300)"),"#REF!")</f>
        <v>#REF!</v>
      </c>
      <c r="Q461" s="3" t="str">
        <f>IFERROR(__xludf.DUMMYFUNCTION("INDEX(SPLIT(J461,"" ""),1)"),"#REF!")</f>
        <v>#REF!</v>
      </c>
      <c r="R461" s="3" t="str">
        <f>IFERROR(__xludf.DUMMYFUNCTION("MID(REGEXEXTRACT(J461,"" [^ ]* [^ ]*""),2,300)"),"#REF!")</f>
        <v>#REF!</v>
      </c>
      <c r="S461" s="3">
        <f t="shared" si="2"/>
        <v>1</v>
      </c>
      <c r="T461" s="3" t="str">
        <f t="shared" si="3"/>
        <v>mirrored indigo</v>
      </c>
      <c r="U461" s="3" t="str">
        <f t="shared" si="4"/>
        <v/>
      </c>
      <c r="V461" s="3" t="str">
        <f t="shared" si="5"/>
        <v/>
      </c>
      <c r="W461" s="3" t="str">
        <f t="shared" si="6"/>
        <v/>
      </c>
      <c r="X461" s="3" t="str">
        <f t="shared" si="7"/>
        <v/>
      </c>
      <c r="Y461" s="3" t="str">
        <f t="shared" si="8"/>
        <v/>
      </c>
      <c r="Z461" s="3" t="str">
        <f t="shared" si="9"/>
        <v/>
      </c>
      <c r="AA461" s="13">
        <f t="shared" si="10"/>
        <v>181272</v>
      </c>
      <c r="AB461" s="3">
        <f t="shared" si="11"/>
        <v>181271</v>
      </c>
      <c r="AC461" s="3">
        <f t="shared" si="12"/>
        <v>1</v>
      </c>
      <c r="AD461" s="3">
        <f t="shared" si="13"/>
        <v>181271</v>
      </c>
      <c r="AE461" s="3" t="str">
        <f t="shared" si="14"/>
        <v/>
      </c>
      <c r="AF461" s="3">
        <f t="shared" si="15"/>
        <v>0</v>
      </c>
      <c r="AG461" s="3" t="str">
        <f t="shared" si="16"/>
        <v/>
      </c>
      <c r="AH461" s="3">
        <f t="shared" si="17"/>
        <v>0</v>
      </c>
      <c r="AI461" s="3" t="str">
        <f t="shared" si="18"/>
        <v/>
      </c>
      <c r="AJ461" s="3">
        <f t="shared" si="19"/>
        <v>0</v>
      </c>
    </row>
    <row r="462">
      <c r="C462" s="6" t="s">
        <v>462</v>
      </c>
      <c r="D462" s="3">
        <f t="shared" si="1"/>
        <v>3</v>
      </c>
      <c r="E462" s="3" t="str">
        <f>IFERROR(__xludf.DUMMYFUNCTION("REGEXEXTRACT(C462,""[^ ]* [^ ]*"")"),"posh aqua")</f>
        <v>posh aqua</v>
      </c>
      <c r="F462" s="3" t="str">
        <f>IFERROR(__xludf.DUMMYFUNCTION("MID(REGEXEXTRACT(C462,""contain.*$""),9,300)"),"3 pale silver bags, 3 shiny tan bags, 5 striped blue bags, 5 dull salmon bags.")</f>
        <v>3 pale silver bags, 3 shiny tan bags, 5 striped blue bags, 5 dull salmon bags.</v>
      </c>
      <c r="G462" s="3" t="str">
        <f>IFERROR(__xludf.DUMMYFUNCTION("INDEX(SPLIT($F462,"",""),COLUMN()-6)"),"3 pale silver bags")</f>
        <v>3 pale silver bags</v>
      </c>
      <c r="H462" s="3" t="str">
        <f>IFERROR(__xludf.DUMMYFUNCTION("MID(INDEX(SPLIT($F462,"",""),COLUMN()-6),2,300)"),"3 shiny tan bags")</f>
        <v>3 shiny tan bags</v>
      </c>
      <c r="I462" s="3" t="str">
        <f>IFERROR(__xludf.DUMMYFUNCTION("MID(INDEX(SPLIT($F462,"",""),COLUMN()-6),2,300)"),"5 striped blue bags")</f>
        <v>5 striped blue bags</v>
      </c>
      <c r="J462" s="3" t="str">
        <f>IFERROR(__xludf.DUMMYFUNCTION("MID(INDEX(SPLIT($F462,"",""),COLUMN()-6),2,300)"),"5 dull salmon bags.")</f>
        <v>5 dull salmon bags.</v>
      </c>
      <c r="K462" s="3">
        <f>IFERROR(__xludf.DUMMYFUNCTION("INDEX(SPLIT(G462,"" ""),1)"),3.0)</f>
        <v>3</v>
      </c>
      <c r="L462" s="3" t="str">
        <f>IFERROR(__xludf.DUMMYFUNCTION("REGEXEXTRACT(G462,"" [^ ]* [^ ]* "")")," pale silver ")</f>
        <v> pale silver </v>
      </c>
      <c r="M462" s="3">
        <f>IFERROR(__xludf.DUMMYFUNCTION("INDEX(SPLIT(H462,"" ""),1)"),3.0)</f>
        <v>3</v>
      </c>
      <c r="N462" s="3" t="str">
        <f>IFERROR(__xludf.DUMMYFUNCTION("MID(REGEXEXTRACT(H462,"" [^ ]* [^ ]*""),2,300)"),"shiny tan")</f>
        <v>shiny tan</v>
      </c>
      <c r="O462" s="3">
        <f>IFERROR(__xludf.DUMMYFUNCTION("INDEX(SPLIT(I462,"" ""),1)"),5.0)</f>
        <v>5</v>
      </c>
      <c r="P462" s="3" t="str">
        <f>IFERROR(__xludf.DUMMYFUNCTION("MID(REGEXEXTRACT(I462,"" [^ ]* [^ ]*""),2,300)"),"striped blue")</f>
        <v>striped blue</v>
      </c>
      <c r="Q462" s="3">
        <f>IFERROR(__xludf.DUMMYFUNCTION("INDEX(SPLIT(J462,"" ""),1)"),5.0)</f>
        <v>5</v>
      </c>
      <c r="R462" s="3" t="str">
        <f>IFERROR(__xludf.DUMMYFUNCTION("MID(REGEXEXTRACT(J462,"" [^ ]* [^ ]*""),2,300)"),"dull salmon")</f>
        <v>dull salmon</v>
      </c>
      <c r="S462" s="3">
        <f t="shared" si="2"/>
        <v>3</v>
      </c>
      <c r="T462" s="3" t="str">
        <f t="shared" si="3"/>
        <v>pale silver</v>
      </c>
      <c r="U462" s="3">
        <f t="shared" si="4"/>
        <v>3</v>
      </c>
      <c r="V462" s="3" t="str">
        <f t="shared" si="5"/>
        <v>shiny tan</v>
      </c>
      <c r="W462" s="3">
        <f t="shared" si="6"/>
        <v>5</v>
      </c>
      <c r="X462" s="3" t="str">
        <f t="shared" si="7"/>
        <v>striped blue</v>
      </c>
      <c r="Y462" s="3">
        <f t="shared" si="8"/>
        <v>5</v>
      </c>
      <c r="Z462" s="3" t="str">
        <f t="shared" si="9"/>
        <v>dull salmon</v>
      </c>
      <c r="AA462" s="13">
        <f t="shared" si="10"/>
        <v>58950226</v>
      </c>
      <c r="AB462" s="3">
        <f t="shared" si="11"/>
        <v>58950225</v>
      </c>
      <c r="AC462" s="3">
        <f t="shared" si="12"/>
        <v>3</v>
      </c>
      <c r="AD462" s="3">
        <f t="shared" si="13"/>
        <v>14456969</v>
      </c>
      <c r="AE462" s="3">
        <f t="shared" si="14"/>
        <v>3</v>
      </c>
      <c r="AF462" s="3">
        <f t="shared" si="15"/>
        <v>69856</v>
      </c>
      <c r="AG462" s="3">
        <f t="shared" si="16"/>
        <v>5</v>
      </c>
      <c r="AH462" s="3">
        <f t="shared" si="17"/>
        <v>180499</v>
      </c>
      <c r="AI462" s="3">
        <f t="shared" si="18"/>
        <v>5</v>
      </c>
      <c r="AJ462" s="3">
        <f t="shared" si="19"/>
        <v>2893451</v>
      </c>
    </row>
    <row r="463">
      <c r="C463" s="6" t="s">
        <v>463</v>
      </c>
      <c r="D463" s="3">
        <f t="shared" si="1"/>
        <v>2</v>
      </c>
      <c r="E463" s="3" t="str">
        <f>IFERROR(__xludf.DUMMYFUNCTION("REGEXEXTRACT(C463,""[^ ]* [^ ]*"")"),"dull magenta")</f>
        <v>dull magenta</v>
      </c>
      <c r="F463" s="3" t="str">
        <f>IFERROR(__xludf.DUMMYFUNCTION("MID(REGEXEXTRACT(C463,""contain.*$""),9,300)"),"5 dotted lime bags, 4 bright plum bags, 5 vibrant turquoise bags.")</f>
        <v>5 dotted lime bags, 4 bright plum bags, 5 vibrant turquoise bags.</v>
      </c>
      <c r="G463" s="3" t="str">
        <f>IFERROR(__xludf.DUMMYFUNCTION("INDEX(SPLIT($F463,"",""),COLUMN()-6)"),"5 dotted lime bags")</f>
        <v>5 dotted lime bags</v>
      </c>
      <c r="H463" s="3" t="str">
        <f>IFERROR(__xludf.DUMMYFUNCTION("MID(INDEX(SPLIT($F463,"",""),COLUMN()-6),2,300)"),"4 bright plum bags")</f>
        <v>4 bright plum bags</v>
      </c>
      <c r="I463" s="3" t="str">
        <f>IFERROR(__xludf.DUMMYFUNCTION("MID(INDEX(SPLIT($F463,"",""),COLUMN()-6),2,300)"),"5 vibrant turquoise bags.")</f>
        <v>5 vibrant turquoise bags.</v>
      </c>
      <c r="J463" s="3" t="str">
        <f>IFERROR(__xludf.DUMMYFUNCTION("MID(INDEX(SPLIT($F463,"",""),COLUMN()-6),2,300)"),"#REF!")</f>
        <v>#REF!</v>
      </c>
      <c r="K463" s="3">
        <f>IFERROR(__xludf.DUMMYFUNCTION("INDEX(SPLIT(G463,"" ""),1)"),5.0)</f>
        <v>5</v>
      </c>
      <c r="L463" s="3" t="str">
        <f>IFERROR(__xludf.DUMMYFUNCTION("REGEXEXTRACT(G463,"" [^ ]* [^ ]* "")")," dotted lime ")</f>
        <v> dotted lime </v>
      </c>
      <c r="M463" s="3">
        <f>IFERROR(__xludf.DUMMYFUNCTION("INDEX(SPLIT(H463,"" ""),1)"),4.0)</f>
        <v>4</v>
      </c>
      <c r="N463" s="3" t="str">
        <f>IFERROR(__xludf.DUMMYFUNCTION("MID(REGEXEXTRACT(H463,"" [^ ]* [^ ]*""),2,300)"),"bright plum")</f>
        <v>bright plum</v>
      </c>
      <c r="O463" s="3">
        <f>IFERROR(__xludf.DUMMYFUNCTION("INDEX(SPLIT(I463,"" ""),1)"),5.0)</f>
        <v>5</v>
      </c>
      <c r="P463" s="3" t="str">
        <f>IFERROR(__xludf.DUMMYFUNCTION("MID(REGEXEXTRACT(I463,"" [^ ]* [^ ]*""),2,300)"),"vibrant turquoise")</f>
        <v>vibrant turquoise</v>
      </c>
      <c r="Q463" s="3" t="str">
        <f>IFERROR(__xludf.DUMMYFUNCTION("INDEX(SPLIT(J463,"" ""),1)"),"#REF!")</f>
        <v>#REF!</v>
      </c>
      <c r="R463" s="3" t="str">
        <f>IFERROR(__xludf.DUMMYFUNCTION("MID(REGEXEXTRACT(J463,"" [^ ]* [^ ]*""),2,300)"),"#REF!")</f>
        <v>#REF!</v>
      </c>
      <c r="S463" s="3">
        <f t="shared" si="2"/>
        <v>5</v>
      </c>
      <c r="T463" s="3" t="str">
        <f t="shared" si="3"/>
        <v>dotted lime</v>
      </c>
      <c r="U463" s="3">
        <f t="shared" si="4"/>
        <v>4</v>
      </c>
      <c r="V463" s="3" t="str">
        <f t="shared" si="5"/>
        <v>bright plum</v>
      </c>
      <c r="W463" s="3">
        <f t="shared" si="6"/>
        <v>5</v>
      </c>
      <c r="X463" s="3" t="str">
        <f t="shared" si="7"/>
        <v>vibrant turquoise</v>
      </c>
      <c r="Y463" s="3" t="str">
        <f t="shared" si="8"/>
        <v/>
      </c>
      <c r="Z463" s="3" t="str">
        <f t="shared" si="9"/>
        <v/>
      </c>
      <c r="AA463" s="13">
        <f t="shared" si="10"/>
        <v>35931570254</v>
      </c>
      <c r="AB463" s="3">
        <f t="shared" si="11"/>
        <v>35931570253</v>
      </c>
      <c r="AC463" s="3">
        <f t="shared" si="12"/>
        <v>5</v>
      </c>
      <c r="AD463" s="3">
        <f t="shared" si="13"/>
        <v>7182087446</v>
      </c>
      <c r="AE463" s="3">
        <f t="shared" si="14"/>
        <v>4</v>
      </c>
      <c r="AF463" s="3">
        <f t="shared" si="15"/>
        <v>150907</v>
      </c>
      <c r="AG463" s="3">
        <f t="shared" si="16"/>
        <v>5</v>
      </c>
      <c r="AH463" s="3">
        <f t="shared" si="17"/>
        <v>4105879</v>
      </c>
      <c r="AI463" s="3" t="str">
        <f t="shared" si="18"/>
        <v/>
      </c>
      <c r="AJ463" s="3">
        <f t="shared" si="19"/>
        <v>0</v>
      </c>
    </row>
    <row r="464">
      <c r="C464" s="6" t="s">
        <v>464</v>
      </c>
      <c r="D464" s="3">
        <f t="shared" si="1"/>
        <v>1</v>
      </c>
      <c r="E464" s="3" t="str">
        <f>IFERROR(__xludf.DUMMYFUNCTION("REGEXEXTRACT(C464,""[^ ]* [^ ]*"")"),"posh tomato")</f>
        <v>posh tomato</v>
      </c>
      <c r="F464" s="3" t="str">
        <f>IFERROR(__xludf.DUMMYFUNCTION("MID(REGEXEXTRACT(C464,""contain.*$""),9,300)"),"5 shiny tan bags, 1 wavy salmon bag.")</f>
        <v>5 shiny tan bags, 1 wavy salmon bag.</v>
      </c>
      <c r="G464" s="3" t="str">
        <f>IFERROR(__xludf.DUMMYFUNCTION("INDEX(SPLIT($F464,"",""),COLUMN()-6)"),"5 shiny tan bags")</f>
        <v>5 shiny tan bags</v>
      </c>
      <c r="H464" s="3" t="str">
        <f>IFERROR(__xludf.DUMMYFUNCTION("MID(INDEX(SPLIT($F464,"",""),COLUMN()-6),2,300)"),"1 wavy salmon bag.")</f>
        <v>1 wavy salmon bag.</v>
      </c>
      <c r="I464" s="3" t="str">
        <f>IFERROR(__xludf.DUMMYFUNCTION("MID(INDEX(SPLIT($F464,"",""),COLUMN()-6),2,300)"),"#REF!")</f>
        <v>#REF!</v>
      </c>
      <c r="J464" s="3" t="str">
        <f>IFERROR(__xludf.DUMMYFUNCTION("MID(INDEX(SPLIT($F464,"",""),COLUMN()-6),2,300)"),"#REF!")</f>
        <v>#REF!</v>
      </c>
      <c r="K464" s="3">
        <f>IFERROR(__xludf.DUMMYFUNCTION("INDEX(SPLIT(G464,"" ""),1)"),5.0)</f>
        <v>5</v>
      </c>
      <c r="L464" s="3" t="str">
        <f>IFERROR(__xludf.DUMMYFUNCTION("REGEXEXTRACT(G464,"" [^ ]* [^ ]* "")")," shiny tan ")</f>
        <v> shiny tan </v>
      </c>
      <c r="M464" s="3">
        <f>IFERROR(__xludf.DUMMYFUNCTION("INDEX(SPLIT(H464,"" ""),1)"),1.0)</f>
        <v>1</v>
      </c>
      <c r="N464" s="3" t="str">
        <f>IFERROR(__xludf.DUMMYFUNCTION("MID(REGEXEXTRACT(H464,"" [^ ]* [^ ]*""),2,300)"),"wavy salmon")</f>
        <v>wavy salmon</v>
      </c>
      <c r="O464" s="3" t="str">
        <f>IFERROR(__xludf.DUMMYFUNCTION("INDEX(SPLIT(I464,"" ""),1)"),"#REF!")</f>
        <v>#REF!</v>
      </c>
      <c r="P464" s="3" t="str">
        <f>IFERROR(__xludf.DUMMYFUNCTION("MID(REGEXEXTRACT(I464,"" [^ ]* [^ ]*""),2,300)"),"#REF!")</f>
        <v>#REF!</v>
      </c>
      <c r="Q464" s="3" t="str">
        <f>IFERROR(__xludf.DUMMYFUNCTION("INDEX(SPLIT(J464,"" ""),1)"),"#REF!")</f>
        <v>#REF!</v>
      </c>
      <c r="R464" s="3" t="str">
        <f>IFERROR(__xludf.DUMMYFUNCTION("MID(REGEXEXTRACT(J464,"" [^ ]* [^ ]*""),2,300)"),"#REF!")</f>
        <v>#REF!</v>
      </c>
      <c r="S464" s="3">
        <f t="shared" si="2"/>
        <v>5</v>
      </c>
      <c r="T464" s="3" t="str">
        <f t="shared" si="3"/>
        <v>shiny tan</v>
      </c>
      <c r="U464" s="3">
        <f t="shared" si="4"/>
        <v>1</v>
      </c>
      <c r="V464" s="3" t="str">
        <f t="shared" si="5"/>
        <v>wavy salmon</v>
      </c>
      <c r="W464" s="3" t="str">
        <f t="shared" si="6"/>
        <v/>
      </c>
      <c r="X464" s="3" t="str">
        <f t="shared" si="7"/>
        <v/>
      </c>
      <c r="Y464" s="3" t="str">
        <f t="shared" si="8"/>
        <v/>
      </c>
      <c r="Z464" s="3" t="str">
        <f t="shared" si="9"/>
        <v/>
      </c>
      <c r="AA464" s="13">
        <f t="shared" si="10"/>
        <v>1463326</v>
      </c>
      <c r="AB464" s="3">
        <f t="shared" si="11"/>
        <v>1463325</v>
      </c>
      <c r="AC464" s="3">
        <f t="shared" si="12"/>
        <v>5</v>
      </c>
      <c r="AD464" s="3">
        <f t="shared" si="13"/>
        <v>69856</v>
      </c>
      <c r="AE464" s="3">
        <f t="shared" si="14"/>
        <v>1</v>
      </c>
      <c r="AF464" s="3">
        <f t="shared" si="15"/>
        <v>1114045</v>
      </c>
      <c r="AG464" s="3" t="str">
        <f t="shared" si="16"/>
        <v/>
      </c>
      <c r="AH464" s="3">
        <f t="shared" si="17"/>
        <v>0</v>
      </c>
      <c r="AI464" s="3" t="str">
        <f t="shared" si="18"/>
        <v/>
      </c>
      <c r="AJ464" s="3">
        <f t="shared" si="19"/>
        <v>0</v>
      </c>
    </row>
    <row r="465">
      <c r="C465" s="6" t="s">
        <v>465</v>
      </c>
      <c r="D465" s="3">
        <f t="shared" si="1"/>
        <v>0</v>
      </c>
      <c r="E465" s="3" t="str">
        <f>IFERROR(__xludf.DUMMYFUNCTION("REGEXEXTRACT(C465,""[^ ]* [^ ]*"")"),"clear red")</f>
        <v>clear red</v>
      </c>
      <c r="F465" s="3" t="str">
        <f>IFERROR(__xludf.DUMMYFUNCTION("MID(REGEXEXTRACT(C465,""contain.*$""),9,300)"),"5 clear black bags.")</f>
        <v>5 clear black bags.</v>
      </c>
      <c r="G465" s="3" t="str">
        <f>IFERROR(__xludf.DUMMYFUNCTION("INDEX(SPLIT($F465,"",""),COLUMN()-6)"),"5 clear black bags.")</f>
        <v>5 clear black bags.</v>
      </c>
      <c r="H465" s="3" t="str">
        <f>IFERROR(__xludf.DUMMYFUNCTION("MID(INDEX(SPLIT($F465,"",""),COLUMN()-6),2,300)"),"#REF!")</f>
        <v>#REF!</v>
      </c>
      <c r="I465" s="3" t="str">
        <f>IFERROR(__xludf.DUMMYFUNCTION("MID(INDEX(SPLIT($F465,"",""),COLUMN()-6),2,300)"),"#REF!")</f>
        <v>#REF!</v>
      </c>
      <c r="J465" s="3" t="str">
        <f>IFERROR(__xludf.DUMMYFUNCTION("MID(INDEX(SPLIT($F465,"",""),COLUMN()-6),2,300)"),"#REF!")</f>
        <v>#REF!</v>
      </c>
      <c r="K465" s="3">
        <f>IFERROR(__xludf.DUMMYFUNCTION("INDEX(SPLIT(G465,"" ""),1)"),5.0)</f>
        <v>5</v>
      </c>
      <c r="L465" s="3" t="str">
        <f>IFERROR(__xludf.DUMMYFUNCTION("REGEXEXTRACT(G465,"" [^ ]* [^ ]* "")")," clear black ")</f>
        <v> clear black </v>
      </c>
      <c r="M465" s="3" t="str">
        <f>IFERROR(__xludf.DUMMYFUNCTION("INDEX(SPLIT(H465,"" ""),1)"),"#REF!")</f>
        <v>#REF!</v>
      </c>
      <c r="N465" s="3" t="str">
        <f>IFERROR(__xludf.DUMMYFUNCTION("MID(REGEXEXTRACT(H465,"" [^ ]* [^ ]*""),2,300)"),"#REF!")</f>
        <v>#REF!</v>
      </c>
      <c r="O465" s="3" t="str">
        <f>IFERROR(__xludf.DUMMYFUNCTION("INDEX(SPLIT(I465,"" ""),1)"),"#REF!")</f>
        <v>#REF!</v>
      </c>
      <c r="P465" s="3" t="str">
        <f>IFERROR(__xludf.DUMMYFUNCTION("MID(REGEXEXTRACT(I465,"" [^ ]* [^ ]*""),2,300)"),"#REF!")</f>
        <v>#REF!</v>
      </c>
      <c r="Q465" s="3" t="str">
        <f>IFERROR(__xludf.DUMMYFUNCTION("INDEX(SPLIT(J465,"" ""),1)"),"#REF!")</f>
        <v>#REF!</v>
      </c>
      <c r="R465" s="3" t="str">
        <f>IFERROR(__xludf.DUMMYFUNCTION("MID(REGEXEXTRACT(J465,"" [^ ]* [^ ]*""),2,300)"),"#REF!")</f>
        <v>#REF!</v>
      </c>
      <c r="S465" s="3">
        <f t="shared" si="2"/>
        <v>5</v>
      </c>
      <c r="T465" s="3" t="str">
        <f t="shared" si="3"/>
        <v>clear black</v>
      </c>
      <c r="U465" s="3" t="str">
        <f t="shared" si="4"/>
        <v/>
      </c>
      <c r="V465" s="3" t="str">
        <f t="shared" si="5"/>
        <v/>
      </c>
      <c r="W465" s="3" t="str">
        <f t="shared" si="6"/>
        <v/>
      </c>
      <c r="X465" s="3" t="str">
        <f t="shared" si="7"/>
        <v/>
      </c>
      <c r="Y465" s="3" t="str">
        <f t="shared" si="8"/>
        <v/>
      </c>
      <c r="Z465" s="3" t="str">
        <f t="shared" si="9"/>
        <v/>
      </c>
      <c r="AA465" s="13">
        <f t="shared" si="10"/>
        <v>61</v>
      </c>
      <c r="AB465" s="3">
        <f t="shared" si="11"/>
        <v>60</v>
      </c>
      <c r="AC465" s="3">
        <f t="shared" si="12"/>
        <v>5</v>
      </c>
      <c r="AD465" s="3">
        <f t="shared" si="13"/>
        <v>12</v>
      </c>
      <c r="AE465" s="3" t="str">
        <f t="shared" si="14"/>
        <v/>
      </c>
      <c r="AF465" s="3">
        <f t="shared" si="15"/>
        <v>0</v>
      </c>
      <c r="AG465" s="3" t="str">
        <f t="shared" si="16"/>
        <v/>
      </c>
      <c r="AH465" s="3">
        <f t="shared" si="17"/>
        <v>0</v>
      </c>
      <c r="AI465" s="3" t="str">
        <f t="shared" si="18"/>
        <v/>
      </c>
      <c r="AJ465" s="3">
        <f t="shared" si="19"/>
        <v>0</v>
      </c>
    </row>
    <row r="466">
      <c r="C466" s="6" t="s">
        <v>466</v>
      </c>
      <c r="D466" s="3">
        <f t="shared" si="1"/>
        <v>0</v>
      </c>
      <c r="E466" s="3" t="str">
        <f>IFERROR(__xludf.DUMMYFUNCTION("REGEXEXTRACT(C466,""[^ ]* [^ ]*"")"),"dotted aqua")</f>
        <v>dotted aqua</v>
      </c>
      <c r="F466" s="3" t="str">
        <f>IFERROR(__xludf.DUMMYFUNCTION("MID(REGEXEXTRACT(C466,""contain.*$""),9,300)"),"1 clear black bag.")</f>
        <v>1 clear black bag.</v>
      </c>
      <c r="G466" s="3" t="str">
        <f>IFERROR(__xludf.DUMMYFUNCTION("INDEX(SPLIT($F466,"",""),COLUMN()-6)"),"1 clear black bag.")</f>
        <v>1 clear black bag.</v>
      </c>
      <c r="H466" s="3" t="str">
        <f>IFERROR(__xludf.DUMMYFUNCTION("MID(INDEX(SPLIT($F466,"",""),COLUMN()-6),2,300)"),"#REF!")</f>
        <v>#REF!</v>
      </c>
      <c r="I466" s="3" t="str">
        <f>IFERROR(__xludf.DUMMYFUNCTION("MID(INDEX(SPLIT($F466,"",""),COLUMN()-6),2,300)"),"#REF!")</f>
        <v>#REF!</v>
      </c>
      <c r="J466" s="3" t="str">
        <f>IFERROR(__xludf.DUMMYFUNCTION("MID(INDEX(SPLIT($F466,"",""),COLUMN()-6),2,300)"),"#REF!")</f>
        <v>#REF!</v>
      </c>
      <c r="K466" s="3">
        <f>IFERROR(__xludf.DUMMYFUNCTION("INDEX(SPLIT(G466,"" ""),1)"),1.0)</f>
        <v>1</v>
      </c>
      <c r="L466" s="3" t="str">
        <f>IFERROR(__xludf.DUMMYFUNCTION("REGEXEXTRACT(G466,"" [^ ]* [^ ]* "")")," clear black ")</f>
        <v> clear black </v>
      </c>
      <c r="M466" s="3" t="str">
        <f>IFERROR(__xludf.DUMMYFUNCTION("INDEX(SPLIT(H466,"" ""),1)"),"#REF!")</f>
        <v>#REF!</v>
      </c>
      <c r="N466" s="3" t="str">
        <f>IFERROR(__xludf.DUMMYFUNCTION("MID(REGEXEXTRACT(H466,"" [^ ]* [^ ]*""),2,300)"),"#REF!")</f>
        <v>#REF!</v>
      </c>
      <c r="O466" s="3" t="str">
        <f>IFERROR(__xludf.DUMMYFUNCTION("INDEX(SPLIT(I466,"" ""),1)"),"#REF!")</f>
        <v>#REF!</v>
      </c>
      <c r="P466" s="3" t="str">
        <f>IFERROR(__xludf.DUMMYFUNCTION("MID(REGEXEXTRACT(I466,"" [^ ]* [^ ]*""),2,300)"),"#REF!")</f>
        <v>#REF!</v>
      </c>
      <c r="Q466" s="3" t="str">
        <f>IFERROR(__xludf.DUMMYFUNCTION("INDEX(SPLIT(J466,"" ""),1)"),"#REF!")</f>
        <v>#REF!</v>
      </c>
      <c r="R466" s="3" t="str">
        <f>IFERROR(__xludf.DUMMYFUNCTION("MID(REGEXEXTRACT(J466,"" [^ ]* [^ ]*""),2,300)"),"#REF!")</f>
        <v>#REF!</v>
      </c>
      <c r="S466" s="3">
        <f t="shared" si="2"/>
        <v>1</v>
      </c>
      <c r="T466" s="3" t="str">
        <f t="shared" si="3"/>
        <v>clear black</v>
      </c>
      <c r="U466" s="3" t="str">
        <f t="shared" si="4"/>
        <v/>
      </c>
      <c r="V466" s="3" t="str">
        <f t="shared" si="5"/>
        <v/>
      </c>
      <c r="W466" s="3" t="str">
        <f t="shared" si="6"/>
        <v/>
      </c>
      <c r="X466" s="3" t="str">
        <f t="shared" si="7"/>
        <v/>
      </c>
      <c r="Y466" s="3" t="str">
        <f t="shared" si="8"/>
        <v/>
      </c>
      <c r="Z466" s="3" t="str">
        <f t="shared" si="9"/>
        <v/>
      </c>
      <c r="AA466" s="13">
        <f t="shared" si="10"/>
        <v>13</v>
      </c>
      <c r="AB466" s="3">
        <f t="shared" si="11"/>
        <v>12</v>
      </c>
      <c r="AC466" s="3">
        <f t="shared" si="12"/>
        <v>1</v>
      </c>
      <c r="AD466" s="3">
        <f t="shared" si="13"/>
        <v>12</v>
      </c>
      <c r="AE466" s="3" t="str">
        <f t="shared" si="14"/>
        <v/>
      </c>
      <c r="AF466" s="3">
        <f t="shared" si="15"/>
        <v>0</v>
      </c>
      <c r="AG466" s="3" t="str">
        <f t="shared" si="16"/>
        <v/>
      </c>
      <c r="AH466" s="3">
        <f t="shared" si="17"/>
        <v>0</v>
      </c>
      <c r="AI466" s="3" t="str">
        <f t="shared" si="18"/>
        <v/>
      </c>
      <c r="AJ466" s="3">
        <f t="shared" si="19"/>
        <v>0</v>
      </c>
    </row>
    <row r="467">
      <c r="C467" s="6" t="s">
        <v>467</v>
      </c>
      <c r="D467" s="3">
        <f t="shared" si="1"/>
        <v>1</v>
      </c>
      <c r="E467" s="3" t="str">
        <f>IFERROR(__xludf.DUMMYFUNCTION("REGEXEXTRACT(C467,""[^ ]* [^ ]*"")"),"clear olive")</f>
        <v>clear olive</v>
      </c>
      <c r="F467" s="3" t="str">
        <f>IFERROR(__xludf.DUMMYFUNCTION("MID(REGEXEXTRACT(C467,""contain.*$""),9,300)"),"1 plaid gray bag, 3 clear cyan bags.")</f>
        <v>1 plaid gray bag, 3 clear cyan bags.</v>
      </c>
      <c r="G467" s="3" t="str">
        <f>IFERROR(__xludf.DUMMYFUNCTION("INDEX(SPLIT($F467,"",""),COLUMN()-6)"),"1 plaid gray bag")</f>
        <v>1 plaid gray bag</v>
      </c>
      <c r="H467" s="3" t="str">
        <f>IFERROR(__xludf.DUMMYFUNCTION("MID(INDEX(SPLIT($F467,"",""),COLUMN()-6),2,300)"),"3 clear cyan bags.")</f>
        <v>3 clear cyan bags.</v>
      </c>
      <c r="I467" s="3" t="str">
        <f>IFERROR(__xludf.DUMMYFUNCTION("MID(INDEX(SPLIT($F467,"",""),COLUMN()-6),2,300)"),"#REF!")</f>
        <v>#REF!</v>
      </c>
      <c r="J467" s="3" t="str">
        <f>IFERROR(__xludf.DUMMYFUNCTION("MID(INDEX(SPLIT($F467,"",""),COLUMN()-6),2,300)"),"#REF!")</f>
        <v>#REF!</v>
      </c>
      <c r="K467" s="3">
        <f>IFERROR(__xludf.DUMMYFUNCTION("INDEX(SPLIT(G467,"" ""),1)"),1.0)</f>
        <v>1</v>
      </c>
      <c r="L467" s="3" t="str">
        <f>IFERROR(__xludf.DUMMYFUNCTION("REGEXEXTRACT(G467,"" [^ ]* [^ ]* "")")," plaid gray ")</f>
        <v> plaid gray </v>
      </c>
      <c r="M467" s="3">
        <f>IFERROR(__xludf.DUMMYFUNCTION("INDEX(SPLIT(H467,"" ""),1)"),3.0)</f>
        <v>3</v>
      </c>
      <c r="N467" s="3" t="str">
        <f>IFERROR(__xludf.DUMMYFUNCTION("MID(REGEXEXTRACT(H467,"" [^ ]* [^ ]*""),2,300)"),"clear cyan")</f>
        <v>clear cyan</v>
      </c>
      <c r="O467" s="3" t="str">
        <f>IFERROR(__xludf.DUMMYFUNCTION("INDEX(SPLIT(I467,"" ""),1)"),"#REF!")</f>
        <v>#REF!</v>
      </c>
      <c r="P467" s="3" t="str">
        <f>IFERROR(__xludf.DUMMYFUNCTION("MID(REGEXEXTRACT(I467,"" [^ ]* [^ ]*""),2,300)"),"#REF!")</f>
        <v>#REF!</v>
      </c>
      <c r="Q467" s="3" t="str">
        <f>IFERROR(__xludf.DUMMYFUNCTION("INDEX(SPLIT(J467,"" ""),1)"),"#REF!")</f>
        <v>#REF!</v>
      </c>
      <c r="R467" s="3" t="str">
        <f>IFERROR(__xludf.DUMMYFUNCTION("MID(REGEXEXTRACT(J467,"" [^ ]* [^ ]*""),2,300)"),"#REF!")</f>
        <v>#REF!</v>
      </c>
      <c r="S467" s="3">
        <f t="shared" si="2"/>
        <v>1</v>
      </c>
      <c r="T467" s="3" t="str">
        <f t="shared" si="3"/>
        <v>plaid gray</v>
      </c>
      <c r="U467" s="3">
        <f t="shared" si="4"/>
        <v>3</v>
      </c>
      <c r="V467" s="3" t="str">
        <f t="shared" si="5"/>
        <v>clear cyan</v>
      </c>
      <c r="W467" s="3" t="str">
        <f t="shared" si="6"/>
        <v/>
      </c>
      <c r="X467" s="3" t="str">
        <f t="shared" si="7"/>
        <v/>
      </c>
      <c r="Y467" s="3" t="str">
        <f t="shared" si="8"/>
        <v/>
      </c>
      <c r="Z467" s="3" t="str">
        <f t="shared" si="9"/>
        <v/>
      </c>
      <c r="AA467" s="13">
        <f t="shared" si="10"/>
        <v>2697220</v>
      </c>
      <c r="AB467" s="3">
        <f t="shared" si="11"/>
        <v>2697219</v>
      </c>
      <c r="AC467" s="3">
        <f t="shared" si="12"/>
        <v>1</v>
      </c>
      <c r="AD467" s="3">
        <f t="shared" si="13"/>
        <v>54</v>
      </c>
      <c r="AE467" s="3">
        <f t="shared" si="14"/>
        <v>3</v>
      </c>
      <c r="AF467" s="3">
        <f t="shared" si="15"/>
        <v>899055</v>
      </c>
      <c r="AG467" s="3" t="str">
        <f t="shared" si="16"/>
        <v/>
      </c>
      <c r="AH467" s="3">
        <f t="shared" si="17"/>
        <v>0</v>
      </c>
      <c r="AI467" s="3" t="str">
        <f t="shared" si="18"/>
        <v/>
      </c>
      <c r="AJ467" s="3">
        <f t="shared" si="19"/>
        <v>0</v>
      </c>
    </row>
    <row r="468">
      <c r="C468" s="6" t="s">
        <v>468</v>
      </c>
      <c r="D468" s="3">
        <f t="shared" si="1"/>
        <v>0</v>
      </c>
      <c r="E468" s="3" t="str">
        <f>IFERROR(__xludf.DUMMYFUNCTION("REGEXEXTRACT(C468,""[^ ]* [^ ]*"")"),"dotted green")</f>
        <v>dotted green</v>
      </c>
      <c r="F468" s="3" t="str">
        <f>IFERROR(__xludf.DUMMYFUNCTION("MID(REGEXEXTRACT(C468,""contain.*$""),9,300)"),"3 light red bags.")</f>
        <v>3 light red bags.</v>
      </c>
      <c r="G468" s="3" t="str">
        <f>IFERROR(__xludf.DUMMYFUNCTION("INDEX(SPLIT($F468,"",""),COLUMN()-6)"),"3 light red bags.")</f>
        <v>3 light red bags.</v>
      </c>
      <c r="H468" s="3" t="str">
        <f>IFERROR(__xludf.DUMMYFUNCTION("MID(INDEX(SPLIT($F468,"",""),COLUMN()-6),2,300)"),"#REF!")</f>
        <v>#REF!</v>
      </c>
      <c r="I468" s="3" t="str">
        <f>IFERROR(__xludf.DUMMYFUNCTION("MID(INDEX(SPLIT($F468,"",""),COLUMN()-6),2,300)"),"#REF!")</f>
        <v>#REF!</v>
      </c>
      <c r="J468" s="3" t="str">
        <f>IFERROR(__xludf.DUMMYFUNCTION("MID(INDEX(SPLIT($F468,"",""),COLUMN()-6),2,300)"),"#REF!")</f>
        <v>#REF!</v>
      </c>
      <c r="K468" s="3">
        <f>IFERROR(__xludf.DUMMYFUNCTION("INDEX(SPLIT(G468,"" ""),1)"),3.0)</f>
        <v>3</v>
      </c>
      <c r="L468" s="3" t="str">
        <f>IFERROR(__xludf.DUMMYFUNCTION("REGEXEXTRACT(G468,"" [^ ]* [^ ]* "")")," light red ")</f>
        <v> light red </v>
      </c>
      <c r="M468" s="3" t="str">
        <f>IFERROR(__xludf.DUMMYFUNCTION("INDEX(SPLIT(H468,"" ""),1)"),"#REF!")</f>
        <v>#REF!</v>
      </c>
      <c r="N468" s="3" t="str">
        <f>IFERROR(__xludf.DUMMYFUNCTION("MID(REGEXEXTRACT(H468,"" [^ ]* [^ ]*""),2,300)"),"#REF!")</f>
        <v>#REF!</v>
      </c>
      <c r="O468" s="3" t="str">
        <f>IFERROR(__xludf.DUMMYFUNCTION("INDEX(SPLIT(I468,"" ""),1)"),"#REF!")</f>
        <v>#REF!</v>
      </c>
      <c r="P468" s="3" t="str">
        <f>IFERROR(__xludf.DUMMYFUNCTION("MID(REGEXEXTRACT(I468,"" [^ ]* [^ ]*""),2,300)"),"#REF!")</f>
        <v>#REF!</v>
      </c>
      <c r="Q468" s="3" t="str">
        <f>IFERROR(__xludf.DUMMYFUNCTION("INDEX(SPLIT(J468,"" ""),1)"),"#REF!")</f>
        <v>#REF!</v>
      </c>
      <c r="R468" s="3" t="str">
        <f>IFERROR(__xludf.DUMMYFUNCTION("MID(REGEXEXTRACT(J468,"" [^ ]* [^ ]*""),2,300)"),"#REF!")</f>
        <v>#REF!</v>
      </c>
      <c r="S468" s="3">
        <f t="shared" si="2"/>
        <v>3</v>
      </c>
      <c r="T468" s="3" t="str">
        <f t="shared" si="3"/>
        <v>light red</v>
      </c>
      <c r="U468" s="3" t="str">
        <f t="shared" si="4"/>
        <v/>
      </c>
      <c r="V468" s="3" t="str">
        <f t="shared" si="5"/>
        <v/>
      </c>
      <c r="W468" s="3" t="str">
        <f t="shared" si="6"/>
        <v/>
      </c>
      <c r="X468" s="3" t="str">
        <f t="shared" si="7"/>
        <v/>
      </c>
      <c r="Y468" s="3" t="str">
        <f t="shared" si="8"/>
        <v/>
      </c>
      <c r="Z468" s="3" t="str">
        <f t="shared" si="9"/>
        <v/>
      </c>
      <c r="AA468" s="13">
        <f t="shared" si="10"/>
        <v>34009111</v>
      </c>
      <c r="AB468" s="3">
        <f t="shared" si="11"/>
        <v>34009110</v>
      </c>
      <c r="AC468" s="3">
        <f t="shared" si="12"/>
        <v>3</v>
      </c>
      <c r="AD468" s="3">
        <f t="shared" si="13"/>
        <v>11336370</v>
      </c>
      <c r="AE468" s="3" t="str">
        <f t="shared" si="14"/>
        <v/>
      </c>
      <c r="AF468" s="3">
        <f t="shared" si="15"/>
        <v>0</v>
      </c>
      <c r="AG468" s="3" t="str">
        <f t="shared" si="16"/>
        <v/>
      </c>
      <c r="AH468" s="3">
        <f t="shared" si="17"/>
        <v>0</v>
      </c>
      <c r="AI468" s="3" t="str">
        <f t="shared" si="18"/>
        <v/>
      </c>
      <c r="AJ468" s="3">
        <f t="shared" si="19"/>
        <v>0</v>
      </c>
    </row>
    <row r="469">
      <c r="C469" s="6" t="s">
        <v>469</v>
      </c>
      <c r="D469" s="3">
        <f t="shared" si="1"/>
        <v>3</v>
      </c>
      <c r="E469" s="3" t="str">
        <f>IFERROR(__xludf.DUMMYFUNCTION("REGEXEXTRACT(C469,""[^ ]* [^ ]*"")"),"clear teal")</f>
        <v>clear teal</v>
      </c>
      <c r="F469" s="3" t="str">
        <f>IFERROR(__xludf.DUMMYFUNCTION("MID(REGEXEXTRACT(C469,""contain.*$""),9,300)"),"5 faded coral bags, 3 wavy plum bags, 5 bright orange bags, 1 clear purple bag.")</f>
        <v>5 faded coral bags, 3 wavy plum bags, 5 bright orange bags, 1 clear purple bag.</v>
      </c>
      <c r="G469" s="3" t="str">
        <f>IFERROR(__xludf.DUMMYFUNCTION("INDEX(SPLIT($F469,"",""),COLUMN()-6)"),"5 faded coral bags")</f>
        <v>5 faded coral bags</v>
      </c>
      <c r="H469" s="3" t="str">
        <f>IFERROR(__xludf.DUMMYFUNCTION("MID(INDEX(SPLIT($F469,"",""),COLUMN()-6),2,300)"),"3 wavy plum bags")</f>
        <v>3 wavy plum bags</v>
      </c>
      <c r="I469" s="3" t="str">
        <f>IFERROR(__xludf.DUMMYFUNCTION("MID(INDEX(SPLIT($F469,"",""),COLUMN()-6),2,300)"),"5 bright orange bags")</f>
        <v>5 bright orange bags</v>
      </c>
      <c r="J469" s="3" t="str">
        <f>IFERROR(__xludf.DUMMYFUNCTION("MID(INDEX(SPLIT($F469,"",""),COLUMN()-6),2,300)"),"1 clear purple bag.")</f>
        <v>1 clear purple bag.</v>
      </c>
      <c r="K469" s="3">
        <f>IFERROR(__xludf.DUMMYFUNCTION("INDEX(SPLIT(G469,"" ""),1)"),5.0)</f>
        <v>5</v>
      </c>
      <c r="L469" s="3" t="str">
        <f>IFERROR(__xludf.DUMMYFUNCTION("REGEXEXTRACT(G469,"" [^ ]* [^ ]* "")")," faded coral ")</f>
        <v> faded coral </v>
      </c>
      <c r="M469" s="3">
        <f>IFERROR(__xludf.DUMMYFUNCTION("INDEX(SPLIT(H469,"" ""),1)"),3.0)</f>
        <v>3</v>
      </c>
      <c r="N469" s="3" t="str">
        <f>IFERROR(__xludf.DUMMYFUNCTION("MID(REGEXEXTRACT(H469,"" [^ ]* [^ ]*""),2,300)"),"wavy plum")</f>
        <v>wavy plum</v>
      </c>
      <c r="O469" s="3">
        <f>IFERROR(__xludf.DUMMYFUNCTION("INDEX(SPLIT(I469,"" ""),1)"),5.0)</f>
        <v>5</v>
      </c>
      <c r="P469" s="3" t="str">
        <f>IFERROR(__xludf.DUMMYFUNCTION("MID(REGEXEXTRACT(I469,"" [^ ]* [^ ]*""),2,300)"),"bright orange")</f>
        <v>bright orange</v>
      </c>
      <c r="Q469" s="3">
        <f>IFERROR(__xludf.DUMMYFUNCTION("INDEX(SPLIT(J469,"" ""),1)"),1.0)</f>
        <v>1</v>
      </c>
      <c r="R469" s="3" t="str">
        <f>IFERROR(__xludf.DUMMYFUNCTION("MID(REGEXEXTRACT(J469,"" [^ ]* [^ ]*""),2,300)"),"clear purple")</f>
        <v>clear purple</v>
      </c>
      <c r="S469" s="3">
        <f t="shared" si="2"/>
        <v>5</v>
      </c>
      <c r="T469" s="3" t="str">
        <f t="shared" si="3"/>
        <v>faded coral</v>
      </c>
      <c r="U469" s="3">
        <f t="shared" si="4"/>
        <v>3</v>
      </c>
      <c r="V469" s="3" t="str">
        <f t="shared" si="5"/>
        <v>wavy plum</v>
      </c>
      <c r="W469" s="3">
        <f t="shared" si="6"/>
        <v>5</v>
      </c>
      <c r="X469" s="3" t="str">
        <f t="shared" si="7"/>
        <v>bright orange</v>
      </c>
      <c r="Y469" s="3">
        <f t="shared" si="8"/>
        <v>1</v>
      </c>
      <c r="Z469" s="3" t="str">
        <f t="shared" si="9"/>
        <v>clear purple</v>
      </c>
      <c r="AA469" s="13">
        <f t="shared" si="10"/>
        <v>268617925</v>
      </c>
      <c r="AB469" s="3">
        <f t="shared" si="11"/>
        <v>268617924</v>
      </c>
      <c r="AC469" s="3">
        <f t="shared" si="12"/>
        <v>5</v>
      </c>
      <c r="AD469" s="3">
        <f t="shared" si="13"/>
        <v>50143651</v>
      </c>
      <c r="AE469" s="3">
        <f t="shared" si="14"/>
        <v>3</v>
      </c>
      <c r="AF469" s="3">
        <f t="shared" si="15"/>
        <v>148186</v>
      </c>
      <c r="AG469" s="3">
        <f t="shared" si="16"/>
        <v>5</v>
      </c>
      <c r="AH469" s="3">
        <f t="shared" si="17"/>
        <v>2666</v>
      </c>
      <c r="AI469" s="3">
        <f t="shared" si="18"/>
        <v>1</v>
      </c>
      <c r="AJ469" s="3">
        <f t="shared" si="19"/>
        <v>17441781</v>
      </c>
    </row>
    <row r="470">
      <c r="C470" s="6" t="s">
        <v>470</v>
      </c>
      <c r="D470" s="3">
        <f t="shared" si="1"/>
        <v>2</v>
      </c>
      <c r="E470" s="3" t="str">
        <f>IFERROR(__xludf.DUMMYFUNCTION("REGEXEXTRACT(C470,""[^ ]* [^ ]*"")"),"plaid orange")</f>
        <v>plaid orange</v>
      </c>
      <c r="F470" s="3" t="str">
        <f>IFERROR(__xludf.DUMMYFUNCTION("MID(REGEXEXTRACT(C470,""contain.*$""),9,300)"),"4 pale chartreuse bags, 1 dark silver bag, 2 drab tomato bags.")</f>
        <v>4 pale chartreuse bags, 1 dark silver bag, 2 drab tomato bags.</v>
      </c>
      <c r="G470" s="3" t="str">
        <f>IFERROR(__xludf.DUMMYFUNCTION("INDEX(SPLIT($F470,"",""),COLUMN()-6)"),"4 pale chartreuse bags")</f>
        <v>4 pale chartreuse bags</v>
      </c>
      <c r="H470" s="3" t="str">
        <f>IFERROR(__xludf.DUMMYFUNCTION("MID(INDEX(SPLIT($F470,"",""),COLUMN()-6),2,300)"),"1 dark silver bag")</f>
        <v>1 dark silver bag</v>
      </c>
      <c r="I470" s="3" t="str">
        <f>IFERROR(__xludf.DUMMYFUNCTION("MID(INDEX(SPLIT($F470,"",""),COLUMN()-6),2,300)"),"2 drab tomato bags.")</f>
        <v>2 drab tomato bags.</v>
      </c>
      <c r="J470" s="3" t="str">
        <f>IFERROR(__xludf.DUMMYFUNCTION("MID(INDEX(SPLIT($F470,"",""),COLUMN()-6),2,300)"),"#REF!")</f>
        <v>#REF!</v>
      </c>
      <c r="K470" s="3">
        <f>IFERROR(__xludf.DUMMYFUNCTION("INDEX(SPLIT(G470,"" ""),1)"),4.0)</f>
        <v>4</v>
      </c>
      <c r="L470" s="3" t="str">
        <f>IFERROR(__xludf.DUMMYFUNCTION("REGEXEXTRACT(G470,"" [^ ]* [^ ]* "")")," pale chartreuse ")</f>
        <v> pale chartreuse </v>
      </c>
      <c r="M470" s="3">
        <f>IFERROR(__xludf.DUMMYFUNCTION("INDEX(SPLIT(H470,"" ""),1)"),1.0)</f>
        <v>1</v>
      </c>
      <c r="N470" s="3" t="str">
        <f>IFERROR(__xludf.DUMMYFUNCTION("MID(REGEXEXTRACT(H470,"" [^ ]* [^ ]*""),2,300)"),"dark silver")</f>
        <v>dark silver</v>
      </c>
      <c r="O470" s="3">
        <f>IFERROR(__xludf.DUMMYFUNCTION("INDEX(SPLIT(I470,"" ""),1)"),2.0)</f>
        <v>2</v>
      </c>
      <c r="P470" s="3" t="str">
        <f>IFERROR(__xludf.DUMMYFUNCTION("MID(REGEXEXTRACT(I470,"" [^ ]* [^ ]*""),2,300)"),"drab tomato")</f>
        <v>drab tomato</v>
      </c>
      <c r="Q470" s="3" t="str">
        <f>IFERROR(__xludf.DUMMYFUNCTION("INDEX(SPLIT(J470,"" ""),1)"),"#REF!")</f>
        <v>#REF!</v>
      </c>
      <c r="R470" s="3" t="str">
        <f>IFERROR(__xludf.DUMMYFUNCTION("MID(REGEXEXTRACT(J470,"" [^ ]* [^ ]*""),2,300)"),"#REF!")</f>
        <v>#REF!</v>
      </c>
      <c r="S470" s="3">
        <f t="shared" si="2"/>
        <v>4</v>
      </c>
      <c r="T470" s="3" t="str">
        <f t="shared" si="3"/>
        <v>pale chartreuse</v>
      </c>
      <c r="U470" s="3">
        <f t="shared" si="4"/>
        <v>1</v>
      </c>
      <c r="V470" s="3" t="str">
        <f t="shared" si="5"/>
        <v>dark silver</v>
      </c>
      <c r="W470" s="3">
        <f t="shared" si="6"/>
        <v>2</v>
      </c>
      <c r="X470" s="3" t="str">
        <f t="shared" si="7"/>
        <v>drab tomato</v>
      </c>
      <c r="Y470" s="3" t="str">
        <f t="shared" si="8"/>
        <v/>
      </c>
      <c r="Z470" s="3" t="str">
        <f t="shared" si="9"/>
        <v/>
      </c>
      <c r="AA470" s="13">
        <f t="shared" si="10"/>
        <v>1645159617</v>
      </c>
      <c r="AB470" s="3">
        <f t="shared" si="11"/>
        <v>1645159616</v>
      </c>
      <c r="AC470" s="3">
        <f t="shared" si="12"/>
        <v>4</v>
      </c>
      <c r="AD470" s="3">
        <f t="shared" si="13"/>
        <v>157505668</v>
      </c>
      <c r="AE470" s="3">
        <f t="shared" si="14"/>
        <v>1</v>
      </c>
      <c r="AF470" s="3">
        <f t="shared" si="15"/>
        <v>1015059570</v>
      </c>
      <c r="AG470" s="3">
        <f t="shared" si="16"/>
        <v>2</v>
      </c>
      <c r="AH470" s="3">
        <f t="shared" si="17"/>
        <v>38687</v>
      </c>
      <c r="AI470" s="3" t="str">
        <f t="shared" si="18"/>
        <v/>
      </c>
      <c r="AJ470" s="3">
        <f t="shared" si="19"/>
        <v>0</v>
      </c>
    </row>
    <row r="471">
      <c r="C471" s="6" t="s">
        <v>471</v>
      </c>
      <c r="D471" s="3">
        <f t="shared" si="1"/>
        <v>0</v>
      </c>
      <c r="E471" s="3" t="str">
        <f>IFERROR(__xludf.DUMMYFUNCTION("REGEXEXTRACT(C471,""[^ ]* [^ ]*"")"),"pale teal")</f>
        <v>pale teal</v>
      </c>
      <c r="F471" s="3" t="str">
        <f>IFERROR(__xludf.DUMMYFUNCTION("MID(REGEXEXTRACT(C471,""contain.*$""),9,300)"),"1 drab black bag.")</f>
        <v>1 drab black bag.</v>
      </c>
      <c r="G471" s="3" t="str">
        <f>IFERROR(__xludf.DUMMYFUNCTION("INDEX(SPLIT($F471,"",""),COLUMN()-6)"),"1 drab black bag.")</f>
        <v>1 drab black bag.</v>
      </c>
      <c r="H471" s="3" t="str">
        <f>IFERROR(__xludf.DUMMYFUNCTION("MID(INDEX(SPLIT($F471,"",""),COLUMN()-6),2,300)"),"#REF!")</f>
        <v>#REF!</v>
      </c>
      <c r="I471" s="3" t="str">
        <f>IFERROR(__xludf.DUMMYFUNCTION("MID(INDEX(SPLIT($F471,"",""),COLUMN()-6),2,300)"),"#REF!")</f>
        <v>#REF!</v>
      </c>
      <c r="J471" s="3" t="str">
        <f>IFERROR(__xludf.DUMMYFUNCTION("MID(INDEX(SPLIT($F471,"",""),COLUMN()-6),2,300)"),"#REF!")</f>
        <v>#REF!</v>
      </c>
      <c r="K471" s="3">
        <f>IFERROR(__xludf.DUMMYFUNCTION("INDEX(SPLIT(G471,"" ""),1)"),1.0)</f>
        <v>1</v>
      </c>
      <c r="L471" s="3" t="str">
        <f>IFERROR(__xludf.DUMMYFUNCTION("REGEXEXTRACT(G471,"" [^ ]* [^ ]* "")")," drab black ")</f>
        <v> drab black </v>
      </c>
      <c r="M471" s="3" t="str">
        <f>IFERROR(__xludf.DUMMYFUNCTION("INDEX(SPLIT(H471,"" ""),1)"),"#REF!")</f>
        <v>#REF!</v>
      </c>
      <c r="N471" s="3" t="str">
        <f>IFERROR(__xludf.DUMMYFUNCTION("MID(REGEXEXTRACT(H471,"" [^ ]* [^ ]*""),2,300)"),"#REF!")</f>
        <v>#REF!</v>
      </c>
      <c r="O471" s="3" t="str">
        <f>IFERROR(__xludf.DUMMYFUNCTION("INDEX(SPLIT(I471,"" ""),1)"),"#REF!")</f>
        <v>#REF!</v>
      </c>
      <c r="P471" s="3" t="str">
        <f>IFERROR(__xludf.DUMMYFUNCTION("MID(REGEXEXTRACT(I471,"" [^ ]* [^ ]*""),2,300)"),"#REF!")</f>
        <v>#REF!</v>
      </c>
      <c r="Q471" s="3" t="str">
        <f>IFERROR(__xludf.DUMMYFUNCTION("INDEX(SPLIT(J471,"" ""),1)"),"#REF!")</f>
        <v>#REF!</v>
      </c>
      <c r="R471" s="3" t="str">
        <f>IFERROR(__xludf.DUMMYFUNCTION("MID(REGEXEXTRACT(J471,"" [^ ]* [^ ]*""),2,300)"),"#REF!")</f>
        <v>#REF!</v>
      </c>
      <c r="S471" s="3">
        <f t="shared" si="2"/>
        <v>1</v>
      </c>
      <c r="T471" s="3" t="str">
        <f t="shared" si="3"/>
        <v>drab black</v>
      </c>
      <c r="U471" s="3" t="str">
        <f t="shared" si="4"/>
        <v/>
      </c>
      <c r="V471" s="3" t="str">
        <f t="shared" si="5"/>
        <v/>
      </c>
      <c r="W471" s="3" t="str">
        <f t="shared" si="6"/>
        <v/>
      </c>
      <c r="X471" s="3" t="str">
        <f t="shared" si="7"/>
        <v/>
      </c>
      <c r="Y471" s="3" t="str">
        <f t="shared" si="8"/>
        <v/>
      </c>
      <c r="Z471" s="3" t="str">
        <f t="shared" si="9"/>
        <v/>
      </c>
      <c r="AA471" s="13">
        <f t="shared" si="10"/>
        <v>314592019</v>
      </c>
      <c r="AB471" s="3">
        <f t="shared" si="11"/>
        <v>314592018</v>
      </c>
      <c r="AC471" s="3">
        <f t="shared" si="12"/>
        <v>1</v>
      </c>
      <c r="AD471" s="3">
        <f t="shared" si="13"/>
        <v>314592018</v>
      </c>
      <c r="AE471" s="3" t="str">
        <f t="shared" si="14"/>
        <v/>
      </c>
      <c r="AF471" s="3">
        <f t="shared" si="15"/>
        <v>0</v>
      </c>
      <c r="AG471" s="3" t="str">
        <f t="shared" si="16"/>
        <v/>
      </c>
      <c r="AH471" s="3">
        <f t="shared" si="17"/>
        <v>0</v>
      </c>
      <c r="AI471" s="3" t="str">
        <f t="shared" si="18"/>
        <v/>
      </c>
      <c r="AJ471" s="3">
        <f t="shared" si="19"/>
        <v>0</v>
      </c>
    </row>
    <row r="472">
      <c r="C472" s="6" t="s">
        <v>472</v>
      </c>
      <c r="D472" s="3">
        <f t="shared" si="1"/>
        <v>1</v>
      </c>
      <c r="E472" s="3" t="str">
        <f>IFERROR(__xludf.DUMMYFUNCTION("REGEXEXTRACT(C472,""[^ ]* [^ ]*"")"),"posh chartreuse")</f>
        <v>posh chartreuse</v>
      </c>
      <c r="F472" s="3" t="str">
        <f>IFERROR(__xludf.DUMMYFUNCTION("MID(REGEXEXTRACT(C472,""contain.*$""),9,300)"),"1 dotted gold bag, 4 bright salmon bags.")</f>
        <v>1 dotted gold bag, 4 bright salmon bags.</v>
      </c>
      <c r="G472" s="3" t="str">
        <f>IFERROR(__xludf.DUMMYFUNCTION("INDEX(SPLIT($F472,"",""),COLUMN()-6)"),"1 dotted gold bag")</f>
        <v>1 dotted gold bag</v>
      </c>
      <c r="H472" s="3" t="str">
        <f>IFERROR(__xludf.DUMMYFUNCTION("MID(INDEX(SPLIT($F472,"",""),COLUMN()-6),2,300)"),"4 bright salmon bags.")</f>
        <v>4 bright salmon bags.</v>
      </c>
      <c r="I472" s="3" t="str">
        <f>IFERROR(__xludf.DUMMYFUNCTION("MID(INDEX(SPLIT($F472,"",""),COLUMN()-6),2,300)"),"#REF!")</f>
        <v>#REF!</v>
      </c>
      <c r="J472" s="3" t="str">
        <f>IFERROR(__xludf.DUMMYFUNCTION("MID(INDEX(SPLIT($F472,"",""),COLUMN()-6),2,300)"),"#REF!")</f>
        <v>#REF!</v>
      </c>
      <c r="K472" s="3">
        <f>IFERROR(__xludf.DUMMYFUNCTION("INDEX(SPLIT(G472,"" ""),1)"),1.0)</f>
        <v>1</v>
      </c>
      <c r="L472" s="3" t="str">
        <f>IFERROR(__xludf.DUMMYFUNCTION("REGEXEXTRACT(G472,"" [^ ]* [^ ]* "")")," dotted gold ")</f>
        <v> dotted gold </v>
      </c>
      <c r="M472" s="3">
        <f>IFERROR(__xludf.DUMMYFUNCTION("INDEX(SPLIT(H472,"" ""),1)"),4.0)</f>
        <v>4</v>
      </c>
      <c r="N472" s="3" t="str">
        <f>IFERROR(__xludf.DUMMYFUNCTION("MID(REGEXEXTRACT(H472,"" [^ ]* [^ ]*""),2,300)"),"bright salmon")</f>
        <v>bright salmon</v>
      </c>
      <c r="O472" s="3" t="str">
        <f>IFERROR(__xludf.DUMMYFUNCTION("INDEX(SPLIT(I472,"" ""),1)"),"#REF!")</f>
        <v>#REF!</v>
      </c>
      <c r="P472" s="3" t="str">
        <f>IFERROR(__xludf.DUMMYFUNCTION("MID(REGEXEXTRACT(I472,"" [^ ]* [^ ]*""),2,300)"),"#REF!")</f>
        <v>#REF!</v>
      </c>
      <c r="Q472" s="3" t="str">
        <f>IFERROR(__xludf.DUMMYFUNCTION("INDEX(SPLIT(J472,"" ""),1)"),"#REF!")</f>
        <v>#REF!</v>
      </c>
      <c r="R472" s="3" t="str">
        <f>IFERROR(__xludf.DUMMYFUNCTION("MID(REGEXEXTRACT(J472,"" [^ ]* [^ ]*""),2,300)"),"#REF!")</f>
        <v>#REF!</v>
      </c>
      <c r="S472" s="3">
        <f t="shared" si="2"/>
        <v>1</v>
      </c>
      <c r="T472" s="3" t="str">
        <f t="shared" si="3"/>
        <v>dotted gold</v>
      </c>
      <c r="U472" s="3">
        <f t="shared" si="4"/>
        <v>4</v>
      </c>
      <c r="V472" s="3" t="str">
        <f t="shared" si="5"/>
        <v>bright salmon</v>
      </c>
      <c r="W472" s="3" t="str">
        <f t="shared" si="6"/>
        <v/>
      </c>
      <c r="X472" s="3" t="str">
        <f t="shared" si="7"/>
        <v/>
      </c>
      <c r="Y472" s="3" t="str">
        <f t="shared" si="8"/>
        <v/>
      </c>
      <c r="Z472" s="3" t="str">
        <f t="shared" si="9"/>
        <v/>
      </c>
      <c r="AA472" s="13">
        <f t="shared" si="10"/>
        <v>1471743</v>
      </c>
      <c r="AB472" s="3">
        <f t="shared" si="11"/>
        <v>1471742</v>
      </c>
      <c r="AC472" s="3">
        <f t="shared" si="12"/>
        <v>1</v>
      </c>
      <c r="AD472" s="3">
        <f t="shared" si="13"/>
        <v>10</v>
      </c>
      <c r="AE472" s="3">
        <f t="shared" si="14"/>
        <v>4</v>
      </c>
      <c r="AF472" s="3">
        <f t="shared" si="15"/>
        <v>367933</v>
      </c>
      <c r="AG472" s="3" t="str">
        <f t="shared" si="16"/>
        <v/>
      </c>
      <c r="AH472" s="3">
        <f t="shared" si="17"/>
        <v>0</v>
      </c>
      <c r="AI472" s="3" t="str">
        <f t="shared" si="18"/>
        <v/>
      </c>
      <c r="AJ472" s="3">
        <f t="shared" si="19"/>
        <v>0</v>
      </c>
    </row>
    <row r="473">
      <c r="C473" s="6" t="s">
        <v>473</v>
      </c>
      <c r="D473" s="3">
        <f t="shared" si="1"/>
        <v>3</v>
      </c>
      <c r="E473" s="3" t="str">
        <f>IFERROR(__xludf.DUMMYFUNCTION("REGEXEXTRACT(C473,""[^ ]* [^ ]*"")"),"pale red")</f>
        <v>pale red</v>
      </c>
      <c r="F473" s="3" t="str">
        <f>IFERROR(__xludf.DUMMYFUNCTION("MID(REGEXEXTRACT(C473,""contain.*$""),9,300)"),"2 vibrant plum bags, 4 wavy cyan bags, 2 dotted white bags, 1 posh silver bag.")</f>
        <v>2 vibrant plum bags, 4 wavy cyan bags, 2 dotted white bags, 1 posh silver bag.</v>
      </c>
      <c r="G473" s="3" t="str">
        <f>IFERROR(__xludf.DUMMYFUNCTION("INDEX(SPLIT($F473,"",""),COLUMN()-6)"),"2 vibrant plum bags")</f>
        <v>2 vibrant plum bags</v>
      </c>
      <c r="H473" s="3" t="str">
        <f>IFERROR(__xludf.DUMMYFUNCTION("MID(INDEX(SPLIT($F473,"",""),COLUMN()-6),2,300)"),"4 wavy cyan bags")</f>
        <v>4 wavy cyan bags</v>
      </c>
      <c r="I473" s="3" t="str">
        <f>IFERROR(__xludf.DUMMYFUNCTION("MID(INDEX(SPLIT($F473,"",""),COLUMN()-6),2,300)"),"2 dotted white bags")</f>
        <v>2 dotted white bags</v>
      </c>
      <c r="J473" s="3" t="str">
        <f>IFERROR(__xludf.DUMMYFUNCTION("MID(INDEX(SPLIT($F473,"",""),COLUMN()-6),2,300)"),"1 posh silver bag.")</f>
        <v>1 posh silver bag.</v>
      </c>
      <c r="K473" s="3">
        <f>IFERROR(__xludf.DUMMYFUNCTION("INDEX(SPLIT(G473,"" ""),1)"),2.0)</f>
        <v>2</v>
      </c>
      <c r="L473" s="3" t="str">
        <f>IFERROR(__xludf.DUMMYFUNCTION("REGEXEXTRACT(G473,"" [^ ]* [^ ]* "")")," vibrant plum ")</f>
        <v> vibrant plum </v>
      </c>
      <c r="M473" s="3">
        <f>IFERROR(__xludf.DUMMYFUNCTION("INDEX(SPLIT(H473,"" ""),1)"),4.0)</f>
        <v>4</v>
      </c>
      <c r="N473" s="3" t="str">
        <f>IFERROR(__xludf.DUMMYFUNCTION("MID(REGEXEXTRACT(H473,"" [^ ]* [^ ]*""),2,300)"),"wavy cyan")</f>
        <v>wavy cyan</v>
      </c>
      <c r="O473" s="3">
        <f>IFERROR(__xludf.DUMMYFUNCTION("INDEX(SPLIT(I473,"" ""),1)"),2.0)</f>
        <v>2</v>
      </c>
      <c r="P473" s="3" t="str">
        <f>IFERROR(__xludf.DUMMYFUNCTION("MID(REGEXEXTRACT(I473,"" [^ ]* [^ ]*""),2,300)"),"dotted white")</f>
        <v>dotted white</v>
      </c>
      <c r="Q473" s="3">
        <f>IFERROR(__xludf.DUMMYFUNCTION("INDEX(SPLIT(J473,"" ""),1)"),1.0)</f>
        <v>1</v>
      </c>
      <c r="R473" s="3" t="str">
        <f>IFERROR(__xludf.DUMMYFUNCTION("MID(REGEXEXTRACT(J473,"" [^ ]* [^ ]*""),2,300)"),"posh silver")</f>
        <v>posh silver</v>
      </c>
      <c r="S473" s="3">
        <f t="shared" si="2"/>
        <v>2</v>
      </c>
      <c r="T473" s="3" t="str">
        <f t="shared" si="3"/>
        <v>vibrant plum</v>
      </c>
      <c r="U473" s="3">
        <f t="shared" si="4"/>
        <v>4</v>
      </c>
      <c r="V473" s="3" t="str">
        <f t="shared" si="5"/>
        <v>wavy cyan</v>
      </c>
      <c r="W473" s="3">
        <f t="shared" si="6"/>
        <v>2</v>
      </c>
      <c r="X473" s="3" t="str">
        <f t="shared" si="7"/>
        <v>dotted white</v>
      </c>
      <c r="Y473" s="3">
        <f t="shared" si="8"/>
        <v>1</v>
      </c>
      <c r="Z473" s="3" t="str">
        <f t="shared" si="9"/>
        <v>posh silver</v>
      </c>
      <c r="AA473" s="13">
        <f t="shared" si="10"/>
        <v>42940706</v>
      </c>
      <c r="AB473" s="3">
        <f t="shared" si="11"/>
        <v>42940705</v>
      </c>
      <c r="AC473" s="3">
        <f t="shared" si="12"/>
        <v>2</v>
      </c>
      <c r="AD473" s="3">
        <f t="shared" si="13"/>
        <v>26642</v>
      </c>
      <c r="AE473" s="3">
        <f t="shared" si="14"/>
        <v>4</v>
      </c>
      <c r="AF473" s="3">
        <f t="shared" si="15"/>
        <v>106571</v>
      </c>
      <c r="AG473" s="3">
        <f t="shared" si="16"/>
        <v>2</v>
      </c>
      <c r="AH473" s="3">
        <f t="shared" si="17"/>
        <v>3801522</v>
      </c>
      <c r="AI473" s="3">
        <f t="shared" si="18"/>
        <v>1</v>
      </c>
      <c r="AJ473" s="3">
        <f t="shared" si="19"/>
        <v>34858093</v>
      </c>
    </row>
    <row r="474">
      <c r="C474" s="6" t="s">
        <v>474</v>
      </c>
      <c r="D474" s="3">
        <f t="shared" si="1"/>
        <v>3</v>
      </c>
      <c r="E474" s="3" t="str">
        <f>IFERROR(__xludf.DUMMYFUNCTION("REGEXEXTRACT(C474,""[^ ]* [^ ]*"")"),"faded violet")</f>
        <v>faded violet</v>
      </c>
      <c r="F474" s="3" t="str">
        <f>IFERROR(__xludf.DUMMYFUNCTION("MID(REGEXEXTRACT(C474,""contain.*$""),9,300)"),"1 mirrored white bag, 4 muted green bags, 5 mirrored olive bags, 1 dim brown bag.")</f>
        <v>1 mirrored white bag, 4 muted green bags, 5 mirrored olive bags, 1 dim brown bag.</v>
      </c>
      <c r="G474" s="3" t="str">
        <f>IFERROR(__xludf.DUMMYFUNCTION("INDEX(SPLIT($F474,"",""),COLUMN()-6)"),"1 mirrored white bag")</f>
        <v>1 mirrored white bag</v>
      </c>
      <c r="H474" s="3" t="str">
        <f>IFERROR(__xludf.DUMMYFUNCTION("MID(INDEX(SPLIT($F474,"",""),COLUMN()-6),2,300)"),"4 muted green bags")</f>
        <v>4 muted green bags</v>
      </c>
      <c r="I474" s="3" t="str">
        <f>IFERROR(__xludf.DUMMYFUNCTION("MID(INDEX(SPLIT($F474,"",""),COLUMN()-6),2,300)"),"5 mirrored olive bags")</f>
        <v>5 mirrored olive bags</v>
      </c>
      <c r="J474" s="3" t="str">
        <f>IFERROR(__xludf.DUMMYFUNCTION("MID(INDEX(SPLIT($F474,"",""),COLUMN()-6),2,300)"),"1 dim brown bag.")</f>
        <v>1 dim brown bag.</v>
      </c>
      <c r="K474" s="3">
        <f>IFERROR(__xludf.DUMMYFUNCTION("INDEX(SPLIT(G474,"" ""),1)"),1.0)</f>
        <v>1</v>
      </c>
      <c r="L474" s="3" t="str">
        <f>IFERROR(__xludf.DUMMYFUNCTION("REGEXEXTRACT(G474,"" [^ ]* [^ ]* "")")," mirrored white ")</f>
        <v> mirrored white </v>
      </c>
      <c r="M474" s="3">
        <f>IFERROR(__xludf.DUMMYFUNCTION("INDEX(SPLIT(H474,"" ""),1)"),4.0)</f>
        <v>4</v>
      </c>
      <c r="N474" s="3" t="str">
        <f>IFERROR(__xludf.DUMMYFUNCTION("MID(REGEXEXTRACT(H474,"" [^ ]* [^ ]*""),2,300)"),"muted green")</f>
        <v>muted green</v>
      </c>
      <c r="O474" s="3">
        <f>IFERROR(__xludf.DUMMYFUNCTION("INDEX(SPLIT(I474,"" ""),1)"),5.0)</f>
        <v>5</v>
      </c>
      <c r="P474" s="3" t="str">
        <f>IFERROR(__xludf.DUMMYFUNCTION("MID(REGEXEXTRACT(I474,"" [^ ]* [^ ]*""),2,300)"),"mirrored olive")</f>
        <v>mirrored olive</v>
      </c>
      <c r="Q474" s="3">
        <f>IFERROR(__xludf.DUMMYFUNCTION("INDEX(SPLIT(J474,"" ""),1)"),1.0)</f>
        <v>1</v>
      </c>
      <c r="R474" s="3" t="str">
        <f>IFERROR(__xludf.DUMMYFUNCTION("MID(REGEXEXTRACT(J474,"" [^ ]* [^ ]*""),2,300)"),"dim brown")</f>
        <v>dim brown</v>
      </c>
      <c r="S474" s="3">
        <f t="shared" si="2"/>
        <v>1</v>
      </c>
      <c r="T474" s="3" t="str">
        <f t="shared" si="3"/>
        <v>mirrored white</v>
      </c>
      <c r="U474" s="3">
        <f t="shared" si="4"/>
        <v>4</v>
      </c>
      <c r="V474" s="3" t="str">
        <f t="shared" si="5"/>
        <v>muted green</v>
      </c>
      <c r="W474" s="3">
        <f t="shared" si="6"/>
        <v>5</v>
      </c>
      <c r="X474" s="3" t="str">
        <f t="shared" si="7"/>
        <v>mirrored olive</v>
      </c>
      <c r="Y474" s="3">
        <f t="shared" si="8"/>
        <v>1</v>
      </c>
      <c r="Z474" s="3" t="str">
        <f t="shared" si="9"/>
        <v>dim brown</v>
      </c>
      <c r="AA474" s="13">
        <f t="shared" si="10"/>
        <v>115573</v>
      </c>
      <c r="AB474" s="3">
        <f t="shared" si="11"/>
        <v>115572</v>
      </c>
      <c r="AC474" s="3">
        <f t="shared" si="12"/>
        <v>1</v>
      </c>
      <c r="AD474" s="3">
        <f t="shared" si="13"/>
        <v>319</v>
      </c>
      <c r="AE474" s="3">
        <f t="shared" si="14"/>
        <v>4</v>
      </c>
      <c r="AF474" s="3">
        <f t="shared" si="15"/>
        <v>13589</v>
      </c>
      <c r="AG474" s="3">
        <f t="shared" si="16"/>
        <v>5</v>
      </c>
      <c r="AH474" s="3">
        <f t="shared" si="17"/>
        <v>7408</v>
      </c>
      <c r="AI474" s="3">
        <f t="shared" si="18"/>
        <v>1</v>
      </c>
      <c r="AJ474" s="3">
        <f t="shared" si="19"/>
        <v>23857</v>
      </c>
    </row>
    <row r="475">
      <c r="C475" s="6" t="s">
        <v>475</v>
      </c>
      <c r="D475" s="3">
        <f t="shared" si="1"/>
        <v>0</v>
      </c>
      <c r="E475" s="3" t="str">
        <f>IFERROR(__xludf.DUMMYFUNCTION("REGEXEXTRACT(C475,""[^ ]* [^ ]*"")"),"faded fuchsia")</f>
        <v>faded fuchsia</v>
      </c>
      <c r="F475" s="3" t="str">
        <f>IFERROR(__xludf.DUMMYFUNCTION("MID(REGEXEXTRACT(C475,""contain.*$""),9,300)"),"2 dark brown bags.")</f>
        <v>2 dark brown bags.</v>
      </c>
      <c r="G475" s="3" t="str">
        <f>IFERROR(__xludf.DUMMYFUNCTION("INDEX(SPLIT($F475,"",""),COLUMN()-6)"),"2 dark brown bags.")</f>
        <v>2 dark brown bags.</v>
      </c>
      <c r="H475" s="3" t="str">
        <f>IFERROR(__xludf.DUMMYFUNCTION("MID(INDEX(SPLIT($F475,"",""),COLUMN()-6),2,300)"),"#REF!")</f>
        <v>#REF!</v>
      </c>
      <c r="I475" s="3" t="str">
        <f>IFERROR(__xludf.DUMMYFUNCTION("MID(INDEX(SPLIT($F475,"",""),COLUMN()-6),2,300)"),"#REF!")</f>
        <v>#REF!</v>
      </c>
      <c r="J475" s="3" t="str">
        <f>IFERROR(__xludf.DUMMYFUNCTION("MID(INDEX(SPLIT($F475,"",""),COLUMN()-6),2,300)"),"#REF!")</f>
        <v>#REF!</v>
      </c>
      <c r="K475" s="3">
        <f>IFERROR(__xludf.DUMMYFUNCTION("INDEX(SPLIT(G475,"" ""),1)"),2.0)</f>
        <v>2</v>
      </c>
      <c r="L475" s="3" t="str">
        <f>IFERROR(__xludf.DUMMYFUNCTION("REGEXEXTRACT(G475,"" [^ ]* [^ ]* "")")," dark brown ")</f>
        <v> dark brown </v>
      </c>
      <c r="M475" s="3" t="str">
        <f>IFERROR(__xludf.DUMMYFUNCTION("INDEX(SPLIT(H475,"" ""),1)"),"#REF!")</f>
        <v>#REF!</v>
      </c>
      <c r="N475" s="3" t="str">
        <f>IFERROR(__xludf.DUMMYFUNCTION("MID(REGEXEXTRACT(H475,"" [^ ]* [^ ]*""),2,300)"),"#REF!")</f>
        <v>#REF!</v>
      </c>
      <c r="O475" s="3" t="str">
        <f>IFERROR(__xludf.DUMMYFUNCTION("INDEX(SPLIT(I475,"" ""),1)"),"#REF!")</f>
        <v>#REF!</v>
      </c>
      <c r="P475" s="3" t="str">
        <f>IFERROR(__xludf.DUMMYFUNCTION("MID(REGEXEXTRACT(I475,"" [^ ]* [^ ]*""),2,300)"),"#REF!")</f>
        <v>#REF!</v>
      </c>
      <c r="Q475" s="3" t="str">
        <f>IFERROR(__xludf.DUMMYFUNCTION("INDEX(SPLIT(J475,"" ""),1)"),"#REF!")</f>
        <v>#REF!</v>
      </c>
      <c r="R475" s="3" t="str">
        <f>IFERROR(__xludf.DUMMYFUNCTION("MID(REGEXEXTRACT(J475,"" [^ ]* [^ ]*""),2,300)"),"#REF!")</f>
        <v>#REF!</v>
      </c>
      <c r="S475" s="3">
        <f t="shared" si="2"/>
        <v>2</v>
      </c>
      <c r="T475" s="3" t="str">
        <f t="shared" si="3"/>
        <v>dark brown</v>
      </c>
      <c r="U475" s="3" t="str">
        <f t="shared" si="4"/>
        <v/>
      </c>
      <c r="V475" s="3" t="str">
        <f t="shared" si="5"/>
        <v/>
      </c>
      <c r="W475" s="3" t="str">
        <f t="shared" si="6"/>
        <v/>
      </c>
      <c r="X475" s="3" t="str">
        <f t="shared" si="7"/>
        <v/>
      </c>
      <c r="Y475" s="3" t="str">
        <f t="shared" si="8"/>
        <v/>
      </c>
      <c r="Z475" s="3" t="str">
        <f t="shared" si="9"/>
        <v/>
      </c>
      <c r="AA475" s="13">
        <f t="shared" si="10"/>
        <v>269139</v>
      </c>
      <c r="AB475" s="3">
        <f t="shared" si="11"/>
        <v>269138</v>
      </c>
      <c r="AC475" s="3">
        <f t="shared" si="12"/>
        <v>2</v>
      </c>
      <c r="AD475" s="3">
        <f t="shared" si="13"/>
        <v>134569</v>
      </c>
      <c r="AE475" s="3" t="str">
        <f t="shared" si="14"/>
        <v/>
      </c>
      <c r="AF475" s="3">
        <f t="shared" si="15"/>
        <v>0</v>
      </c>
      <c r="AG475" s="3" t="str">
        <f t="shared" si="16"/>
        <v/>
      </c>
      <c r="AH475" s="3">
        <f t="shared" si="17"/>
        <v>0</v>
      </c>
      <c r="AI475" s="3" t="str">
        <f t="shared" si="18"/>
        <v/>
      </c>
      <c r="AJ475" s="3">
        <f t="shared" si="19"/>
        <v>0</v>
      </c>
    </row>
    <row r="476">
      <c r="C476" s="6" t="s">
        <v>476</v>
      </c>
      <c r="D476" s="3">
        <f t="shared" si="1"/>
        <v>0</v>
      </c>
      <c r="E476" s="3" t="str">
        <f>IFERROR(__xludf.DUMMYFUNCTION("REGEXEXTRACT(C476,""[^ ]* [^ ]*"")"),"dotted brown")</f>
        <v>dotted brown</v>
      </c>
      <c r="F476" s="3" t="str">
        <f>IFERROR(__xludf.DUMMYFUNCTION("MID(REGEXEXTRACT(C476,""contain.*$""),9,300)"),"4 clear blue bags.")</f>
        <v>4 clear blue bags.</v>
      </c>
      <c r="G476" s="3" t="str">
        <f>IFERROR(__xludf.DUMMYFUNCTION("INDEX(SPLIT($F476,"",""),COLUMN()-6)"),"4 clear blue bags.")</f>
        <v>4 clear blue bags.</v>
      </c>
      <c r="H476" s="3" t="str">
        <f>IFERROR(__xludf.DUMMYFUNCTION("MID(INDEX(SPLIT($F476,"",""),COLUMN()-6),2,300)"),"#REF!")</f>
        <v>#REF!</v>
      </c>
      <c r="I476" s="3" t="str">
        <f>IFERROR(__xludf.DUMMYFUNCTION("MID(INDEX(SPLIT($F476,"",""),COLUMN()-6),2,300)"),"#REF!")</f>
        <v>#REF!</v>
      </c>
      <c r="J476" s="3" t="str">
        <f>IFERROR(__xludf.DUMMYFUNCTION("MID(INDEX(SPLIT($F476,"",""),COLUMN()-6),2,300)"),"#REF!")</f>
        <v>#REF!</v>
      </c>
      <c r="K476" s="3">
        <f>IFERROR(__xludf.DUMMYFUNCTION("INDEX(SPLIT(G476,"" ""),1)"),4.0)</f>
        <v>4</v>
      </c>
      <c r="L476" s="3" t="str">
        <f>IFERROR(__xludf.DUMMYFUNCTION("REGEXEXTRACT(G476,"" [^ ]* [^ ]* "")")," clear blue ")</f>
        <v> clear blue </v>
      </c>
      <c r="M476" s="3" t="str">
        <f>IFERROR(__xludf.DUMMYFUNCTION("INDEX(SPLIT(H476,"" ""),1)"),"#REF!")</f>
        <v>#REF!</v>
      </c>
      <c r="N476" s="3" t="str">
        <f>IFERROR(__xludf.DUMMYFUNCTION("MID(REGEXEXTRACT(H476,"" [^ ]* [^ ]*""),2,300)"),"#REF!")</f>
        <v>#REF!</v>
      </c>
      <c r="O476" s="3" t="str">
        <f>IFERROR(__xludf.DUMMYFUNCTION("INDEX(SPLIT(I476,"" ""),1)"),"#REF!")</f>
        <v>#REF!</v>
      </c>
      <c r="P476" s="3" t="str">
        <f>IFERROR(__xludf.DUMMYFUNCTION("MID(REGEXEXTRACT(I476,"" [^ ]* [^ ]*""),2,300)"),"#REF!")</f>
        <v>#REF!</v>
      </c>
      <c r="Q476" s="3" t="str">
        <f>IFERROR(__xludf.DUMMYFUNCTION("INDEX(SPLIT(J476,"" ""),1)"),"#REF!")</f>
        <v>#REF!</v>
      </c>
      <c r="R476" s="3" t="str">
        <f>IFERROR(__xludf.DUMMYFUNCTION("MID(REGEXEXTRACT(J476,"" [^ ]* [^ ]*""),2,300)"),"#REF!")</f>
        <v>#REF!</v>
      </c>
      <c r="S476" s="3">
        <f t="shared" si="2"/>
        <v>4</v>
      </c>
      <c r="T476" s="3" t="str">
        <f t="shared" si="3"/>
        <v>clear blue</v>
      </c>
      <c r="U476" s="3" t="str">
        <f t="shared" si="4"/>
        <v/>
      </c>
      <c r="V476" s="3" t="str">
        <f t="shared" si="5"/>
        <v/>
      </c>
      <c r="W476" s="3" t="str">
        <f t="shared" si="6"/>
        <v/>
      </c>
      <c r="X476" s="3" t="str">
        <f t="shared" si="7"/>
        <v/>
      </c>
      <c r="Y476" s="3" t="str">
        <f t="shared" si="8"/>
        <v/>
      </c>
      <c r="Z476" s="3" t="str">
        <f t="shared" si="9"/>
        <v/>
      </c>
      <c r="AA476" s="13">
        <f t="shared" si="10"/>
        <v>305</v>
      </c>
      <c r="AB476" s="3">
        <f t="shared" si="11"/>
        <v>304</v>
      </c>
      <c r="AC476" s="3">
        <f t="shared" si="12"/>
        <v>4</v>
      </c>
      <c r="AD476" s="3">
        <f t="shared" si="13"/>
        <v>76</v>
      </c>
      <c r="AE476" s="3" t="str">
        <f t="shared" si="14"/>
        <v/>
      </c>
      <c r="AF476" s="3">
        <f t="shared" si="15"/>
        <v>0</v>
      </c>
      <c r="AG476" s="3" t="str">
        <f t="shared" si="16"/>
        <v/>
      </c>
      <c r="AH476" s="3">
        <f t="shared" si="17"/>
        <v>0</v>
      </c>
      <c r="AI476" s="3" t="str">
        <f t="shared" si="18"/>
        <v/>
      </c>
      <c r="AJ476" s="3">
        <f t="shared" si="19"/>
        <v>0</v>
      </c>
    </row>
    <row r="477">
      <c r="C477" s="6" t="s">
        <v>477</v>
      </c>
      <c r="D477" s="3">
        <f t="shared" si="1"/>
        <v>0</v>
      </c>
      <c r="E477" s="3" t="str">
        <f>IFERROR(__xludf.DUMMYFUNCTION("REGEXEXTRACT(C477,""[^ ]* [^ ]*"")"),"dark teal")</f>
        <v>dark teal</v>
      </c>
      <c r="F477" s="3" t="str">
        <f>IFERROR(__xludf.DUMMYFUNCTION("MID(REGEXEXTRACT(C477,""contain.*$""),9,300)"),"5 dull cyan bags.")</f>
        <v>5 dull cyan bags.</v>
      </c>
      <c r="G477" s="3" t="str">
        <f>IFERROR(__xludf.DUMMYFUNCTION("INDEX(SPLIT($F477,"",""),COLUMN()-6)"),"5 dull cyan bags.")</f>
        <v>5 dull cyan bags.</v>
      </c>
      <c r="H477" s="3" t="str">
        <f>IFERROR(__xludf.DUMMYFUNCTION("MID(INDEX(SPLIT($F477,"",""),COLUMN()-6),2,300)"),"#REF!")</f>
        <v>#REF!</v>
      </c>
      <c r="I477" s="3" t="str">
        <f>IFERROR(__xludf.DUMMYFUNCTION("MID(INDEX(SPLIT($F477,"",""),COLUMN()-6),2,300)"),"#REF!")</f>
        <v>#REF!</v>
      </c>
      <c r="J477" s="3" t="str">
        <f>IFERROR(__xludf.DUMMYFUNCTION("MID(INDEX(SPLIT($F477,"",""),COLUMN()-6),2,300)"),"#REF!")</f>
        <v>#REF!</v>
      </c>
      <c r="K477" s="3">
        <f>IFERROR(__xludf.DUMMYFUNCTION("INDEX(SPLIT(G477,"" ""),1)"),5.0)</f>
        <v>5</v>
      </c>
      <c r="L477" s="3" t="str">
        <f>IFERROR(__xludf.DUMMYFUNCTION("REGEXEXTRACT(G477,"" [^ ]* [^ ]* "")")," dull cyan ")</f>
        <v> dull cyan </v>
      </c>
      <c r="M477" s="3" t="str">
        <f>IFERROR(__xludf.DUMMYFUNCTION("INDEX(SPLIT(H477,"" ""),1)"),"#REF!")</f>
        <v>#REF!</v>
      </c>
      <c r="N477" s="3" t="str">
        <f>IFERROR(__xludf.DUMMYFUNCTION("MID(REGEXEXTRACT(H477,"" [^ ]* [^ ]*""),2,300)"),"#REF!")</f>
        <v>#REF!</v>
      </c>
      <c r="O477" s="3" t="str">
        <f>IFERROR(__xludf.DUMMYFUNCTION("INDEX(SPLIT(I477,"" ""),1)"),"#REF!")</f>
        <v>#REF!</v>
      </c>
      <c r="P477" s="3" t="str">
        <f>IFERROR(__xludf.DUMMYFUNCTION("MID(REGEXEXTRACT(I477,"" [^ ]* [^ ]*""),2,300)"),"#REF!")</f>
        <v>#REF!</v>
      </c>
      <c r="Q477" s="3" t="str">
        <f>IFERROR(__xludf.DUMMYFUNCTION("INDEX(SPLIT(J477,"" ""),1)"),"#REF!")</f>
        <v>#REF!</v>
      </c>
      <c r="R477" s="3" t="str">
        <f>IFERROR(__xludf.DUMMYFUNCTION("MID(REGEXEXTRACT(J477,"" [^ ]* [^ ]*""),2,300)"),"#REF!")</f>
        <v>#REF!</v>
      </c>
      <c r="S477" s="3">
        <f t="shared" si="2"/>
        <v>5</v>
      </c>
      <c r="T477" s="3" t="str">
        <f t="shared" si="3"/>
        <v>dull cyan</v>
      </c>
      <c r="U477" s="3" t="str">
        <f t="shared" si="4"/>
        <v/>
      </c>
      <c r="V477" s="3" t="str">
        <f t="shared" si="5"/>
        <v/>
      </c>
      <c r="W477" s="3" t="str">
        <f t="shared" si="6"/>
        <v/>
      </c>
      <c r="X477" s="3" t="str">
        <f t="shared" si="7"/>
        <v/>
      </c>
      <c r="Y477" s="3" t="str">
        <f t="shared" si="8"/>
        <v/>
      </c>
      <c r="Z477" s="3" t="str">
        <f t="shared" si="9"/>
        <v/>
      </c>
      <c r="AA477" s="13">
        <f t="shared" si="10"/>
        <v>15041</v>
      </c>
      <c r="AB477" s="3">
        <f t="shared" si="11"/>
        <v>15040</v>
      </c>
      <c r="AC477" s="3">
        <f t="shared" si="12"/>
        <v>5</v>
      </c>
      <c r="AD477" s="3">
        <f t="shared" si="13"/>
        <v>3008</v>
      </c>
      <c r="AE477" s="3" t="str">
        <f t="shared" si="14"/>
        <v/>
      </c>
      <c r="AF477" s="3">
        <f t="shared" si="15"/>
        <v>0</v>
      </c>
      <c r="AG477" s="3" t="str">
        <f t="shared" si="16"/>
        <v/>
      </c>
      <c r="AH477" s="3">
        <f t="shared" si="17"/>
        <v>0</v>
      </c>
      <c r="AI477" s="3" t="str">
        <f t="shared" si="18"/>
        <v/>
      </c>
      <c r="AJ477" s="3">
        <f t="shared" si="19"/>
        <v>0</v>
      </c>
    </row>
    <row r="478">
      <c r="C478" s="6" t="s">
        <v>478</v>
      </c>
      <c r="D478" s="3">
        <f t="shared" si="1"/>
        <v>2</v>
      </c>
      <c r="E478" s="3" t="str">
        <f>IFERROR(__xludf.DUMMYFUNCTION("REGEXEXTRACT(C478,""[^ ]* [^ ]*"")"),"bright salmon")</f>
        <v>bright salmon</v>
      </c>
      <c r="F478" s="3" t="str">
        <f>IFERROR(__xludf.DUMMYFUNCTION("MID(REGEXEXTRACT(C478,""contain.*$""),9,300)"),"2 pale black bags, 5 dotted chartreuse bags, 2 striped chartreuse bags.")</f>
        <v>2 pale black bags, 5 dotted chartreuse bags, 2 striped chartreuse bags.</v>
      </c>
      <c r="G478" s="3" t="str">
        <f>IFERROR(__xludf.DUMMYFUNCTION("INDEX(SPLIT($F478,"",""),COLUMN()-6)"),"2 pale black bags")</f>
        <v>2 pale black bags</v>
      </c>
      <c r="H478" s="3" t="str">
        <f>IFERROR(__xludf.DUMMYFUNCTION("MID(INDEX(SPLIT($F478,"",""),COLUMN()-6),2,300)"),"5 dotted chartreuse bags")</f>
        <v>5 dotted chartreuse bags</v>
      </c>
      <c r="I478" s="3" t="str">
        <f>IFERROR(__xludf.DUMMYFUNCTION("MID(INDEX(SPLIT($F478,"",""),COLUMN()-6),2,300)"),"2 striped chartreuse bags.")</f>
        <v>2 striped chartreuse bags.</v>
      </c>
      <c r="J478" s="3" t="str">
        <f>IFERROR(__xludf.DUMMYFUNCTION("MID(INDEX(SPLIT($F478,"",""),COLUMN()-6),2,300)"),"#REF!")</f>
        <v>#REF!</v>
      </c>
      <c r="K478" s="3">
        <f>IFERROR(__xludf.DUMMYFUNCTION("INDEX(SPLIT(G478,"" ""),1)"),2.0)</f>
        <v>2</v>
      </c>
      <c r="L478" s="3" t="str">
        <f>IFERROR(__xludf.DUMMYFUNCTION("REGEXEXTRACT(G478,"" [^ ]* [^ ]* "")")," pale black ")</f>
        <v> pale black </v>
      </c>
      <c r="M478" s="3">
        <f>IFERROR(__xludf.DUMMYFUNCTION("INDEX(SPLIT(H478,"" ""),1)"),5.0)</f>
        <v>5</v>
      </c>
      <c r="N478" s="3" t="str">
        <f>IFERROR(__xludf.DUMMYFUNCTION("MID(REGEXEXTRACT(H478,"" [^ ]* [^ ]*""),2,300)"),"dotted chartreuse")</f>
        <v>dotted chartreuse</v>
      </c>
      <c r="O478" s="3">
        <f>IFERROR(__xludf.DUMMYFUNCTION("INDEX(SPLIT(I478,"" ""),1)"),2.0)</f>
        <v>2</v>
      </c>
      <c r="P478" s="3" t="str">
        <f>IFERROR(__xludf.DUMMYFUNCTION("MID(REGEXEXTRACT(I478,"" [^ ]* [^ ]*""),2,300)"),"striped chartreuse")</f>
        <v>striped chartreuse</v>
      </c>
      <c r="Q478" s="3" t="str">
        <f>IFERROR(__xludf.DUMMYFUNCTION("INDEX(SPLIT(J478,"" ""),1)"),"#REF!")</f>
        <v>#REF!</v>
      </c>
      <c r="R478" s="3" t="str">
        <f>IFERROR(__xludf.DUMMYFUNCTION("MID(REGEXEXTRACT(J478,"" [^ ]* [^ ]*""),2,300)"),"#REF!")</f>
        <v>#REF!</v>
      </c>
      <c r="S478" s="3">
        <f t="shared" si="2"/>
        <v>2</v>
      </c>
      <c r="T478" s="3" t="str">
        <f t="shared" si="3"/>
        <v>pale black</v>
      </c>
      <c r="U478" s="3">
        <f t="shared" si="4"/>
        <v>5</v>
      </c>
      <c r="V478" s="3" t="str">
        <f t="shared" si="5"/>
        <v>dotted chartreuse</v>
      </c>
      <c r="W478" s="3">
        <f t="shared" si="6"/>
        <v>2</v>
      </c>
      <c r="X478" s="3" t="str">
        <f t="shared" si="7"/>
        <v>striped chartreuse</v>
      </c>
      <c r="Y478" s="3" t="str">
        <f t="shared" si="8"/>
        <v/>
      </c>
      <c r="Z478" s="3" t="str">
        <f t="shared" si="9"/>
        <v/>
      </c>
      <c r="AA478" s="13">
        <f t="shared" si="10"/>
        <v>367933</v>
      </c>
      <c r="AB478" s="3">
        <f t="shared" si="11"/>
        <v>367932</v>
      </c>
      <c r="AC478" s="3">
        <f t="shared" si="12"/>
        <v>2</v>
      </c>
      <c r="AD478" s="3">
        <f t="shared" si="13"/>
        <v>8</v>
      </c>
      <c r="AE478" s="3">
        <f t="shared" si="14"/>
        <v>5</v>
      </c>
      <c r="AF478" s="3">
        <f t="shared" si="15"/>
        <v>71962</v>
      </c>
      <c r="AG478" s="3">
        <f t="shared" si="16"/>
        <v>2</v>
      </c>
      <c r="AH478" s="3">
        <f t="shared" si="17"/>
        <v>4053</v>
      </c>
      <c r="AI478" s="3" t="str">
        <f t="shared" si="18"/>
        <v/>
      </c>
      <c r="AJ478" s="3">
        <f t="shared" si="19"/>
        <v>0</v>
      </c>
    </row>
    <row r="479">
      <c r="C479" s="6" t="s">
        <v>479</v>
      </c>
      <c r="D479" s="3">
        <f t="shared" si="1"/>
        <v>2</v>
      </c>
      <c r="E479" s="3" t="str">
        <f>IFERROR(__xludf.DUMMYFUNCTION("REGEXEXTRACT(C479,""[^ ]* [^ ]*"")"),"pale blue")</f>
        <v>pale blue</v>
      </c>
      <c r="F479" s="3" t="str">
        <f>IFERROR(__xludf.DUMMYFUNCTION("MID(REGEXEXTRACT(C479,""contain.*$""),9,300)"),"4 shiny gold bags, 2 clear white bags, 1 dotted coral bag.")</f>
        <v>4 shiny gold bags, 2 clear white bags, 1 dotted coral bag.</v>
      </c>
      <c r="G479" s="3" t="str">
        <f>IFERROR(__xludf.DUMMYFUNCTION("INDEX(SPLIT($F479,"",""),COLUMN()-6)"),"4 shiny gold bags")</f>
        <v>4 shiny gold bags</v>
      </c>
      <c r="H479" s="3" t="str">
        <f>IFERROR(__xludf.DUMMYFUNCTION("MID(INDEX(SPLIT($F479,"",""),COLUMN()-6),2,300)"),"2 clear white bags")</f>
        <v>2 clear white bags</v>
      </c>
      <c r="I479" s="3" t="str">
        <f>IFERROR(__xludf.DUMMYFUNCTION("MID(INDEX(SPLIT($F479,"",""),COLUMN()-6),2,300)"),"1 dotted coral bag.")</f>
        <v>1 dotted coral bag.</v>
      </c>
      <c r="J479" s="3" t="str">
        <f>IFERROR(__xludf.DUMMYFUNCTION("MID(INDEX(SPLIT($F479,"",""),COLUMN()-6),2,300)"),"#REF!")</f>
        <v>#REF!</v>
      </c>
      <c r="K479" s="3">
        <f>IFERROR(__xludf.DUMMYFUNCTION("INDEX(SPLIT(G479,"" ""),1)"),4.0)</f>
        <v>4</v>
      </c>
      <c r="L479" s="3" t="str">
        <f>IFERROR(__xludf.DUMMYFUNCTION("REGEXEXTRACT(G479,"" [^ ]* [^ ]* "")")," shiny gold ")</f>
        <v> shiny gold </v>
      </c>
      <c r="M479" s="3">
        <f>IFERROR(__xludf.DUMMYFUNCTION("INDEX(SPLIT(H479,"" ""),1)"),2.0)</f>
        <v>2</v>
      </c>
      <c r="N479" s="3" t="str">
        <f>IFERROR(__xludf.DUMMYFUNCTION("MID(REGEXEXTRACT(H479,"" [^ ]* [^ ]*""),2,300)"),"clear white")</f>
        <v>clear white</v>
      </c>
      <c r="O479" s="3">
        <f>IFERROR(__xludf.DUMMYFUNCTION("INDEX(SPLIT(I479,"" ""),1)"),1.0)</f>
        <v>1</v>
      </c>
      <c r="P479" s="3" t="str">
        <f>IFERROR(__xludf.DUMMYFUNCTION("MID(REGEXEXTRACT(I479,"" [^ ]* [^ ]*""),2,300)"),"dotted coral")</f>
        <v>dotted coral</v>
      </c>
      <c r="Q479" s="3" t="str">
        <f>IFERROR(__xludf.DUMMYFUNCTION("INDEX(SPLIT(J479,"" ""),1)"),"#REF!")</f>
        <v>#REF!</v>
      </c>
      <c r="R479" s="3" t="str">
        <f>IFERROR(__xludf.DUMMYFUNCTION("MID(REGEXEXTRACT(J479,"" [^ ]* [^ ]*""),2,300)"),"#REF!")</f>
        <v>#REF!</v>
      </c>
      <c r="S479" s="3">
        <f t="shared" si="2"/>
        <v>4</v>
      </c>
      <c r="T479" s="3" t="str">
        <f t="shared" si="3"/>
        <v>shiny gold</v>
      </c>
      <c r="U479" s="3">
        <f t="shared" si="4"/>
        <v>2</v>
      </c>
      <c r="V479" s="3" t="str">
        <f t="shared" si="5"/>
        <v>clear white</v>
      </c>
      <c r="W479" s="3">
        <f t="shared" si="6"/>
        <v>1</v>
      </c>
      <c r="X479" s="3" t="str">
        <f t="shared" si="7"/>
        <v>dotted coral</v>
      </c>
      <c r="Y479" s="3" t="str">
        <f t="shared" si="8"/>
        <v/>
      </c>
      <c r="Z479" s="3" t="str">
        <f t="shared" si="9"/>
        <v/>
      </c>
      <c r="AA479" s="13">
        <f t="shared" si="10"/>
        <v>250727562</v>
      </c>
      <c r="AB479" s="3">
        <f t="shared" si="11"/>
        <v>250727561</v>
      </c>
      <c r="AC479" s="3">
        <f t="shared" si="12"/>
        <v>4</v>
      </c>
      <c r="AD479" s="3">
        <f t="shared" si="13"/>
        <v>12129</v>
      </c>
      <c r="AE479" s="3">
        <f t="shared" si="14"/>
        <v>2</v>
      </c>
      <c r="AF479" s="3">
        <f t="shared" si="15"/>
        <v>125334121</v>
      </c>
      <c r="AG479" s="3">
        <f t="shared" si="16"/>
        <v>1</v>
      </c>
      <c r="AH479" s="3">
        <f t="shared" si="17"/>
        <v>10803</v>
      </c>
      <c r="AI479" s="3" t="str">
        <f t="shared" si="18"/>
        <v/>
      </c>
      <c r="AJ479" s="3">
        <f t="shared" si="19"/>
        <v>0</v>
      </c>
    </row>
    <row r="480">
      <c r="C480" s="6" t="s">
        <v>480</v>
      </c>
      <c r="D480" s="3">
        <f t="shared" si="1"/>
        <v>2</v>
      </c>
      <c r="E480" s="3" t="str">
        <f>IFERROR(__xludf.DUMMYFUNCTION("REGEXEXTRACT(C480,""[^ ]* [^ ]*"")"),"dim tan")</f>
        <v>dim tan</v>
      </c>
      <c r="F480" s="3" t="str">
        <f>IFERROR(__xludf.DUMMYFUNCTION("MID(REGEXEXTRACT(C480,""contain.*$""),9,300)"),"3 plaid yellow bags, 5 clear blue bags, 2 clear cyan bags.")</f>
        <v>3 plaid yellow bags, 5 clear blue bags, 2 clear cyan bags.</v>
      </c>
      <c r="G480" s="3" t="str">
        <f>IFERROR(__xludf.DUMMYFUNCTION("INDEX(SPLIT($F480,"",""),COLUMN()-6)"),"3 plaid yellow bags")</f>
        <v>3 plaid yellow bags</v>
      </c>
      <c r="H480" s="3" t="str">
        <f>IFERROR(__xludf.DUMMYFUNCTION("MID(INDEX(SPLIT($F480,"",""),COLUMN()-6),2,300)"),"5 clear blue bags")</f>
        <v>5 clear blue bags</v>
      </c>
      <c r="I480" s="3" t="str">
        <f>IFERROR(__xludf.DUMMYFUNCTION("MID(INDEX(SPLIT($F480,"",""),COLUMN()-6),2,300)"),"2 clear cyan bags.")</f>
        <v>2 clear cyan bags.</v>
      </c>
      <c r="J480" s="3" t="str">
        <f>IFERROR(__xludf.DUMMYFUNCTION("MID(INDEX(SPLIT($F480,"",""),COLUMN()-6),2,300)"),"#REF!")</f>
        <v>#REF!</v>
      </c>
      <c r="K480" s="3">
        <f>IFERROR(__xludf.DUMMYFUNCTION("INDEX(SPLIT(G480,"" ""),1)"),3.0)</f>
        <v>3</v>
      </c>
      <c r="L480" s="3" t="str">
        <f>IFERROR(__xludf.DUMMYFUNCTION("REGEXEXTRACT(G480,"" [^ ]* [^ ]* "")")," plaid yellow ")</f>
        <v> plaid yellow </v>
      </c>
      <c r="M480" s="3">
        <f>IFERROR(__xludf.DUMMYFUNCTION("INDEX(SPLIT(H480,"" ""),1)"),5.0)</f>
        <v>5</v>
      </c>
      <c r="N480" s="3" t="str">
        <f>IFERROR(__xludf.DUMMYFUNCTION("MID(REGEXEXTRACT(H480,"" [^ ]* [^ ]*""),2,300)"),"clear blue")</f>
        <v>clear blue</v>
      </c>
      <c r="O480" s="3">
        <f>IFERROR(__xludf.DUMMYFUNCTION("INDEX(SPLIT(I480,"" ""),1)"),2.0)</f>
        <v>2</v>
      </c>
      <c r="P480" s="3" t="str">
        <f>IFERROR(__xludf.DUMMYFUNCTION("MID(REGEXEXTRACT(I480,"" [^ ]* [^ ]*""),2,300)"),"clear cyan")</f>
        <v>clear cyan</v>
      </c>
      <c r="Q480" s="3" t="str">
        <f>IFERROR(__xludf.DUMMYFUNCTION("INDEX(SPLIT(J480,"" ""),1)"),"#REF!")</f>
        <v>#REF!</v>
      </c>
      <c r="R480" s="3" t="str">
        <f>IFERROR(__xludf.DUMMYFUNCTION("MID(REGEXEXTRACT(J480,"" [^ ]* [^ ]*""),2,300)"),"#REF!")</f>
        <v>#REF!</v>
      </c>
      <c r="S480" s="3">
        <f t="shared" si="2"/>
        <v>3</v>
      </c>
      <c r="T480" s="3" t="str">
        <f t="shared" si="3"/>
        <v>plaid yellow</v>
      </c>
      <c r="U480" s="3">
        <f t="shared" si="4"/>
        <v>5</v>
      </c>
      <c r="V480" s="3" t="str">
        <f t="shared" si="5"/>
        <v>clear blue</v>
      </c>
      <c r="W480" s="3">
        <f t="shared" si="6"/>
        <v>2</v>
      </c>
      <c r="X480" s="3" t="str">
        <f t="shared" si="7"/>
        <v>clear cyan</v>
      </c>
      <c r="Y480" s="3" t="str">
        <f t="shared" si="8"/>
        <v/>
      </c>
      <c r="Z480" s="3" t="str">
        <f t="shared" si="9"/>
        <v/>
      </c>
      <c r="AA480" s="13">
        <f t="shared" si="10"/>
        <v>173102328</v>
      </c>
      <c r="AB480" s="3">
        <f t="shared" si="11"/>
        <v>173102327</v>
      </c>
      <c r="AC480" s="3">
        <f t="shared" si="12"/>
        <v>3</v>
      </c>
      <c r="AD480" s="3">
        <f t="shared" si="13"/>
        <v>57101279</v>
      </c>
      <c r="AE480" s="3">
        <f t="shared" si="14"/>
        <v>5</v>
      </c>
      <c r="AF480" s="3">
        <f t="shared" si="15"/>
        <v>76</v>
      </c>
      <c r="AG480" s="3">
        <f t="shared" si="16"/>
        <v>2</v>
      </c>
      <c r="AH480" s="3">
        <f t="shared" si="17"/>
        <v>899055</v>
      </c>
      <c r="AI480" s="3" t="str">
        <f t="shared" si="18"/>
        <v/>
      </c>
      <c r="AJ480" s="3">
        <f t="shared" si="19"/>
        <v>0</v>
      </c>
    </row>
    <row r="481">
      <c r="C481" s="6" t="s">
        <v>481</v>
      </c>
      <c r="D481" s="3">
        <f t="shared" si="1"/>
        <v>2</v>
      </c>
      <c r="E481" s="3" t="str">
        <f>IFERROR(__xludf.DUMMYFUNCTION("REGEXEXTRACT(C481,""[^ ]* [^ ]*"")"),"dull beige")</f>
        <v>dull beige</v>
      </c>
      <c r="F481" s="3" t="str">
        <f>IFERROR(__xludf.DUMMYFUNCTION("MID(REGEXEXTRACT(C481,""contain.*$""),9,300)"),"5 shiny maroon bags, 4 mirrored bronze bags, 4 dark plum bags.")</f>
        <v>5 shiny maroon bags, 4 mirrored bronze bags, 4 dark plum bags.</v>
      </c>
      <c r="G481" s="3" t="str">
        <f>IFERROR(__xludf.DUMMYFUNCTION("INDEX(SPLIT($F481,"",""),COLUMN()-6)"),"5 shiny maroon bags")</f>
        <v>5 shiny maroon bags</v>
      </c>
      <c r="H481" s="3" t="str">
        <f>IFERROR(__xludf.DUMMYFUNCTION("MID(INDEX(SPLIT($F481,"",""),COLUMN()-6),2,300)"),"4 mirrored bronze bags")</f>
        <v>4 mirrored bronze bags</v>
      </c>
      <c r="I481" s="3" t="str">
        <f>IFERROR(__xludf.DUMMYFUNCTION("MID(INDEX(SPLIT($F481,"",""),COLUMN()-6),2,300)"),"4 dark plum bags.")</f>
        <v>4 dark plum bags.</v>
      </c>
      <c r="J481" s="3" t="str">
        <f>IFERROR(__xludf.DUMMYFUNCTION("MID(INDEX(SPLIT($F481,"",""),COLUMN()-6),2,300)"),"#REF!")</f>
        <v>#REF!</v>
      </c>
      <c r="K481" s="3">
        <f>IFERROR(__xludf.DUMMYFUNCTION("INDEX(SPLIT(G481,"" ""),1)"),5.0)</f>
        <v>5</v>
      </c>
      <c r="L481" s="3" t="str">
        <f>IFERROR(__xludf.DUMMYFUNCTION("REGEXEXTRACT(G481,"" [^ ]* [^ ]* "")")," shiny maroon ")</f>
        <v> shiny maroon </v>
      </c>
      <c r="M481" s="3">
        <f>IFERROR(__xludf.DUMMYFUNCTION("INDEX(SPLIT(H481,"" ""),1)"),4.0)</f>
        <v>4</v>
      </c>
      <c r="N481" s="3" t="str">
        <f>IFERROR(__xludf.DUMMYFUNCTION("MID(REGEXEXTRACT(H481,"" [^ ]* [^ ]*""),2,300)"),"mirrored bronze")</f>
        <v>mirrored bronze</v>
      </c>
      <c r="O481" s="3">
        <f>IFERROR(__xludf.DUMMYFUNCTION("INDEX(SPLIT(I481,"" ""),1)"),4.0)</f>
        <v>4</v>
      </c>
      <c r="P481" s="3" t="str">
        <f>IFERROR(__xludf.DUMMYFUNCTION("MID(REGEXEXTRACT(I481,"" [^ ]* [^ ]*""),2,300)"),"dark plum")</f>
        <v>dark plum</v>
      </c>
      <c r="Q481" s="3" t="str">
        <f>IFERROR(__xludf.DUMMYFUNCTION("INDEX(SPLIT(J481,"" ""),1)"),"#REF!")</f>
        <v>#REF!</v>
      </c>
      <c r="R481" s="3" t="str">
        <f>IFERROR(__xludf.DUMMYFUNCTION("MID(REGEXEXTRACT(J481,"" [^ ]* [^ ]*""),2,300)"),"#REF!")</f>
        <v>#REF!</v>
      </c>
      <c r="S481" s="3">
        <f t="shared" si="2"/>
        <v>5</v>
      </c>
      <c r="T481" s="3" t="str">
        <f t="shared" si="3"/>
        <v>shiny maroon</v>
      </c>
      <c r="U481" s="3">
        <f t="shared" si="4"/>
        <v>4</v>
      </c>
      <c r="V481" s="3" t="str">
        <f t="shared" si="5"/>
        <v>mirrored bronze</v>
      </c>
      <c r="W481" s="3">
        <f t="shared" si="6"/>
        <v>4</v>
      </c>
      <c r="X481" s="3" t="str">
        <f t="shared" si="7"/>
        <v>dark plum</v>
      </c>
      <c r="Y481" s="3" t="str">
        <f t="shared" si="8"/>
        <v/>
      </c>
      <c r="Z481" s="3" t="str">
        <f t="shared" si="9"/>
        <v/>
      </c>
      <c r="AA481" s="13">
        <f t="shared" si="10"/>
        <v>3602375</v>
      </c>
      <c r="AB481" s="3">
        <f t="shared" si="11"/>
        <v>3602374</v>
      </c>
      <c r="AC481" s="3">
        <f t="shared" si="12"/>
        <v>5</v>
      </c>
      <c r="AD481" s="3">
        <f t="shared" si="13"/>
        <v>557022</v>
      </c>
      <c r="AE481" s="3">
        <f t="shared" si="14"/>
        <v>4</v>
      </c>
      <c r="AF481" s="3">
        <f t="shared" si="15"/>
        <v>29923</v>
      </c>
      <c r="AG481" s="3">
        <f t="shared" si="16"/>
        <v>4</v>
      </c>
      <c r="AH481" s="3">
        <f t="shared" si="17"/>
        <v>174393</v>
      </c>
      <c r="AI481" s="3" t="str">
        <f t="shared" si="18"/>
        <v/>
      </c>
      <c r="AJ481" s="3">
        <f t="shared" si="19"/>
        <v>0</v>
      </c>
    </row>
    <row r="482">
      <c r="C482" s="6" t="s">
        <v>482</v>
      </c>
      <c r="D482" s="3">
        <f t="shared" si="1"/>
        <v>1</v>
      </c>
      <c r="E482" s="3" t="str">
        <f>IFERROR(__xludf.DUMMYFUNCTION("REGEXEXTRACT(C482,""[^ ]* [^ ]*"")"),"clear magenta")</f>
        <v>clear magenta</v>
      </c>
      <c r="F482" s="3" t="str">
        <f>IFERROR(__xludf.DUMMYFUNCTION("MID(REGEXEXTRACT(C482,""contain.*$""),9,300)"),"5 dim bronze bags, 5 wavy olive bags.")</f>
        <v>5 dim bronze bags, 5 wavy olive bags.</v>
      </c>
      <c r="G482" s="3" t="str">
        <f>IFERROR(__xludf.DUMMYFUNCTION("INDEX(SPLIT($F482,"",""),COLUMN()-6)"),"5 dim bronze bags")</f>
        <v>5 dim bronze bags</v>
      </c>
      <c r="H482" s="3" t="str">
        <f>IFERROR(__xludf.DUMMYFUNCTION("MID(INDEX(SPLIT($F482,"",""),COLUMN()-6),2,300)"),"5 wavy olive bags.")</f>
        <v>5 wavy olive bags.</v>
      </c>
      <c r="I482" s="3" t="str">
        <f>IFERROR(__xludf.DUMMYFUNCTION("MID(INDEX(SPLIT($F482,"",""),COLUMN()-6),2,300)"),"#REF!")</f>
        <v>#REF!</v>
      </c>
      <c r="J482" s="3" t="str">
        <f>IFERROR(__xludf.DUMMYFUNCTION("MID(INDEX(SPLIT($F482,"",""),COLUMN()-6),2,300)"),"#REF!")</f>
        <v>#REF!</v>
      </c>
      <c r="K482" s="3">
        <f>IFERROR(__xludf.DUMMYFUNCTION("INDEX(SPLIT(G482,"" ""),1)"),5.0)</f>
        <v>5</v>
      </c>
      <c r="L482" s="3" t="str">
        <f>IFERROR(__xludf.DUMMYFUNCTION("REGEXEXTRACT(G482,"" [^ ]* [^ ]* "")")," dim bronze ")</f>
        <v> dim bronze </v>
      </c>
      <c r="M482" s="3">
        <f>IFERROR(__xludf.DUMMYFUNCTION("INDEX(SPLIT(H482,"" ""),1)"),5.0)</f>
        <v>5</v>
      </c>
      <c r="N482" s="3" t="str">
        <f>IFERROR(__xludf.DUMMYFUNCTION("MID(REGEXEXTRACT(H482,"" [^ ]* [^ ]*""),2,300)"),"wavy olive")</f>
        <v>wavy olive</v>
      </c>
      <c r="O482" s="3" t="str">
        <f>IFERROR(__xludf.DUMMYFUNCTION("INDEX(SPLIT(I482,"" ""),1)"),"#REF!")</f>
        <v>#REF!</v>
      </c>
      <c r="P482" s="3" t="str">
        <f>IFERROR(__xludf.DUMMYFUNCTION("MID(REGEXEXTRACT(I482,"" [^ ]* [^ ]*""),2,300)"),"#REF!")</f>
        <v>#REF!</v>
      </c>
      <c r="Q482" s="3" t="str">
        <f>IFERROR(__xludf.DUMMYFUNCTION("INDEX(SPLIT(J482,"" ""),1)"),"#REF!")</f>
        <v>#REF!</v>
      </c>
      <c r="R482" s="3" t="str">
        <f>IFERROR(__xludf.DUMMYFUNCTION("MID(REGEXEXTRACT(J482,"" [^ ]* [^ ]*""),2,300)"),"#REF!")</f>
        <v>#REF!</v>
      </c>
      <c r="S482" s="3">
        <f t="shared" si="2"/>
        <v>5</v>
      </c>
      <c r="T482" s="3" t="str">
        <f t="shared" si="3"/>
        <v>dim bronze</v>
      </c>
      <c r="U482" s="3">
        <f t="shared" si="4"/>
        <v>5</v>
      </c>
      <c r="V482" s="3" t="str">
        <f t="shared" si="5"/>
        <v>wavy olive</v>
      </c>
      <c r="W482" s="3" t="str">
        <f t="shared" si="6"/>
        <v/>
      </c>
      <c r="X482" s="3" t="str">
        <f t="shared" si="7"/>
        <v/>
      </c>
      <c r="Y482" s="3" t="str">
        <f t="shared" si="8"/>
        <v/>
      </c>
      <c r="Z482" s="3" t="str">
        <f t="shared" si="9"/>
        <v/>
      </c>
      <c r="AA482" s="13">
        <f t="shared" si="10"/>
        <v>222127321</v>
      </c>
      <c r="AB482" s="3">
        <f t="shared" si="11"/>
        <v>222127320</v>
      </c>
      <c r="AC482" s="3">
        <f t="shared" si="12"/>
        <v>5</v>
      </c>
      <c r="AD482" s="3">
        <f t="shared" si="13"/>
        <v>557021</v>
      </c>
      <c r="AE482" s="3">
        <f t="shared" si="14"/>
        <v>5</v>
      </c>
      <c r="AF482" s="3">
        <f t="shared" si="15"/>
        <v>43868443</v>
      </c>
      <c r="AG482" s="3" t="str">
        <f t="shared" si="16"/>
        <v/>
      </c>
      <c r="AH482" s="3">
        <f t="shared" si="17"/>
        <v>0</v>
      </c>
      <c r="AI482" s="3" t="str">
        <f t="shared" si="18"/>
        <v/>
      </c>
      <c r="AJ482" s="3">
        <f t="shared" si="19"/>
        <v>0</v>
      </c>
    </row>
    <row r="483">
      <c r="C483" s="6" t="s">
        <v>483</v>
      </c>
      <c r="D483" s="3">
        <f t="shared" si="1"/>
        <v>2</v>
      </c>
      <c r="E483" s="3" t="str">
        <f>IFERROR(__xludf.DUMMYFUNCTION("REGEXEXTRACT(C483,""[^ ]* [^ ]*"")"),"bright black")</f>
        <v>bright black</v>
      </c>
      <c r="F483" s="3" t="str">
        <f>IFERROR(__xludf.DUMMYFUNCTION("MID(REGEXEXTRACT(C483,""contain.*$""),9,300)"),"2 bright bronze bags, 5 mirrored gold bags, 4 dark yellow bags.")</f>
        <v>2 bright bronze bags, 5 mirrored gold bags, 4 dark yellow bags.</v>
      </c>
      <c r="G483" s="3" t="str">
        <f>IFERROR(__xludf.DUMMYFUNCTION("INDEX(SPLIT($F483,"",""),COLUMN()-6)"),"2 bright bronze bags")</f>
        <v>2 bright bronze bags</v>
      </c>
      <c r="H483" s="3" t="str">
        <f>IFERROR(__xludf.DUMMYFUNCTION("MID(INDEX(SPLIT($F483,"",""),COLUMN()-6),2,300)"),"5 mirrored gold bags")</f>
        <v>5 mirrored gold bags</v>
      </c>
      <c r="I483" s="3" t="str">
        <f>IFERROR(__xludf.DUMMYFUNCTION("MID(INDEX(SPLIT($F483,"",""),COLUMN()-6),2,300)"),"4 dark yellow bags.")</f>
        <v>4 dark yellow bags.</v>
      </c>
      <c r="J483" s="3" t="str">
        <f>IFERROR(__xludf.DUMMYFUNCTION("MID(INDEX(SPLIT($F483,"",""),COLUMN()-6),2,300)"),"#REF!")</f>
        <v>#REF!</v>
      </c>
      <c r="K483" s="3">
        <f>IFERROR(__xludf.DUMMYFUNCTION("INDEX(SPLIT(G483,"" ""),1)"),2.0)</f>
        <v>2</v>
      </c>
      <c r="L483" s="3" t="str">
        <f>IFERROR(__xludf.DUMMYFUNCTION("REGEXEXTRACT(G483,"" [^ ]* [^ ]* "")")," bright bronze ")</f>
        <v> bright bronze </v>
      </c>
      <c r="M483" s="3">
        <f>IFERROR(__xludf.DUMMYFUNCTION("INDEX(SPLIT(H483,"" ""),1)"),5.0)</f>
        <v>5</v>
      </c>
      <c r="N483" s="3" t="str">
        <f>IFERROR(__xludf.DUMMYFUNCTION("MID(REGEXEXTRACT(H483,"" [^ ]* [^ ]*""),2,300)"),"mirrored gold")</f>
        <v>mirrored gold</v>
      </c>
      <c r="O483" s="3">
        <f>IFERROR(__xludf.DUMMYFUNCTION("INDEX(SPLIT(I483,"" ""),1)"),4.0)</f>
        <v>4</v>
      </c>
      <c r="P483" s="3" t="str">
        <f>IFERROR(__xludf.DUMMYFUNCTION("MID(REGEXEXTRACT(I483,"" [^ ]* [^ ]*""),2,300)"),"dark yellow")</f>
        <v>dark yellow</v>
      </c>
      <c r="Q483" s="3" t="str">
        <f>IFERROR(__xludf.DUMMYFUNCTION("INDEX(SPLIT(J483,"" ""),1)"),"#REF!")</f>
        <v>#REF!</v>
      </c>
      <c r="R483" s="3" t="str">
        <f>IFERROR(__xludf.DUMMYFUNCTION("MID(REGEXEXTRACT(J483,"" [^ ]* [^ ]*""),2,300)"),"#REF!")</f>
        <v>#REF!</v>
      </c>
      <c r="S483" s="3">
        <f t="shared" si="2"/>
        <v>2</v>
      </c>
      <c r="T483" s="3" t="str">
        <f t="shared" si="3"/>
        <v>bright bronze</v>
      </c>
      <c r="U483" s="3">
        <f t="shared" si="4"/>
        <v>5</v>
      </c>
      <c r="V483" s="3" t="str">
        <f t="shared" si="5"/>
        <v>mirrored gold</v>
      </c>
      <c r="W483" s="3">
        <f t="shared" si="6"/>
        <v>4</v>
      </c>
      <c r="X483" s="3" t="str">
        <f t="shared" si="7"/>
        <v>dark yellow</v>
      </c>
      <c r="Y483" s="3" t="str">
        <f t="shared" si="8"/>
        <v/>
      </c>
      <c r="Z483" s="3" t="str">
        <f t="shared" si="9"/>
        <v/>
      </c>
      <c r="AA483" s="13">
        <f t="shared" si="10"/>
        <v>23812778</v>
      </c>
      <c r="AB483" s="3">
        <f t="shared" si="11"/>
        <v>23812777</v>
      </c>
      <c r="AC483" s="3">
        <f t="shared" si="12"/>
        <v>2</v>
      </c>
      <c r="AD483" s="3">
        <f t="shared" si="13"/>
        <v>9540014</v>
      </c>
      <c r="AE483" s="3">
        <f t="shared" si="14"/>
        <v>5</v>
      </c>
      <c r="AF483" s="3">
        <f t="shared" si="15"/>
        <v>821</v>
      </c>
      <c r="AG483" s="3">
        <f t="shared" si="16"/>
        <v>4</v>
      </c>
      <c r="AH483" s="3">
        <f t="shared" si="17"/>
        <v>1182161</v>
      </c>
      <c r="AI483" s="3" t="str">
        <f t="shared" si="18"/>
        <v/>
      </c>
      <c r="AJ483" s="3">
        <f t="shared" si="19"/>
        <v>0</v>
      </c>
    </row>
    <row r="484">
      <c r="C484" s="6" t="s">
        <v>484</v>
      </c>
      <c r="D484" s="3">
        <f t="shared" si="1"/>
        <v>0</v>
      </c>
      <c r="E484" s="3" t="str">
        <f>IFERROR(__xludf.DUMMYFUNCTION("REGEXEXTRACT(C484,""[^ ]* [^ ]*"")"),"muted aqua")</f>
        <v>muted aqua</v>
      </c>
      <c r="F484" s="3" t="str">
        <f>IFERROR(__xludf.DUMMYFUNCTION("MID(REGEXEXTRACT(C484,""contain.*$""),9,300)"),"2 dark teal bags.")</f>
        <v>2 dark teal bags.</v>
      </c>
      <c r="G484" s="3" t="str">
        <f>IFERROR(__xludf.DUMMYFUNCTION("INDEX(SPLIT($F484,"",""),COLUMN()-6)"),"2 dark teal bags.")</f>
        <v>2 dark teal bags.</v>
      </c>
      <c r="H484" s="3" t="str">
        <f>IFERROR(__xludf.DUMMYFUNCTION("MID(INDEX(SPLIT($F484,"",""),COLUMN()-6),2,300)"),"#REF!")</f>
        <v>#REF!</v>
      </c>
      <c r="I484" s="3" t="str">
        <f>IFERROR(__xludf.DUMMYFUNCTION("MID(INDEX(SPLIT($F484,"",""),COLUMN()-6),2,300)"),"#REF!")</f>
        <v>#REF!</v>
      </c>
      <c r="J484" s="3" t="str">
        <f>IFERROR(__xludf.DUMMYFUNCTION("MID(INDEX(SPLIT($F484,"",""),COLUMN()-6),2,300)"),"#REF!")</f>
        <v>#REF!</v>
      </c>
      <c r="K484" s="3">
        <f>IFERROR(__xludf.DUMMYFUNCTION("INDEX(SPLIT(G484,"" ""),1)"),2.0)</f>
        <v>2</v>
      </c>
      <c r="L484" s="3" t="str">
        <f>IFERROR(__xludf.DUMMYFUNCTION("REGEXEXTRACT(G484,"" [^ ]* [^ ]* "")")," dark teal ")</f>
        <v> dark teal </v>
      </c>
      <c r="M484" s="3" t="str">
        <f>IFERROR(__xludf.DUMMYFUNCTION("INDEX(SPLIT(H484,"" ""),1)"),"#REF!")</f>
        <v>#REF!</v>
      </c>
      <c r="N484" s="3" t="str">
        <f>IFERROR(__xludf.DUMMYFUNCTION("MID(REGEXEXTRACT(H484,"" [^ ]* [^ ]*""),2,300)"),"#REF!")</f>
        <v>#REF!</v>
      </c>
      <c r="O484" s="3" t="str">
        <f>IFERROR(__xludf.DUMMYFUNCTION("INDEX(SPLIT(I484,"" ""),1)"),"#REF!")</f>
        <v>#REF!</v>
      </c>
      <c r="P484" s="3" t="str">
        <f>IFERROR(__xludf.DUMMYFUNCTION("MID(REGEXEXTRACT(I484,"" [^ ]* [^ ]*""),2,300)"),"#REF!")</f>
        <v>#REF!</v>
      </c>
      <c r="Q484" s="3" t="str">
        <f>IFERROR(__xludf.DUMMYFUNCTION("INDEX(SPLIT(J484,"" ""),1)"),"#REF!")</f>
        <v>#REF!</v>
      </c>
      <c r="R484" s="3" t="str">
        <f>IFERROR(__xludf.DUMMYFUNCTION("MID(REGEXEXTRACT(J484,"" [^ ]* [^ ]*""),2,300)"),"#REF!")</f>
        <v>#REF!</v>
      </c>
      <c r="S484" s="3">
        <f t="shared" si="2"/>
        <v>2</v>
      </c>
      <c r="T484" s="3" t="str">
        <f t="shared" si="3"/>
        <v>dark teal</v>
      </c>
      <c r="U484" s="3" t="str">
        <f t="shared" si="4"/>
        <v/>
      </c>
      <c r="V484" s="3" t="str">
        <f t="shared" si="5"/>
        <v/>
      </c>
      <c r="W484" s="3" t="str">
        <f t="shared" si="6"/>
        <v/>
      </c>
      <c r="X484" s="3" t="str">
        <f t="shared" si="7"/>
        <v/>
      </c>
      <c r="Y484" s="3" t="str">
        <f t="shared" si="8"/>
        <v/>
      </c>
      <c r="Z484" s="3" t="str">
        <f t="shared" si="9"/>
        <v/>
      </c>
      <c r="AA484" s="13">
        <f t="shared" si="10"/>
        <v>30083</v>
      </c>
      <c r="AB484" s="3">
        <f t="shared" si="11"/>
        <v>30082</v>
      </c>
      <c r="AC484" s="3">
        <f t="shared" si="12"/>
        <v>2</v>
      </c>
      <c r="AD484" s="3">
        <f t="shared" si="13"/>
        <v>15041</v>
      </c>
      <c r="AE484" s="3" t="str">
        <f t="shared" si="14"/>
        <v/>
      </c>
      <c r="AF484" s="3">
        <f t="shared" si="15"/>
        <v>0</v>
      </c>
      <c r="AG484" s="3" t="str">
        <f t="shared" si="16"/>
        <v/>
      </c>
      <c r="AH484" s="3">
        <f t="shared" si="17"/>
        <v>0</v>
      </c>
      <c r="AI484" s="3" t="str">
        <f t="shared" si="18"/>
        <v/>
      </c>
      <c r="AJ484" s="3">
        <f t="shared" si="19"/>
        <v>0</v>
      </c>
    </row>
    <row r="485">
      <c r="C485" s="6" t="s">
        <v>485</v>
      </c>
      <c r="D485" s="3">
        <f t="shared" si="1"/>
        <v>2</v>
      </c>
      <c r="E485" s="3" t="str">
        <f>IFERROR(__xludf.DUMMYFUNCTION("REGEXEXTRACT(C485,""[^ ]* [^ ]*"")"),"faded blue")</f>
        <v>faded blue</v>
      </c>
      <c r="F485" s="3" t="str">
        <f>IFERROR(__xludf.DUMMYFUNCTION("MID(REGEXEXTRACT(C485,""contain.*$""),9,300)"),"4 clear salmon bags, 1 light cyan bag, 5 wavy tomato bags.")</f>
        <v>4 clear salmon bags, 1 light cyan bag, 5 wavy tomato bags.</v>
      </c>
      <c r="G485" s="3" t="str">
        <f>IFERROR(__xludf.DUMMYFUNCTION("INDEX(SPLIT($F485,"",""),COLUMN()-6)"),"4 clear salmon bags")</f>
        <v>4 clear salmon bags</v>
      </c>
      <c r="H485" s="3" t="str">
        <f>IFERROR(__xludf.DUMMYFUNCTION("MID(INDEX(SPLIT($F485,"",""),COLUMN()-6),2,300)"),"1 light cyan bag")</f>
        <v>1 light cyan bag</v>
      </c>
      <c r="I485" s="3" t="str">
        <f>IFERROR(__xludf.DUMMYFUNCTION("MID(INDEX(SPLIT($F485,"",""),COLUMN()-6),2,300)"),"5 wavy tomato bags.")</f>
        <v>5 wavy tomato bags.</v>
      </c>
      <c r="J485" s="3" t="str">
        <f>IFERROR(__xludf.DUMMYFUNCTION("MID(INDEX(SPLIT($F485,"",""),COLUMN()-6),2,300)"),"#REF!")</f>
        <v>#REF!</v>
      </c>
      <c r="K485" s="3">
        <f>IFERROR(__xludf.DUMMYFUNCTION("INDEX(SPLIT(G485,"" ""),1)"),4.0)</f>
        <v>4</v>
      </c>
      <c r="L485" s="3" t="str">
        <f>IFERROR(__xludf.DUMMYFUNCTION("REGEXEXTRACT(G485,"" [^ ]* [^ ]* "")")," clear salmon ")</f>
        <v> clear salmon </v>
      </c>
      <c r="M485" s="3">
        <f>IFERROR(__xludf.DUMMYFUNCTION("INDEX(SPLIT(H485,"" ""),1)"),1.0)</f>
        <v>1</v>
      </c>
      <c r="N485" s="3" t="str">
        <f>IFERROR(__xludf.DUMMYFUNCTION("MID(REGEXEXTRACT(H485,"" [^ ]* [^ ]*""),2,300)"),"light cyan")</f>
        <v>light cyan</v>
      </c>
      <c r="O485" s="3">
        <f>IFERROR(__xludf.DUMMYFUNCTION("INDEX(SPLIT(I485,"" ""),1)"),5.0)</f>
        <v>5</v>
      </c>
      <c r="P485" s="3" t="str">
        <f>IFERROR(__xludf.DUMMYFUNCTION("MID(REGEXEXTRACT(I485,"" [^ ]* [^ ]*""),2,300)"),"wavy tomato")</f>
        <v>wavy tomato</v>
      </c>
      <c r="Q485" s="3" t="str">
        <f>IFERROR(__xludf.DUMMYFUNCTION("INDEX(SPLIT(J485,"" ""),1)"),"#REF!")</f>
        <v>#REF!</v>
      </c>
      <c r="R485" s="3" t="str">
        <f>IFERROR(__xludf.DUMMYFUNCTION("MID(REGEXEXTRACT(J485,"" [^ ]* [^ ]*""),2,300)"),"#REF!")</f>
        <v>#REF!</v>
      </c>
      <c r="S485" s="3">
        <f t="shared" si="2"/>
        <v>4</v>
      </c>
      <c r="T485" s="3" t="str">
        <f t="shared" si="3"/>
        <v>clear salmon</v>
      </c>
      <c r="U485" s="3">
        <f t="shared" si="4"/>
        <v>1</v>
      </c>
      <c r="V485" s="3" t="str">
        <f t="shared" si="5"/>
        <v>light cyan</v>
      </c>
      <c r="W485" s="3">
        <f t="shared" si="6"/>
        <v>5</v>
      </c>
      <c r="X485" s="3" t="str">
        <f t="shared" si="7"/>
        <v>wavy tomato</v>
      </c>
      <c r="Y485" s="3" t="str">
        <f t="shared" si="8"/>
        <v/>
      </c>
      <c r="Z485" s="3" t="str">
        <f t="shared" si="9"/>
        <v/>
      </c>
      <c r="AA485" s="13">
        <f t="shared" si="10"/>
        <v>12631028</v>
      </c>
      <c r="AB485" s="3">
        <f t="shared" si="11"/>
        <v>12631027</v>
      </c>
      <c r="AC485" s="3">
        <f t="shared" si="12"/>
        <v>4</v>
      </c>
      <c r="AD485" s="3">
        <f t="shared" si="13"/>
        <v>3156488</v>
      </c>
      <c r="AE485" s="3">
        <f t="shared" si="14"/>
        <v>1</v>
      </c>
      <c r="AF485" s="3">
        <f t="shared" si="15"/>
        <v>3750</v>
      </c>
      <c r="AG485" s="3">
        <f t="shared" si="16"/>
        <v>5</v>
      </c>
      <c r="AH485" s="3">
        <f t="shared" si="17"/>
        <v>265</v>
      </c>
      <c r="AI485" s="3" t="str">
        <f t="shared" si="18"/>
        <v/>
      </c>
      <c r="AJ485" s="3">
        <f t="shared" si="19"/>
        <v>0</v>
      </c>
    </row>
    <row r="486">
      <c r="C486" s="6" t="s">
        <v>486</v>
      </c>
      <c r="D486" s="3">
        <f t="shared" si="1"/>
        <v>3</v>
      </c>
      <c r="E486" s="3" t="str">
        <f>IFERROR(__xludf.DUMMYFUNCTION("REGEXEXTRACT(C486,""[^ ]* [^ ]*"")"),"dotted indigo")</f>
        <v>dotted indigo</v>
      </c>
      <c r="F486" s="3" t="str">
        <f>IFERROR(__xludf.DUMMYFUNCTION("MID(REGEXEXTRACT(C486,""contain.*$""),9,300)"),"2 shiny maroon bags, 2 wavy tan bags, 4 dim tomato bags, 1 posh plum bag.")</f>
        <v>2 shiny maroon bags, 2 wavy tan bags, 4 dim tomato bags, 1 posh plum bag.</v>
      </c>
      <c r="G486" s="3" t="str">
        <f>IFERROR(__xludf.DUMMYFUNCTION("INDEX(SPLIT($F486,"",""),COLUMN()-6)"),"2 shiny maroon bags")</f>
        <v>2 shiny maroon bags</v>
      </c>
      <c r="H486" s="3" t="str">
        <f>IFERROR(__xludf.DUMMYFUNCTION("MID(INDEX(SPLIT($F486,"",""),COLUMN()-6),2,300)"),"2 wavy tan bags")</f>
        <v>2 wavy tan bags</v>
      </c>
      <c r="I486" s="3" t="str">
        <f>IFERROR(__xludf.DUMMYFUNCTION("MID(INDEX(SPLIT($F486,"",""),COLUMN()-6),2,300)"),"4 dim tomato bags")</f>
        <v>4 dim tomato bags</v>
      </c>
      <c r="J486" s="3" t="str">
        <f>IFERROR(__xludf.DUMMYFUNCTION("MID(INDEX(SPLIT($F486,"",""),COLUMN()-6),2,300)"),"1 posh plum bag.")</f>
        <v>1 posh plum bag.</v>
      </c>
      <c r="K486" s="3">
        <f>IFERROR(__xludf.DUMMYFUNCTION("INDEX(SPLIT(G486,"" ""),1)"),2.0)</f>
        <v>2</v>
      </c>
      <c r="L486" s="3" t="str">
        <f>IFERROR(__xludf.DUMMYFUNCTION("REGEXEXTRACT(G486,"" [^ ]* [^ ]* "")")," shiny maroon ")</f>
        <v> shiny maroon </v>
      </c>
      <c r="M486" s="3">
        <f>IFERROR(__xludf.DUMMYFUNCTION("INDEX(SPLIT(H486,"" ""),1)"),2.0)</f>
        <v>2</v>
      </c>
      <c r="N486" s="3" t="str">
        <f>IFERROR(__xludf.DUMMYFUNCTION("MID(REGEXEXTRACT(H486,"" [^ ]* [^ ]*""),2,300)"),"wavy tan")</f>
        <v>wavy tan</v>
      </c>
      <c r="O486" s="3">
        <f>IFERROR(__xludf.DUMMYFUNCTION("INDEX(SPLIT(I486,"" ""),1)"),4.0)</f>
        <v>4</v>
      </c>
      <c r="P486" s="3" t="str">
        <f>IFERROR(__xludf.DUMMYFUNCTION("MID(REGEXEXTRACT(I486,"" [^ ]* [^ ]*""),2,300)"),"dim tomato")</f>
        <v>dim tomato</v>
      </c>
      <c r="Q486" s="3">
        <f>IFERROR(__xludf.DUMMYFUNCTION("INDEX(SPLIT(J486,"" ""),1)"),1.0)</f>
        <v>1</v>
      </c>
      <c r="R486" s="3" t="str">
        <f>IFERROR(__xludf.DUMMYFUNCTION("MID(REGEXEXTRACT(J486,"" [^ ]* [^ ]*""),2,300)"),"posh plum")</f>
        <v>posh plum</v>
      </c>
      <c r="S486" s="3">
        <f t="shared" si="2"/>
        <v>2</v>
      </c>
      <c r="T486" s="3" t="str">
        <f t="shared" si="3"/>
        <v>shiny maroon</v>
      </c>
      <c r="U486" s="3">
        <f t="shared" si="4"/>
        <v>2</v>
      </c>
      <c r="V486" s="3" t="str">
        <f t="shared" si="5"/>
        <v>wavy tan</v>
      </c>
      <c r="W486" s="3">
        <f t="shared" si="6"/>
        <v>4</v>
      </c>
      <c r="X486" s="3" t="str">
        <f t="shared" si="7"/>
        <v>dim tomato</v>
      </c>
      <c r="Y486" s="3">
        <f t="shared" si="8"/>
        <v>1</v>
      </c>
      <c r="Z486" s="3" t="str">
        <f t="shared" si="9"/>
        <v>posh plum</v>
      </c>
      <c r="AA486" s="13">
        <f t="shared" si="10"/>
        <v>745224695</v>
      </c>
      <c r="AB486" s="3">
        <f t="shared" si="11"/>
        <v>745224694</v>
      </c>
      <c r="AC486" s="3">
        <f t="shared" si="12"/>
        <v>2</v>
      </c>
      <c r="AD486" s="3">
        <f t="shared" si="13"/>
        <v>557022</v>
      </c>
      <c r="AE486" s="3">
        <f t="shared" si="14"/>
        <v>2</v>
      </c>
      <c r="AF486" s="3">
        <f t="shared" si="15"/>
        <v>19928</v>
      </c>
      <c r="AG486" s="3">
        <f t="shared" si="16"/>
        <v>4</v>
      </c>
      <c r="AH486" s="3">
        <f t="shared" si="17"/>
        <v>186016153</v>
      </c>
      <c r="AI486" s="3">
        <f t="shared" si="18"/>
        <v>1</v>
      </c>
      <c r="AJ486" s="3">
        <f t="shared" si="19"/>
        <v>6182</v>
      </c>
    </row>
    <row r="487">
      <c r="C487" s="6" t="s">
        <v>487</v>
      </c>
      <c r="D487" s="3">
        <f t="shared" si="1"/>
        <v>1</v>
      </c>
      <c r="E487" s="3" t="str">
        <f>IFERROR(__xludf.DUMMYFUNCTION("REGEXEXTRACT(C487,""[^ ]* [^ ]*"")"),"striped chartreuse")</f>
        <v>striped chartreuse</v>
      </c>
      <c r="F487" s="3" t="str">
        <f>IFERROR(__xludf.DUMMYFUNCTION("MID(REGEXEXTRACT(C487,""contain.*$""),9,300)"),"2 dotted orange bags, 3 bright lavender bags.")</f>
        <v>2 dotted orange bags, 3 bright lavender bags.</v>
      </c>
      <c r="G487" s="3" t="str">
        <f>IFERROR(__xludf.DUMMYFUNCTION("INDEX(SPLIT($F487,"",""),COLUMN()-6)"),"2 dotted orange bags")</f>
        <v>2 dotted orange bags</v>
      </c>
      <c r="H487" s="3" t="str">
        <f>IFERROR(__xludf.DUMMYFUNCTION("MID(INDEX(SPLIT($F487,"",""),COLUMN()-6),2,300)"),"3 bright lavender bags.")</f>
        <v>3 bright lavender bags.</v>
      </c>
      <c r="I487" s="3" t="str">
        <f>IFERROR(__xludf.DUMMYFUNCTION("MID(INDEX(SPLIT($F487,"",""),COLUMN()-6),2,300)"),"#REF!")</f>
        <v>#REF!</v>
      </c>
      <c r="J487" s="3" t="str">
        <f>IFERROR(__xludf.DUMMYFUNCTION("MID(INDEX(SPLIT($F487,"",""),COLUMN()-6),2,300)"),"#REF!")</f>
        <v>#REF!</v>
      </c>
      <c r="K487" s="3">
        <f>IFERROR(__xludf.DUMMYFUNCTION("INDEX(SPLIT(G487,"" ""),1)"),2.0)</f>
        <v>2</v>
      </c>
      <c r="L487" s="3" t="str">
        <f>IFERROR(__xludf.DUMMYFUNCTION("REGEXEXTRACT(G487,"" [^ ]* [^ ]* "")")," dotted orange ")</f>
        <v> dotted orange </v>
      </c>
      <c r="M487" s="3">
        <f>IFERROR(__xludf.DUMMYFUNCTION("INDEX(SPLIT(H487,"" ""),1)"),3.0)</f>
        <v>3</v>
      </c>
      <c r="N487" s="3" t="str">
        <f>IFERROR(__xludf.DUMMYFUNCTION("MID(REGEXEXTRACT(H487,"" [^ ]* [^ ]*""),2,300)"),"bright lavender")</f>
        <v>bright lavender</v>
      </c>
      <c r="O487" s="3" t="str">
        <f>IFERROR(__xludf.DUMMYFUNCTION("INDEX(SPLIT(I487,"" ""),1)"),"#REF!")</f>
        <v>#REF!</v>
      </c>
      <c r="P487" s="3" t="str">
        <f>IFERROR(__xludf.DUMMYFUNCTION("MID(REGEXEXTRACT(I487,"" [^ ]* [^ ]*""),2,300)"),"#REF!")</f>
        <v>#REF!</v>
      </c>
      <c r="Q487" s="3" t="str">
        <f>IFERROR(__xludf.DUMMYFUNCTION("INDEX(SPLIT(J487,"" ""),1)"),"#REF!")</f>
        <v>#REF!</v>
      </c>
      <c r="R487" s="3" t="str">
        <f>IFERROR(__xludf.DUMMYFUNCTION("MID(REGEXEXTRACT(J487,"" [^ ]* [^ ]*""),2,300)"),"#REF!")</f>
        <v>#REF!</v>
      </c>
      <c r="S487" s="3">
        <f t="shared" si="2"/>
        <v>2</v>
      </c>
      <c r="T487" s="3" t="str">
        <f t="shared" si="3"/>
        <v>dotted orange</v>
      </c>
      <c r="U487" s="3">
        <f t="shared" si="4"/>
        <v>3</v>
      </c>
      <c r="V487" s="3" t="str">
        <f t="shared" si="5"/>
        <v>bright lavender</v>
      </c>
      <c r="W487" s="3" t="str">
        <f t="shared" si="6"/>
        <v/>
      </c>
      <c r="X487" s="3" t="str">
        <f t="shared" si="7"/>
        <v/>
      </c>
      <c r="Y487" s="3" t="str">
        <f t="shared" si="8"/>
        <v/>
      </c>
      <c r="Z487" s="3" t="str">
        <f t="shared" si="9"/>
        <v/>
      </c>
      <c r="AA487" s="13">
        <f t="shared" si="10"/>
        <v>4053</v>
      </c>
      <c r="AB487" s="3">
        <f t="shared" si="11"/>
        <v>4052</v>
      </c>
      <c r="AC487" s="3">
        <f t="shared" si="12"/>
        <v>2</v>
      </c>
      <c r="AD487" s="3">
        <f t="shared" si="13"/>
        <v>1780</v>
      </c>
      <c r="AE487" s="3">
        <f t="shared" si="14"/>
        <v>3</v>
      </c>
      <c r="AF487" s="3">
        <f t="shared" si="15"/>
        <v>164</v>
      </c>
      <c r="AG487" s="3" t="str">
        <f t="shared" si="16"/>
        <v/>
      </c>
      <c r="AH487" s="3">
        <f t="shared" si="17"/>
        <v>0</v>
      </c>
      <c r="AI487" s="3" t="str">
        <f t="shared" si="18"/>
        <v/>
      </c>
      <c r="AJ487" s="3">
        <f t="shared" si="19"/>
        <v>0</v>
      </c>
    </row>
    <row r="488">
      <c r="C488" s="6" t="s">
        <v>488</v>
      </c>
      <c r="D488" s="3">
        <f t="shared" si="1"/>
        <v>1</v>
      </c>
      <c r="E488" s="3" t="str">
        <f>IFERROR(__xludf.DUMMYFUNCTION("REGEXEXTRACT(C488,""[^ ]* [^ ]*"")"),"dim indigo")</f>
        <v>dim indigo</v>
      </c>
      <c r="F488" s="3" t="str">
        <f>IFERROR(__xludf.DUMMYFUNCTION("MID(REGEXEXTRACT(C488,""contain.*$""),9,300)"),"4 shiny coral bags, 4 mirrored olive bags.")</f>
        <v>4 shiny coral bags, 4 mirrored olive bags.</v>
      </c>
      <c r="G488" s="3" t="str">
        <f>IFERROR(__xludf.DUMMYFUNCTION("INDEX(SPLIT($F488,"",""),COLUMN()-6)"),"4 shiny coral bags")</f>
        <v>4 shiny coral bags</v>
      </c>
      <c r="H488" s="3" t="str">
        <f>IFERROR(__xludf.DUMMYFUNCTION("MID(INDEX(SPLIT($F488,"",""),COLUMN()-6),2,300)"),"4 mirrored olive bags.")</f>
        <v>4 mirrored olive bags.</v>
      </c>
      <c r="I488" s="3" t="str">
        <f>IFERROR(__xludf.DUMMYFUNCTION("MID(INDEX(SPLIT($F488,"",""),COLUMN()-6),2,300)"),"#REF!")</f>
        <v>#REF!</v>
      </c>
      <c r="J488" s="3" t="str">
        <f>IFERROR(__xludf.DUMMYFUNCTION("MID(INDEX(SPLIT($F488,"",""),COLUMN()-6),2,300)"),"#REF!")</f>
        <v>#REF!</v>
      </c>
      <c r="K488" s="3">
        <f>IFERROR(__xludf.DUMMYFUNCTION("INDEX(SPLIT(G488,"" ""),1)"),4.0)</f>
        <v>4</v>
      </c>
      <c r="L488" s="3" t="str">
        <f>IFERROR(__xludf.DUMMYFUNCTION("REGEXEXTRACT(G488,"" [^ ]* [^ ]* "")")," shiny coral ")</f>
        <v> shiny coral </v>
      </c>
      <c r="M488" s="3">
        <f>IFERROR(__xludf.DUMMYFUNCTION("INDEX(SPLIT(H488,"" ""),1)"),4.0)</f>
        <v>4</v>
      </c>
      <c r="N488" s="3" t="str">
        <f>IFERROR(__xludf.DUMMYFUNCTION("MID(REGEXEXTRACT(H488,"" [^ ]* [^ ]*""),2,300)"),"mirrored olive")</f>
        <v>mirrored olive</v>
      </c>
      <c r="O488" s="3" t="str">
        <f>IFERROR(__xludf.DUMMYFUNCTION("INDEX(SPLIT(I488,"" ""),1)"),"#REF!")</f>
        <v>#REF!</v>
      </c>
      <c r="P488" s="3" t="str">
        <f>IFERROR(__xludf.DUMMYFUNCTION("MID(REGEXEXTRACT(I488,"" [^ ]* [^ ]*""),2,300)"),"#REF!")</f>
        <v>#REF!</v>
      </c>
      <c r="Q488" s="3" t="str">
        <f>IFERROR(__xludf.DUMMYFUNCTION("INDEX(SPLIT(J488,"" ""),1)"),"#REF!")</f>
        <v>#REF!</v>
      </c>
      <c r="R488" s="3" t="str">
        <f>IFERROR(__xludf.DUMMYFUNCTION("MID(REGEXEXTRACT(J488,"" [^ ]* [^ ]*""),2,300)"),"#REF!")</f>
        <v>#REF!</v>
      </c>
      <c r="S488" s="3">
        <f t="shared" si="2"/>
        <v>4</v>
      </c>
      <c r="T488" s="3" t="str">
        <f t="shared" si="3"/>
        <v>shiny coral</v>
      </c>
      <c r="U488" s="3">
        <f t="shared" si="4"/>
        <v>4</v>
      </c>
      <c r="V488" s="3" t="str">
        <f t="shared" si="5"/>
        <v>mirrored olive</v>
      </c>
      <c r="W488" s="3" t="str">
        <f t="shared" si="6"/>
        <v/>
      </c>
      <c r="X488" s="3" t="str">
        <f t="shared" si="7"/>
        <v/>
      </c>
      <c r="Y488" s="3" t="str">
        <f t="shared" si="8"/>
        <v/>
      </c>
      <c r="Z488" s="3" t="str">
        <f t="shared" si="9"/>
        <v/>
      </c>
      <c r="AA488" s="13">
        <f t="shared" si="10"/>
        <v>29637</v>
      </c>
      <c r="AB488" s="3">
        <f t="shared" si="11"/>
        <v>29636</v>
      </c>
      <c r="AC488" s="3">
        <f t="shared" si="12"/>
        <v>4</v>
      </c>
      <c r="AD488" s="3">
        <f t="shared" si="13"/>
        <v>1</v>
      </c>
      <c r="AE488" s="3">
        <f t="shared" si="14"/>
        <v>4</v>
      </c>
      <c r="AF488" s="3">
        <f t="shared" si="15"/>
        <v>7408</v>
      </c>
      <c r="AG488" s="3" t="str">
        <f t="shared" si="16"/>
        <v/>
      </c>
      <c r="AH488" s="3">
        <f t="shared" si="17"/>
        <v>0</v>
      </c>
      <c r="AI488" s="3" t="str">
        <f t="shared" si="18"/>
        <v/>
      </c>
      <c r="AJ488" s="3">
        <f t="shared" si="19"/>
        <v>0</v>
      </c>
    </row>
    <row r="489">
      <c r="C489" s="6" t="s">
        <v>489</v>
      </c>
      <c r="D489" s="3">
        <f t="shared" si="1"/>
        <v>2</v>
      </c>
      <c r="E489" s="3" t="str">
        <f>IFERROR(__xludf.DUMMYFUNCTION("REGEXEXTRACT(C489,""[^ ]* [^ ]*"")"),"dotted purple")</f>
        <v>dotted purple</v>
      </c>
      <c r="F489" s="3" t="str">
        <f>IFERROR(__xludf.DUMMYFUNCTION("MID(REGEXEXTRACT(C489,""contain.*$""),9,300)"),"4 mirrored white bags, 1 posh yellow bag, 5 drab maroon bags.")</f>
        <v>4 mirrored white bags, 1 posh yellow bag, 5 drab maroon bags.</v>
      </c>
      <c r="G489" s="3" t="str">
        <f>IFERROR(__xludf.DUMMYFUNCTION("INDEX(SPLIT($F489,"",""),COLUMN()-6)"),"4 mirrored white bags")</f>
        <v>4 mirrored white bags</v>
      </c>
      <c r="H489" s="3" t="str">
        <f>IFERROR(__xludf.DUMMYFUNCTION("MID(INDEX(SPLIT($F489,"",""),COLUMN()-6),2,300)"),"1 posh yellow bag")</f>
        <v>1 posh yellow bag</v>
      </c>
      <c r="I489" s="3" t="str">
        <f>IFERROR(__xludf.DUMMYFUNCTION("MID(INDEX(SPLIT($F489,"",""),COLUMN()-6),2,300)"),"5 drab maroon bags.")</f>
        <v>5 drab maroon bags.</v>
      </c>
      <c r="J489" s="3" t="str">
        <f>IFERROR(__xludf.DUMMYFUNCTION("MID(INDEX(SPLIT($F489,"",""),COLUMN()-6),2,300)"),"#REF!")</f>
        <v>#REF!</v>
      </c>
      <c r="K489" s="3">
        <f>IFERROR(__xludf.DUMMYFUNCTION("INDEX(SPLIT(G489,"" ""),1)"),4.0)</f>
        <v>4</v>
      </c>
      <c r="L489" s="3" t="str">
        <f>IFERROR(__xludf.DUMMYFUNCTION("REGEXEXTRACT(G489,"" [^ ]* [^ ]* "")")," mirrored white ")</f>
        <v> mirrored white </v>
      </c>
      <c r="M489" s="3">
        <f>IFERROR(__xludf.DUMMYFUNCTION("INDEX(SPLIT(H489,"" ""),1)"),1.0)</f>
        <v>1</v>
      </c>
      <c r="N489" s="3" t="str">
        <f>IFERROR(__xludf.DUMMYFUNCTION("MID(REGEXEXTRACT(H489,"" [^ ]* [^ ]*""),2,300)"),"posh yellow")</f>
        <v>posh yellow</v>
      </c>
      <c r="O489" s="3">
        <f>IFERROR(__xludf.DUMMYFUNCTION("INDEX(SPLIT(I489,"" ""),1)"),5.0)</f>
        <v>5</v>
      </c>
      <c r="P489" s="3" t="str">
        <f>IFERROR(__xludf.DUMMYFUNCTION("MID(REGEXEXTRACT(I489,"" [^ ]* [^ ]*""),2,300)"),"drab maroon")</f>
        <v>drab maroon</v>
      </c>
      <c r="Q489" s="3" t="str">
        <f>IFERROR(__xludf.DUMMYFUNCTION("INDEX(SPLIT(J489,"" ""),1)"),"#REF!")</f>
        <v>#REF!</v>
      </c>
      <c r="R489" s="3" t="str">
        <f>IFERROR(__xludf.DUMMYFUNCTION("MID(REGEXEXTRACT(J489,"" [^ ]* [^ ]*""),2,300)"),"#REF!")</f>
        <v>#REF!</v>
      </c>
      <c r="S489" s="3">
        <f t="shared" si="2"/>
        <v>4</v>
      </c>
      <c r="T489" s="3" t="str">
        <f t="shared" si="3"/>
        <v>mirrored white</v>
      </c>
      <c r="U489" s="3">
        <f t="shared" si="4"/>
        <v>1</v>
      </c>
      <c r="V489" s="3" t="str">
        <f t="shared" si="5"/>
        <v>posh yellow</v>
      </c>
      <c r="W489" s="3">
        <f t="shared" si="6"/>
        <v>5</v>
      </c>
      <c r="X489" s="3" t="str">
        <f t="shared" si="7"/>
        <v>drab maroon</v>
      </c>
      <c r="Y489" s="3" t="str">
        <f t="shared" si="8"/>
        <v/>
      </c>
      <c r="Z489" s="3" t="str">
        <f t="shared" si="9"/>
        <v/>
      </c>
      <c r="AA489" s="13">
        <f t="shared" si="10"/>
        <v>19266</v>
      </c>
      <c r="AB489" s="3">
        <f t="shared" si="11"/>
        <v>19265</v>
      </c>
      <c r="AC489" s="3">
        <f t="shared" si="12"/>
        <v>4</v>
      </c>
      <c r="AD489" s="3">
        <f t="shared" si="13"/>
        <v>319</v>
      </c>
      <c r="AE489" s="3">
        <f t="shared" si="14"/>
        <v>1</v>
      </c>
      <c r="AF489" s="3">
        <f t="shared" si="15"/>
        <v>4</v>
      </c>
      <c r="AG489" s="3">
        <f t="shared" si="16"/>
        <v>5</v>
      </c>
      <c r="AH489" s="3">
        <f t="shared" si="17"/>
        <v>3597</v>
      </c>
      <c r="AI489" s="3" t="str">
        <f t="shared" si="18"/>
        <v/>
      </c>
      <c r="AJ489" s="3">
        <f t="shared" si="19"/>
        <v>0</v>
      </c>
    </row>
    <row r="490">
      <c r="C490" s="6" t="s">
        <v>490</v>
      </c>
      <c r="D490" s="3">
        <f t="shared" si="1"/>
        <v>1</v>
      </c>
      <c r="E490" s="3" t="str">
        <f>IFERROR(__xludf.DUMMYFUNCTION("REGEXEXTRACT(C490,""[^ ]* [^ ]*"")"),"muted chartreuse")</f>
        <v>muted chartreuse</v>
      </c>
      <c r="F490" s="3" t="str">
        <f>IFERROR(__xludf.DUMMYFUNCTION("MID(REGEXEXTRACT(C490,""contain.*$""),9,300)"),"5 bright silver bags, 2 bright brown bags.")</f>
        <v>5 bright silver bags, 2 bright brown bags.</v>
      </c>
      <c r="G490" s="3" t="str">
        <f>IFERROR(__xludf.DUMMYFUNCTION("INDEX(SPLIT($F490,"",""),COLUMN()-6)"),"5 bright silver bags")</f>
        <v>5 bright silver bags</v>
      </c>
      <c r="H490" s="3" t="str">
        <f>IFERROR(__xludf.DUMMYFUNCTION("MID(INDEX(SPLIT($F490,"",""),COLUMN()-6),2,300)"),"2 bright brown bags.")</f>
        <v>2 bright brown bags.</v>
      </c>
      <c r="I490" s="3" t="str">
        <f>IFERROR(__xludf.DUMMYFUNCTION("MID(INDEX(SPLIT($F490,"",""),COLUMN()-6),2,300)"),"#REF!")</f>
        <v>#REF!</v>
      </c>
      <c r="J490" s="3" t="str">
        <f>IFERROR(__xludf.DUMMYFUNCTION("MID(INDEX(SPLIT($F490,"",""),COLUMN()-6),2,300)"),"#REF!")</f>
        <v>#REF!</v>
      </c>
      <c r="K490" s="3">
        <f>IFERROR(__xludf.DUMMYFUNCTION("INDEX(SPLIT(G490,"" ""),1)"),5.0)</f>
        <v>5</v>
      </c>
      <c r="L490" s="3" t="str">
        <f>IFERROR(__xludf.DUMMYFUNCTION("REGEXEXTRACT(G490,"" [^ ]* [^ ]* "")")," bright silver ")</f>
        <v> bright silver </v>
      </c>
      <c r="M490" s="3">
        <f>IFERROR(__xludf.DUMMYFUNCTION("INDEX(SPLIT(H490,"" ""),1)"),2.0)</f>
        <v>2</v>
      </c>
      <c r="N490" s="3" t="str">
        <f>IFERROR(__xludf.DUMMYFUNCTION("MID(REGEXEXTRACT(H490,"" [^ ]* [^ ]*""),2,300)"),"bright brown")</f>
        <v>bright brown</v>
      </c>
      <c r="O490" s="3" t="str">
        <f>IFERROR(__xludf.DUMMYFUNCTION("INDEX(SPLIT(I490,"" ""),1)"),"#REF!")</f>
        <v>#REF!</v>
      </c>
      <c r="P490" s="3" t="str">
        <f>IFERROR(__xludf.DUMMYFUNCTION("MID(REGEXEXTRACT(I490,"" [^ ]* [^ ]*""),2,300)"),"#REF!")</f>
        <v>#REF!</v>
      </c>
      <c r="Q490" s="3" t="str">
        <f>IFERROR(__xludf.DUMMYFUNCTION("INDEX(SPLIT(J490,"" ""),1)"),"#REF!")</f>
        <v>#REF!</v>
      </c>
      <c r="R490" s="3" t="str">
        <f>IFERROR(__xludf.DUMMYFUNCTION("MID(REGEXEXTRACT(J490,"" [^ ]* [^ ]*""),2,300)"),"#REF!")</f>
        <v>#REF!</v>
      </c>
      <c r="S490" s="3">
        <f t="shared" si="2"/>
        <v>5</v>
      </c>
      <c r="T490" s="3" t="str">
        <f t="shared" si="3"/>
        <v>bright silver</v>
      </c>
      <c r="U490" s="3">
        <f t="shared" si="4"/>
        <v>2</v>
      </c>
      <c r="V490" s="3" t="str">
        <f t="shared" si="5"/>
        <v>bright brown</v>
      </c>
      <c r="W490" s="3" t="str">
        <f t="shared" si="6"/>
        <v/>
      </c>
      <c r="X490" s="3" t="str">
        <f t="shared" si="7"/>
        <v/>
      </c>
      <c r="Y490" s="3" t="str">
        <f t="shared" si="8"/>
        <v/>
      </c>
      <c r="Z490" s="3" t="str">
        <f t="shared" si="9"/>
        <v/>
      </c>
      <c r="AA490" s="13">
        <f t="shared" si="10"/>
        <v>208</v>
      </c>
      <c r="AB490" s="3">
        <f t="shared" si="11"/>
        <v>207</v>
      </c>
      <c r="AC490" s="3">
        <f t="shared" si="12"/>
        <v>5</v>
      </c>
      <c r="AD490" s="3">
        <f t="shared" si="13"/>
        <v>41</v>
      </c>
      <c r="AE490" s="3">
        <f t="shared" si="14"/>
        <v>2</v>
      </c>
      <c r="AF490" s="3">
        <f t="shared" si="15"/>
        <v>1</v>
      </c>
      <c r="AG490" s="3" t="str">
        <f t="shared" si="16"/>
        <v/>
      </c>
      <c r="AH490" s="3">
        <f t="shared" si="17"/>
        <v>0</v>
      </c>
      <c r="AI490" s="3" t="str">
        <f t="shared" si="18"/>
        <v/>
      </c>
      <c r="AJ490" s="3">
        <f t="shared" si="19"/>
        <v>0</v>
      </c>
    </row>
    <row r="491">
      <c r="C491" s="6" t="s">
        <v>491</v>
      </c>
      <c r="D491" s="3">
        <f t="shared" si="1"/>
        <v>3</v>
      </c>
      <c r="E491" s="3" t="str">
        <f>IFERROR(__xludf.DUMMYFUNCTION("REGEXEXTRACT(C491,""[^ ]* [^ ]*"")"),"shiny purple")</f>
        <v>shiny purple</v>
      </c>
      <c r="F491" s="3" t="str">
        <f>IFERROR(__xludf.DUMMYFUNCTION("MID(REGEXEXTRACT(C491,""contain.*$""),9,300)"),"3 dim maroon bags, 2 mirrored lime bags, 2 light lavender bags, 3 dotted salmon bags.")</f>
        <v>3 dim maroon bags, 2 mirrored lime bags, 2 light lavender bags, 3 dotted salmon bags.</v>
      </c>
      <c r="G491" s="3" t="str">
        <f>IFERROR(__xludf.DUMMYFUNCTION("INDEX(SPLIT($F491,"",""),COLUMN()-6)"),"3 dim maroon bags")</f>
        <v>3 dim maroon bags</v>
      </c>
      <c r="H491" s="3" t="str">
        <f>IFERROR(__xludf.DUMMYFUNCTION("MID(INDEX(SPLIT($F491,"",""),COLUMN()-6),2,300)"),"2 mirrored lime bags")</f>
        <v>2 mirrored lime bags</v>
      </c>
      <c r="I491" s="3" t="str">
        <f>IFERROR(__xludf.DUMMYFUNCTION("MID(INDEX(SPLIT($F491,"",""),COLUMN()-6),2,300)"),"2 light lavender bags")</f>
        <v>2 light lavender bags</v>
      </c>
      <c r="J491" s="3" t="str">
        <f>IFERROR(__xludf.DUMMYFUNCTION("MID(INDEX(SPLIT($F491,"",""),COLUMN()-6),2,300)"),"3 dotted salmon bags.")</f>
        <v>3 dotted salmon bags.</v>
      </c>
      <c r="K491" s="3">
        <f>IFERROR(__xludf.DUMMYFUNCTION("INDEX(SPLIT(G491,"" ""),1)"),3.0)</f>
        <v>3</v>
      </c>
      <c r="L491" s="3" t="str">
        <f>IFERROR(__xludf.DUMMYFUNCTION("REGEXEXTRACT(G491,"" [^ ]* [^ ]* "")")," dim maroon ")</f>
        <v> dim maroon </v>
      </c>
      <c r="M491" s="3">
        <f>IFERROR(__xludf.DUMMYFUNCTION("INDEX(SPLIT(H491,"" ""),1)"),2.0)</f>
        <v>2</v>
      </c>
      <c r="N491" s="3" t="str">
        <f>IFERROR(__xludf.DUMMYFUNCTION("MID(REGEXEXTRACT(H491,"" [^ ]* [^ ]*""),2,300)"),"mirrored lime")</f>
        <v>mirrored lime</v>
      </c>
      <c r="O491" s="3">
        <f>IFERROR(__xludf.DUMMYFUNCTION("INDEX(SPLIT(I491,"" ""),1)"),2.0)</f>
        <v>2</v>
      </c>
      <c r="P491" s="3" t="str">
        <f>IFERROR(__xludf.DUMMYFUNCTION("MID(REGEXEXTRACT(I491,"" [^ ]* [^ ]*""),2,300)"),"light lavender")</f>
        <v>light lavender</v>
      </c>
      <c r="Q491" s="3">
        <f>IFERROR(__xludf.DUMMYFUNCTION("INDEX(SPLIT(J491,"" ""),1)"),3.0)</f>
        <v>3</v>
      </c>
      <c r="R491" s="3" t="str">
        <f>IFERROR(__xludf.DUMMYFUNCTION("MID(REGEXEXTRACT(J491,"" [^ ]* [^ ]*""),2,300)"),"dotted salmon")</f>
        <v>dotted salmon</v>
      </c>
      <c r="S491" s="3">
        <f t="shared" si="2"/>
        <v>3</v>
      </c>
      <c r="T491" s="3" t="str">
        <f t="shared" si="3"/>
        <v>dim maroon</v>
      </c>
      <c r="U491" s="3">
        <f t="shared" si="4"/>
        <v>2</v>
      </c>
      <c r="V491" s="3" t="str">
        <f t="shared" si="5"/>
        <v>mirrored lime</v>
      </c>
      <c r="W491" s="3">
        <f t="shared" si="6"/>
        <v>2</v>
      </c>
      <c r="X491" s="3" t="str">
        <f t="shared" si="7"/>
        <v>light lavender</v>
      </c>
      <c r="Y491" s="3">
        <f t="shared" si="8"/>
        <v>3</v>
      </c>
      <c r="Z491" s="3" t="str">
        <f t="shared" si="9"/>
        <v>dotted salmon</v>
      </c>
      <c r="AA491" s="13">
        <f t="shared" si="10"/>
        <v>8268152</v>
      </c>
      <c r="AB491" s="3">
        <f t="shared" si="11"/>
        <v>8268151</v>
      </c>
      <c r="AC491" s="3">
        <f t="shared" si="12"/>
        <v>3</v>
      </c>
      <c r="AD491" s="3">
        <f t="shared" si="13"/>
        <v>12033</v>
      </c>
      <c r="AE491" s="3">
        <f t="shared" si="14"/>
        <v>2</v>
      </c>
      <c r="AF491" s="3">
        <f t="shared" si="15"/>
        <v>97231</v>
      </c>
      <c r="AG491" s="3">
        <f t="shared" si="16"/>
        <v>2</v>
      </c>
      <c r="AH491" s="3">
        <f t="shared" si="17"/>
        <v>3872851</v>
      </c>
      <c r="AI491" s="3">
        <f t="shared" si="18"/>
        <v>3</v>
      </c>
      <c r="AJ491" s="3">
        <f t="shared" si="19"/>
        <v>97296</v>
      </c>
    </row>
    <row r="492">
      <c r="C492" s="6" t="s">
        <v>492</v>
      </c>
      <c r="D492" s="3">
        <f t="shared" si="1"/>
        <v>1</v>
      </c>
      <c r="E492" s="3" t="str">
        <f>IFERROR(__xludf.DUMMYFUNCTION("REGEXEXTRACT(C492,""[^ ]* [^ ]*"")"),"faded white")</f>
        <v>faded white</v>
      </c>
      <c r="F492" s="3" t="str">
        <f>IFERROR(__xludf.DUMMYFUNCTION("MID(REGEXEXTRACT(C492,""contain.*$""),9,300)"),"3 vibrant white bags, 5 muted gray bags.")</f>
        <v>3 vibrant white bags, 5 muted gray bags.</v>
      </c>
      <c r="G492" s="3" t="str">
        <f>IFERROR(__xludf.DUMMYFUNCTION("INDEX(SPLIT($F492,"",""),COLUMN()-6)"),"3 vibrant white bags")</f>
        <v>3 vibrant white bags</v>
      </c>
      <c r="H492" s="3" t="str">
        <f>IFERROR(__xludf.DUMMYFUNCTION("MID(INDEX(SPLIT($F492,"",""),COLUMN()-6),2,300)"),"5 muted gray bags.")</f>
        <v>5 muted gray bags.</v>
      </c>
      <c r="I492" s="3" t="str">
        <f>IFERROR(__xludf.DUMMYFUNCTION("MID(INDEX(SPLIT($F492,"",""),COLUMN()-6),2,300)"),"#REF!")</f>
        <v>#REF!</v>
      </c>
      <c r="J492" s="3" t="str">
        <f>IFERROR(__xludf.DUMMYFUNCTION("MID(INDEX(SPLIT($F492,"",""),COLUMN()-6),2,300)"),"#REF!")</f>
        <v>#REF!</v>
      </c>
      <c r="K492" s="3">
        <f>IFERROR(__xludf.DUMMYFUNCTION("INDEX(SPLIT(G492,"" ""),1)"),3.0)</f>
        <v>3</v>
      </c>
      <c r="L492" s="3" t="str">
        <f>IFERROR(__xludf.DUMMYFUNCTION("REGEXEXTRACT(G492,"" [^ ]* [^ ]* "")")," vibrant white ")</f>
        <v> vibrant white </v>
      </c>
      <c r="M492" s="3">
        <f>IFERROR(__xludf.DUMMYFUNCTION("INDEX(SPLIT(H492,"" ""),1)"),5.0)</f>
        <v>5</v>
      </c>
      <c r="N492" s="3" t="str">
        <f>IFERROR(__xludf.DUMMYFUNCTION("MID(REGEXEXTRACT(H492,"" [^ ]* [^ ]*""),2,300)"),"muted gray")</f>
        <v>muted gray</v>
      </c>
      <c r="O492" s="3" t="str">
        <f>IFERROR(__xludf.DUMMYFUNCTION("INDEX(SPLIT(I492,"" ""),1)"),"#REF!")</f>
        <v>#REF!</v>
      </c>
      <c r="P492" s="3" t="str">
        <f>IFERROR(__xludf.DUMMYFUNCTION("MID(REGEXEXTRACT(I492,"" [^ ]* [^ ]*""),2,300)"),"#REF!")</f>
        <v>#REF!</v>
      </c>
      <c r="Q492" s="3" t="str">
        <f>IFERROR(__xludf.DUMMYFUNCTION("INDEX(SPLIT(J492,"" ""),1)"),"#REF!")</f>
        <v>#REF!</v>
      </c>
      <c r="R492" s="3" t="str">
        <f>IFERROR(__xludf.DUMMYFUNCTION("MID(REGEXEXTRACT(J492,"" [^ ]* [^ ]*""),2,300)"),"#REF!")</f>
        <v>#REF!</v>
      </c>
      <c r="S492" s="3">
        <f t="shared" si="2"/>
        <v>3</v>
      </c>
      <c r="T492" s="3" t="str">
        <f t="shared" si="3"/>
        <v>vibrant white</v>
      </c>
      <c r="U492" s="3">
        <f t="shared" si="4"/>
        <v>5</v>
      </c>
      <c r="V492" s="3" t="str">
        <f t="shared" si="5"/>
        <v>muted gray</v>
      </c>
      <c r="W492" s="3" t="str">
        <f t="shared" si="6"/>
        <v/>
      </c>
      <c r="X492" s="3" t="str">
        <f t="shared" si="7"/>
        <v/>
      </c>
      <c r="Y492" s="3" t="str">
        <f t="shared" si="8"/>
        <v/>
      </c>
      <c r="Z492" s="3" t="str">
        <f t="shared" si="9"/>
        <v/>
      </c>
      <c r="AA492" s="13">
        <f t="shared" si="10"/>
        <v>47322193</v>
      </c>
      <c r="AB492" s="3">
        <f t="shared" si="11"/>
        <v>47322192</v>
      </c>
      <c r="AC492" s="3">
        <f t="shared" si="12"/>
        <v>3</v>
      </c>
      <c r="AD492" s="3">
        <f t="shared" si="13"/>
        <v>1249859</v>
      </c>
      <c r="AE492" s="3">
        <f t="shared" si="14"/>
        <v>5</v>
      </c>
      <c r="AF492" s="3">
        <f t="shared" si="15"/>
        <v>8714523</v>
      </c>
      <c r="AG492" s="3" t="str">
        <f t="shared" si="16"/>
        <v/>
      </c>
      <c r="AH492" s="3">
        <f t="shared" si="17"/>
        <v>0</v>
      </c>
      <c r="AI492" s="3" t="str">
        <f t="shared" si="18"/>
        <v/>
      </c>
      <c r="AJ492" s="3">
        <f t="shared" si="19"/>
        <v>0</v>
      </c>
    </row>
    <row r="493">
      <c r="C493" s="6" t="s">
        <v>493</v>
      </c>
      <c r="D493" s="3">
        <f t="shared" si="1"/>
        <v>0</v>
      </c>
      <c r="E493" s="3" t="str">
        <f>IFERROR(__xludf.DUMMYFUNCTION("REGEXEXTRACT(C493,""[^ ]* [^ ]*"")"),"muted red")</f>
        <v>muted red</v>
      </c>
      <c r="F493" s="3" t="str">
        <f>IFERROR(__xludf.DUMMYFUNCTION("MID(REGEXEXTRACT(C493,""contain.*$""),9,300)"),"3 posh coral bags.")</f>
        <v>3 posh coral bags.</v>
      </c>
      <c r="G493" s="3" t="str">
        <f>IFERROR(__xludf.DUMMYFUNCTION("INDEX(SPLIT($F493,"",""),COLUMN()-6)"),"3 posh coral bags.")</f>
        <v>3 posh coral bags.</v>
      </c>
      <c r="H493" s="3" t="str">
        <f>IFERROR(__xludf.DUMMYFUNCTION("MID(INDEX(SPLIT($F493,"",""),COLUMN()-6),2,300)"),"#REF!")</f>
        <v>#REF!</v>
      </c>
      <c r="I493" s="3" t="str">
        <f>IFERROR(__xludf.DUMMYFUNCTION("MID(INDEX(SPLIT($F493,"",""),COLUMN()-6),2,300)"),"#REF!")</f>
        <v>#REF!</v>
      </c>
      <c r="J493" s="3" t="str">
        <f>IFERROR(__xludf.DUMMYFUNCTION("MID(INDEX(SPLIT($F493,"",""),COLUMN()-6),2,300)"),"#REF!")</f>
        <v>#REF!</v>
      </c>
      <c r="K493" s="3">
        <f>IFERROR(__xludf.DUMMYFUNCTION("INDEX(SPLIT(G493,"" ""),1)"),3.0)</f>
        <v>3</v>
      </c>
      <c r="L493" s="3" t="str">
        <f>IFERROR(__xludf.DUMMYFUNCTION("REGEXEXTRACT(G493,"" [^ ]* [^ ]* "")")," posh coral ")</f>
        <v> posh coral </v>
      </c>
      <c r="M493" s="3" t="str">
        <f>IFERROR(__xludf.DUMMYFUNCTION("INDEX(SPLIT(H493,"" ""),1)"),"#REF!")</f>
        <v>#REF!</v>
      </c>
      <c r="N493" s="3" t="str">
        <f>IFERROR(__xludf.DUMMYFUNCTION("MID(REGEXEXTRACT(H493,"" [^ ]* [^ ]*""),2,300)"),"#REF!")</f>
        <v>#REF!</v>
      </c>
      <c r="O493" s="3" t="str">
        <f>IFERROR(__xludf.DUMMYFUNCTION("INDEX(SPLIT(I493,"" ""),1)"),"#REF!")</f>
        <v>#REF!</v>
      </c>
      <c r="P493" s="3" t="str">
        <f>IFERROR(__xludf.DUMMYFUNCTION("MID(REGEXEXTRACT(I493,"" [^ ]* [^ ]*""),2,300)"),"#REF!")</f>
        <v>#REF!</v>
      </c>
      <c r="Q493" s="3" t="str">
        <f>IFERROR(__xludf.DUMMYFUNCTION("INDEX(SPLIT(J493,"" ""),1)"),"#REF!")</f>
        <v>#REF!</v>
      </c>
      <c r="R493" s="3" t="str">
        <f>IFERROR(__xludf.DUMMYFUNCTION("MID(REGEXEXTRACT(J493,"" [^ ]* [^ ]*""),2,300)"),"#REF!")</f>
        <v>#REF!</v>
      </c>
      <c r="S493" s="3">
        <f t="shared" si="2"/>
        <v>3</v>
      </c>
      <c r="T493" s="3" t="str">
        <f t="shared" si="3"/>
        <v>posh coral</v>
      </c>
      <c r="U493" s="3" t="str">
        <f t="shared" si="4"/>
        <v/>
      </c>
      <c r="V493" s="3" t="str">
        <f t="shared" si="5"/>
        <v/>
      </c>
      <c r="W493" s="3" t="str">
        <f t="shared" si="6"/>
        <v/>
      </c>
      <c r="X493" s="3" t="str">
        <f t="shared" si="7"/>
        <v/>
      </c>
      <c r="Y493" s="3" t="str">
        <f t="shared" si="8"/>
        <v/>
      </c>
      <c r="Z493" s="3" t="str">
        <f t="shared" si="9"/>
        <v/>
      </c>
      <c r="AA493" s="13">
        <f t="shared" si="10"/>
        <v>4</v>
      </c>
      <c r="AB493" s="3">
        <f t="shared" si="11"/>
        <v>3</v>
      </c>
      <c r="AC493" s="3">
        <f t="shared" si="12"/>
        <v>3</v>
      </c>
      <c r="AD493" s="3">
        <f t="shared" si="13"/>
        <v>1</v>
      </c>
      <c r="AE493" s="3" t="str">
        <f t="shared" si="14"/>
        <v/>
      </c>
      <c r="AF493" s="3">
        <f t="shared" si="15"/>
        <v>0</v>
      </c>
      <c r="AG493" s="3" t="str">
        <f t="shared" si="16"/>
        <v/>
      </c>
      <c r="AH493" s="3">
        <f t="shared" si="17"/>
        <v>0</v>
      </c>
      <c r="AI493" s="3" t="str">
        <f t="shared" si="18"/>
        <v/>
      </c>
      <c r="AJ493" s="3">
        <f t="shared" si="19"/>
        <v>0</v>
      </c>
    </row>
    <row r="494">
      <c r="C494" s="6" t="s">
        <v>494</v>
      </c>
      <c r="D494" s="3">
        <f t="shared" si="1"/>
        <v>2</v>
      </c>
      <c r="E494" s="3" t="str">
        <f>IFERROR(__xludf.DUMMYFUNCTION("REGEXEXTRACT(C494,""[^ ]* [^ ]*"")"),"mirrored tan")</f>
        <v>mirrored tan</v>
      </c>
      <c r="F494" s="3" t="str">
        <f>IFERROR(__xludf.DUMMYFUNCTION("MID(REGEXEXTRACT(C494,""contain.*$""),9,300)"),"1 dotted gold bag, 2 dark coral bags, 3 light purple bags.")</f>
        <v>1 dotted gold bag, 2 dark coral bags, 3 light purple bags.</v>
      </c>
      <c r="G494" s="3" t="str">
        <f>IFERROR(__xludf.DUMMYFUNCTION("INDEX(SPLIT($F494,"",""),COLUMN()-6)"),"1 dotted gold bag")</f>
        <v>1 dotted gold bag</v>
      </c>
      <c r="H494" s="3" t="str">
        <f>IFERROR(__xludf.DUMMYFUNCTION("MID(INDEX(SPLIT($F494,"",""),COLUMN()-6),2,300)"),"2 dark coral bags")</f>
        <v>2 dark coral bags</v>
      </c>
      <c r="I494" s="3" t="str">
        <f>IFERROR(__xludf.DUMMYFUNCTION("MID(INDEX(SPLIT($F494,"",""),COLUMN()-6),2,300)"),"3 light purple bags.")</f>
        <v>3 light purple bags.</v>
      </c>
      <c r="J494" s="3" t="str">
        <f>IFERROR(__xludf.DUMMYFUNCTION("MID(INDEX(SPLIT($F494,"",""),COLUMN()-6),2,300)"),"#REF!")</f>
        <v>#REF!</v>
      </c>
      <c r="K494" s="3">
        <f>IFERROR(__xludf.DUMMYFUNCTION("INDEX(SPLIT(G494,"" ""),1)"),1.0)</f>
        <v>1</v>
      </c>
      <c r="L494" s="3" t="str">
        <f>IFERROR(__xludf.DUMMYFUNCTION("REGEXEXTRACT(G494,"" [^ ]* [^ ]* "")")," dotted gold ")</f>
        <v> dotted gold </v>
      </c>
      <c r="M494" s="3">
        <f>IFERROR(__xludf.DUMMYFUNCTION("INDEX(SPLIT(H494,"" ""),1)"),2.0)</f>
        <v>2</v>
      </c>
      <c r="N494" s="3" t="str">
        <f>IFERROR(__xludf.DUMMYFUNCTION("MID(REGEXEXTRACT(H494,"" [^ ]* [^ ]*""),2,300)"),"dark coral")</f>
        <v>dark coral</v>
      </c>
      <c r="O494" s="3">
        <f>IFERROR(__xludf.DUMMYFUNCTION("INDEX(SPLIT(I494,"" ""),1)"),3.0)</f>
        <v>3</v>
      </c>
      <c r="P494" s="3" t="str">
        <f>IFERROR(__xludf.DUMMYFUNCTION("MID(REGEXEXTRACT(I494,"" [^ ]* [^ ]*""),2,300)"),"light purple")</f>
        <v>light purple</v>
      </c>
      <c r="Q494" s="3" t="str">
        <f>IFERROR(__xludf.DUMMYFUNCTION("INDEX(SPLIT(J494,"" ""),1)"),"#REF!")</f>
        <v>#REF!</v>
      </c>
      <c r="R494" s="3" t="str">
        <f>IFERROR(__xludf.DUMMYFUNCTION("MID(REGEXEXTRACT(J494,"" [^ ]* [^ ]*""),2,300)"),"#REF!")</f>
        <v>#REF!</v>
      </c>
      <c r="S494" s="3">
        <f t="shared" si="2"/>
        <v>1</v>
      </c>
      <c r="T494" s="3" t="str">
        <f t="shared" si="3"/>
        <v>dotted gold</v>
      </c>
      <c r="U494" s="3">
        <f t="shared" si="4"/>
        <v>2</v>
      </c>
      <c r="V494" s="3" t="str">
        <f t="shared" si="5"/>
        <v>dark coral</v>
      </c>
      <c r="W494" s="3">
        <f t="shared" si="6"/>
        <v>3</v>
      </c>
      <c r="X494" s="3" t="str">
        <f t="shared" si="7"/>
        <v>light purple</v>
      </c>
      <c r="Y494" s="3" t="str">
        <f t="shared" si="8"/>
        <v/>
      </c>
      <c r="Z494" s="3" t="str">
        <f t="shared" si="9"/>
        <v/>
      </c>
      <c r="AA494" s="13">
        <f t="shared" si="10"/>
        <v>7736349</v>
      </c>
      <c r="AB494" s="3">
        <f t="shared" si="11"/>
        <v>7736348</v>
      </c>
      <c r="AC494" s="3">
        <f t="shared" si="12"/>
        <v>1</v>
      </c>
      <c r="AD494" s="3">
        <f t="shared" si="13"/>
        <v>10</v>
      </c>
      <c r="AE494" s="3">
        <f t="shared" si="14"/>
        <v>2</v>
      </c>
      <c r="AF494" s="3">
        <f t="shared" si="15"/>
        <v>3753521</v>
      </c>
      <c r="AG494" s="3">
        <f t="shared" si="16"/>
        <v>3</v>
      </c>
      <c r="AH494" s="3">
        <f t="shared" si="17"/>
        <v>76432</v>
      </c>
      <c r="AI494" s="3" t="str">
        <f t="shared" si="18"/>
        <v/>
      </c>
      <c r="AJ494" s="3">
        <f t="shared" si="19"/>
        <v>0</v>
      </c>
    </row>
    <row r="495">
      <c r="C495" s="6" t="s">
        <v>495</v>
      </c>
      <c r="D495" s="3">
        <f t="shared" si="1"/>
        <v>1</v>
      </c>
      <c r="E495" s="3" t="str">
        <f>IFERROR(__xludf.DUMMYFUNCTION("REGEXEXTRACT(C495,""[^ ]* [^ ]*"")"),"dim blue")</f>
        <v>dim blue</v>
      </c>
      <c r="F495" s="3" t="str">
        <f>IFERROR(__xludf.DUMMYFUNCTION("MID(REGEXEXTRACT(C495,""contain.*$""),9,300)"),"3 dull blue bags, 4 posh plum bags.")</f>
        <v>3 dull blue bags, 4 posh plum bags.</v>
      </c>
      <c r="G495" s="3" t="str">
        <f>IFERROR(__xludf.DUMMYFUNCTION("INDEX(SPLIT($F495,"",""),COLUMN()-6)"),"3 dull blue bags")</f>
        <v>3 dull blue bags</v>
      </c>
      <c r="H495" s="3" t="str">
        <f>IFERROR(__xludf.DUMMYFUNCTION("MID(INDEX(SPLIT($F495,"",""),COLUMN()-6),2,300)"),"4 posh plum bags.")</f>
        <v>4 posh plum bags.</v>
      </c>
      <c r="I495" s="3" t="str">
        <f>IFERROR(__xludf.DUMMYFUNCTION("MID(INDEX(SPLIT($F495,"",""),COLUMN()-6),2,300)"),"#REF!")</f>
        <v>#REF!</v>
      </c>
      <c r="J495" s="3" t="str">
        <f>IFERROR(__xludf.DUMMYFUNCTION("MID(INDEX(SPLIT($F495,"",""),COLUMN()-6),2,300)"),"#REF!")</f>
        <v>#REF!</v>
      </c>
      <c r="K495" s="3">
        <f>IFERROR(__xludf.DUMMYFUNCTION("INDEX(SPLIT(G495,"" ""),1)"),3.0)</f>
        <v>3</v>
      </c>
      <c r="L495" s="3" t="str">
        <f>IFERROR(__xludf.DUMMYFUNCTION("REGEXEXTRACT(G495,"" [^ ]* [^ ]* "")")," dull blue ")</f>
        <v> dull blue </v>
      </c>
      <c r="M495" s="3">
        <f>IFERROR(__xludf.DUMMYFUNCTION("INDEX(SPLIT(H495,"" ""),1)"),4.0)</f>
        <v>4</v>
      </c>
      <c r="N495" s="3" t="str">
        <f>IFERROR(__xludf.DUMMYFUNCTION("MID(REGEXEXTRACT(H495,"" [^ ]* [^ ]*""),2,300)"),"posh plum")</f>
        <v>posh plum</v>
      </c>
      <c r="O495" s="3" t="str">
        <f>IFERROR(__xludf.DUMMYFUNCTION("INDEX(SPLIT(I495,"" ""),1)"),"#REF!")</f>
        <v>#REF!</v>
      </c>
      <c r="P495" s="3" t="str">
        <f>IFERROR(__xludf.DUMMYFUNCTION("MID(REGEXEXTRACT(I495,"" [^ ]* [^ ]*""),2,300)"),"#REF!")</f>
        <v>#REF!</v>
      </c>
      <c r="Q495" s="3" t="str">
        <f>IFERROR(__xludf.DUMMYFUNCTION("INDEX(SPLIT(J495,"" ""),1)"),"#REF!")</f>
        <v>#REF!</v>
      </c>
      <c r="R495" s="3" t="str">
        <f>IFERROR(__xludf.DUMMYFUNCTION("MID(REGEXEXTRACT(J495,"" [^ ]* [^ ]*""),2,300)"),"#REF!")</f>
        <v>#REF!</v>
      </c>
      <c r="S495" s="3">
        <f t="shared" si="2"/>
        <v>3</v>
      </c>
      <c r="T495" s="3" t="str">
        <f t="shared" si="3"/>
        <v>dull blue</v>
      </c>
      <c r="U495" s="3">
        <f t="shared" si="4"/>
        <v>4</v>
      </c>
      <c r="V495" s="3" t="str">
        <f t="shared" si="5"/>
        <v>posh plum</v>
      </c>
      <c r="W495" s="3" t="str">
        <f t="shared" si="6"/>
        <v/>
      </c>
      <c r="X495" s="3" t="str">
        <f t="shared" si="7"/>
        <v/>
      </c>
      <c r="Y495" s="3" t="str">
        <f t="shared" si="8"/>
        <v/>
      </c>
      <c r="Z495" s="3" t="str">
        <f t="shared" si="9"/>
        <v/>
      </c>
      <c r="AA495" s="13">
        <f t="shared" si="10"/>
        <v>712746</v>
      </c>
      <c r="AB495" s="3">
        <f t="shared" si="11"/>
        <v>712745</v>
      </c>
      <c r="AC495" s="3">
        <f t="shared" si="12"/>
        <v>3</v>
      </c>
      <c r="AD495" s="3">
        <f t="shared" si="13"/>
        <v>229339</v>
      </c>
      <c r="AE495" s="3">
        <f t="shared" si="14"/>
        <v>4</v>
      </c>
      <c r="AF495" s="3">
        <f t="shared" si="15"/>
        <v>6182</v>
      </c>
      <c r="AG495" s="3" t="str">
        <f t="shared" si="16"/>
        <v/>
      </c>
      <c r="AH495" s="3">
        <f t="shared" si="17"/>
        <v>0</v>
      </c>
      <c r="AI495" s="3" t="str">
        <f t="shared" si="18"/>
        <v/>
      </c>
      <c r="AJ495" s="3">
        <f t="shared" si="19"/>
        <v>0</v>
      </c>
    </row>
    <row r="496">
      <c r="C496" s="6" t="s">
        <v>496</v>
      </c>
      <c r="D496" s="3">
        <f t="shared" si="1"/>
        <v>1</v>
      </c>
      <c r="E496" s="3" t="str">
        <f>IFERROR(__xludf.DUMMYFUNCTION("REGEXEXTRACT(C496,""[^ ]* [^ ]*"")"),"bright indigo")</f>
        <v>bright indigo</v>
      </c>
      <c r="F496" s="3" t="str">
        <f>IFERROR(__xludf.DUMMYFUNCTION("MID(REGEXEXTRACT(C496,""contain.*$""),9,300)"),"1 muted white bag, 1 wavy fuchsia bag.")</f>
        <v>1 muted white bag, 1 wavy fuchsia bag.</v>
      </c>
      <c r="G496" s="3" t="str">
        <f>IFERROR(__xludf.DUMMYFUNCTION("INDEX(SPLIT($F496,"",""),COLUMN()-6)"),"1 muted white bag")</f>
        <v>1 muted white bag</v>
      </c>
      <c r="H496" s="3" t="str">
        <f>IFERROR(__xludf.DUMMYFUNCTION("MID(INDEX(SPLIT($F496,"",""),COLUMN()-6),2,300)"),"1 wavy fuchsia bag.")</f>
        <v>1 wavy fuchsia bag.</v>
      </c>
      <c r="I496" s="3" t="str">
        <f>IFERROR(__xludf.DUMMYFUNCTION("MID(INDEX(SPLIT($F496,"",""),COLUMN()-6),2,300)"),"#REF!")</f>
        <v>#REF!</v>
      </c>
      <c r="J496" s="3" t="str">
        <f>IFERROR(__xludf.DUMMYFUNCTION("MID(INDEX(SPLIT($F496,"",""),COLUMN()-6),2,300)"),"#REF!")</f>
        <v>#REF!</v>
      </c>
      <c r="K496" s="3">
        <f>IFERROR(__xludf.DUMMYFUNCTION("INDEX(SPLIT(G496,"" ""),1)"),1.0)</f>
        <v>1</v>
      </c>
      <c r="L496" s="3" t="str">
        <f>IFERROR(__xludf.DUMMYFUNCTION("REGEXEXTRACT(G496,"" [^ ]* [^ ]* "")")," muted white ")</f>
        <v> muted white </v>
      </c>
      <c r="M496" s="3">
        <f>IFERROR(__xludf.DUMMYFUNCTION("INDEX(SPLIT(H496,"" ""),1)"),1.0)</f>
        <v>1</v>
      </c>
      <c r="N496" s="3" t="str">
        <f>IFERROR(__xludf.DUMMYFUNCTION("MID(REGEXEXTRACT(H496,"" [^ ]* [^ ]*""),2,300)"),"wavy fuchsia")</f>
        <v>wavy fuchsia</v>
      </c>
      <c r="O496" s="3" t="str">
        <f>IFERROR(__xludf.DUMMYFUNCTION("INDEX(SPLIT(I496,"" ""),1)"),"#REF!")</f>
        <v>#REF!</v>
      </c>
      <c r="P496" s="3" t="str">
        <f>IFERROR(__xludf.DUMMYFUNCTION("MID(REGEXEXTRACT(I496,"" [^ ]* [^ ]*""),2,300)"),"#REF!")</f>
        <v>#REF!</v>
      </c>
      <c r="Q496" s="3" t="str">
        <f>IFERROR(__xludf.DUMMYFUNCTION("INDEX(SPLIT(J496,"" ""),1)"),"#REF!")</f>
        <v>#REF!</v>
      </c>
      <c r="R496" s="3" t="str">
        <f>IFERROR(__xludf.DUMMYFUNCTION("MID(REGEXEXTRACT(J496,"" [^ ]* [^ ]*""),2,300)"),"#REF!")</f>
        <v>#REF!</v>
      </c>
      <c r="S496" s="3">
        <f t="shared" si="2"/>
        <v>1</v>
      </c>
      <c r="T496" s="3" t="str">
        <f t="shared" si="3"/>
        <v>muted white</v>
      </c>
      <c r="U496" s="3">
        <f t="shared" si="4"/>
        <v>1</v>
      </c>
      <c r="V496" s="3" t="str">
        <f t="shared" si="5"/>
        <v>wavy fuchsia</v>
      </c>
      <c r="W496" s="3" t="str">
        <f t="shared" si="6"/>
        <v/>
      </c>
      <c r="X496" s="3" t="str">
        <f t="shared" si="7"/>
        <v/>
      </c>
      <c r="Y496" s="3" t="str">
        <f t="shared" si="8"/>
        <v/>
      </c>
      <c r="Z496" s="3" t="str">
        <f t="shared" si="9"/>
        <v/>
      </c>
      <c r="AA496" s="13">
        <f t="shared" si="10"/>
        <v>6489672</v>
      </c>
      <c r="AB496" s="3">
        <f t="shared" si="11"/>
        <v>6489671</v>
      </c>
      <c r="AC496" s="3">
        <f t="shared" si="12"/>
        <v>1</v>
      </c>
      <c r="AD496" s="3">
        <f t="shared" si="13"/>
        <v>2893450</v>
      </c>
      <c r="AE496" s="3">
        <f t="shared" si="14"/>
        <v>1</v>
      </c>
      <c r="AF496" s="3">
        <f t="shared" si="15"/>
        <v>3596221</v>
      </c>
      <c r="AG496" s="3" t="str">
        <f t="shared" si="16"/>
        <v/>
      </c>
      <c r="AH496" s="3">
        <f t="shared" si="17"/>
        <v>0</v>
      </c>
      <c r="AI496" s="3" t="str">
        <f t="shared" si="18"/>
        <v/>
      </c>
      <c r="AJ496" s="3">
        <f t="shared" si="19"/>
        <v>0</v>
      </c>
    </row>
    <row r="497">
      <c r="C497" s="6" t="s">
        <v>497</v>
      </c>
      <c r="D497" s="3">
        <f t="shared" si="1"/>
        <v>0</v>
      </c>
      <c r="E497" s="3" t="str">
        <f>IFERROR(__xludf.DUMMYFUNCTION("REGEXEXTRACT(C497,""[^ ]* [^ ]*"")"),"striped crimson")</f>
        <v>striped crimson</v>
      </c>
      <c r="F497" s="3" t="str">
        <f>IFERROR(__xludf.DUMMYFUNCTION("MID(REGEXEXTRACT(C497,""contain.*$""),9,300)"),"3 dotted coral bags.")</f>
        <v>3 dotted coral bags.</v>
      </c>
      <c r="G497" s="3" t="str">
        <f>IFERROR(__xludf.DUMMYFUNCTION("INDEX(SPLIT($F497,"",""),COLUMN()-6)"),"3 dotted coral bags.")</f>
        <v>3 dotted coral bags.</v>
      </c>
      <c r="H497" s="3" t="str">
        <f>IFERROR(__xludf.DUMMYFUNCTION("MID(INDEX(SPLIT($F497,"",""),COLUMN()-6),2,300)"),"#REF!")</f>
        <v>#REF!</v>
      </c>
      <c r="I497" s="3" t="str">
        <f>IFERROR(__xludf.DUMMYFUNCTION("MID(INDEX(SPLIT($F497,"",""),COLUMN()-6),2,300)"),"#REF!")</f>
        <v>#REF!</v>
      </c>
      <c r="J497" s="3" t="str">
        <f>IFERROR(__xludf.DUMMYFUNCTION("MID(INDEX(SPLIT($F497,"",""),COLUMN()-6),2,300)"),"#REF!")</f>
        <v>#REF!</v>
      </c>
      <c r="K497" s="3">
        <f>IFERROR(__xludf.DUMMYFUNCTION("INDEX(SPLIT(G497,"" ""),1)"),3.0)</f>
        <v>3</v>
      </c>
      <c r="L497" s="3" t="str">
        <f>IFERROR(__xludf.DUMMYFUNCTION("REGEXEXTRACT(G497,"" [^ ]* [^ ]* "")")," dotted coral ")</f>
        <v> dotted coral </v>
      </c>
      <c r="M497" s="3" t="str">
        <f>IFERROR(__xludf.DUMMYFUNCTION("INDEX(SPLIT(H497,"" ""),1)"),"#REF!")</f>
        <v>#REF!</v>
      </c>
      <c r="N497" s="3" t="str">
        <f>IFERROR(__xludf.DUMMYFUNCTION("MID(REGEXEXTRACT(H497,"" [^ ]* [^ ]*""),2,300)"),"#REF!")</f>
        <v>#REF!</v>
      </c>
      <c r="O497" s="3" t="str">
        <f>IFERROR(__xludf.DUMMYFUNCTION("INDEX(SPLIT(I497,"" ""),1)"),"#REF!")</f>
        <v>#REF!</v>
      </c>
      <c r="P497" s="3" t="str">
        <f>IFERROR(__xludf.DUMMYFUNCTION("MID(REGEXEXTRACT(I497,"" [^ ]* [^ ]*""),2,300)"),"#REF!")</f>
        <v>#REF!</v>
      </c>
      <c r="Q497" s="3" t="str">
        <f>IFERROR(__xludf.DUMMYFUNCTION("INDEX(SPLIT(J497,"" ""),1)"),"#REF!")</f>
        <v>#REF!</v>
      </c>
      <c r="R497" s="3" t="str">
        <f>IFERROR(__xludf.DUMMYFUNCTION("MID(REGEXEXTRACT(J497,"" [^ ]* [^ ]*""),2,300)"),"#REF!")</f>
        <v>#REF!</v>
      </c>
      <c r="S497" s="3">
        <f t="shared" si="2"/>
        <v>3</v>
      </c>
      <c r="T497" s="3" t="str">
        <f t="shared" si="3"/>
        <v>dotted coral</v>
      </c>
      <c r="U497" s="3" t="str">
        <f t="shared" si="4"/>
        <v/>
      </c>
      <c r="V497" s="3" t="str">
        <f t="shared" si="5"/>
        <v/>
      </c>
      <c r="W497" s="3" t="str">
        <f t="shared" si="6"/>
        <v/>
      </c>
      <c r="X497" s="3" t="str">
        <f t="shared" si="7"/>
        <v/>
      </c>
      <c r="Y497" s="3" t="str">
        <f t="shared" si="8"/>
        <v/>
      </c>
      <c r="Z497" s="3" t="str">
        <f t="shared" si="9"/>
        <v/>
      </c>
      <c r="AA497" s="13">
        <f t="shared" si="10"/>
        <v>32410</v>
      </c>
      <c r="AB497" s="3">
        <f t="shared" si="11"/>
        <v>32409</v>
      </c>
      <c r="AC497" s="3">
        <f t="shared" si="12"/>
        <v>3</v>
      </c>
      <c r="AD497" s="3">
        <f t="shared" si="13"/>
        <v>10803</v>
      </c>
      <c r="AE497" s="3" t="str">
        <f t="shared" si="14"/>
        <v/>
      </c>
      <c r="AF497" s="3">
        <f t="shared" si="15"/>
        <v>0</v>
      </c>
      <c r="AG497" s="3" t="str">
        <f t="shared" si="16"/>
        <v/>
      </c>
      <c r="AH497" s="3">
        <f t="shared" si="17"/>
        <v>0</v>
      </c>
      <c r="AI497" s="3" t="str">
        <f t="shared" si="18"/>
        <v/>
      </c>
      <c r="AJ497" s="3">
        <f t="shared" si="19"/>
        <v>0</v>
      </c>
    </row>
    <row r="498">
      <c r="C498" s="6" t="s">
        <v>498</v>
      </c>
      <c r="D498" s="3">
        <f t="shared" si="1"/>
        <v>2</v>
      </c>
      <c r="E498" s="3" t="str">
        <f>IFERROR(__xludf.DUMMYFUNCTION("REGEXEXTRACT(C498,""[^ ]* [^ ]*"")"),"light orange")</f>
        <v>light orange</v>
      </c>
      <c r="F498" s="3" t="str">
        <f>IFERROR(__xludf.DUMMYFUNCTION("MID(REGEXEXTRACT(C498,""contain.*$""),9,300)"),"3 striped chartreuse bags, 4 bright silver bags, 5 clear cyan bags.")</f>
        <v>3 striped chartreuse bags, 4 bright silver bags, 5 clear cyan bags.</v>
      </c>
      <c r="G498" s="3" t="str">
        <f>IFERROR(__xludf.DUMMYFUNCTION("INDEX(SPLIT($F498,"",""),COLUMN()-6)"),"3 striped chartreuse bags")</f>
        <v>3 striped chartreuse bags</v>
      </c>
      <c r="H498" s="3" t="str">
        <f>IFERROR(__xludf.DUMMYFUNCTION("MID(INDEX(SPLIT($F498,"",""),COLUMN()-6),2,300)"),"4 bright silver bags")</f>
        <v>4 bright silver bags</v>
      </c>
      <c r="I498" s="3" t="str">
        <f>IFERROR(__xludf.DUMMYFUNCTION("MID(INDEX(SPLIT($F498,"",""),COLUMN()-6),2,300)"),"5 clear cyan bags.")</f>
        <v>5 clear cyan bags.</v>
      </c>
      <c r="J498" s="3" t="str">
        <f>IFERROR(__xludf.DUMMYFUNCTION("MID(INDEX(SPLIT($F498,"",""),COLUMN()-6),2,300)"),"#REF!")</f>
        <v>#REF!</v>
      </c>
      <c r="K498" s="3">
        <f>IFERROR(__xludf.DUMMYFUNCTION("INDEX(SPLIT(G498,"" ""),1)"),3.0)</f>
        <v>3</v>
      </c>
      <c r="L498" s="3" t="str">
        <f>IFERROR(__xludf.DUMMYFUNCTION("REGEXEXTRACT(G498,"" [^ ]* [^ ]* "")")," striped chartreuse ")</f>
        <v> striped chartreuse </v>
      </c>
      <c r="M498" s="3">
        <f>IFERROR(__xludf.DUMMYFUNCTION("INDEX(SPLIT(H498,"" ""),1)"),4.0)</f>
        <v>4</v>
      </c>
      <c r="N498" s="3" t="str">
        <f>IFERROR(__xludf.DUMMYFUNCTION("MID(REGEXEXTRACT(H498,"" [^ ]* [^ ]*""),2,300)"),"bright silver")</f>
        <v>bright silver</v>
      </c>
      <c r="O498" s="3">
        <f>IFERROR(__xludf.DUMMYFUNCTION("INDEX(SPLIT(I498,"" ""),1)"),5.0)</f>
        <v>5</v>
      </c>
      <c r="P498" s="3" t="str">
        <f>IFERROR(__xludf.DUMMYFUNCTION("MID(REGEXEXTRACT(I498,"" [^ ]* [^ ]*""),2,300)"),"clear cyan")</f>
        <v>clear cyan</v>
      </c>
      <c r="Q498" s="3" t="str">
        <f>IFERROR(__xludf.DUMMYFUNCTION("INDEX(SPLIT(J498,"" ""),1)"),"#REF!")</f>
        <v>#REF!</v>
      </c>
      <c r="R498" s="3" t="str">
        <f>IFERROR(__xludf.DUMMYFUNCTION("MID(REGEXEXTRACT(J498,"" [^ ]* [^ ]*""),2,300)"),"#REF!")</f>
        <v>#REF!</v>
      </c>
      <c r="S498" s="3">
        <f t="shared" si="2"/>
        <v>3</v>
      </c>
      <c r="T498" s="3" t="str">
        <f t="shared" si="3"/>
        <v>striped chartreuse</v>
      </c>
      <c r="U498" s="3">
        <f t="shared" si="4"/>
        <v>4</v>
      </c>
      <c r="V498" s="3" t="str">
        <f t="shared" si="5"/>
        <v>bright silver</v>
      </c>
      <c r="W498" s="3">
        <f t="shared" si="6"/>
        <v>5</v>
      </c>
      <c r="X498" s="3" t="str">
        <f t="shared" si="7"/>
        <v>clear cyan</v>
      </c>
      <c r="Y498" s="3" t="str">
        <f t="shared" si="8"/>
        <v/>
      </c>
      <c r="Z498" s="3" t="str">
        <f t="shared" si="9"/>
        <v/>
      </c>
      <c r="AA498" s="13">
        <f t="shared" si="10"/>
        <v>4507599</v>
      </c>
      <c r="AB498" s="3">
        <f t="shared" si="11"/>
        <v>4507598</v>
      </c>
      <c r="AC498" s="3">
        <f t="shared" si="12"/>
        <v>3</v>
      </c>
      <c r="AD498" s="3">
        <f t="shared" si="13"/>
        <v>4053</v>
      </c>
      <c r="AE498" s="3">
        <f t="shared" si="14"/>
        <v>4</v>
      </c>
      <c r="AF498" s="3">
        <f t="shared" si="15"/>
        <v>41</v>
      </c>
      <c r="AG498" s="3">
        <f t="shared" si="16"/>
        <v>5</v>
      </c>
      <c r="AH498" s="3">
        <f t="shared" si="17"/>
        <v>899055</v>
      </c>
      <c r="AI498" s="3" t="str">
        <f t="shared" si="18"/>
        <v/>
      </c>
      <c r="AJ498" s="3">
        <f t="shared" si="19"/>
        <v>0</v>
      </c>
    </row>
    <row r="499">
      <c r="C499" s="6" t="s">
        <v>499</v>
      </c>
      <c r="D499" s="3">
        <f t="shared" si="1"/>
        <v>0</v>
      </c>
      <c r="E499" s="3" t="str">
        <f>IFERROR(__xludf.DUMMYFUNCTION("REGEXEXTRACT(C499,""[^ ]* [^ ]*"")"),"posh yellow")</f>
        <v>posh yellow</v>
      </c>
      <c r="F499" s="3" t="str">
        <f>IFERROR(__xludf.DUMMYFUNCTION("MID(REGEXEXTRACT(C499,""contain.*$""),9,300)"),"3 bright brown bags.")</f>
        <v>3 bright brown bags.</v>
      </c>
      <c r="G499" s="3" t="str">
        <f>IFERROR(__xludf.DUMMYFUNCTION("INDEX(SPLIT($F499,"",""),COLUMN()-6)"),"3 bright brown bags.")</f>
        <v>3 bright brown bags.</v>
      </c>
      <c r="H499" s="3" t="str">
        <f>IFERROR(__xludf.DUMMYFUNCTION("MID(INDEX(SPLIT($F499,"",""),COLUMN()-6),2,300)"),"#REF!")</f>
        <v>#REF!</v>
      </c>
      <c r="I499" s="3" t="str">
        <f>IFERROR(__xludf.DUMMYFUNCTION("MID(INDEX(SPLIT($F499,"",""),COLUMN()-6),2,300)"),"#REF!")</f>
        <v>#REF!</v>
      </c>
      <c r="J499" s="3" t="str">
        <f>IFERROR(__xludf.DUMMYFUNCTION("MID(INDEX(SPLIT($F499,"",""),COLUMN()-6),2,300)"),"#REF!")</f>
        <v>#REF!</v>
      </c>
      <c r="K499" s="3">
        <f>IFERROR(__xludf.DUMMYFUNCTION("INDEX(SPLIT(G499,"" ""),1)"),3.0)</f>
        <v>3</v>
      </c>
      <c r="L499" s="3" t="str">
        <f>IFERROR(__xludf.DUMMYFUNCTION("REGEXEXTRACT(G499,"" [^ ]* [^ ]* "")")," bright brown ")</f>
        <v> bright brown </v>
      </c>
      <c r="M499" s="3" t="str">
        <f>IFERROR(__xludf.DUMMYFUNCTION("INDEX(SPLIT(H499,"" ""),1)"),"#REF!")</f>
        <v>#REF!</v>
      </c>
      <c r="N499" s="3" t="str">
        <f>IFERROR(__xludf.DUMMYFUNCTION("MID(REGEXEXTRACT(H499,"" [^ ]* [^ ]*""),2,300)"),"#REF!")</f>
        <v>#REF!</v>
      </c>
      <c r="O499" s="3" t="str">
        <f>IFERROR(__xludf.DUMMYFUNCTION("INDEX(SPLIT(I499,"" ""),1)"),"#REF!")</f>
        <v>#REF!</v>
      </c>
      <c r="P499" s="3" t="str">
        <f>IFERROR(__xludf.DUMMYFUNCTION("MID(REGEXEXTRACT(I499,"" [^ ]* [^ ]*""),2,300)"),"#REF!")</f>
        <v>#REF!</v>
      </c>
      <c r="Q499" s="3" t="str">
        <f>IFERROR(__xludf.DUMMYFUNCTION("INDEX(SPLIT(J499,"" ""),1)"),"#REF!")</f>
        <v>#REF!</v>
      </c>
      <c r="R499" s="3" t="str">
        <f>IFERROR(__xludf.DUMMYFUNCTION("MID(REGEXEXTRACT(J499,"" [^ ]* [^ ]*""),2,300)"),"#REF!")</f>
        <v>#REF!</v>
      </c>
      <c r="S499" s="3">
        <f t="shared" si="2"/>
        <v>3</v>
      </c>
      <c r="T499" s="3" t="str">
        <f t="shared" si="3"/>
        <v>bright brown</v>
      </c>
      <c r="U499" s="3" t="str">
        <f t="shared" si="4"/>
        <v/>
      </c>
      <c r="V499" s="3" t="str">
        <f t="shared" si="5"/>
        <v/>
      </c>
      <c r="W499" s="3" t="str">
        <f t="shared" si="6"/>
        <v/>
      </c>
      <c r="X499" s="3" t="str">
        <f t="shared" si="7"/>
        <v/>
      </c>
      <c r="Y499" s="3" t="str">
        <f t="shared" si="8"/>
        <v/>
      </c>
      <c r="Z499" s="3" t="str">
        <f t="shared" si="9"/>
        <v/>
      </c>
      <c r="AA499" s="13">
        <f t="shared" si="10"/>
        <v>4</v>
      </c>
      <c r="AB499" s="3">
        <f t="shared" si="11"/>
        <v>3</v>
      </c>
      <c r="AC499" s="3">
        <f t="shared" si="12"/>
        <v>3</v>
      </c>
      <c r="AD499" s="3">
        <f t="shared" si="13"/>
        <v>1</v>
      </c>
      <c r="AE499" s="3" t="str">
        <f t="shared" si="14"/>
        <v/>
      </c>
      <c r="AF499" s="3">
        <f t="shared" si="15"/>
        <v>0</v>
      </c>
      <c r="AG499" s="3" t="str">
        <f t="shared" si="16"/>
        <v/>
      </c>
      <c r="AH499" s="3">
        <f t="shared" si="17"/>
        <v>0</v>
      </c>
      <c r="AI499" s="3" t="str">
        <f t="shared" si="18"/>
        <v/>
      </c>
      <c r="AJ499" s="3">
        <f t="shared" si="19"/>
        <v>0</v>
      </c>
    </row>
    <row r="500">
      <c r="C500" s="6" t="s">
        <v>500</v>
      </c>
      <c r="D500" s="3">
        <f t="shared" si="1"/>
        <v>0</v>
      </c>
      <c r="E500" s="3" t="str">
        <f>IFERROR(__xludf.DUMMYFUNCTION("REGEXEXTRACT(C500,""[^ ]* [^ ]*"")"),"dotted beige")</f>
        <v>dotted beige</v>
      </c>
      <c r="F500" s="3" t="str">
        <f>IFERROR(__xludf.DUMMYFUNCTION("MID(REGEXEXTRACT(C500,""contain.*$""),9,300)"),"1 plaid red bag.")</f>
        <v>1 plaid red bag.</v>
      </c>
      <c r="G500" s="3" t="str">
        <f>IFERROR(__xludf.DUMMYFUNCTION("INDEX(SPLIT($F500,"",""),COLUMN()-6)"),"1 plaid red bag.")</f>
        <v>1 plaid red bag.</v>
      </c>
      <c r="H500" s="3" t="str">
        <f>IFERROR(__xludf.DUMMYFUNCTION("MID(INDEX(SPLIT($F500,"",""),COLUMN()-6),2,300)"),"#REF!")</f>
        <v>#REF!</v>
      </c>
      <c r="I500" s="3" t="str">
        <f>IFERROR(__xludf.DUMMYFUNCTION("MID(INDEX(SPLIT($F500,"",""),COLUMN()-6),2,300)"),"#REF!")</f>
        <v>#REF!</v>
      </c>
      <c r="J500" s="3" t="str">
        <f>IFERROR(__xludf.DUMMYFUNCTION("MID(INDEX(SPLIT($F500,"",""),COLUMN()-6),2,300)"),"#REF!")</f>
        <v>#REF!</v>
      </c>
      <c r="K500" s="3">
        <f>IFERROR(__xludf.DUMMYFUNCTION("INDEX(SPLIT(G500,"" ""),1)"),1.0)</f>
        <v>1</v>
      </c>
      <c r="L500" s="3" t="str">
        <f>IFERROR(__xludf.DUMMYFUNCTION("REGEXEXTRACT(G500,"" [^ ]* [^ ]* "")")," plaid red ")</f>
        <v> plaid red </v>
      </c>
      <c r="M500" s="3" t="str">
        <f>IFERROR(__xludf.DUMMYFUNCTION("INDEX(SPLIT(H500,"" ""),1)"),"#REF!")</f>
        <v>#REF!</v>
      </c>
      <c r="N500" s="3" t="str">
        <f>IFERROR(__xludf.DUMMYFUNCTION("MID(REGEXEXTRACT(H500,"" [^ ]* [^ ]*""),2,300)"),"#REF!")</f>
        <v>#REF!</v>
      </c>
      <c r="O500" s="3" t="str">
        <f>IFERROR(__xludf.DUMMYFUNCTION("INDEX(SPLIT(I500,"" ""),1)"),"#REF!")</f>
        <v>#REF!</v>
      </c>
      <c r="P500" s="3" t="str">
        <f>IFERROR(__xludf.DUMMYFUNCTION("MID(REGEXEXTRACT(I500,"" [^ ]* [^ ]*""),2,300)"),"#REF!")</f>
        <v>#REF!</v>
      </c>
      <c r="Q500" s="3" t="str">
        <f>IFERROR(__xludf.DUMMYFUNCTION("INDEX(SPLIT(J500,"" ""),1)"),"#REF!")</f>
        <v>#REF!</v>
      </c>
      <c r="R500" s="3" t="str">
        <f>IFERROR(__xludf.DUMMYFUNCTION("MID(REGEXEXTRACT(J500,"" [^ ]* [^ ]*""),2,300)"),"#REF!")</f>
        <v>#REF!</v>
      </c>
      <c r="S500" s="3">
        <f t="shared" si="2"/>
        <v>1</v>
      </c>
      <c r="T500" s="3" t="str">
        <f t="shared" si="3"/>
        <v>plaid red</v>
      </c>
      <c r="U500" s="3" t="str">
        <f t="shared" si="4"/>
        <v/>
      </c>
      <c r="V500" s="3" t="str">
        <f t="shared" si="5"/>
        <v/>
      </c>
      <c r="W500" s="3" t="str">
        <f t="shared" si="6"/>
        <v/>
      </c>
      <c r="X500" s="3" t="str">
        <f t="shared" si="7"/>
        <v/>
      </c>
      <c r="Y500" s="3" t="str">
        <f t="shared" si="8"/>
        <v/>
      </c>
      <c r="Z500" s="3" t="str">
        <f t="shared" si="9"/>
        <v/>
      </c>
      <c r="AA500" s="13">
        <f t="shared" si="10"/>
        <v>150232604</v>
      </c>
      <c r="AB500" s="3">
        <f t="shared" si="11"/>
        <v>150232603</v>
      </c>
      <c r="AC500" s="3">
        <f t="shared" si="12"/>
        <v>1</v>
      </c>
      <c r="AD500" s="3">
        <f t="shared" si="13"/>
        <v>150232603</v>
      </c>
      <c r="AE500" s="3" t="str">
        <f t="shared" si="14"/>
        <v/>
      </c>
      <c r="AF500" s="3">
        <f t="shared" si="15"/>
        <v>0</v>
      </c>
      <c r="AG500" s="3" t="str">
        <f t="shared" si="16"/>
        <v/>
      </c>
      <c r="AH500" s="3">
        <f t="shared" si="17"/>
        <v>0</v>
      </c>
      <c r="AI500" s="3" t="str">
        <f t="shared" si="18"/>
        <v/>
      </c>
      <c r="AJ500" s="3">
        <f t="shared" si="19"/>
        <v>0</v>
      </c>
    </row>
    <row r="501">
      <c r="C501" s="6" t="s">
        <v>501</v>
      </c>
      <c r="D501" s="3">
        <f t="shared" si="1"/>
        <v>0</v>
      </c>
      <c r="E501" s="3" t="str">
        <f>IFERROR(__xludf.DUMMYFUNCTION("REGEXEXTRACT(C501,""[^ ]* [^ ]*"")"),"faded aqua")</f>
        <v>faded aqua</v>
      </c>
      <c r="F501" s="3" t="str">
        <f>IFERROR(__xludf.DUMMYFUNCTION("MID(REGEXEXTRACT(C501,""contain.*$""),9,300)"),"3 drab tan bags.")</f>
        <v>3 drab tan bags.</v>
      </c>
      <c r="G501" s="3" t="str">
        <f>IFERROR(__xludf.DUMMYFUNCTION("INDEX(SPLIT($F501,"",""),COLUMN()-6)"),"3 drab tan bags.")</f>
        <v>3 drab tan bags.</v>
      </c>
      <c r="H501" s="3" t="str">
        <f>IFERROR(__xludf.DUMMYFUNCTION("MID(INDEX(SPLIT($F501,"",""),COLUMN()-6),2,300)"),"#REF!")</f>
        <v>#REF!</v>
      </c>
      <c r="I501" s="3" t="str">
        <f>IFERROR(__xludf.DUMMYFUNCTION("MID(INDEX(SPLIT($F501,"",""),COLUMN()-6),2,300)"),"#REF!")</f>
        <v>#REF!</v>
      </c>
      <c r="J501" s="3" t="str">
        <f>IFERROR(__xludf.DUMMYFUNCTION("MID(INDEX(SPLIT($F501,"",""),COLUMN()-6),2,300)"),"#REF!")</f>
        <v>#REF!</v>
      </c>
      <c r="K501" s="3">
        <f>IFERROR(__xludf.DUMMYFUNCTION("INDEX(SPLIT(G501,"" ""),1)"),3.0)</f>
        <v>3</v>
      </c>
      <c r="L501" s="3" t="str">
        <f>IFERROR(__xludf.DUMMYFUNCTION("REGEXEXTRACT(G501,"" [^ ]* [^ ]* "")")," drab tan ")</f>
        <v> drab tan </v>
      </c>
      <c r="M501" s="3" t="str">
        <f>IFERROR(__xludf.DUMMYFUNCTION("INDEX(SPLIT(H501,"" ""),1)"),"#REF!")</f>
        <v>#REF!</v>
      </c>
      <c r="N501" s="3" t="str">
        <f>IFERROR(__xludf.DUMMYFUNCTION("MID(REGEXEXTRACT(H501,"" [^ ]* [^ ]*""),2,300)"),"#REF!")</f>
        <v>#REF!</v>
      </c>
      <c r="O501" s="3" t="str">
        <f>IFERROR(__xludf.DUMMYFUNCTION("INDEX(SPLIT(I501,"" ""),1)"),"#REF!")</f>
        <v>#REF!</v>
      </c>
      <c r="P501" s="3" t="str">
        <f>IFERROR(__xludf.DUMMYFUNCTION("MID(REGEXEXTRACT(I501,"" [^ ]* [^ ]*""),2,300)"),"#REF!")</f>
        <v>#REF!</v>
      </c>
      <c r="Q501" s="3" t="str">
        <f>IFERROR(__xludf.DUMMYFUNCTION("INDEX(SPLIT(J501,"" ""),1)"),"#REF!")</f>
        <v>#REF!</v>
      </c>
      <c r="R501" s="3" t="str">
        <f>IFERROR(__xludf.DUMMYFUNCTION("MID(REGEXEXTRACT(J501,"" [^ ]* [^ ]*""),2,300)"),"#REF!")</f>
        <v>#REF!</v>
      </c>
      <c r="S501" s="3">
        <f t="shared" si="2"/>
        <v>3</v>
      </c>
      <c r="T501" s="3" t="str">
        <f t="shared" si="3"/>
        <v>drab tan</v>
      </c>
      <c r="U501" s="3" t="str">
        <f t="shared" si="4"/>
        <v/>
      </c>
      <c r="V501" s="3" t="str">
        <f t="shared" si="5"/>
        <v/>
      </c>
      <c r="W501" s="3" t="str">
        <f t="shared" si="6"/>
        <v/>
      </c>
      <c r="X501" s="3" t="str">
        <f t="shared" si="7"/>
        <v/>
      </c>
      <c r="Y501" s="3" t="str">
        <f t="shared" si="8"/>
        <v/>
      </c>
      <c r="Z501" s="3" t="str">
        <f t="shared" si="9"/>
        <v/>
      </c>
      <c r="AA501" s="13">
        <f t="shared" si="10"/>
        <v>10774312</v>
      </c>
      <c r="AB501" s="3">
        <f t="shared" si="11"/>
        <v>10774311</v>
      </c>
      <c r="AC501" s="3">
        <f t="shared" si="12"/>
        <v>3</v>
      </c>
      <c r="AD501" s="3">
        <f t="shared" si="13"/>
        <v>3591437</v>
      </c>
      <c r="AE501" s="3" t="str">
        <f t="shared" si="14"/>
        <v/>
      </c>
      <c r="AF501" s="3">
        <f t="shared" si="15"/>
        <v>0</v>
      </c>
      <c r="AG501" s="3" t="str">
        <f t="shared" si="16"/>
        <v/>
      </c>
      <c r="AH501" s="3">
        <f t="shared" si="17"/>
        <v>0</v>
      </c>
      <c r="AI501" s="3" t="str">
        <f t="shared" si="18"/>
        <v/>
      </c>
      <c r="AJ501" s="3">
        <f t="shared" si="19"/>
        <v>0</v>
      </c>
    </row>
    <row r="502">
      <c r="C502" s="6" t="s">
        <v>502</v>
      </c>
      <c r="D502" s="3">
        <f t="shared" si="1"/>
        <v>3</v>
      </c>
      <c r="E502" s="3" t="str">
        <f>IFERROR(__xludf.DUMMYFUNCTION("REGEXEXTRACT(C502,""[^ ]* [^ ]*"")"),"shiny red")</f>
        <v>shiny red</v>
      </c>
      <c r="F502" s="3" t="str">
        <f>IFERROR(__xludf.DUMMYFUNCTION("MID(REGEXEXTRACT(C502,""contain.*$""),9,300)"),"3 striped lime bags, 5 wavy teal bags, 2 muted olive bags, 1 shiny chartreuse bag.")</f>
        <v>3 striped lime bags, 5 wavy teal bags, 2 muted olive bags, 1 shiny chartreuse bag.</v>
      </c>
      <c r="G502" s="3" t="str">
        <f>IFERROR(__xludf.DUMMYFUNCTION("INDEX(SPLIT($F502,"",""),COLUMN()-6)"),"3 striped lime bags")</f>
        <v>3 striped lime bags</v>
      </c>
      <c r="H502" s="3" t="str">
        <f>IFERROR(__xludf.DUMMYFUNCTION("MID(INDEX(SPLIT($F502,"",""),COLUMN()-6),2,300)"),"5 wavy teal bags")</f>
        <v>5 wavy teal bags</v>
      </c>
      <c r="I502" s="3" t="str">
        <f>IFERROR(__xludf.DUMMYFUNCTION("MID(INDEX(SPLIT($F502,"",""),COLUMN()-6),2,300)"),"2 muted olive bags")</f>
        <v>2 muted olive bags</v>
      </c>
      <c r="J502" s="3" t="str">
        <f>IFERROR(__xludf.DUMMYFUNCTION("MID(INDEX(SPLIT($F502,"",""),COLUMN()-6),2,300)"),"1 shiny chartreuse bag.")</f>
        <v>1 shiny chartreuse bag.</v>
      </c>
      <c r="K502" s="3">
        <f>IFERROR(__xludf.DUMMYFUNCTION("INDEX(SPLIT(G502,"" ""),1)"),3.0)</f>
        <v>3</v>
      </c>
      <c r="L502" s="3" t="str">
        <f>IFERROR(__xludf.DUMMYFUNCTION("REGEXEXTRACT(G502,"" [^ ]* [^ ]* "")")," striped lime ")</f>
        <v> striped lime </v>
      </c>
      <c r="M502" s="3">
        <f>IFERROR(__xludf.DUMMYFUNCTION("INDEX(SPLIT(H502,"" ""),1)"),5.0)</f>
        <v>5</v>
      </c>
      <c r="N502" s="3" t="str">
        <f>IFERROR(__xludf.DUMMYFUNCTION("MID(REGEXEXTRACT(H502,"" [^ ]* [^ ]*""),2,300)"),"wavy teal")</f>
        <v>wavy teal</v>
      </c>
      <c r="O502" s="3">
        <f>IFERROR(__xludf.DUMMYFUNCTION("INDEX(SPLIT(I502,"" ""),1)"),2.0)</f>
        <v>2</v>
      </c>
      <c r="P502" s="3" t="str">
        <f>IFERROR(__xludf.DUMMYFUNCTION("MID(REGEXEXTRACT(I502,"" [^ ]* [^ ]*""),2,300)"),"muted olive")</f>
        <v>muted olive</v>
      </c>
      <c r="Q502" s="3">
        <f>IFERROR(__xludf.DUMMYFUNCTION("INDEX(SPLIT(J502,"" ""),1)"),1.0)</f>
        <v>1</v>
      </c>
      <c r="R502" s="3" t="str">
        <f>IFERROR(__xludf.DUMMYFUNCTION("MID(REGEXEXTRACT(J502,"" [^ ]* [^ ]*""),2,300)"),"shiny chartreuse")</f>
        <v>shiny chartreuse</v>
      </c>
      <c r="S502" s="3">
        <f t="shared" si="2"/>
        <v>3</v>
      </c>
      <c r="T502" s="3" t="str">
        <f t="shared" si="3"/>
        <v>striped lime</v>
      </c>
      <c r="U502" s="3">
        <f t="shared" si="4"/>
        <v>5</v>
      </c>
      <c r="V502" s="3" t="str">
        <f t="shared" si="5"/>
        <v>wavy teal</v>
      </c>
      <c r="W502" s="3">
        <f t="shared" si="6"/>
        <v>2</v>
      </c>
      <c r="X502" s="3" t="str">
        <f t="shared" si="7"/>
        <v>muted olive</v>
      </c>
      <c r="Y502" s="3">
        <f t="shared" si="8"/>
        <v>1</v>
      </c>
      <c r="Z502" s="3" t="str">
        <f t="shared" si="9"/>
        <v>shiny chartreuse</v>
      </c>
      <c r="AA502" s="13">
        <f t="shared" si="10"/>
        <v>461698</v>
      </c>
      <c r="AB502" s="3">
        <f t="shared" si="11"/>
        <v>461697</v>
      </c>
      <c r="AC502" s="3">
        <f t="shared" si="12"/>
        <v>3</v>
      </c>
      <c r="AD502" s="3">
        <f t="shared" si="13"/>
        <v>12130</v>
      </c>
      <c r="AE502" s="3">
        <f t="shared" si="14"/>
        <v>5</v>
      </c>
      <c r="AF502" s="3">
        <f t="shared" si="15"/>
        <v>84750</v>
      </c>
      <c r="AG502" s="3">
        <f t="shared" si="16"/>
        <v>2</v>
      </c>
      <c r="AH502" s="3">
        <f t="shared" si="17"/>
        <v>6</v>
      </c>
      <c r="AI502" s="3">
        <f t="shared" si="18"/>
        <v>1</v>
      </c>
      <c r="AJ502" s="3">
        <f t="shared" si="19"/>
        <v>1545</v>
      </c>
    </row>
    <row r="503">
      <c r="C503" s="6" t="s">
        <v>503</v>
      </c>
      <c r="D503" s="3">
        <f t="shared" si="1"/>
        <v>0</v>
      </c>
      <c r="E503" s="3" t="str">
        <f>IFERROR(__xludf.DUMMYFUNCTION("REGEXEXTRACT(C503,""[^ ]* [^ ]*"")"),"light tomato")</f>
        <v>light tomato</v>
      </c>
      <c r="F503" s="3" t="str">
        <f>IFERROR(__xludf.DUMMYFUNCTION("MID(REGEXEXTRACT(C503,""contain.*$""),9,300)"),"4 muted green bags.")</f>
        <v>4 muted green bags.</v>
      </c>
      <c r="G503" s="3" t="str">
        <f>IFERROR(__xludf.DUMMYFUNCTION("INDEX(SPLIT($F503,"",""),COLUMN()-6)"),"4 muted green bags.")</f>
        <v>4 muted green bags.</v>
      </c>
      <c r="H503" s="3" t="str">
        <f>IFERROR(__xludf.DUMMYFUNCTION("MID(INDEX(SPLIT($F503,"",""),COLUMN()-6),2,300)"),"#REF!")</f>
        <v>#REF!</v>
      </c>
      <c r="I503" s="3" t="str">
        <f>IFERROR(__xludf.DUMMYFUNCTION("MID(INDEX(SPLIT($F503,"",""),COLUMN()-6),2,300)"),"#REF!")</f>
        <v>#REF!</v>
      </c>
      <c r="J503" s="3" t="str">
        <f>IFERROR(__xludf.DUMMYFUNCTION("MID(INDEX(SPLIT($F503,"",""),COLUMN()-6),2,300)"),"#REF!")</f>
        <v>#REF!</v>
      </c>
      <c r="K503" s="3">
        <f>IFERROR(__xludf.DUMMYFUNCTION("INDEX(SPLIT(G503,"" ""),1)"),4.0)</f>
        <v>4</v>
      </c>
      <c r="L503" s="3" t="str">
        <f>IFERROR(__xludf.DUMMYFUNCTION("REGEXEXTRACT(G503,"" [^ ]* [^ ]* "")")," muted green ")</f>
        <v> muted green </v>
      </c>
      <c r="M503" s="3" t="str">
        <f>IFERROR(__xludf.DUMMYFUNCTION("INDEX(SPLIT(H503,"" ""),1)"),"#REF!")</f>
        <v>#REF!</v>
      </c>
      <c r="N503" s="3" t="str">
        <f>IFERROR(__xludf.DUMMYFUNCTION("MID(REGEXEXTRACT(H503,"" [^ ]* [^ ]*""),2,300)"),"#REF!")</f>
        <v>#REF!</v>
      </c>
      <c r="O503" s="3" t="str">
        <f>IFERROR(__xludf.DUMMYFUNCTION("INDEX(SPLIT(I503,"" ""),1)"),"#REF!")</f>
        <v>#REF!</v>
      </c>
      <c r="P503" s="3" t="str">
        <f>IFERROR(__xludf.DUMMYFUNCTION("MID(REGEXEXTRACT(I503,"" [^ ]* [^ ]*""),2,300)"),"#REF!")</f>
        <v>#REF!</v>
      </c>
      <c r="Q503" s="3" t="str">
        <f>IFERROR(__xludf.DUMMYFUNCTION("INDEX(SPLIT(J503,"" ""),1)"),"#REF!")</f>
        <v>#REF!</v>
      </c>
      <c r="R503" s="3" t="str">
        <f>IFERROR(__xludf.DUMMYFUNCTION("MID(REGEXEXTRACT(J503,"" [^ ]* [^ ]*""),2,300)"),"#REF!")</f>
        <v>#REF!</v>
      </c>
      <c r="S503" s="3">
        <f t="shared" si="2"/>
        <v>4</v>
      </c>
      <c r="T503" s="3" t="str">
        <f t="shared" si="3"/>
        <v>muted green</v>
      </c>
      <c r="U503" s="3" t="str">
        <f t="shared" si="4"/>
        <v/>
      </c>
      <c r="V503" s="3" t="str">
        <f t="shared" si="5"/>
        <v/>
      </c>
      <c r="W503" s="3" t="str">
        <f t="shared" si="6"/>
        <v/>
      </c>
      <c r="X503" s="3" t="str">
        <f t="shared" si="7"/>
        <v/>
      </c>
      <c r="Y503" s="3" t="str">
        <f t="shared" si="8"/>
        <v/>
      </c>
      <c r="Z503" s="3" t="str">
        <f t="shared" si="9"/>
        <v/>
      </c>
      <c r="AA503" s="13">
        <f t="shared" si="10"/>
        <v>54357</v>
      </c>
      <c r="AB503" s="3">
        <f t="shared" si="11"/>
        <v>54356</v>
      </c>
      <c r="AC503" s="3">
        <f t="shared" si="12"/>
        <v>4</v>
      </c>
      <c r="AD503" s="3">
        <f t="shared" si="13"/>
        <v>13589</v>
      </c>
      <c r="AE503" s="3" t="str">
        <f t="shared" si="14"/>
        <v/>
      </c>
      <c r="AF503" s="3">
        <f t="shared" si="15"/>
        <v>0</v>
      </c>
      <c r="AG503" s="3" t="str">
        <f t="shared" si="16"/>
        <v/>
      </c>
      <c r="AH503" s="3">
        <f t="shared" si="17"/>
        <v>0</v>
      </c>
      <c r="AI503" s="3" t="str">
        <f t="shared" si="18"/>
        <v/>
      </c>
      <c r="AJ503" s="3">
        <f t="shared" si="19"/>
        <v>0</v>
      </c>
    </row>
    <row r="504">
      <c r="C504" s="6" t="s">
        <v>504</v>
      </c>
      <c r="D504" s="3">
        <f t="shared" si="1"/>
        <v>3</v>
      </c>
      <c r="E504" s="3" t="str">
        <f>IFERROR(__xludf.DUMMYFUNCTION("REGEXEXTRACT(C504,""[^ ]* [^ ]*"")"),"bright olive")</f>
        <v>bright olive</v>
      </c>
      <c r="F504" s="3" t="str">
        <f>IFERROR(__xludf.DUMMYFUNCTION("MID(REGEXEXTRACT(C504,""contain.*$""),9,300)"),"4 shiny maroon bags, 1 striped tan bag, 2 drab teal bags, 3 mirrored chartreuse bags.")</f>
        <v>4 shiny maroon bags, 1 striped tan bag, 2 drab teal bags, 3 mirrored chartreuse bags.</v>
      </c>
      <c r="G504" s="3" t="str">
        <f>IFERROR(__xludf.DUMMYFUNCTION("INDEX(SPLIT($F504,"",""),COLUMN()-6)"),"4 shiny maroon bags")</f>
        <v>4 shiny maroon bags</v>
      </c>
      <c r="H504" s="3" t="str">
        <f>IFERROR(__xludf.DUMMYFUNCTION("MID(INDEX(SPLIT($F504,"",""),COLUMN()-6),2,300)"),"1 striped tan bag")</f>
        <v>1 striped tan bag</v>
      </c>
      <c r="I504" s="3" t="str">
        <f>IFERROR(__xludf.DUMMYFUNCTION("MID(INDEX(SPLIT($F504,"",""),COLUMN()-6),2,300)"),"2 drab teal bags")</f>
        <v>2 drab teal bags</v>
      </c>
      <c r="J504" s="3" t="str">
        <f>IFERROR(__xludf.DUMMYFUNCTION("MID(INDEX(SPLIT($F504,"",""),COLUMN()-6),2,300)"),"3 mirrored chartreuse bags.")</f>
        <v>3 mirrored chartreuse bags.</v>
      </c>
      <c r="K504" s="3">
        <f>IFERROR(__xludf.DUMMYFUNCTION("INDEX(SPLIT(G504,"" ""),1)"),4.0)</f>
        <v>4</v>
      </c>
      <c r="L504" s="3" t="str">
        <f>IFERROR(__xludf.DUMMYFUNCTION("REGEXEXTRACT(G504,"" [^ ]* [^ ]* "")")," shiny maroon ")</f>
        <v> shiny maroon </v>
      </c>
      <c r="M504" s="3">
        <f>IFERROR(__xludf.DUMMYFUNCTION("INDEX(SPLIT(H504,"" ""),1)"),1.0)</f>
        <v>1</v>
      </c>
      <c r="N504" s="3" t="str">
        <f>IFERROR(__xludf.DUMMYFUNCTION("MID(REGEXEXTRACT(H504,"" [^ ]* [^ ]*""),2,300)"),"striped tan")</f>
        <v>striped tan</v>
      </c>
      <c r="O504" s="3">
        <f>IFERROR(__xludf.DUMMYFUNCTION("INDEX(SPLIT(I504,"" ""),1)"),2.0)</f>
        <v>2</v>
      </c>
      <c r="P504" s="3" t="str">
        <f>IFERROR(__xludf.DUMMYFUNCTION("MID(REGEXEXTRACT(I504,"" [^ ]* [^ ]*""),2,300)"),"drab teal")</f>
        <v>drab teal</v>
      </c>
      <c r="Q504" s="3">
        <f>IFERROR(__xludf.DUMMYFUNCTION("INDEX(SPLIT(J504,"" ""),1)"),3.0)</f>
        <v>3</v>
      </c>
      <c r="R504" s="3" t="str">
        <f>IFERROR(__xludf.DUMMYFUNCTION("MID(REGEXEXTRACT(J504,"" [^ ]* [^ ]*""),2,300)"),"mirrored chartreuse")</f>
        <v>mirrored chartreuse</v>
      </c>
      <c r="S504" s="3">
        <f t="shared" si="2"/>
        <v>4</v>
      </c>
      <c r="T504" s="3" t="str">
        <f t="shared" si="3"/>
        <v>shiny maroon</v>
      </c>
      <c r="U504" s="3">
        <f t="shared" si="4"/>
        <v>1</v>
      </c>
      <c r="V504" s="3" t="str">
        <f t="shared" si="5"/>
        <v>striped tan</v>
      </c>
      <c r="W504" s="3">
        <f t="shared" si="6"/>
        <v>2</v>
      </c>
      <c r="X504" s="3" t="str">
        <f t="shared" si="7"/>
        <v>drab teal</v>
      </c>
      <c r="Y504" s="3">
        <f t="shared" si="8"/>
        <v>3</v>
      </c>
      <c r="Z504" s="3" t="str">
        <f t="shared" si="9"/>
        <v>mirrored chartreuse</v>
      </c>
      <c r="AA504" s="13">
        <f t="shared" si="10"/>
        <v>2852291</v>
      </c>
      <c r="AB504" s="3">
        <f t="shared" si="11"/>
        <v>2852290</v>
      </c>
      <c r="AC504" s="3">
        <f t="shared" si="12"/>
        <v>4</v>
      </c>
      <c r="AD504" s="3">
        <f t="shared" si="13"/>
        <v>557022</v>
      </c>
      <c r="AE504" s="3">
        <f t="shared" si="14"/>
        <v>1</v>
      </c>
      <c r="AF504" s="3">
        <f t="shared" si="15"/>
        <v>541901</v>
      </c>
      <c r="AG504" s="3">
        <f t="shared" si="16"/>
        <v>2</v>
      </c>
      <c r="AH504" s="3">
        <f t="shared" si="17"/>
        <v>40693</v>
      </c>
      <c r="AI504" s="3">
        <f t="shared" si="18"/>
        <v>3</v>
      </c>
      <c r="AJ504" s="3">
        <f t="shared" si="19"/>
        <v>305</v>
      </c>
    </row>
    <row r="505">
      <c r="C505" s="6" t="s">
        <v>505</v>
      </c>
      <c r="D505" s="3">
        <f t="shared" si="1"/>
        <v>3</v>
      </c>
      <c r="E505" s="3" t="str">
        <f>IFERROR(__xludf.DUMMYFUNCTION("REGEXEXTRACT(C505,""[^ ]* [^ ]*"")"),"mirrored white")</f>
        <v>mirrored white</v>
      </c>
      <c r="F505" s="3" t="str">
        <f>IFERROR(__xludf.DUMMYFUNCTION("MID(REGEXEXTRACT(C505,""contain.*$""),9,300)"),"4 vibrant aqua bags, 4 clear blue bags, 4 bright violet bags, 1 muted olive bag.")</f>
        <v>4 vibrant aqua bags, 4 clear blue bags, 4 bright violet bags, 1 muted olive bag.</v>
      </c>
      <c r="G505" s="3" t="str">
        <f>IFERROR(__xludf.DUMMYFUNCTION("INDEX(SPLIT($F505,"",""),COLUMN()-6)"),"4 vibrant aqua bags")</f>
        <v>4 vibrant aqua bags</v>
      </c>
      <c r="H505" s="3" t="str">
        <f>IFERROR(__xludf.DUMMYFUNCTION("MID(INDEX(SPLIT($F505,"",""),COLUMN()-6),2,300)"),"4 clear blue bags")</f>
        <v>4 clear blue bags</v>
      </c>
      <c r="I505" s="3" t="str">
        <f>IFERROR(__xludf.DUMMYFUNCTION("MID(INDEX(SPLIT($F505,"",""),COLUMN()-6),2,300)"),"4 bright violet bags")</f>
        <v>4 bright violet bags</v>
      </c>
      <c r="J505" s="3" t="str">
        <f>IFERROR(__xludf.DUMMYFUNCTION("MID(INDEX(SPLIT($F505,"",""),COLUMN()-6),2,300)"),"1 muted olive bag.")</f>
        <v>1 muted olive bag.</v>
      </c>
      <c r="K505" s="3">
        <f>IFERROR(__xludf.DUMMYFUNCTION("INDEX(SPLIT(G505,"" ""),1)"),4.0)</f>
        <v>4</v>
      </c>
      <c r="L505" s="3" t="str">
        <f>IFERROR(__xludf.DUMMYFUNCTION("REGEXEXTRACT(G505,"" [^ ]* [^ ]* "")")," vibrant aqua ")</f>
        <v> vibrant aqua </v>
      </c>
      <c r="M505" s="3">
        <f>IFERROR(__xludf.DUMMYFUNCTION("INDEX(SPLIT(H505,"" ""),1)"),4.0)</f>
        <v>4</v>
      </c>
      <c r="N505" s="3" t="str">
        <f>IFERROR(__xludf.DUMMYFUNCTION("MID(REGEXEXTRACT(H505,"" [^ ]* [^ ]*""),2,300)"),"clear blue")</f>
        <v>clear blue</v>
      </c>
      <c r="O505" s="3">
        <f>IFERROR(__xludf.DUMMYFUNCTION("INDEX(SPLIT(I505,"" ""),1)"),4.0)</f>
        <v>4</v>
      </c>
      <c r="P505" s="3" t="str">
        <f>IFERROR(__xludf.DUMMYFUNCTION("MID(REGEXEXTRACT(I505,"" [^ ]* [^ ]*""),2,300)"),"bright violet")</f>
        <v>bright violet</v>
      </c>
      <c r="Q505" s="3">
        <f>IFERROR(__xludf.DUMMYFUNCTION("INDEX(SPLIT(J505,"" ""),1)"),1.0)</f>
        <v>1</v>
      </c>
      <c r="R505" s="3" t="str">
        <f>IFERROR(__xludf.DUMMYFUNCTION("MID(REGEXEXTRACT(J505,"" [^ ]* [^ ]*""),2,300)"),"muted olive")</f>
        <v>muted olive</v>
      </c>
      <c r="S505" s="3">
        <f t="shared" si="2"/>
        <v>4</v>
      </c>
      <c r="T505" s="3" t="str">
        <f t="shared" si="3"/>
        <v>vibrant aqua</v>
      </c>
      <c r="U505" s="3">
        <f t="shared" si="4"/>
        <v>4</v>
      </c>
      <c r="V505" s="3" t="str">
        <f t="shared" si="5"/>
        <v>clear blue</v>
      </c>
      <c r="W505" s="3">
        <f t="shared" si="6"/>
        <v>4</v>
      </c>
      <c r="X505" s="3" t="str">
        <f t="shared" si="7"/>
        <v>bright violet</v>
      </c>
      <c r="Y505" s="3">
        <f t="shared" si="8"/>
        <v>1</v>
      </c>
      <c r="Z505" s="3" t="str">
        <f t="shared" si="9"/>
        <v>muted olive</v>
      </c>
      <c r="AA505" s="13">
        <f t="shared" si="10"/>
        <v>319</v>
      </c>
      <c r="AB505" s="3">
        <f t="shared" si="11"/>
        <v>318</v>
      </c>
      <c r="AC505" s="3">
        <f t="shared" si="12"/>
        <v>4</v>
      </c>
      <c r="AD505" s="3">
        <f t="shared" si="13"/>
        <v>1</v>
      </c>
      <c r="AE505" s="3">
        <f t="shared" si="14"/>
        <v>4</v>
      </c>
      <c r="AF505" s="3">
        <f t="shared" si="15"/>
        <v>76</v>
      </c>
      <c r="AG505" s="3">
        <f t="shared" si="16"/>
        <v>4</v>
      </c>
      <c r="AH505" s="3">
        <f t="shared" si="17"/>
        <v>1</v>
      </c>
      <c r="AI505" s="3">
        <f t="shared" si="18"/>
        <v>1</v>
      </c>
      <c r="AJ505" s="3">
        <f t="shared" si="19"/>
        <v>6</v>
      </c>
    </row>
    <row r="506">
      <c r="C506" s="6" t="s">
        <v>506</v>
      </c>
      <c r="D506" s="3">
        <f t="shared" si="1"/>
        <v>2</v>
      </c>
      <c r="E506" s="3" t="str">
        <f>IFERROR(__xludf.DUMMYFUNCTION("REGEXEXTRACT(C506,""[^ ]* [^ ]*"")"),"posh olive")</f>
        <v>posh olive</v>
      </c>
      <c r="F506" s="3" t="str">
        <f>IFERROR(__xludf.DUMMYFUNCTION("MID(REGEXEXTRACT(C506,""contain.*$""),9,300)"),"2 shiny maroon bags, 3 faded coral bags, 1 dark turquoise bag.")</f>
        <v>2 shiny maroon bags, 3 faded coral bags, 1 dark turquoise bag.</v>
      </c>
      <c r="G506" s="3" t="str">
        <f>IFERROR(__xludf.DUMMYFUNCTION("INDEX(SPLIT($F506,"",""),COLUMN()-6)"),"2 shiny maroon bags")</f>
        <v>2 shiny maroon bags</v>
      </c>
      <c r="H506" s="3" t="str">
        <f>IFERROR(__xludf.DUMMYFUNCTION("MID(INDEX(SPLIT($F506,"",""),COLUMN()-6),2,300)"),"3 faded coral bags")</f>
        <v>3 faded coral bags</v>
      </c>
      <c r="I506" s="3" t="str">
        <f>IFERROR(__xludf.DUMMYFUNCTION("MID(INDEX(SPLIT($F506,"",""),COLUMN()-6),2,300)"),"1 dark turquoise bag.")</f>
        <v>1 dark turquoise bag.</v>
      </c>
      <c r="J506" s="3" t="str">
        <f>IFERROR(__xludf.DUMMYFUNCTION("MID(INDEX(SPLIT($F506,"",""),COLUMN()-6),2,300)"),"#REF!")</f>
        <v>#REF!</v>
      </c>
      <c r="K506" s="3">
        <f>IFERROR(__xludf.DUMMYFUNCTION("INDEX(SPLIT(G506,"" ""),1)"),2.0)</f>
        <v>2</v>
      </c>
      <c r="L506" s="3" t="str">
        <f>IFERROR(__xludf.DUMMYFUNCTION("REGEXEXTRACT(G506,"" [^ ]* [^ ]* "")")," shiny maroon ")</f>
        <v> shiny maroon </v>
      </c>
      <c r="M506" s="3">
        <f>IFERROR(__xludf.DUMMYFUNCTION("INDEX(SPLIT(H506,"" ""),1)"),3.0)</f>
        <v>3</v>
      </c>
      <c r="N506" s="3" t="str">
        <f>IFERROR(__xludf.DUMMYFUNCTION("MID(REGEXEXTRACT(H506,"" [^ ]* [^ ]*""),2,300)"),"faded coral")</f>
        <v>faded coral</v>
      </c>
      <c r="O506" s="3">
        <f>IFERROR(__xludf.DUMMYFUNCTION("INDEX(SPLIT(I506,"" ""),1)"),1.0)</f>
        <v>1</v>
      </c>
      <c r="P506" s="3" t="str">
        <f>IFERROR(__xludf.DUMMYFUNCTION("MID(REGEXEXTRACT(I506,"" [^ ]* [^ ]*""),2,300)"),"dark turquoise")</f>
        <v>dark turquoise</v>
      </c>
      <c r="Q506" s="3" t="str">
        <f>IFERROR(__xludf.DUMMYFUNCTION("INDEX(SPLIT(J506,"" ""),1)"),"#REF!")</f>
        <v>#REF!</v>
      </c>
      <c r="R506" s="3" t="str">
        <f>IFERROR(__xludf.DUMMYFUNCTION("MID(REGEXEXTRACT(J506,"" [^ ]* [^ ]*""),2,300)"),"#REF!")</f>
        <v>#REF!</v>
      </c>
      <c r="S506" s="3">
        <f t="shared" si="2"/>
        <v>2</v>
      </c>
      <c r="T506" s="3" t="str">
        <f t="shared" si="3"/>
        <v>shiny maroon</v>
      </c>
      <c r="U506" s="3">
        <f t="shared" si="4"/>
        <v>3</v>
      </c>
      <c r="V506" s="3" t="str">
        <f t="shared" si="5"/>
        <v>faded coral</v>
      </c>
      <c r="W506" s="3">
        <f t="shared" si="6"/>
        <v>1</v>
      </c>
      <c r="X506" s="3" t="str">
        <f t="shared" si="7"/>
        <v>dark turquoise</v>
      </c>
      <c r="Y506" s="3" t="str">
        <f t="shared" si="8"/>
        <v/>
      </c>
      <c r="Z506" s="3" t="str">
        <f t="shared" si="9"/>
        <v/>
      </c>
      <c r="AA506" s="13">
        <f t="shared" si="10"/>
        <v>151930697</v>
      </c>
      <c r="AB506" s="3">
        <f t="shared" si="11"/>
        <v>151930696</v>
      </c>
      <c r="AC506" s="3">
        <f t="shared" si="12"/>
        <v>2</v>
      </c>
      <c r="AD506" s="3">
        <f t="shared" si="13"/>
        <v>557022</v>
      </c>
      <c r="AE506" s="3">
        <f t="shared" si="14"/>
        <v>3</v>
      </c>
      <c r="AF506" s="3">
        <f t="shared" si="15"/>
        <v>50143651</v>
      </c>
      <c r="AG506" s="3">
        <f t="shared" si="16"/>
        <v>1</v>
      </c>
      <c r="AH506" s="3">
        <f t="shared" si="17"/>
        <v>385699</v>
      </c>
      <c r="AI506" s="3" t="str">
        <f t="shared" si="18"/>
        <v/>
      </c>
      <c r="AJ506" s="3">
        <f t="shared" si="19"/>
        <v>0</v>
      </c>
    </row>
    <row r="507">
      <c r="C507" s="6" t="s">
        <v>507</v>
      </c>
      <c r="D507" s="3">
        <f t="shared" si="1"/>
        <v>2</v>
      </c>
      <c r="E507" s="3" t="str">
        <f>IFERROR(__xludf.DUMMYFUNCTION("REGEXEXTRACT(C507,""[^ ]* [^ ]*"")"),"vibrant lime")</f>
        <v>vibrant lime</v>
      </c>
      <c r="F507" s="3" t="str">
        <f>IFERROR(__xludf.DUMMYFUNCTION("MID(REGEXEXTRACT(C507,""contain.*$""),9,300)"),"1 light lime bag, 5 bright lime bags, 4 vibrant olive bags.")</f>
        <v>1 light lime bag, 5 bright lime bags, 4 vibrant olive bags.</v>
      </c>
      <c r="G507" s="3" t="str">
        <f>IFERROR(__xludf.DUMMYFUNCTION("INDEX(SPLIT($F507,"",""),COLUMN()-6)"),"1 light lime bag")</f>
        <v>1 light lime bag</v>
      </c>
      <c r="H507" s="3" t="str">
        <f>IFERROR(__xludf.DUMMYFUNCTION("MID(INDEX(SPLIT($F507,"",""),COLUMN()-6),2,300)"),"5 bright lime bags")</f>
        <v>5 bright lime bags</v>
      </c>
      <c r="I507" s="3" t="str">
        <f>IFERROR(__xludf.DUMMYFUNCTION("MID(INDEX(SPLIT($F507,"",""),COLUMN()-6),2,300)"),"4 vibrant olive bags.")</f>
        <v>4 vibrant olive bags.</v>
      </c>
      <c r="J507" s="3" t="str">
        <f>IFERROR(__xludf.DUMMYFUNCTION("MID(INDEX(SPLIT($F507,"",""),COLUMN()-6),2,300)"),"#REF!")</f>
        <v>#REF!</v>
      </c>
      <c r="K507" s="3">
        <f>IFERROR(__xludf.DUMMYFUNCTION("INDEX(SPLIT(G507,"" ""),1)"),1.0)</f>
        <v>1</v>
      </c>
      <c r="L507" s="3" t="str">
        <f>IFERROR(__xludf.DUMMYFUNCTION("REGEXEXTRACT(G507,"" [^ ]* [^ ]* "")")," light lime ")</f>
        <v> light lime </v>
      </c>
      <c r="M507" s="3">
        <f>IFERROR(__xludf.DUMMYFUNCTION("INDEX(SPLIT(H507,"" ""),1)"),5.0)</f>
        <v>5</v>
      </c>
      <c r="N507" s="3" t="str">
        <f>IFERROR(__xludf.DUMMYFUNCTION("MID(REGEXEXTRACT(H507,"" [^ ]* [^ ]*""),2,300)"),"bright lime")</f>
        <v>bright lime</v>
      </c>
      <c r="O507" s="3">
        <f>IFERROR(__xludf.DUMMYFUNCTION("INDEX(SPLIT(I507,"" ""),1)"),4.0)</f>
        <v>4</v>
      </c>
      <c r="P507" s="3" t="str">
        <f>IFERROR(__xludf.DUMMYFUNCTION("MID(REGEXEXTRACT(I507,"" [^ ]* [^ ]*""),2,300)"),"vibrant olive")</f>
        <v>vibrant olive</v>
      </c>
      <c r="Q507" s="3" t="str">
        <f>IFERROR(__xludf.DUMMYFUNCTION("INDEX(SPLIT(J507,"" ""),1)"),"#REF!")</f>
        <v>#REF!</v>
      </c>
      <c r="R507" s="3" t="str">
        <f>IFERROR(__xludf.DUMMYFUNCTION("MID(REGEXEXTRACT(J507,"" [^ ]* [^ ]*""),2,300)"),"#REF!")</f>
        <v>#REF!</v>
      </c>
      <c r="S507" s="3">
        <f t="shared" si="2"/>
        <v>1</v>
      </c>
      <c r="T507" s="3" t="str">
        <f t="shared" si="3"/>
        <v>light lime</v>
      </c>
      <c r="U507" s="3">
        <f t="shared" si="4"/>
        <v>5</v>
      </c>
      <c r="V507" s="3" t="str">
        <f t="shared" si="5"/>
        <v>bright lime</v>
      </c>
      <c r="W507" s="3">
        <f t="shared" si="6"/>
        <v>4</v>
      </c>
      <c r="X507" s="3" t="str">
        <f t="shared" si="7"/>
        <v>vibrant olive</v>
      </c>
      <c r="Y507" s="3" t="str">
        <f t="shared" si="8"/>
        <v/>
      </c>
      <c r="Z507" s="3" t="str">
        <f t="shared" si="9"/>
        <v/>
      </c>
      <c r="AA507" s="13">
        <f t="shared" si="10"/>
        <v>163022494</v>
      </c>
      <c r="AB507" s="3">
        <f t="shared" si="11"/>
        <v>163022493</v>
      </c>
      <c r="AC507" s="3">
        <f t="shared" si="12"/>
        <v>1</v>
      </c>
      <c r="AD507" s="3">
        <f t="shared" si="13"/>
        <v>147338859</v>
      </c>
      <c r="AE507" s="3">
        <f t="shared" si="14"/>
        <v>5</v>
      </c>
      <c r="AF507" s="3">
        <f t="shared" si="15"/>
        <v>118582</v>
      </c>
      <c r="AG507" s="3">
        <f t="shared" si="16"/>
        <v>4</v>
      </c>
      <c r="AH507" s="3">
        <f t="shared" si="17"/>
        <v>3772681</v>
      </c>
      <c r="AI507" s="3" t="str">
        <f t="shared" si="18"/>
        <v/>
      </c>
      <c r="AJ507" s="3">
        <f t="shared" si="19"/>
        <v>0</v>
      </c>
    </row>
    <row r="508">
      <c r="C508" s="6" t="s">
        <v>508</v>
      </c>
      <c r="D508" s="3">
        <f t="shared" si="1"/>
        <v>1</v>
      </c>
      <c r="E508" s="3" t="str">
        <f>IFERROR(__xludf.DUMMYFUNCTION("REGEXEXTRACT(C508,""[^ ]* [^ ]*"")"),"striped brown")</f>
        <v>striped brown</v>
      </c>
      <c r="F508" s="3" t="str">
        <f>IFERROR(__xludf.DUMMYFUNCTION("MID(REGEXEXTRACT(C508,""contain.*$""),9,300)"),"3 clear chartreuse bags, 4 drab magenta bags.")</f>
        <v>3 clear chartreuse bags, 4 drab magenta bags.</v>
      </c>
      <c r="G508" s="3" t="str">
        <f>IFERROR(__xludf.DUMMYFUNCTION("INDEX(SPLIT($F508,"",""),COLUMN()-6)"),"3 clear chartreuse bags")</f>
        <v>3 clear chartreuse bags</v>
      </c>
      <c r="H508" s="3" t="str">
        <f>IFERROR(__xludf.DUMMYFUNCTION("MID(INDEX(SPLIT($F508,"",""),COLUMN()-6),2,300)"),"4 drab magenta bags.")</f>
        <v>4 drab magenta bags.</v>
      </c>
      <c r="I508" s="3" t="str">
        <f>IFERROR(__xludf.DUMMYFUNCTION("MID(INDEX(SPLIT($F508,"",""),COLUMN()-6),2,300)"),"#REF!")</f>
        <v>#REF!</v>
      </c>
      <c r="J508" s="3" t="str">
        <f>IFERROR(__xludf.DUMMYFUNCTION("MID(INDEX(SPLIT($F508,"",""),COLUMN()-6),2,300)"),"#REF!")</f>
        <v>#REF!</v>
      </c>
      <c r="K508" s="3">
        <f>IFERROR(__xludf.DUMMYFUNCTION("INDEX(SPLIT(G508,"" ""),1)"),3.0)</f>
        <v>3</v>
      </c>
      <c r="L508" s="3" t="str">
        <f>IFERROR(__xludf.DUMMYFUNCTION("REGEXEXTRACT(G508,"" [^ ]* [^ ]* "")")," clear chartreuse ")</f>
        <v> clear chartreuse </v>
      </c>
      <c r="M508" s="3">
        <f>IFERROR(__xludf.DUMMYFUNCTION("INDEX(SPLIT(H508,"" ""),1)"),4.0)</f>
        <v>4</v>
      </c>
      <c r="N508" s="3" t="str">
        <f>IFERROR(__xludf.DUMMYFUNCTION("MID(REGEXEXTRACT(H508,"" [^ ]* [^ ]*""),2,300)"),"drab magenta")</f>
        <v>drab magenta</v>
      </c>
      <c r="O508" s="3" t="str">
        <f>IFERROR(__xludf.DUMMYFUNCTION("INDEX(SPLIT(I508,"" ""),1)"),"#REF!")</f>
        <v>#REF!</v>
      </c>
      <c r="P508" s="3" t="str">
        <f>IFERROR(__xludf.DUMMYFUNCTION("MID(REGEXEXTRACT(I508,"" [^ ]* [^ ]*""),2,300)"),"#REF!")</f>
        <v>#REF!</v>
      </c>
      <c r="Q508" s="3" t="str">
        <f>IFERROR(__xludf.DUMMYFUNCTION("INDEX(SPLIT(J508,"" ""),1)"),"#REF!")</f>
        <v>#REF!</v>
      </c>
      <c r="R508" s="3" t="str">
        <f>IFERROR(__xludf.DUMMYFUNCTION("MID(REGEXEXTRACT(J508,"" [^ ]* [^ ]*""),2,300)"),"#REF!")</f>
        <v>#REF!</v>
      </c>
      <c r="S508" s="3">
        <f t="shared" si="2"/>
        <v>3</v>
      </c>
      <c r="T508" s="3" t="str">
        <f t="shared" si="3"/>
        <v>clear chartreuse</v>
      </c>
      <c r="U508" s="3">
        <f t="shared" si="4"/>
        <v>4</v>
      </c>
      <c r="V508" s="3" t="str">
        <f t="shared" si="5"/>
        <v>drab magenta</v>
      </c>
      <c r="W508" s="3" t="str">
        <f t="shared" si="6"/>
        <v/>
      </c>
      <c r="X508" s="3" t="str">
        <f t="shared" si="7"/>
        <v/>
      </c>
      <c r="Y508" s="3" t="str">
        <f t="shared" si="8"/>
        <v/>
      </c>
      <c r="Z508" s="3" t="str">
        <f t="shared" si="9"/>
        <v/>
      </c>
      <c r="AA508" s="13">
        <f t="shared" si="10"/>
        <v>156980933</v>
      </c>
      <c r="AB508" s="3">
        <f t="shared" si="11"/>
        <v>156980932</v>
      </c>
      <c r="AC508" s="3">
        <f t="shared" si="12"/>
        <v>3</v>
      </c>
      <c r="AD508" s="3">
        <f t="shared" si="13"/>
        <v>52325344</v>
      </c>
      <c r="AE508" s="3">
        <f t="shared" si="14"/>
        <v>4</v>
      </c>
      <c r="AF508" s="3">
        <f t="shared" si="15"/>
        <v>1225</v>
      </c>
      <c r="AG508" s="3" t="str">
        <f t="shared" si="16"/>
        <v/>
      </c>
      <c r="AH508" s="3">
        <f t="shared" si="17"/>
        <v>0</v>
      </c>
      <c r="AI508" s="3" t="str">
        <f t="shared" si="18"/>
        <v/>
      </c>
      <c r="AJ508" s="3">
        <f t="shared" si="19"/>
        <v>0</v>
      </c>
    </row>
    <row r="509">
      <c r="C509" s="6" t="s">
        <v>509</v>
      </c>
      <c r="D509" s="3">
        <f t="shared" si="1"/>
        <v>0</v>
      </c>
      <c r="E509" s="3" t="str">
        <f>IFERROR(__xludf.DUMMYFUNCTION("REGEXEXTRACT(C509,""[^ ]* [^ ]*"")"),"striped lavender")</f>
        <v>striped lavender</v>
      </c>
      <c r="F509" s="3" t="str">
        <f>IFERROR(__xludf.DUMMYFUNCTION("MID(REGEXEXTRACT(C509,""contain.*$""),9,300)"),"1 wavy plum bag.")</f>
        <v>1 wavy plum bag.</v>
      </c>
      <c r="G509" s="3" t="str">
        <f>IFERROR(__xludf.DUMMYFUNCTION("INDEX(SPLIT($F509,"",""),COLUMN()-6)"),"1 wavy plum bag.")</f>
        <v>1 wavy plum bag.</v>
      </c>
      <c r="H509" s="3" t="str">
        <f>IFERROR(__xludf.DUMMYFUNCTION("MID(INDEX(SPLIT($F509,"",""),COLUMN()-6),2,300)"),"#REF!")</f>
        <v>#REF!</v>
      </c>
      <c r="I509" s="3" t="str">
        <f>IFERROR(__xludf.DUMMYFUNCTION("MID(INDEX(SPLIT($F509,"",""),COLUMN()-6),2,300)"),"#REF!")</f>
        <v>#REF!</v>
      </c>
      <c r="J509" s="3" t="str">
        <f>IFERROR(__xludf.DUMMYFUNCTION("MID(INDEX(SPLIT($F509,"",""),COLUMN()-6),2,300)"),"#REF!")</f>
        <v>#REF!</v>
      </c>
      <c r="K509" s="3">
        <f>IFERROR(__xludf.DUMMYFUNCTION("INDEX(SPLIT(G509,"" ""),1)"),1.0)</f>
        <v>1</v>
      </c>
      <c r="L509" s="3" t="str">
        <f>IFERROR(__xludf.DUMMYFUNCTION("REGEXEXTRACT(G509,"" [^ ]* [^ ]* "")")," wavy plum ")</f>
        <v> wavy plum </v>
      </c>
      <c r="M509" s="3" t="str">
        <f>IFERROR(__xludf.DUMMYFUNCTION("INDEX(SPLIT(H509,"" ""),1)"),"#REF!")</f>
        <v>#REF!</v>
      </c>
      <c r="N509" s="3" t="str">
        <f>IFERROR(__xludf.DUMMYFUNCTION("MID(REGEXEXTRACT(H509,"" [^ ]* [^ ]*""),2,300)"),"#REF!")</f>
        <v>#REF!</v>
      </c>
      <c r="O509" s="3" t="str">
        <f>IFERROR(__xludf.DUMMYFUNCTION("INDEX(SPLIT(I509,"" ""),1)"),"#REF!")</f>
        <v>#REF!</v>
      </c>
      <c r="P509" s="3" t="str">
        <f>IFERROR(__xludf.DUMMYFUNCTION("MID(REGEXEXTRACT(I509,"" [^ ]* [^ ]*""),2,300)"),"#REF!")</f>
        <v>#REF!</v>
      </c>
      <c r="Q509" s="3" t="str">
        <f>IFERROR(__xludf.DUMMYFUNCTION("INDEX(SPLIT(J509,"" ""),1)"),"#REF!")</f>
        <v>#REF!</v>
      </c>
      <c r="R509" s="3" t="str">
        <f>IFERROR(__xludf.DUMMYFUNCTION("MID(REGEXEXTRACT(J509,"" [^ ]* [^ ]*""),2,300)"),"#REF!")</f>
        <v>#REF!</v>
      </c>
      <c r="S509" s="3">
        <f t="shared" si="2"/>
        <v>1</v>
      </c>
      <c r="T509" s="3" t="str">
        <f t="shared" si="3"/>
        <v>wavy plum</v>
      </c>
      <c r="U509" s="3" t="str">
        <f t="shared" si="4"/>
        <v/>
      </c>
      <c r="V509" s="3" t="str">
        <f t="shared" si="5"/>
        <v/>
      </c>
      <c r="W509" s="3" t="str">
        <f t="shared" si="6"/>
        <v/>
      </c>
      <c r="X509" s="3" t="str">
        <f t="shared" si="7"/>
        <v/>
      </c>
      <c r="Y509" s="3" t="str">
        <f t="shared" si="8"/>
        <v/>
      </c>
      <c r="Z509" s="3" t="str">
        <f t="shared" si="9"/>
        <v/>
      </c>
      <c r="AA509" s="13">
        <f t="shared" si="10"/>
        <v>148187</v>
      </c>
      <c r="AB509" s="3">
        <f t="shared" si="11"/>
        <v>148186</v>
      </c>
      <c r="AC509" s="3">
        <f t="shared" si="12"/>
        <v>1</v>
      </c>
      <c r="AD509" s="3">
        <f t="shared" si="13"/>
        <v>148186</v>
      </c>
      <c r="AE509" s="3" t="str">
        <f t="shared" si="14"/>
        <v/>
      </c>
      <c r="AF509" s="3">
        <f t="shared" si="15"/>
        <v>0</v>
      </c>
      <c r="AG509" s="3" t="str">
        <f t="shared" si="16"/>
        <v/>
      </c>
      <c r="AH509" s="3">
        <f t="shared" si="17"/>
        <v>0</v>
      </c>
      <c r="AI509" s="3" t="str">
        <f t="shared" si="18"/>
        <v/>
      </c>
      <c r="AJ509" s="3">
        <f t="shared" si="19"/>
        <v>0</v>
      </c>
    </row>
    <row r="510">
      <c r="C510" s="6" t="s">
        <v>510</v>
      </c>
      <c r="D510" s="3">
        <f t="shared" si="1"/>
        <v>0</v>
      </c>
      <c r="E510" s="3" t="str">
        <f>IFERROR(__xludf.DUMMYFUNCTION("REGEXEXTRACT(C510,""[^ ]* [^ ]*"")"),"wavy white")</f>
        <v>wavy white</v>
      </c>
      <c r="F510" s="3" t="str">
        <f>IFERROR(__xludf.DUMMYFUNCTION("MID(REGEXEXTRACT(C510,""contain.*$""),9,300)"),"4 dotted red bags.")</f>
        <v>4 dotted red bags.</v>
      </c>
      <c r="G510" s="3" t="str">
        <f>IFERROR(__xludf.DUMMYFUNCTION("INDEX(SPLIT($F510,"",""),COLUMN()-6)"),"4 dotted red bags.")</f>
        <v>4 dotted red bags.</v>
      </c>
      <c r="H510" s="3" t="str">
        <f>IFERROR(__xludf.DUMMYFUNCTION("MID(INDEX(SPLIT($F510,"",""),COLUMN()-6),2,300)"),"#REF!")</f>
        <v>#REF!</v>
      </c>
      <c r="I510" s="3" t="str">
        <f>IFERROR(__xludf.DUMMYFUNCTION("MID(INDEX(SPLIT($F510,"",""),COLUMN()-6),2,300)"),"#REF!")</f>
        <v>#REF!</v>
      </c>
      <c r="J510" s="3" t="str">
        <f>IFERROR(__xludf.DUMMYFUNCTION("MID(INDEX(SPLIT($F510,"",""),COLUMN()-6),2,300)"),"#REF!")</f>
        <v>#REF!</v>
      </c>
      <c r="K510" s="3">
        <f>IFERROR(__xludf.DUMMYFUNCTION("INDEX(SPLIT(G510,"" ""),1)"),4.0)</f>
        <v>4</v>
      </c>
      <c r="L510" s="3" t="str">
        <f>IFERROR(__xludf.DUMMYFUNCTION("REGEXEXTRACT(G510,"" [^ ]* [^ ]* "")")," dotted red ")</f>
        <v> dotted red </v>
      </c>
      <c r="M510" s="3" t="str">
        <f>IFERROR(__xludf.DUMMYFUNCTION("INDEX(SPLIT(H510,"" ""),1)"),"#REF!")</f>
        <v>#REF!</v>
      </c>
      <c r="N510" s="3" t="str">
        <f>IFERROR(__xludf.DUMMYFUNCTION("MID(REGEXEXTRACT(H510,"" [^ ]* [^ ]*""),2,300)"),"#REF!")</f>
        <v>#REF!</v>
      </c>
      <c r="O510" s="3" t="str">
        <f>IFERROR(__xludf.DUMMYFUNCTION("INDEX(SPLIT(I510,"" ""),1)"),"#REF!")</f>
        <v>#REF!</v>
      </c>
      <c r="P510" s="3" t="str">
        <f>IFERROR(__xludf.DUMMYFUNCTION("MID(REGEXEXTRACT(I510,"" [^ ]* [^ ]*""),2,300)"),"#REF!")</f>
        <v>#REF!</v>
      </c>
      <c r="Q510" s="3" t="str">
        <f>IFERROR(__xludf.DUMMYFUNCTION("INDEX(SPLIT(J510,"" ""),1)"),"#REF!")</f>
        <v>#REF!</v>
      </c>
      <c r="R510" s="3" t="str">
        <f>IFERROR(__xludf.DUMMYFUNCTION("MID(REGEXEXTRACT(J510,"" [^ ]* [^ ]*""),2,300)"),"#REF!")</f>
        <v>#REF!</v>
      </c>
      <c r="S510" s="3">
        <f t="shared" si="2"/>
        <v>4</v>
      </c>
      <c r="T510" s="3" t="str">
        <f t="shared" si="3"/>
        <v>dotted red</v>
      </c>
      <c r="U510" s="3" t="str">
        <f t="shared" si="4"/>
        <v/>
      </c>
      <c r="V510" s="3" t="str">
        <f t="shared" si="5"/>
        <v/>
      </c>
      <c r="W510" s="3" t="str">
        <f t="shared" si="6"/>
        <v/>
      </c>
      <c r="X510" s="3" t="str">
        <f t="shared" si="7"/>
        <v/>
      </c>
      <c r="Y510" s="3" t="str">
        <f t="shared" si="8"/>
        <v/>
      </c>
      <c r="Z510" s="3" t="str">
        <f t="shared" si="9"/>
        <v/>
      </c>
      <c r="AA510" s="13">
        <f t="shared" si="10"/>
        <v>4976205101</v>
      </c>
      <c r="AB510" s="3">
        <f t="shared" si="11"/>
        <v>4976205100</v>
      </c>
      <c r="AC510" s="3">
        <f t="shared" si="12"/>
        <v>4</v>
      </c>
      <c r="AD510" s="3">
        <f t="shared" si="13"/>
        <v>1244051275</v>
      </c>
      <c r="AE510" s="3" t="str">
        <f t="shared" si="14"/>
        <v/>
      </c>
      <c r="AF510" s="3">
        <f t="shared" si="15"/>
        <v>0</v>
      </c>
      <c r="AG510" s="3" t="str">
        <f t="shared" si="16"/>
        <v/>
      </c>
      <c r="AH510" s="3">
        <f t="shared" si="17"/>
        <v>0</v>
      </c>
      <c r="AI510" s="3" t="str">
        <f t="shared" si="18"/>
        <v/>
      </c>
      <c r="AJ510" s="3">
        <f t="shared" si="19"/>
        <v>0</v>
      </c>
    </row>
    <row r="511">
      <c r="C511" s="6" t="s">
        <v>511</v>
      </c>
      <c r="D511" s="3">
        <f t="shared" si="1"/>
        <v>3</v>
      </c>
      <c r="E511" s="3" t="str">
        <f>IFERROR(__xludf.DUMMYFUNCTION("REGEXEXTRACT(C511,""[^ ]* [^ ]*"")"),"dark bronze")</f>
        <v>dark bronze</v>
      </c>
      <c r="F511" s="3" t="str">
        <f>IFERROR(__xludf.DUMMYFUNCTION("MID(REGEXEXTRACT(C511,""contain.*$""),9,300)"),"2 posh green bags, 1 dotted crimson bag, 5 bright lavender bags, 1 shiny coral bag.")</f>
        <v>2 posh green bags, 1 dotted crimson bag, 5 bright lavender bags, 1 shiny coral bag.</v>
      </c>
      <c r="G511" s="3" t="str">
        <f>IFERROR(__xludf.DUMMYFUNCTION("INDEX(SPLIT($F511,"",""),COLUMN()-6)"),"2 posh green bags")</f>
        <v>2 posh green bags</v>
      </c>
      <c r="H511" s="3" t="str">
        <f>IFERROR(__xludf.DUMMYFUNCTION("MID(INDEX(SPLIT($F511,"",""),COLUMN()-6),2,300)"),"1 dotted crimson bag")</f>
        <v>1 dotted crimson bag</v>
      </c>
      <c r="I511" s="3" t="str">
        <f>IFERROR(__xludf.DUMMYFUNCTION("MID(INDEX(SPLIT($F511,"",""),COLUMN()-6),2,300)"),"5 bright lavender bags")</f>
        <v>5 bright lavender bags</v>
      </c>
      <c r="J511" s="3" t="str">
        <f>IFERROR(__xludf.DUMMYFUNCTION("MID(INDEX(SPLIT($F511,"",""),COLUMN()-6),2,300)"),"1 shiny coral bag.")</f>
        <v>1 shiny coral bag.</v>
      </c>
      <c r="K511" s="3">
        <f>IFERROR(__xludf.DUMMYFUNCTION("INDEX(SPLIT(G511,"" ""),1)"),2.0)</f>
        <v>2</v>
      </c>
      <c r="L511" s="3" t="str">
        <f>IFERROR(__xludf.DUMMYFUNCTION("REGEXEXTRACT(G511,"" [^ ]* [^ ]* "")")," posh green ")</f>
        <v> posh green </v>
      </c>
      <c r="M511" s="3">
        <f>IFERROR(__xludf.DUMMYFUNCTION("INDEX(SPLIT(H511,"" ""),1)"),1.0)</f>
        <v>1</v>
      </c>
      <c r="N511" s="3" t="str">
        <f>IFERROR(__xludf.DUMMYFUNCTION("MID(REGEXEXTRACT(H511,"" [^ ]* [^ ]*""),2,300)"),"dotted crimson")</f>
        <v>dotted crimson</v>
      </c>
      <c r="O511" s="3">
        <f>IFERROR(__xludf.DUMMYFUNCTION("INDEX(SPLIT(I511,"" ""),1)"),5.0)</f>
        <v>5</v>
      </c>
      <c r="P511" s="3" t="str">
        <f>IFERROR(__xludf.DUMMYFUNCTION("MID(REGEXEXTRACT(I511,"" [^ ]* [^ ]*""),2,300)"),"bright lavender")</f>
        <v>bright lavender</v>
      </c>
      <c r="Q511" s="3">
        <f>IFERROR(__xludf.DUMMYFUNCTION("INDEX(SPLIT(J511,"" ""),1)"),1.0)</f>
        <v>1</v>
      </c>
      <c r="R511" s="3" t="str">
        <f>IFERROR(__xludf.DUMMYFUNCTION("MID(REGEXEXTRACT(J511,"" [^ ]* [^ ]*""),2,300)"),"shiny coral")</f>
        <v>shiny coral</v>
      </c>
      <c r="S511" s="3">
        <f t="shared" si="2"/>
        <v>2</v>
      </c>
      <c r="T511" s="3" t="str">
        <f t="shared" si="3"/>
        <v>posh green</v>
      </c>
      <c r="U511" s="3">
        <f t="shared" si="4"/>
        <v>1</v>
      </c>
      <c r="V511" s="3" t="str">
        <f t="shared" si="5"/>
        <v>dotted crimson</v>
      </c>
      <c r="W511" s="3">
        <f t="shared" si="6"/>
        <v>5</v>
      </c>
      <c r="X511" s="3" t="str">
        <f t="shared" si="7"/>
        <v>bright lavender</v>
      </c>
      <c r="Y511" s="3">
        <f t="shared" si="8"/>
        <v>1</v>
      </c>
      <c r="Z511" s="3" t="str">
        <f t="shared" si="9"/>
        <v>shiny coral</v>
      </c>
      <c r="AA511" s="13">
        <f t="shared" si="10"/>
        <v>14835</v>
      </c>
      <c r="AB511" s="3">
        <f t="shared" si="11"/>
        <v>14834</v>
      </c>
      <c r="AC511" s="3">
        <f t="shared" si="12"/>
        <v>2</v>
      </c>
      <c r="AD511" s="3">
        <f t="shared" si="13"/>
        <v>6367</v>
      </c>
      <c r="AE511" s="3">
        <f t="shared" si="14"/>
        <v>1</v>
      </c>
      <c r="AF511" s="3">
        <f t="shared" si="15"/>
        <v>1279</v>
      </c>
      <c r="AG511" s="3">
        <f t="shared" si="16"/>
        <v>5</v>
      </c>
      <c r="AH511" s="3">
        <f t="shared" si="17"/>
        <v>164</v>
      </c>
      <c r="AI511" s="3">
        <f t="shared" si="18"/>
        <v>1</v>
      </c>
      <c r="AJ511" s="3">
        <f t="shared" si="19"/>
        <v>1</v>
      </c>
    </row>
    <row r="512">
      <c r="C512" s="6" t="s">
        <v>512</v>
      </c>
      <c r="D512" s="3">
        <f t="shared" si="1"/>
        <v>0</v>
      </c>
      <c r="E512" s="3" t="str">
        <f>IFERROR(__xludf.DUMMYFUNCTION("REGEXEXTRACT(C512,""[^ ]* [^ ]*"")"),"mirrored black")</f>
        <v>mirrored black</v>
      </c>
      <c r="F512" s="3" t="str">
        <f>IFERROR(__xludf.DUMMYFUNCTION("MID(REGEXEXTRACT(C512,""contain.*$""),9,300)"),"3 muted salmon bags.")</f>
        <v>3 muted salmon bags.</v>
      </c>
      <c r="G512" s="3" t="str">
        <f>IFERROR(__xludf.DUMMYFUNCTION("INDEX(SPLIT($F512,"",""),COLUMN()-6)"),"3 muted salmon bags.")</f>
        <v>3 muted salmon bags.</v>
      </c>
      <c r="H512" s="3" t="str">
        <f>IFERROR(__xludf.DUMMYFUNCTION("MID(INDEX(SPLIT($F512,"",""),COLUMN()-6),2,300)"),"#REF!")</f>
        <v>#REF!</v>
      </c>
      <c r="I512" s="3" t="str">
        <f>IFERROR(__xludf.DUMMYFUNCTION("MID(INDEX(SPLIT($F512,"",""),COLUMN()-6),2,300)"),"#REF!")</f>
        <v>#REF!</v>
      </c>
      <c r="J512" s="3" t="str">
        <f>IFERROR(__xludf.DUMMYFUNCTION("MID(INDEX(SPLIT($F512,"",""),COLUMN()-6),2,300)"),"#REF!")</f>
        <v>#REF!</v>
      </c>
      <c r="K512" s="3">
        <f>IFERROR(__xludf.DUMMYFUNCTION("INDEX(SPLIT(G512,"" ""),1)"),3.0)</f>
        <v>3</v>
      </c>
      <c r="L512" s="3" t="str">
        <f>IFERROR(__xludf.DUMMYFUNCTION("REGEXEXTRACT(G512,"" [^ ]* [^ ]* "")")," muted salmon ")</f>
        <v> muted salmon </v>
      </c>
      <c r="M512" s="3" t="str">
        <f>IFERROR(__xludf.DUMMYFUNCTION("INDEX(SPLIT(H512,"" ""),1)"),"#REF!")</f>
        <v>#REF!</v>
      </c>
      <c r="N512" s="3" t="str">
        <f>IFERROR(__xludf.DUMMYFUNCTION("MID(REGEXEXTRACT(H512,"" [^ ]* [^ ]*""),2,300)"),"#REF!")</f>
        <v>#REF!</v>
      </c>
      <c r="O512" s="3" t="str">
        <f>IFERROR(__xludf.DUMMYFUNCTION("INDEX(SPLIT(I512,"" ""),1)"),"#REF!")</f>
        <v>#REF!</v>
      </c>
      <c r="P512" s="3" t="str">
        <f>IFERROR(__xludf.DUMMYFUNCTION("MID(REGEXEXTRACT(I512,"" [^ ]* [^ ]*""),2,300)"),"#REF!")</f>
        <v>#REF!</v>
      </c>
      <c r="Q512" s="3" t="str">
        <f>IFERROR(__xludf.DUMMYFUNCTION("INDEX(SPLIT(J512,"" ""),1)"),"#REF!")</f>
        <v>#REF!</v>
      </c>
      <c r="R512" s="3" t="str">
        <f>IFERROR(__xludf.DUMMYFUNCTION("MID(REGEXEXTRACT(J512,"" [^ ]* [^ ]*""),2,300)"),"#REF!")</f>
        <v>#REF!</v>
      </c>
      <c r="S512" s="3">
        <f t="shared" si="2"/>
        <v>3</v>
      </c>
      <c r="T512" s="3" t="str">
        <f t="shared" si="3"/>
        <v>muted salmon</v>
      </c>
      <c r="U512" s="3" t="str">
        <f t="shared" si="4"/>
        <v/>
      </c>
      <c r="V512" s="3" t="str">
        <f t="shared" si="5"/>
        <v/>
      </c>
      <c r="W512" s="3" t="str">
        <f t="shared" si="6"/>
        <v/>
      </c>
      <c r="X512" s="3" t="str">
        <f t="shared" si="7"/>
        <v/>
      </c>
      <c r="Y512" s="3" t="str">
        <f t="shared" si="8"/>
        <v/>
      </c>
      <c r="Z512" s="3" t="str">
        <f t="shared" si="9"/>
        <v/>
      </c>
      <c r="AA512" s="13">
        <f t="shared" si="10"/>
        <v>9037</v>
      </c>
      <c r="AB512" s="3">
        <f t="shared" si="11"/>
        <v>9036</v>
      </c>
      <c r="AC512" s="3">
        <f t="shared" si="12"/>
        <v>3</v>
      </c>
      <c r="AD512" s="3">
        <f t="shared" si="13"/>
        <v>3012</v>
      </c>
      <c r="AE512" s="3" t="str">
        <f t="shared" si="14"/>
        <v/>
      </c>
      <c r="AF512" s="3">
        <f t="shared" si="15"/>
        <v>0</v>
      </c>
      <c r="AG512" s="3" t="str">
        <f t="shared" si="16"/>
        <v/>
      </c>
      <c r="AH512" s="3">
        <f t="shared" si="17"/>
        <v>0</v>
      </c>
      <c r="AI512" s="3" t="str">
        <f t="shared" si="18"/>
        <v/>
      </c>
      <c r="AJ512" s="3">
        <f t="shared" si="19"/>
        <v>0</v>
      </c>
    </row>
    <row r="513">
      <c r="C513" s="6" t="s">
        <v>513</v>
      </c>
      <c r="D513" s="3">
        <f t="shared" si="1"/>
        <v>2</v>
      </c>
      <c r="E513" s="3" t="str">
        <f>IFERROR(__xludf.DUMMYFUNCTION("REGEXEXTRACT(C513,""[^ ]* [^ ]*"")"),"shiny magenta")</f>
        <v>shiny magenta</v>
      </c>
      <c r="F513" s="3" t="str">
        <f>IFERROR(__xludf.DUMMYFUNCTION("MID(REGEXEXTRACT(C513,""contain.*$""),9,300)"),"4 dotted orange bags, 4 bright silver bags, 3 posh coral bags.")</f>
        <v>4 dotted orange bags, 4 bright silver bags, 3 posh coral bags.</v>
      </c>
      <c r="G513" s="3" t="str">
        <f>IFERROR(__xludf.DUMMYFUNCTION("INDEX(SPLIT($F513,"",""),COLUMN()-6)"),"4 dotted orange bags")</f>
        <v>4 dotted orange bags</v>
      </c>
      <c r="H513" s="3" t="str">
        <f>IFERROR(__xludf.DUMMYFUNCTION("MID(INDEX(SPLIT($F513,"",""),COLUMN()-6),2,300)"),"4 bright silver bags")</f>
        <v>4 bright silver bags</v>
      </c>
      <c r="I513" s="3" t="str">
        <f>IFERROR(__xludf.DUMMYFUNCTION("MID(INDEX(SPLIT($F513,"",""),COLUMN()-6),2,300)"),"3 posh coral bags.")</f>
        <v>3 posh coral bags.</v>
      </c>
      <c r="J513" s="3" t="str">
        <f>IFERROR(__xludf.DUMMYFUNCTION("MID(INDEX(SPLIT($F513,"",""),COLUMN()-6),2,300)"),"#REF!")</f>
        <v>#REF!</v>
      </c>
      <c r="K513" s="3">
        <f>IFERROR(__xludf.DUMMYFUNCTION("INDEX(SPLIT(G513,"" ""),1)"),4.0)</f>
        <v>4</v>
      </c>
      <c r="L513" s="3" t="str">
        <f>IFERROR(__xludf.DUMMYFUNCTION("REGEXEXTRACT(G513,"" [^ ]* [^ ]* "")")," dotted orange ")</f>
        <v> dotted orange </v>
      </c>
      <c r="M513" s="3">
        <f>IFERROR(__xludf.DUMMYFUNCTION("INDEX(SPLIT(H513,"" ""),1)"),4.0)</f>
        <v>4</v>
      </c>
      <c r="N513" s="3" t="str">
        <f>IFERROR(__xludf.DUMMYFUNCTION("MID(REGEXEXTRACT(H513,"" [^ ]* [^ ]*""),2,300)"),"bright silver")</f>
        <v>bright silver</v>
      </c>
      <c r="O513" s="3">
        <f>IFERROR(__xludf.DUMMYFUNCTION("INDEX(SPLIT(I513,"" ""),1)"),3.0)</f>
        <v>3</v>
      </c>
      <c r="P513" s="3" t="str">
        <f>IFERROR(__xludf.DUMMYFUNCTION("MID(REGEXEXTRACT(I513,"" [^ ]* [^ ]*""),2,300)"),"posh coral")</f>
        <v>posh coral</v>
      </c>
      <c r="Q513" s="3" t="str">
        <f>IFERROR(__xludf.DUMMYFUNCTION("INDEX(SPLIT(J513,"" ""),1)"),"#REF!")</f>
        <v>#REF!</v>
      </c>
      <c r="R513" s="3" t="str">
        <f>IFERROR(__xludf.DUMMYFUNCTION("MID(REGEXEXTRACT(J513,"" [^ ]* [^ ]*""),2,300)"),"#REF!")</f>
        <v>#REF!</v>
      </c>
      <c r="S513" s="3">
        <f t="shared" si="2"/>
        <v>4</v>
      </c>
      <c r="T513" s="3" t="str">
        <f t="shared" si="3"/>
        <v>dotted orange</v>
      </c>
      <c r="U513" s="3">
        <f t="shared" si="4"/>
        <v>4</v>
      </c>
      <c r="V513" s="3" t="str">
        <f t="shared" si="5"/>
        <v>bright silver</v>
      </c>
      <c r="W513" s="3">
        <f t="shared" si="6"/>
        <v>3</v>
      </c>
      <c r="X513" s="3" t="str">
        <f t="shared" si="7"/>
        <v>posh coral</v>
      </c>
      <c r="Y513" s="3" t="str">
        <f t="shared" si="8"/>
        <v/>
      </c>
      <c r="Z513" s="3" t="str">
        <f t="shared" si="9"/>
        <v/>
      </c>
      <c r="AA513" s="13">
        <f t="shared" si="10"/>
        <v>7288</v>
      </c>
      <c r="AB513" s="3">
        <f t="shared" si="11"/>
        <v>7287</v>
      </c>
      <c r="AC513" s="3">
        <f t="shared" si="12"/>
        <v>4</v>
      </c>
      <c r="AD513" s="3">
        <f t="shared" si="13"/>
        <v>1780</v>
      </c>
      <c r="AE513" s="3">
        <f t="shared" si="14"/>
        <v>4</v>
      </c>
      <c r="AF513" s="3">
        <f t="shared" si="15"/>
        <v>41</v>
      </c>
      <c r="AG513" s="3">
        <f t="shared" si="16"/>
        <v>3</v>
      </c>
      <c r="AH513" s="3">
        <f t="shared" si="17"/>
        <v>1</v>
      </c>
      <c r="AI513" s="3" t="str">
        <f t="shared" si="18"/>
        <v/>
      </c>
      <c r="AJ513" s="3">
        <f t="shared" si="19"/>
        <v>0</v>
      </c>
    </row>
    <row r="514">
      <c r="C514" s="6" t="s">
        <v>514</v>
      </c>
      <c r="D514" s="3">
        <f t="shared" si="1"/>
        <v>0</v>
      </c>
      <c r="E514" s="3" t="str">
        <f>IFERROR(__xludf.DUMMYFUNCTION("REGEXEXTRACT(C514,""[^ ]* [^ ]*"")"),"light bronze")</f>
        <v>light bronze</v>
      </c>
      <c r="F514" s="3" t="str">
        <f>IFERROR(__xludf.DUMMYFUNCTION("MID(REGEXEXTRACT(C514,""contain.*$""),9,300)"),"3 dotted coral bags.")</f>
        <v>3 dotted coral bags.</v>
      </c>
      <c r="G514" s="3" t="str">
        <f>IFERROR(__xludf.DUMMYFUNCTION("INDEX(SPLIT($F514,"",""),COLUMN()-6)"),"3 dotted coral bags.")</f>
        <v>3 dotted coral bags.</v>
      </c>
      <c r="H514" s="3" t="str">
        <f>IFERROR(__xludf.DUMMYFUNCTION("MID(INDEX(SPLIT($F514,"",""),COLUMN()-6),2,300)"),"#REF!")</f>
        <v>#REF!</v>
      </c>
      <c r="I514" s="3" t="str">
        <f>IFERROR(__xludf.DUMMYFUNCTION("MID(INDEX(SPLIT($F514,"",""),COLUMN()-6),2,300)"),"#REF!")</f>
        <v>#REF!</v>
      </c>
      <c r="J514" s="3" t="str">
        <f>IFERROR(__xludf.DUMMYFUNCTION("MID(INDEX(SPLIT($F514,"",""),COLUMN()-6),2,300)"),"#REF!")</f>
        <v>#REF!</v>
      </c>
      <c r="K514" s="3">
        <f>IFERROR(__xludf.DUMMYFUNCTION("INDEX(SPLIT(G514,"" ""),1)"),3.0)</f>
        <v>3</v>
      </c>
      <c r="L514" s="3" t="str">
        <f>IFERROR(__xludf.DUMMYFUNCTION("REGEXEXTRACT(G514,"" [^ ]* [^ ]* "")")," dotted coral ")</f>
        <v> dotted coral </v>
      </c>
      <c r="M514" s="3" t="str">
        <f>IFERROR(__xludf.DUMMYFUNCTION("INDEX(SPLIT(H514,"" ""),1)"),"#REF!")</f>
        <v>#REF!</v>
      </c>
      <c r="N514" s="3" t="str">
        <f>IFERROR(__xludf.DUMMYFUNCTION("MID(REGEXEXTRACT(H514,"" [^ ]* [^ ]*""),2,300)"),"#REF!")</f>
        <v>#REF!</v>
      </c>
      <c r="O514" s="3" t="str">
        <f>IFERROR(__xludf.DUMMYFUNCTION("INDEX(SPLIT(I514,"" ""),1)"),"#REF!")</f>
        <v>#REF!</v>
      </c>
      <c r="P514" s="3" t="str">
        <f>IFERROR(__xludf.DUMMYFUNCTION("MID(REGEXEXTRACT(I514,"" [^ ]* [^ ]*""),2,300)"),"#REF!")</f>
        <v>#REF!</v>
      </c>
      <c r="Q514" s="3" t="str">
        <f>IFERROR(__xludf.DUMMYFUNCTION("INDEX(SPLIT(J514,"" ""),1)"),"#REF!")</f>
        <v>#REF!</v>
      </c>
      <c r="R514" s="3" t="str">
        <f>IFERROR(__xludf.DUMMYFUNCTION("MID(REGEXEXTRACT(J514,"" [^ ]* [^ ]*""),2,300)"),"#REF!")</f>
        <v>#REF!</v>
      </c>
      <c r="S514" s="3">
        <f t="shared" si="2"/>
        <v>3</v>
      </c>
      <c r="T514" s="3" t="str">
        <f t="shared" si="3"/>
        <v>dotted coral</v>
      </c>
      <c r="U514" s="3" t="str">
        <f t="shared" si="4"/>
        <v/>
      </c>
      <c r="V514" s="3" t="str">
        <f t="shared" si="5"/>
        <v/>
      </c>
      <c r="W514" s="3" t="str">
        <f t="shared" si="6"/>
        <v/>
      </c>
      <c r="X514" s="3" t="str">
        <f t="shared" si="7"/>
        <v/>
      </c>
      <c r="Y514" s="3" t="str">
        <f t="shared" si="8"/>
        <v/>
      </c>
      <c r="Z514" s="3" t="str">
        <f t="shared" si="9"/>
        <v/>
      </c>
      <c r="AA514" s="13">
        <f t="shared" si="10"/>
        <v>32410</v>
      </c>
      <c r="AB514" s="3">
        <f t="shared" si="11"/>
        <v>32409</v>
      </c>
      <c r="AC514" s="3">
        <f t="shared" si="12"/>
        <v>3</v>
      </c>
      <c r="AD514" s="3">
        <f t="shared" si="13"/>
        <v>10803</v>
      </c>
      <c r="AE514" s="3" t="str">
        <f t="shared" si="14"/>
        <v/>
      </c>
      <c r="AF514" s="3">
        <f t="shared" si="15"/>
        <v>0</v>
      </c>
      <c r="AG514" s="3" t="str">
        <f t="shared" si="16"/>
        <v/>
      </c>
      <c r="AH514" s="3">
        <f t="shared" si="17"/>
        <v>0</v>
      </c>
      <c r="AI514" s="3" t="str">
        <f t="shared" si="18"/>
        <v/>
      </c>
      <c r="AJ514" s="3">
        <f t="shared" si="19"/>
        <v>0</v>
      </c>
    </row>
    <row r="515">
      <c r="C515" s="6" t="s">
        <v>515</v>
      </c>
      <c r="D515" s="3">
        <f t="shared" si="1"/>
        <v>1</v>
      </c>
      <c r="E515" s="3" t="str">
        <f>IFERROR(__xludf.DUMMYFUNCTION("REGEXEXTRACT(C515,""[^ ]* [^ ]*"")"),"mirrored gray")</f>
        <v>mirrored gray</v>
      </c>
      <c r="F515" s="3" t="str">
        <f>IFERROR(__xludf.DUMMYFUNCTION("MID(REGEXEXTRACT(C515,""contain.*$""),9,300)"),"1 muted olive bag, 1 bright violet bag.")</f>
        <v>1 muted olive bag, 1 bright violet bag.</v>
      </c>
      <c r="G515" s="3" t="str">
        <f>IFERROR(__xludf.DUMMYFUNCTION("INDEX(SPLIT($F515,"",""),COLUMN()-6)"),"1 muted olive bag")</f>
        <v>1 muted olive bag</v>
      </c>
      <c r="H515" s="3" t="str">
        <f>IFERROR(__xludf.DUMMYFUNCTION("MID(INDEX(SPLIT($F515,"",""),COLUMN()-6),2,300)"),"1 bright violet bag.")</f>
        <v>1 bright violet bag.</v>
      </c>
      <c r="I515" s="3" t="str">
        <f>IFERROR(__xludf.DUMMYFUNCTION("MID(INDEX(SPLIT($F515,"",""),COLUMN()-6),2,300)"),"#REF!")</f>
        <v>#REF!</v>
      </c>
      <c r="J515" s="3" t="str">
        <f>IFERROR(__xludf.DUMMYFUNCTION("MID(INDEX(SPLIT($F515,"",""),COLUMN()-6),2,300)"),"#REF!")</f>
        <v>#REF!</v>
      </c>
      <c r="K515" s="3">
        <f>IFERROR(__xludf.DUMMYFUNCTION("INDEX(SPLIT(G515,"" ""),1)"),1.0)</f>
        <v>1</v>
      </c>
      <c r="L515" s="3" t="str">
        <f>IFERROR(__xludf.DUMMYFUNCTION("REGEXEXTRACT(G515,"" [^ ]* [^ ]* "")")," muted olive ")</f>
        <v> muted olive </v>
      </c>
      <c r="M515" s="3">
        <f>IFERROR(__xludf.DUMMYFUNCTION("INDEX(SPLIT(H515,"" ""),1)"),1.0)</f>
        <v>1</v>
      </c>
      <c r="N515" s="3" t="str">
        <f>IFERROR(__xludf.DUMMYFUNCTION("MID(REGEXEXTRACT(H515,"" [^ ]* [^ ]*""),2,300)"),"bright violet")</f>
        <v>bright violet</v>
      </c>
      <c r="O515" s="3" t="str">
        <f>IFERROR(__xludf.DUMMYFUNCTION("INDEX(SPLIT(I515,"" ""),1)"),"#REF!")</f>
        <v>#REF!</v>
      </c>
      <c r="P515" s="3" t="str">
        <f>IFERROR(__xludf.DUMMYFUNCTION("MID(REGEXEXTRACT(I515,"" [^ ]* [^ ]*""),2,300)"),"#REF!")</f>
        <v>#REF!</v>
      </c>
      <c r="Q515" s="3" t="str">
        <f>IFERROR(__xludf.DUMMYFUNCTION("INDEX(SPLIT(J515,"" ""),1)"),"#REF!")</f>
        <v>#REF!</v>
      </c>
      <c r="R515" s="3" t="str">
        <f>IFERROR(__xludf.DUMMYFUNCTION("MID(REGEXEXTRACT(J515,"" [^ ]* [^ ]*""),2,300)"),"#REF!")</f>
        <v>#REF!</v>
      </c>
      <c r="S515" s="3">
        <f t="shared" si="2"/>
        <v>1</v>
      </c>
      <c r="T515" s="3" t="str">
        <f t="shared" si="3"/>
        <v>muted olive</v>
      </c>
      <c r="U515" s="3">
        <f t="shared" si="4"/>
        <v>1</v>
      </c>
      <c r="V515" s="3" t="str">
        <f t="shared" si="5"/>
        <v>bright violet</v>
      </c>
      <c r="W515" s="3" t="str">
        <f t="shared" si="6"/>
        <v/>
      </c>
      <c r="X515" s="3" t="str">
        <f t="shared" si="7"/>
        <v/>
      </c>
      <c r="Y515" s="3" t="str">
        <f t="shared" si="8"/>
        <v/>
      </c>
      <c r="Z515" s="3" t="str">
        <f t="shared" si="9"/>
        <v/>
      </c>
      <c r="AA515" s="13">
        <f t="shared" si="10"/>
        <v>8</v>
      </c>
      <c r="AB515" s="3">
        <f t="shared" si="11"/>
        <v>7</v>
      </c>
      <c r="AC515" s="3">
        <f t="shared" si="12"/>
        <v>1</v>
      </c>
      <c r="AD515" s="3">
        <f t="shared" si="13"/>
        <v>6</v>
      </c>
      <c r="AE515" s="3">
        <f t="shared" si="14"/>
        <v>1</v>
      </c>
      <c r="AF515" s="3">
        <f t="shared" si="15"/>
        <v>1</v>
      </c>
      <c r="AG515" s="3" t="str">
        <f t="shared" si="16"/>
        <v/>
      </c>
      <c r="AH515" s="3">
        <f t="shared" si="17"/>
        <v>0</v>
      </c>
      <c r="AI515" s="3" t="str">
        <f t="shared" si="18"/>
        <v/>
      </c>
      <c r="AJ515" s="3">
        <f t="shared" si="19"/>
        <v>0</v>
      </c>
    </row>
    <row r="516">
      <c r="C516" s="6" t="s">
        <v>516</v>
      </c>
      <c r="D516" s="3">
        <f t="shared" si="1"/>
        <v>1</v>
      </c>
      <c r="E516" s="3" t="str">
        <f>IFERROR(__xludf.DUMMYFUNCTION("REGEXEXTRACT(C516,""[^ ]* [^ ]*"")"),"bright lavender")</f>
        <v>bright lavender</v>
      </c>
      <c r="F516" s="3" t="str">
        <f>IFERROR(__xludf.DUMMYFUNCTION("MID(REGEXEXTRACT(C516,""contain.*$""),9,300)"),"1 dull tomato bag, 2 clear blue bags.")</f>
        <v>1 dull tomato bag, 2 clear blue bags.</v>
      </c>
      <c r="G516" s="3" t="str">
        <f>IFERROR(__xludf.DUMMYFUNCTION("INDEX(SPLIT($F516,"",""),COLUMN()-6)"),"1 dull tomato bag")</f>
        <v>1 dull tomato bag</v>
      </c>
      <c r="H516" s="3" t="str">
        <f>IFERROR(__xludf.DUMMYFUNCTION("MID(INDEX(SPLIT($F516,"",""),COLUMN()-6),2,300)"),"2 clear blue bags.")</f>
        <v>2 clear blue bags.</v>
      </c>
      <c r="I516" s="3" t="str">
        <f>IFERROR(__xludf.DUMMYFUNCTION("MID(INDEX(SPLIT($F516,"",""),COLUMN()-6),2,300)"),"#REF!")</f>
        <v>#REF!</v>
      </c>
      <c r="J516" s="3" t="str">
        <f>IFERROR(__xludf.DUMMYFUNCTION("MID(INDEX(SPLIT($F516,"",""),COLUMN()-6),2,300)"),"#REF!")</f>
        <v>#REF!</v>
      </c>
      <c r="K516" s="3">
        <f>IFERROR(__xludf.DUMMYFUNCTION("INDEX(SPLIT(G516,"" ""),1)"),1.0)</f>
        <v>1</v>
      </c>
      <c r="L516" s="3" t="str">
        <f>IFERROR(__xludf.DUMMYFUNCTION("REGEXEXTRACT(G516,"" [^ ]* [^ ]* "")")," dull tomato ")</f>
        <v> dull tomato </v>
      </c>
      <c r="M516" s="3">
        <f>IFERROR(__xludf.DUMMYFUNCTION("INDEX(SPLIT(H516,"" ""),1)"),2.0)</f>
        <v>2</v>
      </c>
      <c r="N516" s="3" t="str">
        <f>IFERROR(__xludf.DUMMYFUNCTION("MID(REGEXEXTRACT(H516,"" [^ ]* [^ ]*""),2,300)"),"clear blue")</f>
        <v>clear blue</v>
      </c>
      <c r="O516" s="3" t="str">
        <f>IFERROR(__xludf.DUMMYFUNCTION("INDEX(SPLIT(I516,"" ""),1)"),"#REF!")</f>
        <v>#REF!</v>
      </c>
      <c r="P516" s="3" t="str">
        <f>IFERROR(__xludf.DUMMYFUNCTION("MID(REGEXEXTRACT(I516,"" [^ ]* [^ ]*""),2,300)"),"#REF!")</f>
        <v>#REF!</v>
      </c>
      <c r="Q516" s="3" t="str">
        <f>IFERROR(__xludf.DUMMYFUNCTION("INDEX(SPLIT(J516,"" ""),1)"),"#REF!")</f>
        <v>#REF!</v>
      </c>
      <c r="R516" s="3" t="str">
        <f>IFERROR(__xludf.DUMMYFUNCTION("MID(REGEXEXTRACT(J516,"" [^ ]* [^ ]*""),2,300)"),"#REF!")</f>
        <v>#REF!</v>
      </c>
      <c r="S516" s="3">
        <f t="shared" si="2"/>
        <v>1</v>
      </c>
      <c r="T516" s="3" t="str">
        <f t="shared" si="3"/>
        <v>dull tomato</v>
      </c>
      <c r="U516" s="3">
        <f t="shared" si="4"/>
        <v>2</v>
      </c>
      <c r="V516" s="3" t="str">
        <f t="shared" si="5"/>
        <v>clear blue</v>
      </c>
      <c r="W516" s="3" t="str">
        <f t="shared" si="6"/>
        <v/>
      </c>
      <c r="X516" s="3" t="str">
        <f t="shared" si="7"/>
        <v/>
      </c>
      <c r="Y516" s="3" t="str">
        <f t="shared" si="8"/>
        <v/>
      </c>
      <c r="Z516" s="3" t="str">
        <f t="shared" si="9"/>
        <v/>
      </c>
      <c r="AA516" s="13">
        <f t="shared" si="10"/>
        <v>164</v>
      </c>
      <c r="AB516" s="3">
        <f t="shared" si="11"/>
        <v>163</v>
      </c>
      <c r="AC516" s="3">
        <f t="shared" si="12"/>
        <v>1</v>
      </c>
      <c r="AD516" s="3">
        <f t="shared" si="13"/>
        <v>11</v>
      </c>
      <c r="AE516" s="3">
        <f t="shared" si="14"/>
        <v>2</v>
      </c>
      <c r="AF516" s="3">
        <f t="shared" si="15"/>
        <v>76</v>
      </c>
      <c r="AG516" s="3" t="str">
        <f t="shared" si="16"/>
        <v/>
      </c>
      <c r="AH516" s="3">
        <f t="shared" si="17"/>
        <v>0</v>
      </c>
      <c r="AI516" s="3" t="str">
        <f t="shared" si="18"/>
        <v/>
      </c>
      <c r="AJ516" s="3">
        <f t="shared" si="19"/>
        <v>0</v>
      </c>
    </row>
    <row r="517">
      <c r="C517" s="6" t="s">
        <v>517</v>
      </c>
      <c r="D517" s="3">
        <f t="shared" si="1"/>
        <v>1</v>
      </c>
      <c r="E517" s="3" t="str">
        <f>IFERROR(__xludf.DUMMYFUNCTION("REGEXEXTRACT(C517,""[^ ]* [^ ]*"")"),"drab yellow")</f>
        <v>drab yellow</v>
      </c>
      <c r="F517" s="3" t="str">
        <f>IFERROR(__xludf.DUMMYFUNCTION("MID(REGEXEXTRACT(C517,""contain.*$""),9,300)"),"3 dim tomato bags, 3 striped green bags.")</f>
        <v>3 dim tomato bags, 3 striped green bags.</v>
      </c>
      <c r="G517" s="3" t="str">
        <f>IFERROR(__xludf.DUMMYFUNCTION("INDEX(SPLIT($F517,"",""),COLUMN()-6)"),"3 dim tomato bags")</f>
        <v>3 dim tomato bags</v>
      </c>
      <c r="H517" s="3" t="str">
        <f>IFERROR(__xludf.DUMMYFUNCTION("MID(INDEX(SPLIT($F517,"",""),COLUMN()-6),2,300)"),"3 striped green bags.")</f>
        <v>3 striped green bags.</v>
      </c>
      <c r="I517" s="3" t="str">
        <f>IFERROR(__xludf.DUMMYFUNCTION("MID(INDEX(SPLIT($F517,"",""),COLUMN()-6),2,300)"),"#REF!")</f>
        <v>#REF!</v>
      </c>
      <c r="J517" s="3" t="str">
        <f>IFERROR(__xludf.DUMMYFUNCTION("MID(INDEX(SPLIT($F517,"",""),COLUMN()-6),2,300)"),"#REF!")</f>
        <v>#REF!</v>
      </c>
      <c r="K517" s="3">
        <f>IFERROR(__xludf.DUMMYFUNCTION("INDEX(SPLIT(G517,"" ""),1)"),3.0)</f>
        <v>3</v>
      </c>
      <c r="L517" s="3" t="str">
        <f>IFERROR(__xludf.DUMMYFUNCTION("REGEXEXTRACT(G517,"" [^ ]* [^ ]* "")")," dim tomato ")</f>
        <v> dim tomato </v>
      </c>
      <c r="M517" s="3">
        <f>IFERROR(__xludf.DUMMYFUNCTION("INDEX(SPLIT(H517,"" ""),1)"),3.0)</f>
        <v>3</v>
      </c>
      <c r="N517" s="3" t="str">
        <f>IFERROR(__xludf.DUMMYFUNCTION("MID(REGEXEXTRACT(H517,"" [^ ]* [^ ]*""),2,300)"),"striped green")</f>
        <v>striped green</v>
      </c>
      <c r="O517" s="3" t="str">
        <f>IFERROR(__xludf.DUMMYFUNCTION("INDEX(SPLIT(I517,"" ""),1)"),"#REF!")</f>
        <v>#REF!</v>
      </c>
      <c r="P517" s="3" t="str">
        <f>IFERROR(__xludf.DUMMYFUNCTION("MID(REGEXEXTRACT(I517,"" [^ ]* [^ ]*""),2,300)"),"#REF!")</f>
        <v>#REF!</v>
      </c>
      <c r="Q517" s="3" t="str">
        <f>IFERROR(__xludf.DUMMYFUNCTION("INDEX(SPLIT(J517,"" ""),1)"),"#REF!")</f>
        <v>#REF!</v>
      </c>
      <c r="R517" s="3" t="str">
        <f>IFERROR(__xludf.DUMMYFUNCTION("MID(REGEXEXTRACT(J517,"" [^ ]* [^ ]*""),2,300)"),"#REF!")</f>
        <v>#REF!</v>
      </c>
      <c r="S517" s="3">
        <f t="shared" si="2"/>
        <v>3</v>
      </c>
      <c r="T517" s="3" t="str">
        <f t="shared" si="3"/>
        <v>dim tomato</v>
      </c>
      <c r="U517" s="3">
        <f t="shared" si="4"/>
        <v>3</v>
      </c>
      <c r="V517" s="3" t="str">
        <f t="shared" si="5"/>
        <v>striped green</v>
      </c>
      <c r="W517" s="3" t="str">
        <f t="shared" si="6"/>
        <v/>
      </c>
      <c r="X517" s="3" t="str">
        <f t="shared" si="7"/>
        <v/>
      </c>
      <c r="Y517" s="3" t="str">
        <f t="shared" si="8"/>
        <v/>
      </c>
      <c r="Z517" s="3" t="str">
        <f t="shared" si="9"/>
        <v/>
      </c>
      <c r="AA517" s="13">
        <f t="shared" si="10"/>
        <v>593942644</v>
      </c>
      <c r="AB517" s="3">
        <f t="shared" si="11"/>
        <v>593942643</v>
      </c>
      <c r="AC517" s="3">
        <f t="shared" si="12"/>
        <v>3</v>
      </c>
      <c r="AD517" s="3">
        <f t="shared" si="13"/>
        <v>186016153</v>
      </c>
      <c r="AE517" s="3">
        <f t="shared" si="14"/>
        <v>3</v>
      </c>
      <c r="AF517" s="3">
        <f t="shared" si="15"/>
        <v>11964728</v>
      </c>
      <c r="AG517" s="3" t="str">
        <f t="shared" si="16"/>
        <v/>
      </c>
      <c r="AH517" s="3">
        <f t="shared" si="17"/>
        <v>0</v>
      </c>
      <c r="AI517" s="3" t="str">
        <f t="shared" si="18"/>
        <v/>
      </c>
      <c r="AJ517" s="3">
        <f t="shared" si="19"/>
        <v>0</v>
      </c>
    </row>
    <row r="518">
      <c r="C518" s="6" t="s">
        <v>518</v>
      </c>
      <c r="D518" s="3">
        <f t="shared" si="1"/>
        <v>3</v>
      </c>
      <c r="E518" s="3" t="str">
        <f>IFERROR(__xludf.DUMMYFUNCTION("REGEXEXTRACT(C518,""[^ ]* [^ ]*"")"),"dark chartreuse")</f>
        <v>dark chartreuse</v>
      </c>
      <c r="F518" s="3" t="str">
        <f>IFERROR(__xludf.DUMMYFUNCTION("MID(REGEXEXTRACT(C518,""contain.*$""),9,300)"),"5 vibrant violet bags, 4 shiny tan bags, 4 dark orange bags, 1 dull tan bag.")</f>
        <v>5 vibrant violet bags, 4 shiny tan bags, 4 dark orange bags, 1 dull tan bag.</v>
      </c>
      <c r="G518" s="3" t="str">
        <f>IFERROR(__xludf.DUMMYFUNCTION("INDEX(SPLIT($F518,"",""),COLUMN()-6)"),"5 vibrant violet bags")</f>
        <v>5 vibrant violet bags</v>
      </c>
      <c r="H518" s="3" t="str">
        <f>IFERROR(__xludf.DUMMYFUNCTION("MID(INDEX(SPLIT($F518,"",""),COLUMN()-6),2,300)"),"4 shiny tan bags")</f>
        <v>4 shiny tan bags</v>
      </c>
      <c r="I518" s="3" t="str">
        <f>IFERROR(__xludf.DUMMYFUNCTION("MID(INDEX(SPLIT($F518,"",""),COLUMN()-6),2,300)"),"4 dark orange bags")</f>
        <v>4 dark orange bags</v>
      </c>
      <c r="J518" s="3" t="str">
        <f>IFERROR(__xludf.DUMMYFUNCTION("MID(INDEX(SPLIT($F518,"",""),COLUMN()-6),2,300)"),"1 dull tan bag.")</f>
        <v>1 dull tan bag.</v>
      </c>
      <c r="K518" s="3">
        <f>IFERROR(__xludf.DUMMYFUNCTION("INDEX(SPLIT(G518,"" ""),1)"),5.0)</f>
        <v>5</v>
      </c>
      <c r="L518" s="3" t="str">
        <f>IFERROR(__xludf.DUMMYFUNCTION("REGEXEXTRACT(G518,"" [^ ]* [^ ]* "")")," vibrant violet ")</f>
        <v> vibrant violet </v>
      </c>
      <c r="M518" s="3">
        <f>IFERROR(__xludf.DUMMYFUNCTION("INDEX(SPLIT(H518,"" ""),1)"),4.0)</f>
        <v>4</v>
      </c>
      <c r="N518" s="3" t="str">
        <f>IFERROR(__xludf.DUMMYFUNCTION("MID(REGEXEXTRACT(H518,"" [^ ]* [^ ]*""),2,300)"),"shiny tan")</f>
        <v>shiny tan</v>
      </c>
      <c r="O518" s="3">
        <f>IFERROR(__xludf.DUMMYFUNCTION("INDEX(SPLIT(I518,"" ""),1)"),4.0)</f>
        <v>4</v>
      </c>
      <c r="P518" s="3" t="str">
        <f>IFERROR(__xludf.DUMMYFUNCTION("MID(REGEXEXTRACT(I518,"" [^ ]* [^ ]*""),2,300)"),"dark orange")</f>
        <v>dark orange</v>
      </c>
      <c r="Q518" s="3">
        <f>IFERROR(__xludf.DUMMYFUNCTION("INDEX(SPLIT(J518,"" ""),1)"),1.0)</f>
        <v>1</v>
      </c>
      <c r="R518" s="3" t="str">
        <f>IFERROR(__xludf.DUMMYFUNCTION("MID(REGEXEXTRACT(J518,"" [^ ]* [^ ]*""),2,300)"),"dull tan")</f>
        <v>dull tan</v>
      </c>
      <c r="S518" s="3">
        <f t="shared" si="2"/>
        <v>5</v>
      </c>
      <c r="T518" s="3" t="str">
        <f t="shared" si="3"/>
        <v>vibrant violet</v>
      </c>
      <c r="U518" s="3">
        <f t="shared" si="4"/>
        <v>4</v>
      </c>
      <c r="V518" s="3" t="str">
        <f t="shared" si="5"/>
        <v>shiny tan</v>
      </c>
      <c r="W518" s="3">
        <f t="shared" si="6"/>
        <v>4</v>
      </c>
      <c r="X518" s="3" t="str">
        <f t="shared" si="7"/>
        <v>dark orange</v>
      </c>
      <c r="Y518" s="3">
        <f t="shared" si="8"/>
        <v>1</v>
      </c>
      <c r="Z518" s="3" t="str">
        <f t="shared" si="9"/>
        <v>dull tan</v>
      </c>
      <c r="AA518" s="13">
        <f t="shared" si="10"/>
        <v>89212893</v>
      </c>
      <c r="AB518" s="3">
        <f t="shared" si="11"/>
        <v>89212892</v>
      </c>
      <c r="AC518" s="3">
        <f t="shared" si="12"/>
        <v>5</v>
      </c>
      <c r="AD518" s="3">
        <f t="shared" si="13"/>
        <v>2775715</v>
      </c>
      <c r="AE518" s="3">
        <f t="shared" si="14"/>
        <v>4</v>
      </c>
      <c r="AF518" s="3">
        <f t="shared" si="15"/>
        <v>69856</v>
      </c>
      <c r="AG518" s="3">
        <f t="shared" si="16"/>
        <v>4</v>
      </c>
      <c r="AH518" s="3">
        <f t="shared" si="17"/>
        <v>18683429</v>
      </c>
      <c r="AI518" s="3">
        <f t="shared" si="18"/>
        <v>1</v>
      </c>
      <c r="AJ518" s="3">
        <f t="shared" si="19"/>
        <v>321177</v>
      </c>
    </row>
    <row r="519">
      <c r="C519" s="6" t="s">
        <v>519</v>
      </c>
      <c r="D519" s="3">
        <f t="shared" si="1"/>
        <v>2</v>
      </c>
      <c r="E519" s="3" t="str">
        <f>IFERROR(__xludf.DUMMYFUNCTION("REGEXEXTRACT(C519,""[^ ]* [^ ]*"")"),"vibrant indigo")</f>
        <v>vibrant indigo</v>
      </c>
      <c r="F519" s="3" t="str">
        <f>IFERROR(__xludf.DUMMYFUNCTION("MID(REGEXEXTRACT(C519,""contain.*$""),9,300)"),"3 mirrored violet bags, 3 light teal bags, 2 dim red bags.")</f>
        <v>3 mirrored violet bags, 3 light teal bags, 2 dim red bags.</v>
      </c>
      <c r="G519" s="3" t="str">
        <f>IFERROR(__xludf.DUMMYFUNCTION("INDEX(SPLIT($F519,"",""),COLUMN()-6)"),"3 mirrored violet bags")</f>
        <v>3 mirrored violet bags</v>
      </c>
      <c r="H519" s="3" t="str">
        <f>IFERROR(__xludf.DUMMYFUNCTION("MID(INDEX(SPLIT($F519,"",""),COLUMN()-6),2,300)"),"3 light teal bags")</f>
        <v>3 light teal bags</v>
      </c>
      <c r="I519" s="3" t="str">
        <f>IFERROR(__xludf.DUMMYFUNCTION("MID(INDEX(SPLIT($F519,"",""),COLUMN()-6),2,300)"),"2 dim red bags.")</f>
        <v>2 dim red bags.</v>
      </c>
      <c r="J519" s="3" t="str">
        <f>IFERROR(__xludf.DUMMYFUNCTION("MID(INDEX(SPLIT($F519,"",""),COLUMN()-6),2,300)"),"#REF!")</f>
        <v>#REF!</v>
      </c>
      <c r="K519" s="3">
        <f>IFERROR(__xludf.DUMMYFUNCTION("INDEX(SPLIT(G519,"" ""),1)"),3.0)</f>
        <v>3</v>
      </c>
      <c r="L519" s="3" t="str">
        <f>IFERROR(__xludf.DUMMYFUNCTION("REGEXEXTRACT(G519,"" [^ ]* [^ ]* "")")," mirrored violet ")</f>
        <v> mirrored violet </v>
      </c>
      <c r="M519" s="3">
        <f>IFERROR(__xludf.DUMMYFUNCTION("INDEX(SPLIT(H519,"" ""),1)"),3.0)</f>
        <v>3</v>
      </c>
      <c r="N519" s="3" t="str">
        <f>IFERROR(__xludf.DUMMYFUNCTION("MID(REGEXEXTRACT(H519,"" [^ ]* [^ ]*""),2,300)"),"light teal")</f>
        <v>light teal</v>
      </c>
      <c r="O519" s="3">
        <f>IFERROR(__xludf.DUMMYFUNCTION("INDEX(SPLIT(I519,"" ""),1)"),2.0)</f>
        <v>2</v>
      </c>
      <c r="P519" s="3" t="str">
        <f>IFERROR(__xludf.DUMMYFUNCTION("MID(REGEXEXTRACT(I519,"" [^ ]* [^ ]*""),2,300)"),"dim red")</f>
        <v>dim red</v>
      </c>
      <c r="Q519" s="3" t="str">
        <f>IFERROR(__xludf.DUMMYFUNCTION("INDEX(SPLIT(J519,"" ""),1)"),"#REF!")</f>
        <v>#REF!</v>
      </c>
      <c r="R519" s="3" t="str">
        <f>IFERROR(__xludf.DUMMYFUNCTION("MID(REGEXEXTRACT(J519,"" [^ ]* [^ ]*""),2,300)"),"#REF!")</f>
        <v>#REF!</v>
      </c>
      <c r="S519" s="3">
        <f t="shared" si="2"/>
        <v>3</v>
      </c>
      <c r="T519" s="3" t="str">
        <f t="shared" si="3"/>
        <v>mirrored violet</v>
      </c>
      <c r="U519" s="3">
        <f t="shared" si="4"/>
        <v>3</v>
      </c>
      <c r="V519" s="3" t="str">
        <f t="shared" si="5"/>
        <v>light teal</v>
      </c>
      <c r="W519" s="3">
        <f t="shared" si="6"/>
        <v>2</v>
      </c>
      <c r="X519" s="3" t="str">
        <f t="shared" si="7"/>
        <v>dim red</v>
      </c>
      <c r="Y519" s="3" t="str">
        <f t="shared" si="8"/>
        <v/>
      </c>
      <c r="Z519" s="3" t="str">
        <f t="shared" si="9"/>
        <v/>
      </c>
      <c r="AA519" s="13">
        <f t="shared" si="10"/>
        <v>37785150</v>
      </c>
      <c r="AB519" s="3">
        <f t="shared" si="11"/>
        <v>37785149</v>
      </c>
      <c r="AC519" s="3">
        <f t="shared" si="12"/>
        <v>3</v>
      </c>
      <c r="AD519" s="3">
        <f t="shared" si="13"/>
        <v>538277</v>
      </c>
      <c r="AE519" s="3">
        <f t="shared" si="14"/>
        <v>3</v>
      </c>
      <c r="AF519" s="3">
        <f t="shared" si="15"/>
        <v>48488</v>
      </c>
      <c r="AG519" s="3">
        <f t="shared" si="16"/>
        <v>2</v>
      </c>
      <c r="AH519" s="3">
        <f t="shared" si="17"/>
        <v>18012427</v>
      </c>
      <c r="AI519" s="3" t="str">
        <f t="shared" si="18"/>
        <v/>
      </c>
      <c r="AJ519" s="3">
        <f t="shared" si="19"/>
        <v>0</v>
      </c>
    </row>
    <row r="520">
      <c r="C520" s="6" t="s">
        <v>520</v>
      </c>
      <c r="D520" s="3">
        <f t="shared" si="1"/>
        <v>2</v>
      </c>
      <c r="E520" s="3" t="str">
        <f>IFERROR(__xludf.DUMMYFUNCTION("REGEXEXTRACT(C520,""[^ ]* [^ ]*"")"),"plaid green")</f>
        <v>plaid green</v>
      </c>
      <c r="F520" s="3" t="str">
        <f>IFERROR(__xludf.DUMMYFUNCTION("MID(REGEXEXTRACT(C520,""contain.*$""),9,300)"),"3 wavy blue bags, 4 wavy yellow bags, 1 dull lavender bag.")</f>
        <v>3 wavy blue bags, 4 wavy yellow bags, 1 dull lavender bag.</v>
      </c>
      <c r="G520" s="3" t="str">
        <f>IFERROR(__xludf.DUMMYFUNCTION("INDEX(SPLIT($F520,"",""),COLUMN()-6)"),"3 wavy blue bags")</f>
        <v>3 wavy blue bags</v>
      </c>
      <c r="H520" s="3" t="str">
        <f>IFERROR(__xludf.DUMMYFUNCTION("MID(INDEX(SPLIT($F520,"",""),COLUMN()-6),2,300)"),"4 wavy yellow bags")</f>
        <v>4 wavy yellow bags</v>
      </c>
      <c r="I520" s="3" t="str">
        <f>IFERROR(__xludf.DUMMYFUNCTION("MID(INDEX(SPLIT($F520,"",""),COLUMN()-6),2,300)"),"1 dull lavender bag.")</f>
        <v>1 dull lavender bag.</v>
      </c>
      <c r="J520" s="3" t="str">
        <f>IFERROR(__xludf.DUMMYFUNCTION("MID(INDEX(SPLIT($F520,"",""),COLUMN()-6),2,300)"),"#REF!")</f>
        <v>#REF!</v>
      </c>
      <c r="K520" s="3">
        <f>IFERROR(__xludf.DUMMYFUNCTION("INDEX(SPLIT(G520,"" ""),1)"),3.0)</f>
        <v>3</v>
      </c>
      <c r="L520" s="3" t="str">
        <f>IFERROR(__xludf.DUMMYFUNCTION("REGEXEXTRACT(G520,"" [^ ]* [^ ]* "")")," wavy blue ")</f>
        <v> wavy blue </v>
      </c>
      <c r="M520" s="3">
        <f>IFERROR(__xludf.DUMMYFUNCTION("INDEX(SPLIT(H520,"" ""),1)"),4.0)</f>
        <v>4</v>
      </c>
      <c r="N520" s="3" t="str">
        <f>IFERROR(__xludf.DUMMYFUNCTION("MID(REGEXEXTRACT(H520,"" [^ ]* [^ ]*""),2,300)"),"wavy yellow")</f>
        <v>wavy yellow</v>
      </c>
      <c r="O520" s="3">
        <f>IFERROR(__xludf.DUMMYFUNCTION("INDEX(SPLIT(I520,"" ""),1)"),1.0)</f>
        <v>1</v>
      </c>
      <c r="P520" s="3" t="str">
        <f>IFERROR(__xludf.DUMMYFUNCTION("MID(REGEXEXTRACT(I520,"" [^ ]* [^ ]*""),2,300)"),"dull lavender")</f>
        <v>dull lavender</v>
      </c>
      <c r="Q520" s="3" t="str">
        <f>IFERROR(__xludf.DUMMYFUNCTION("INDEX(SPLIT(J520,"" ""),1)"),"#REF!")</f>
        <v>#REF!</v>
      </c>
      <c r="R520" s="3" t="str">
        <f>IFERROR(__xludf.DUMMYFUNCTION("MID(REGEXEXTRACT(J520,"" [^ ]* [^ ]*""),2,300)"),"#REF!")</f>
        <v>#REF!</v>
      </c>
      <c r="S520" s="3">
        <f t="shared" si="2"/>
        <v>3</v>
      </c>
      <c r="T520" s="3" t="str">
        <f t="shared" si="3"/>
        <v>wavy blue</v>
      </c>
      <c r="U520" s="3">
        <f t="shared" si="4"/>
        <v>4</v>
      </c>
      <c r="V520" s="3" t="str">
        <f t="shared" si="5"/>
        <v>wavy yellow</v>
      </c>
      <c r="W520" s="3">
        <f t="shared" si="6"/>
        <v>1</v>
      </c>
      <c r="X520" s="3" t="str">
        <f t="shared" si="7"/>
        <v>dull lavender</v>
      </c>
      <c r="Y520" s="3" t="str">
        <f t="shared" si="8"/>
        <v/>
      </c>
      <c r="Z520" s="3" t="str">
        <f t="shared" si="9"/>
        <v/>
      </c>
      <c r="AA520" s="13">
        <f t="shared" si="10"/>
        <v>146015737</v>
      </c>
      <c r="AB520" s="3">
        <f t="shared" si="11"/>
        <v>146015736</v>
      </c>
      <c r="AC520" s="3">
        <f t="shared" si="12"/>
        <v>3</v>
      </c>
      <c r="AD520" s="3">
        <f t="shared" si="13"/>
        <v>42954399</v>
      </c>
      <c r="AE520" s="3">
        <f t="shared" si="14"/>
        <v>4</v>
      </c>
      <c r="AF520" s="3">
        <f t="shared" si="15"/>
        <v>25486</v>
      </c>
      <c r="AG520" s="3">
        <f t="shared" si="16"/>
        <v>1</v>
      </c>
      <c r="AH520" s="3">
        <f t="shared" si="17"/>
        <v>17050595</v>
      </c>
      <c r="AI520" s="3" t="str">
        <f t="shared" si="18"/>
        <v/>
      </c>
      <c r="AJ520" s="3">
        <f t="shared" si="19"/>
        <v>0</v>
      </c>
    </row>
    <row r="521">
      <c r="C521" s="6" t="s">
        <v>521</v>
      </c>
      <c r="D521" s="3">
        <f t="shared" si="1"/>
        <v>0</v>
      </c>
      <c r="E521" s="3" t="str">
        <f>IFERROR(__xludf.DUMMYFUNCTION("REGEXEXTRACT(C521,""[^ ]* [^ ]*"")"),"mirrored purple")</f>
        <v>mirrored purple</v>
      </c>
      <c r="F521" s="3" t="str">
        <f>IFERROR(__xludf.DUMMYFUNCTION("MID(REGEXEXTRACT(C521,""contain.*$""),9,300)"),"5 vibrant silver bags.")</f>
        <v>5 vibrant silver bags.</v>
      </c>
      <c r="G521" s="3" t="str">
        <f>IFERROR(__xludf.DUMMYFUNCTION("INDEX(SPLIT($F521,"",""),COLUMN()-6)"),"5 vibrant silver bags.")</f>
        <v>5 vibrant silver bags.</v>
      </c>
      <c r="H521" s="3" t="str">
        <f>IFERROR(__xludf.DUMMYFUNCTION("MID(INDEX(SPLIT($F521,"",""),COLUMN()-6),2,300)"),"#REF!")</f>
        <v>#REF!</v>
      </c>
      <c r="I521" s="3" t="str">
        <f>IFERROR(__xludf.DUMMYFUNCTION("MID(INDEX(SPLIT($F521,"",""),COLUMN()-6),2,300)"),"#REF!")</f>
        <v>#REF!</v>
      </c>
      <c r="J521" s="3" t="str">
        <f>IFERROR(__xludf.DUMMYFUNCTION("MID(INDEX(SPLIT($F521,"",""),COLUMN()-6),2,300)"),"#REF!")</f>
        <v>#REF!</v>
      </c>
      <c r="K521" s="3">
        <f>IFERROR(__xludf.DUMMYFUNCTION("INDEX(SPLIT(G521,"" ""),1)"),5.0)</f>
        <v>5</v>
      </c>
      <c r="L521" s="3" t="str">
        <f>IFERROR(__xludf.DUMMYFUNCTION("REGEXEXTRACT(G521,"" [^ ]* [^ ]* "")")," vibrant silver ")</f>
        <v> vibrant silver </v>
      </c>
      <c r="M521" s="3" t="str">
        <f>IFERROR(__xludf.DUMMYFUNCTION("INDEX(SPLIT(H521,"" ""),1)"),"#REF!")</f>
        <v>#REF!</v>
      </c>
      <c r="N521" s="3" t="str">
        <f>IFERROR(__xludf.DUMMYFUNCTION("MID(REGEXEXTRACT(H521,"" [^ ]* [^ ]*""),2,300)"),"#REF!")</f>
        <v>#REF!</v>
      </c>
      <c r="O521" s="3" t="str">
        <f>IFERROR(__xludf.DUMMYFUNCTION("INDEX(SPLIT(I521,"" ""),1)"),"#REF!")</f>
        <v>#REF!</v>
      </c>
      <c r="P521" s="3" t="str">
        <f>IFERROR(__xludf.DUMMYFUNCTION("MID(REGEXEXTRACT(I521,"" [^ ]* [^ ]*""),2,300)"),"#REF!")</f>
        <v>#REF!</v>
      </c>
      <c r="Q521" s="3" t="str">
        <f>IFERROR(__xludf.DUMMYFUNCTION("INDEX(SPLIT(J521,"" ""),1)"),"#REF!")</f>
        <v>#REF!</v>
      </c>
      <c r="R521" s="3" t="str">
        <f>IFERROR(__xludf.DUMMYFUNCTION("MID(REGEXEXTRACT(J521,"" [^ ]* [^ ]*""),2,300)"),"#REF!")</f>
        <v>#REF!</v>
      </c>
      <c r="S521" s="3">
        <f t="shared" si="2"/>
        <v>5</v>
      </c>
      <c r="T521" s="3" t="str">
        <f t="shared" si="3"/>
        <v>vibrant silver</v>
      </c>
      <c r="U521" s="3" t="str">
        <f t="shared" si="4"/>
        <v/>
      </c>
      <c r="V521" s="3" t="str">
        <f t="shared" si="5"/>
        <v/>
      </c>
      <c r="W521" s="3" t="str">
        <f t="shared" si="6"/>
        <v/>
      </c>
      <c r="X521" s="3" t="str">
        <f t="shared" si="7"/>
        <v/>
      </c>
      <c r="Y521" s="3" t="str">
        <f t="shared" si="8"/>
        <v/>
      </c>
      <c r="Z521" s="3" t="str">
        <f t="shared" si="9"/>
        <v/>
      </c>
      <c r="AA521" s="13">
        <f t="shared" si="10"/>
        <v>47043416</v>
      </c>
      <c r="AB521" s="3">
        <f t="shared" si="11"/>
        <v>47043415</v>
      </c>
      <c r="AC521" s="3">
        <f t="shared" si="12"/>
        <v>5</v>
      </c>
      <c r="AD521" s="3">
        <f t="shared" si="13"/>
        <v>9408683</v>
      </c>
      <c r="AE521" s="3" t="str">
        <f t="shared" si="14"/>
        <v/>
      </c>
      <c r="AF521" s="3">
        <f t="shared" si="15"/>
        <v>0</v>
      </c>
      <c r="AG521" s="3" t="str">
        <f t="shared" si="16"/>
        <v/>
      </c>
      <c r="AH521" s="3">
        <f t="shared" si="17"/>
        <v>0</v>
      </c>
      <c r="AI521" s="3" t="str">
        <f t="shared" si="18"/>
        <v/>
      </c>
      <c r="AJ521" s="3">
        <f t="shared" si="19"/>
        <v>0</v>
      </c>
    </row>
    <row r="522">
      <c r="C522" s="6" t="s">
        <v>522</v>
      </c>
      <c r="D522" s="3">
        <f t="shared" si="1"/>
        <v>3</v>
      </c>
      <c r="E522" s="3" t="str">
        <f>IFERROR(__xludf.DUMMYFUNCTION("REGEXEXTRACT(C522,""[^ ]* [^ ]*"")"),"vibrant yellow")</f>
        <v>vibrant yellow</v>
      </c>
      <c r="F522" s="3" t="str">
        <f>IFERROR(__xludf.DUMMYFUNCTION("MID(REGEXEXTRACT(C522,""contain.*$""),9,300)"),"4 plaid brown bags, 3 drab bronze bags, 5 posh bronze bags, 3 mirrored lime bags.")</f>
        <v>4 plaid brown bags, 3 drab bronze bags, 5 posh bronze bags, 3 mirrored lime bags.</v>
      </c>
      <c r="G522" s="3" t="str">
        <f>IFERROR(__xludf.DUMMYFUNCTION("INDEX(SPLIT($F522,"",""),COLUMN()-6)"),"4 plaid brown bags")</f>
        <v>4 plaid brown bags</v>
      </c>
      <c r="H522" s="3" t="str">
        <f>IFERROR(__xludf.DUMMYFUNCTION("MID(INDEX(SPLIT($F522,"",""),COLUMN()-6),2,300)"),"3 drab bronze bags")</f>
        <v>3 drab bronze bags</v>
      </c>
      <c r="I522" s="3" t="str">
        <f>IFERROR(__xludf.DUMMYFUNCTION("MID(INDEX(SPLIT($F522,"",""),COLUMN()-6),2,300)"),"5 posh bronze bags")</f>
        <v>5 posh bronze bags</v>
      </c>
      <c r="J522" s="3" t="str">
        <f>IFERROR(__xludf.DUMMYFUNCTION("MID(INDEX(SPLIT($F522,"",""),COLUMN()-6),2,300)"),"3 mirrored lime bags.")</f>
        <v>3 mirrored lime bags.</v>
      </c>
      <c r="K522" s="3">
        <f>IFERROR(__xludf.DUMMYFUNCTION("INDEX(SPLIT(G522,"" ""),1)"),4.0)</f>
        <v>4</v>
      </c>
      <c r="L522" s="3" t="str">
        <f>IFERROR(__xludf.DUMMYFUNCTION("REGEXEXTRACT(G522,"" [^ ]* [^ ]* "")")," plaid brown ")</f>
        <v> plaid brown </v>
      </c>
      <c r="M522" s="3">
        <f>IFERROR(__xludf.DUMMYFUNCTION("INDEX(SPLIT(H522,"" ""),1)"),3.0)</f>
        <v>3</v>
      </c>
      <c r="N522" s="3" t="str">
        <f>IFERROR(__xludf.DUMMYFUNCTION("MID(REGEXEXTRACT(H522,"" [^ ]* [^ ]*""),2,300)"),"drab bronze")</f>
        <v>drab bronze</v>
      </c>
      <c r="O522" s="3">
        <f>IFERROR(__xludf.DUMMYFUNCTION("INDEX(SPLIT(I522,"" ""),1)"),5.0)</f>
        <v>5</v>
      </c>
      <c r="P522" s="3" t="str">
        <f>IFERROR(__xludf.DUMMYFUNCTION("MID(REGEXEXTRACT(I522,"" [^ ]* [^ ]*""),2,300)"),"posh bronze")</f>
        <v>posh bronze</v>
      </c>
      <c r="Q522" s="3">
        <f>IFERROR(__xludf.DUMMYFUNCTION("INDEX(SPLIT(J522,"" ""),1)"),3.0)</f>
        <v>3</v>
      </c>
      <c r="R522" s="3" t="str">
        <f>IFERROR(__xludf.DUMMYFUNCTION("MID(REGEXEXTRACT(J522,"" [^ ]* [^ ]*""),2,300)"),"mirrored lime")</f>
        <v>mirrored lime</v>
      </c>
      <c r="S522" s="3">
        <f t="shared" si="2"/>
        <v>4</v>
      </c>
      <c r="T522" s="3" t="str">
        <f t="shared" si="3"/>
        <v>plaid brown</v>
      </c>
      <c r="U522" s="3">
        <f t="shared" si="4"/>
        <v>3</v>
      </c>
      <c r="V522" s="3" t="str">
        <f t="shared" si="5"/>
        <v>drab bronze</v>
      </c>
      <c r="W522" s="3">
        <f t="shared" si="6"/>
        <v>5</v>
      </c>
      <c r="X522" s="3" t="str">
        <f t="shared" si="7"/>
        <v>posh bronze</v>
      </c>
      <c r="Y522" s="3">
        <f t="shared" si="8"/>
        <v>3</v>
      </c>
      <c r="Z522" s="3" t="str">
        <f t="shared" si="9"/>
        <v>mirrored lime</v>
      </c>
      <c r="AA522" s="13">
        <f t="shared" si="10"/>
        <v>1062048</v>
      </c>
      <c r="AB522" s="3">
        <f t="shared" si="11"/>
        <v>1062047</v>
      </c>
      <c r="AC522" s="3">
        <f t="shared" si="12"/>
        <v>4</v>
      </c>
      <c r="AD522" s="3">
        <f t="shared" si="13"/>
        <v>132605</v>
      </c>
      <c r="AE522" s="3">
        <f t="shared" si="14"/>
        <v>3</v>
      </c>
      <c r="AF522" s="3">
        <f t="shared" si="15"/>
        <v>79943</v>
      </c>
      <c r="AG522" s="3">
        <f t="shared" si="16"/>
        <v>5</v>
      </c>
      <c r="AH522" s="3">
        <f t="shared" si="17"/>
        <v>21</v>
      </c>
      <c r="AI522" s="3">
        <f t="shared" si="18"/>
        <v>3</v>
      </c>
      <c r="AJ522" s="3">
        <f t="shared" si="19"/>
        <v>97231</v>
      </c>
    </row>
    <row r="523">
      <c r="C523" s="6" t="s">
        <v>523</v>
      </c>
      <c r="D523" s="3">
        <f t="shared" si="1"/>
        <v>1</v>
      </c>
      <c r="E523" s="3" t="str">
        <f>IFERROR(__xludf.DUMMYFUNCTION("REGEXEXTRACT(C523,""[^ ]* [^ ]*"")"),"pale gold")</f>
        <v>pale gold</v>
      </c>
      <c r="F523" s="3" t="str">
        <f>IFERROR(__xludf.DUMMYFUNCTION("MID(REGEXEXTRACT(C523,""contain.*$""),9,300)"),"4 shiny indigo bags, 4 clear maroon bags.")</f>
        <v>4 shiny indigo bags, 4 clear maroon bags.</v>
      </c>
      <c r="G523" s="3" t="str">
        <f>IFERROR(__xludf.DUMMYFUNCTION("INDEX(SPLIT($F523,"",""),COLUMN()-6)"),"4 shiny indigo bags")</f>
        <v>4 shiny indigo bags</v>
      </c>
      <c r="H523" s="3" t="str">
        <f>IFERROR(__xludf.DUMMYFUNCTION("MID(INDEX(SPLIT($F523,"",""),COLUMN()-6),2,300)"),"4 clear maroon bags.")</f>
        <v>4 clear maroon bags.</v>
      </c>
      <c r="I523" s="3" t="str">
        <f>IFERROR(__xludf.DUMMYFUNCTION("MID(INDEX(SPLIT($F523,"",""),COLUMN()-6),2,300)"),"#REF!")</f>
        <v>#REF!</v>
      </c>
      <c r="J523" s="3" t="str">
        <f>IFERROR(__xludf.DUMMYFUNCTION("MID(INDEX(SPLIT($F523,"",""),COLUMN()-6),2,300)"),"#REF!")</f>
        <v>#REF!</v>
      </c>
      <c r="K523" s="3">
        <f>IFERROR(__xludf.DUMMYFUNCTION("INDEX(SPLIT(G523,"" ""),1)"),4.0)</f>
        <v>4</v>
      </c>
      <c r="L523" s="3" t="str">
        <f>IFERROR(__xludf.DUMMYFUNCTION("REGEXEXTRACT(G523,"" [^ ]* [^ ]* "")")," shiny indigo ")</f>
        <v> shiny indigo </v>
      </c>
      <c r="M523" s="3">
        <f>IFERROR(__xludf.DUMMYFUNCTION("INDEX(SPLIT(H523,"" ""),1)"),4.0)</f>
        <v>4</v>
      </c>
      <c r="N523" s="3" t="str">
        <f>IFERROR(__xludf.DUMMYFUNCTION("MID(REGEXEXTRACT(H523,"" [^ ]* [^ ]*""),2,300)"),"clear maroon")</f>
        <v>clear maroon</v>
      </c>
      <c r="O523" s="3" t="str">
        <f>IFERROR(__xludf.DUMMYFUNCTION("INDEX(SPLIT(I523,"" ""),1)"),"#REF!")</f>
        <v>#REF!</v>
      </c>
      <c r="P523" s="3" t="str">
        <f>IFERROR(__xludf.DUMMYFUNCTION("MID(REGEXEXTRACT(I523,"" [^ ]* [^ ]*""),2,300)"),"#REF!")</f>
        <v>#REF!</v>
      </c>
      <c r="Q523" s="3" t="str">
        <f>IFERROR(__xludf.DUMMYFUNCTION("INDEX(SPLIT(J523,"" ""),1)"),"#REF!")</f>
        <v>#REF!</v>
      </c>
      <c r="R523" s="3" t="str">
        <f>IFERROR(__xludf.DUMMYFUNCTION("MID(REGEXEXTRACT(J523,"" [^ ]* [^ ]*""),2,300)"),"#REF!")</f>
        <v>#REF!</v>
      </c>
      <c r="S523" s="3">
        <f t="shared" si="2"/>
        <v>4</v>
      </c>
      <c r="T523" s="3" t="str">
        <f t="shared" si="3"/>
        <v>shiny indigo</v>
      </c>
      <c r="U523" s="3">
        <f t="shared" si="4"/>
        <v>4</v>
      </c>
      <c r="V523" s="3" t="str">
        <f t="shared" si="5"/>
        <v>clear maroon</v>
      </c>
      <c r="W523" s="3" t="str">
        <f t="shared" si="6"/>
        <v/>
      </c>
      <c r="X523" s="3" t="str">
        <f t="shared" si="7"/>
        <v/>
      </c>
      <c r="Y523" s="3" t="str">
        <f t="shared" si="8"/>
        <v/>
      </c>
      <c r="Z523" s="3" t="str">
        <f t="shared" si="9"/>
        <v/>
      </c>
      <c r="AA523" s="13">
        <f t="shared" si="10"/>
        <v>108653377</v>
      </c>
      <c r="AB523" s="3">
        <f t="shared" si="11"/>
        <v>108653376</v>
      </c>
      <c r="AC523" s="3">
        <f t="shared" si="12"/>
        <v>4</v>
      </c>
      <c r="AD523" s="3">
        <f t="shared" si="13"/>
        <v>754536</v>
      </c>
      <c r="AE523" s="3">
        <f t="shared" si="14"/>
        <v>4</v>
      </c>
      <c r="AF523" s="3">
        <f t="shared" si="15"/>
        <v>26408808</v>
      </c>
      <c r="AG523" s="3" t="str">
        <f t="shared" si="16"/>
        <v/>
      </c>
      <c r="AH523" s="3">
        <f t="shared" si="17"/>
        <v>0</v>
      </c>
      <c r="AI523" s="3" t="str">
        <f t="shared" si="18"/>
        <v/>
      </c>
      <c r="AJ523" s="3">
        <f t="shared" si="19"/>
        <v>0</v>
      </c>
    </row>
    <row r="524">
      <c r="C524" s="6" t="s">
        <v>524</v>
      </c>
      <c r="D524" s="3">
        <f t="shared" si="1"/>
        <v>0</v>
      </c>
      <c r="E524" s="3" t="str">
        <f>IFERROR(__xludf.DUMMYFUNCTION("REGEXEXTRACT(C524,""[^ ]* [^ ]*"")"),"shiny cyan")</f>
        <v>shiny cyan</v>
      </c>
      <c r="F524" s="3" t="str">
        <f>IFERROR(__xludf.DUMMYFUNCTION("MID(REGEXEXTRACT(C524,""contain.*$""),9,300)"),"3 dim olive bags.")</f>
        <v>3 dim olive bags.</v>
      </c>
      <c r="G524" s="3" t="str">
        <f>IFERROR(__xludf.DUMMYFUNCTION("INDEX(SPLIT($F524,"",""),COLUMN()-6)"),"3 dim olive bags.")</f>
        <v>3 dim olive bags.</v>
      </c>
      <c r="H524" s="3" t="str">
        <f>IFERROR(__xludf.DUMMYFUNCTION("MID(INDEX(SPLIT($F524,"",""),COLUMN()-6),2,300)"),"#REF!")</f>
        <v>#REF!</v>
      </c>
      <c r="I524" s="3" t="str">
        <f>IFERROR(__xludf.DUMMYFUNCTION("MID(INDEX(SPLIT($F524,"",""),COLUMN()-6),2,300)"),"#REF!")</f>
        <v>#REF!</v>
      </c>
      <c r="J524" s="3" t="str">
        <f>IFERROR(__xludf.DUMMYFUNCTION("MID(INDEX(SPLIT($F524,"",""),COLUMN()-6),2,300)"),"#REF!")</f>
        <v>#REF!</v>
      </c>
      <c r="K524" s="3">
        <f>IFERROR(__xludf.DUMMYFUNCTION("INDEX(SPLIT(G524,"" ""),1)"),3.0)</f>
        <v>3</v>
      </c>
      <c r="L524" s="3" t="str">
        <f>IFERROR(__xludf.DUMMYFUNCTION("REGEXEXTRACT(G524,"" [^ ]* [^ ]* "")")," dim olive ")</f>
        <v> dim olive </v>
      </c>
      <c r="M524" s="3" t="str">
        <f>IFERROR(__xludf.DUMMYFUNCTION("INDEX(SPLIT(H524,"" ""),1)"),"#REF!")</f>
        <v>#REF!</v>
      </c>
      <c r="N524" s="3" t="str">
        <f>IFERROR(__xludf.DUMMYFUNCTION("MID(REGEXEXTRACT(H524,"" [^ ]* [^ ]*""),2,300)"),"#REF!")</f>
        <v>#REF!</v>
      </c>
      <c r="O524" s="3" t="str">
        <f>IFERROR(__xludf.DUMMYFUNCTION("INDEX(SPLIT(I524,"" ""),1)"),"#REF!")</f>
        <v>#REF!</v>
      </c>
      <c r="P524" s="3" t="str">
        <f>IFERROR(__xludf.DUMMYFUNCTION("MID(REGEXEXTRACT(I524,"" [^ ]* [^ ]*""),2,300)"),"#REF!")</f>
        <v>#REF!</v>
      </c>
      <c r="Q524" s="3" t="str">
        <f>IFERROR(__xludf.DUMMYFUNCTION("INDEX(SPLIT(J524,"" ""),1)"),"#REF!")</f>
        <v>#REF!</v>
      </c>
      <c r="R524" s="3" t="str">
        <f>IFERROR(__xludf.DUMMYFUNCTION("MID(REGEXEXTRACT(J524,"" [^ ]* [^ ]*""),2,300)"),"#REF!")</f>
        <v>#REF!</v>
      </c>
      <c r="S524" s="3">
        <f t="shared" si="2"/>
        <v>3</v>
      </c>
      <c r="T524" s="3" t="str">
        <f t="shared" si="3"/>
        <v>dim olive</v>
      </c>
      <c r="U524" s="3" t="str">
        <f t="shared" si="4"/>
        <v/>
      </c>
      <c r="V524" s="3" t="str">
        <f t="shared" si="5"/>
        <v/>
      </c>
      <c r="W524" s="3" t="str">
        <f t="shared" si="6"/>
        <v/>
      </c>
      <c r="X524" s="3" t="str">
        <f t="shared" si="7"/>
        <v/>
      </c>
      <c r="Y524" s="3" t="str">
        <f t="shared" si="8"/>
        <v/>
      </c>
      <c r="Z524" s="3" t="str">
        <f t="shared" si="9"/>
        <v/>
      </c>
      <c r="AA524" s="13">
        <f t="shared" si="10"/>
        <v>4</v>
      </c>
      <c r="AB524" s="3">
        <f t="shared" si="11"/>
        <v>3</v>
      </c>
      <c r="AC524" s="3">
        <f t="shared" si="12"/>
        <v>3</v>
      </c>
      <c r="AD524" s="3">
        <f t="shared" si="13"/>
        <v>1</v>
      </c>
      <c r="AE524" s="3" t="str">
        <f t="shared" si="14"/>
        <v/>
      </c>
      <c r="AF524" s="3">
        <f t="shared" si="15"/>
        <v>0</v>
      </c>
      <c r="AG524" s="3" t="str">
        <f t="shared" si="16"/>
        <v/>
      </c>
      <c r="AH524" s="3">
        <f t="shared" si="17"/>
        <v>0</v>
      </c>
      <c r="AI524" s="3" t="str">
        <f t="shared" si="18"/>
        <v/>
      </c>
      <c r="AJ524" s="3">
        <f t="shared" si="19"/>
        <v>0</v>
      </c>
    </row>
    <row r="525">
      <c r="C525" s="6" t="s">
        <v>525</v>
      </c>
      <c r="D525" s="3">
        <f t="shared" si="1"/>
        <v>2</v>
      </c>
      <c r="E525" s="3" t="str">
        <f>IFERROR(__xludf.DUMMYFUNCTION("REGEXEXTRACT(C525,""[^ ]* [^ ]*"")"),"dim salmon")</f>
        <v>dim salmon</v>
      </c>
      <c r="F525" s="3" t="str">
        <f>IFERROR(__xludf.DUMMYFUNCTION("MID(REGEXEXTRACT(C525,""contain.*$""),9,300)"),"5 faded beige bags, 2 faded orange bags, 2 shiny purple bags.")</f>
        <v>5 faded beige bags, 2 faded orange bags, 2 shiny purple bags.</v>
      </c>
      <c r="G525" s="3" t="str">
        <f>IFERROR(__xludf.DUMMYFUNCTION("INDEX(SPLIT($F525,"",""),COLUMN()-6)"),"5 faded beige bags")</f>
        <v>5 faded beige bags</v>
      </c>
      <c r="H525" s="3" t="str">
        <f>IFERROR(__xludf.DUMMYFUNCTION("MID(INDEX(SPLIT($F525,"",""),COLUMN()-6),2,300)"),"2 faded orange bags")</f>
        <v>2 faded orange bags</v>
      </c>
      <c r="I525" s="3" t="str">
        <f>IFERROR(__xludf.DUMMYFUNCTION("MID(INDEX(SPLIT($F525,"",""),COLUMN()-6),2,300)"),"2 shiny purple bags.")</f>
        <v>2 shiny purple bags.</v>
      </c>
      <c r="J525" s="3" t="str">
        <f>IFERROR(__xludf.DUMMYFUNCTION("MID(INDEX(SPLIT($F525,"",""),COLUMN()-6),2,300)"),"#REF!")</f>
        <v>#REF!</v>
      </c>
      <c r="K525" s="3">
        <f>IFERROR(__xludf.DUMMYFUNCTION("INDEX(SPLIT(G525,"" ""),1)"),5.0)</f>
        <v>5</v>
      </c>
      <c r="L525" s="3" t="str">
        <f>IFERROR(__xludf.DUMMYFUNCTION("REGEXEXTRACT(G525,"" [^ ]* [^ ]* "")")," faded beige ")</f>
        <v> faded beige </v>
      </c>
      <c r="M525" s="3">
        <f>IFERROR(__xludf.DUMMYFUNCTION("INDEX(SPLIT(H525,"" ""),1)"),2.0)</f>
        <v>2</v>
      </c>
      <c r="N525" s="3" t="str">
        <f>IFERROR(__xludf.DUMMYFUNCTION("MID(REGEXEXTRACT(H525,"" [^ ]* [^ ]*""),2,300)"),"faded orange")</f>
        <v>faded orange</v>
      </c>
      <c r="O525" s="3">
        <f>IFERROR(__xludf.DUMMYFUNCTION("INDEX(SPLIT(I525,"" ""),1)"),2.0)</f>
        <v>2</v>
      </c>
      <c r="P525" s="3" t="str">
        <f>IFERROR(__xludf.DUMMYFUNCTION("MID(REGEXEXTRACT(I525,"" [^ ]* [^ ]*""),2,300)"),"shiny purple")</f>
        <v>shiny purple</v>
      </c>
      <c r="Q525" s="3" t="str">
        <f>IFERROR(__xludf.DUMMYFUNCTION("INDEX(SPLIT(J525,"" ""),1)"),"#REF!")</f>
        <v>#REF!</v>
      </c>
      <c r="R525" s="3" t="str">
        <f>IFERROR(__xludf.DUMMYFUNCTION("MID(REGEXEXTRACT(J525,"" [^ ]* [^ ]*""),2,300)"),"#REF!")</f>
        <v>#REF!</v>
      </c>
      <c r="S525" s="3">
        <f t="shared" si="2"/>
        <v>5</v>
      </c>
      <c r="T525" s="3" t="str">
        <f t="shared" si="3"/>
        <v>faded beige</v>
      </c>
      <c r="U525" s="3">
        <f t="shared" si="4"/>
        <v>2</v>
      </c>
      <c r="V525" s="3" t="str">
        <f t="shared" si="5"/>
        <v>faded orange</v>
      </c>
      <c r="W525" s="3">
        <f t="shared" si="6"/>
        <v>2</v>
      </c>
      <c r="X525" s="3" t="str">
        <f t="shared" si="7"/>
        <v>shiny purple</v>
      </c>
      <c r="Y525" s="3" t="str">
        <f t="shared" si="8"/>
        <v/>
      </c>
      <c r="Z525" s="3" t="str">
        <f t="shared" si="9"/>
        <v/>
      </c>
      <c r="AA525" s="13">
        <f t="shared" si="10"/>
        <v>32021232</v>
      </c>
      <c r="AB525" s="3">
        <f t="shared" si="11"/>
        <v>32021231</v>
      </c>
      <c r="AC525" s="3">
        <f t="shared" si="12"/>
        <v>5</v>
      </c>
      <c r="AD525" s="3">
        <f t="shared" si="13"/>
        <v>6373</v>
      </c>
      <c r="AE525" s="3">
        <f t="shared" si="14"/>
        <v>2</v>
      </c>
      <c r="AF525" s="3">
        <f t="shared" si="15"/>
        <v>7726531</v>
      </c>
      <c r="AG525" s="3">
        <f t="shared" si="16"/>
        <v>2</v>
      </c>
      <c r="AH525" s="3">
        <f t="shared" si="17"/>
        <v>8268152</v>
      </c>
      <c r="AI525" s="3" t="str">
        <f t="shared" si="18"/>
        <v/>
      </c>
      <c r="AJ525" s="3">
        <f t="shared" si="19"/>
        <v>0</v>
      </c>
    </row>
    <row r="526">
      <c r="C526" s="6" t="s">
        <v>526</v>
      </c>
      <c r="D526" s="3">
        <f t="shared" si="1"/>
        <v>3</v>
      </c>
      <c r="E526" s="3" t="str">
        <f>IFERROR(__xludf.DUMMYFUNCTION("REGEXEXTRACT(C526,""[^ ]* [^ ]*"")"),"dark crimson")</f>
        <v>dark crimson</v>
      </c>
      <c r="F526" s="3" t="str">
        <f>IFERROR(__xludf.DUMMYFUNCTION("MID(REGEXEXTRACT(C526,""contain.*$""),9,300)"),"3 dull aqua bags, 1 wavy olive bag, 3 posh plum bags, 3 bright brown bags.")</f>
        <v>3 dull aqua bags, 1 wavy olive bag, 3 posh plum bags, 3 bright brown bags.</v>
      </c>
      <c r="G526" s="3" t="str">
        <f>IFERROR(__xludf.DUMMYFUNCTION("INDEX(SPLIT($F526,"",""),COLUMN()-6)"),"3 dull aqua bags")</f>
        <v>3 dull aqua bags</v>
      </c>
      <c r="H526" s="3" t="str">
        <f>IFERROR(__xludf.DUMMYFUNCTION("MID(INDEX(SPLIT($F526,"",""),COLUMN()-6),2,300)"),"1 wavy olive bag")</f>
        <v>1 wavy olive bag</v>
      </c>
      <c r="I526" s="3" t="str">
        <f>IFERROR(__xludf.DUMMYFUNCTION("MID(INDEX(SPLIT($F526,"",""),COLUMN()-6),2,300)"),"3 posh plum bags")</f>
        <v>3 posh plum bags</v>
      </c>
      <c r="J526" s="3" t="str">
        <f>IFERROR(__xludf.DUMMYFUNCTION("MID(INDEX(SPLIT($F526,"",""),COLUMN()-6),2,300)"),"3 bright brown bags.")</f>
        <v>3 bright brown bags.</v>
      </c>
      <c r="K526" s="3">
        <f>IFERROR(__xludf.DUMMYFUNCTION("INDEX(SPLIT(G526,"" ""),1)"),3.0)</f>
        <v>3</v>
      </c>
      <c r="L526" s="3" t="str">
        <f>IFERROR(__xludf.DUMMYFUNCTION("REGEXEXTRACT(G526,"" [^ ]* [^ ]* "")")," dull aqua ")</f>
        <v> dull aqua </v>
      </c>
      <c r="M526" s="3">
        <f>IFERROR(__xludf.DUMMYFUNCTION("INDEX(SPLIT(H526,"" ""),1)"),1.0)</f>
        <v>1</v>
      </c>
      <c r="N526" s="3" t="str">
        <f>IFERROR(__xludf.DUMMYFUNCTION("MID(REGEXEXTRACT(H526,"" [^ ]* [^ ]*""),2,300)"),"wavy olive")</f>
        <v>wavy olive</v>
      </c>
      <c r="O526" s="3">
        <f>IFERROR(__xludf.DUMMYFUNCTION("INDEX(SPLIT(I526,"" ""),1)"),3.0)</f>
        <v>3</v>
      </c>
      <c r="P526" s="3" t="str">
        <f>IFERROR(__xludf.DUMMYFUNCTION("MID(REGEXEXTRACT(I526,"" [^ ]* [^ ]*""),2,300)"),"posh plum")</f>
        <v>posh plum</v>
      </c>
      <c r="Q526" s="3">
        <f>IFERROR(__xludf.DUMMYFUNCTION("INDEX(SPLIT(J526,"" ""),1)"),3.0)</f>
        <v>3</v>
      </c>
      <c r="R526" s="3" t="str">
        <f>IFERROR(__xludf.DUMMYFUNCTION("MID(REGEXEXTRACT(J526,"" [^ ]* [^ ]*""),2,300)"),"bright brown")</f>
        <v>bright brown</v>
      </c>
      <c r="S526" s="3">
        <f t="shared" si="2"/>
        <v>3</v>
      </c>
      <c r="T526" s="3" t="str">
        <f t="shared" si="3"/>
        <v>dull aqua</v>
      </c>
      <c r="U526" s="3">
        <f t="shared" si="4"/>
        <v>1</v>
      </c>
      <c r="V526" s="3" t="str">
        <f t="shared" si="5"/>
        <v>wavy olive</v>
      </c>
      <c r="W526" s="3">
        <f t="shared" si="6"/>
        <v>3</v>
      </c>
      <c r="X526" s="3" t="str">
        <f t="shared" si="7"/>
        <v>posh plum</v>
      </c>
      <c r="Y526" s="3">
        <f t="shared" si="8"/>
        <v>3</v>
      </c>
      <c r="Z526" s="3" t="str">
        <f t="shared" si="9"/>
        <v>bright brown</v>
      </c>
      <c r="AA526" s="13">
        <f t="shared" si="10"/>
        <v>79986764</v>
      </c>
      <c r="AB526" s="3">
        <f t="shared" si="11"/>
        <v>79986763</v>
      </c>
      <c r="AC526" s="3">
        <f t="shared" si="12"/>
        <v>3</v>
      </c>
      <c r="AD526" s="3">
        <f t="shared" si="13"/>
        <v>12033257</v>
      </c>
      <c r="AE526" s="3">
        <f t="shared" si="14"/>
        <v>1</v>
      </c>
      <c r="AF526" s="3">
        <f t="shared" si="15"/>
        <v>43868443</v>
      </c>
      <c r="AG526" s="3">
        <f t="shared" si="16"/>
        <v>3</v>
      </c>
      <c r="AH526" s="3">
        <f t="shared" si="17"/>
        <v>6182</v>
      </c>
      <c r="AI526" s="3">
        <f t="shared" si="18"/>
        <v>3</v>
      </c>
      <c r="AJ526" s="3">
        <f t="shared" si="19"/>
        <v>1</v>
      </c>
    </row>
    <row r="527">
      <c r="C527" s="6" t="s">
        <v>527</v>
      </c>
      <c r="D527" s="3">
        <f t="shared" si="1"/>
        <v>3</v>
      </c>
      <c r="E527" s="3" t="str">
        <f>IFERROR(__xludf.DUMMYFUNCTION("REGEXEXTRACT(C527,""[^ ]* [^ ]*"")"),"vibrant gold")</f>
        <v>vibrant gold</v>
      </c>
      <c r="F527" s="3" t="str">
        <f>IFERROR(__xludf.DUMMYFUNCTION("MID(REGEXEXTRACT(C527,""contain.*$""),9,300)"),"3 wavy gray bags, 4 clear white bags, 1 faded salmon bag, 3 drab aqua bags.")</f>
        <v>3 wavy gray bags, 4 clear white bags, 1 faded salmon bag, 3 drab aqua bags.</v>
      </c>
      <c r="G527" s="3" t="str">
        <f>IFERROR(__xludf.DUMMYFUNCTION("INDEX(SPLIT($F527,"",""),COLUMN()-6)"),"3 wavy gray bags")</f>
        <v>3 wavy gray bags</v>
      </c>
      <c r="H527" s="3" t="str">
        <f>IFERROR(__xludf.DUMMYFUNCTION("MID(INDEX(SPLIT($F527,"",""),COLUMN()-6),2,300)"),"4 clear white bags")</f>
        <v>4 clear white bags</v>
      </c>
      <c r="I527" s="3" t="str">
        <f>IFERROR(__xludf.DUMMYFUNCTION("MID(INDEX(SPLIT($F527,"",""),COLUMN()-6),2,300)"),"1 faded salmon bag")</f>
        <v>1 faded salmon bag</v>
      </c>
      <c r="J527" s="3" t="str">
        <f>IFERROR(__xludf.DUMMYFUNCTION("MID(INDEX(SPLIT($F527,"",""),COLUMN()-6),2,300)"),"3 drab aqua bags.")</f>
        <v>3 drab aqua bags.</v>
      </c>
      <c r="K527" s="3">
        <f>IFERROR(__xludf.DUMMYFUNCTION("INDEX(SPLIT(G527,"" ""),1)"),3.0)</f>
        <v>3</v>
      </c>
      <c r="L527" s="3" t="str">
        <f>IFERROR(__xludf.DUMMYFUNCTION("REGEXEXTRACT(G527,"" [^ ]* [^ ]* "")")," wavy gray ")</f>
        <v> wavy gray </v>
      </c>
      <c r="M527" s="3">
        <f>IFERROR(__xludf.DUMMYFUNCTION("INDEX(SPLIT(H527,"" ""),1)"),4.0)</f>
        <v>4</v>
      </c>
      <c r="N527" s="3" t="str">
        <f>IFERROR(__xludf.DUMMYFUNCTION("MID(REGEXEXTRACT(H527,"" [^ ]* [^ ]*""),2,300)"),"clear white")</f>
        <v>clear white</v>
      </c>
      <c r="O527" s="3">
        <f>IFERROR(__xludf.DUMMYFUNCTION("INDEX(SPLIT(I527,"" ""),1)"),1.0)</f>
        <v>1</v>
      </c>
      <c r="P527" s="3" t="str">
        <f>IFERROR(__xludf.DUMMYFUNCTION("MID(REGEXEXTRACT(I527,"" [^ ]* [^ ]*""),2,300)"),"faded salmon")</f>
        <v>faded salmon</v>
      </c>
      <c r="Q527" s="3">
        <f>IFERROR(__xludf.DUMMYFUNCTION("INDEX(SPLIT(J527,"" ""),1)"),3.0)</f>
        <v>3</v>
      </c>
      <c r="R527" s="3" t="str">
        <f>IFERROR(__xludf.DUMMYFUNCTION("MID(REGEXEXTRACT(J527,"" [^ ]* [^ ]*""),2,300)"),"drab aqua")</f>
        <v>drab aqua</v>
      </c>
      <c r="S527" s="3">
        <f t="shared" si="2"/>
        <v>3</v>
      </c>
      <c r="T527" s="3" t="str">
        <f t="shared" si="3"/>
        <v>wavy gray</v>
      </c>
      <c r="U527" s="3">
        <f t="shared" si="4"/>
        <v>4</v>
      </c>
      <c r="V527" s="3" t="str">
        <f t="shared" si="5"/>
        <v>clear white</v>
      </c>
      <c r="W527" s="3">
        <f t="shared" si="6"/>
        <v>1</v>
      </c>
      <c r="X527" s="3" t="str">
        <f t="shared" si="7"/>
        <v>faded salmon</v>
      </c>
      <c r="Y527" s="3">
        <f t="shared" si="8"/>
        <v>3</v>
      </c>
      <c r="Z527" s="3" t="str">
        <f t="shared" si="9"/>
        <v>drab aqua</v>
      </c>
      <c r="AA527" s="13">
        <f t="shared" si="10"/>
        <v>5957104308</v>
      </c>
      <c r="AB527" s="3">
        <f t="shared" si="11"/>
        <v>5957104307</v>
      </c>
      <c r="AC527" s="3">
        <f t="shared" si="12"/>
        <v>3</v>
      </c>
      <c r="AD527" s="3">
        <f t="shared" si="13"/>
        <v>3322</v>
      </c>
      <c r="AE527" s="3">
        <f t="shared" si="14"/>
        <v>4</v>
      </c>
      <c r="AF527" s="3">
        <f t="shared" si="15"/>
        <v>125334121</v>
      </c>
      <c r="AG527" s="3">
        <f t="shared" si="16"/>
        <v>1</v>
      </c>
      <c r="AH527" s="3">
        <f t="shared" si="17"/>
        <v>23596</v>
      </c>
      <c r="AI527" s="3">
        <f t="shared" si="18"/>
        <v>3</v>
      </c>
      <c r="AJ527" s="3">
        <f t="shared" si="19"/>
        <v>1818578087</v>
      </c>
    </row>
    <row r="528">
      <c r="C528" s="6" t="s">
        <v>528</v>
      </c>
      <c r="D528" s="3">
        <f t="shared" si="1"/>
        <v>2</v>
      </c>
      <c r="E528" s="3" t="str">
        <f>IFERROR(__xludf.DUMMYFUNCTION("REGEXEXTRACT(C528,""[^ ]* [^ ]*"")"),"faded magenta")</f>
        <v>faded magenta</v>
      </c>
      <c r="F528" s="3" t="str">
        <f>IFERROR(__xludf.DUMMYFUNCTION("MID(REGEXEXTRACT(C528,""contain.*$""),9,300)"),"5 plaid aqua bags, 4 faded purple bags, 5 wavy bronze bags.")</f>
        <v>5 plaid aqua bags, 4 faded purple bags, 5 wavy bronze bags.</v>
      </c>
      <c r="G528" s="3" t="str">
        <f>IFERROR(__xludf.DUMMYFUNCTION("INDEX(SPLIT($F528,"",""),COLUMN()-6)"),"5 plaid aqua bags")</f>
        <v>5 plaid aqua bags</v>
      </c>
      <c r="H528" s="3" t="str">
        <f>IFERROR(__xludf.DUMMYFUNCTION("MID(INDEX(SPLIT($F528,"",""),COLUMN()-6),2,300)"),"4 faded purple bags")</f>
        <v>4 faded purple bags</v>
      </c>
      <c r="I528" s="3" t="str">
        <f>IFERROR(__xludf.DUMMYFUNCTION("MID(INDEX(SPLIT($F528,"",""),COLUMN()-6),2,300)"),"5 wavy bronze bags.")</f>
        <v>5 wavy bronze bags.</v>
      </c>
      <c r="J528" s="3" t="str">
        <f>IFERROR(__xludf.DUMMYFUNCTION("MID(INDEX(SPLIT($F528,"",""),COLUMN()-6),2,300)"),"#REF!")</f>
        <v>#REF!</v>
      </c>
      <c r="K528" s="3">
        <f>IFERROR(__xludf.DUMMYFUNCTION("INDEX(SPLIT(G528,"" ""),1)"),5.0)</f>
        <v>5</v>
      </c>
      <c r="L528" s="3" t="str">
        <f>IFERROR(__xludf.DUMMYFUNCTION("REGEXEXTRACT(G528,"" [^ ]* [^ ]* "")")," plaid aqua ")</f>
        <v> plaid aqua </v>
      </c>
      <c r="M528" s="3">
        <f>IFERROR(__xludf.DUMMYFUNCTION("INDEX(SPLIT(H528,"" ""),1)"),4.0)</f>
        <v>4</v>
      </c>
      <c r="N528" s="3" t="str">
        <f>IFERROR(__xludf.DUMMYFUNCTION("MID(REGEXEXTRACT(H528,"" [^ ]* [^ ]*""),2,300)"),"faded purple")</f>
        <v>faded purple</v>
      </c>
      <c r="O528" s="3">
        <f>IFERROR(__xludf.DUMMYFUNCTION("INDEX(SPLIT(I528,"" ""),1)"),5.0)</f>
        <v>5</v>
      </c>
      <c r="P528" s="3" t="str">
        <f>IFERROR(__xludf.DUMMYFUNCTION("MID(REGEXEXTRACT(I528,"" [^ ]* [^ ]*""),2,300)"),"wavy bronze")</f>
        <v>wavy bronze</v>
      </c>
      <c r="Q528" s="3" t="str">
        <f>IFERROR(__xludf.DUMMYFUNCTION("INDEX(SPLIT(J528,"" ""),1)"),"#REF!")</f>
        <v>#REF!</v>
      </c>
      <c r="R528" s="3" t="str">
        <f>IFERROR(__xludf.DUMMYFUNCTION("MID(REGEXEXTRACT(J528,"" [^ ]* [^ ]*""),2,300)"),"#REF!")</f>
        <v>#REF!</v>
      </c>
      <c r="S528" s="3">
        <f t="shared" si="2"/>
        <v>5</v>
      </c>
      <c r="T528" s="3" t="str">
        <f t="shared" si="3"/>
        <v>plaid aqua</v>
      </c>
      <c r="U528" s="3">
        <f t="shared" si="4"/>
        <v>4</v>
      </c>
      <c r="V528" s="3" t="str">
        <f t="shared" si="5"/>
        <v>faded purple</v>
      </c>
      <c r="W528" s="3">
        <f t="shared" si="6"/>
        <v>5</v>
      </c>
      <c r="X528" s="3" t="str">
        <f t="shared" si="7"/>
        <v>wavy bronze</v>
      </c>
      <c r="Y528" s="3" t="str">
        <f t="shared" si="8"/>
        <v/>
      </c>
      <c r="Z528" s="3" t="str">
        <f t="shared" si="9"/>
        <v/>
      </c>
      <c r="AA528" s="13">
        <f t="shared" si="10"/>
        <v>4002234</v>
      </c>
      <c r="AB528" s="3">
        <f t="shared" si="11"/>
        <v>4002233</v>
      </c>
      <c r="AC528" s="3">
        <f t="shared" si="12"/>
        <v>5</v>
      </c>
      <c r="AD528" s="3">
        <f t="shared" si="13"/>
        <v>1</v>
      </c>
      <c r="AE528" s="3">
        <f t="shared" si="14"/>
        <v>4</v>
      </c>
      <c r="AF528" s="3">
        <f t="shared" si="15"/>
        <v>6357</v>
      </c>
      <c r="AG528" s="3">
        <f t="shared" si="16"/>
        <v>5</v>
      </c>
      <c r="AH528" s="3">
        <f t="shared" si="17"/>
        <v>795360</v>
      </c>
      <c r="AI528" s="3" t="str">
        <f t="shared" si="18"/>
        <v/>
      </c>
      <c r="AJ528" s="3">
        <f t="shared" si="19"/>
        <v>0</v>
      </c>
    </row>
    <row r="529">
      <c r="C529" s="6" t="s">
        <v>529</v>
      </c>
      <c r="D529" s="3">
        <f t="shared" si="1"/>
        <v>3</v>
      </c>
      <c r="E529" s="3" t="str">
        <f>IFERROR(__xludf.DUMMYFUNCTION("REGEXEXTRACT(C529,""[^ ]* [^ ]*"")"),"drab black")</f>
        <v>drab black</v>
      </c>
      <c r="F529" s="3" t="str">
        <f>IFERROR(__xludf.DUMMYFUNCTION("MID(REGEXEXTRACT(C529,""contain.*$""),9,300)"),"3 pale aqua bags, 2 clear coral bags, 2 mirrored silver bags, 5 dark cyan bags.")</f>
        <v>3 pale aqua bags, 2 clear coral bags, 2 mirrored silver bags, 5 dark cyan bags.</v>
      </c>
      <c r="G529" s="3" t="str">
        <f>IFERROR(__xludf.DUMMYFUNCTION("INDEX(SPLIT($F529,"",""),COLUMN()-6)"),"3 pale aqua bags")</f>
        <v>3 pale aqua bags</v>
      </c>
      <c r="H529" s="3" t="str">
        <f>IFERROR(__xludf.DUMMYFUNCTION("MID(INDEX(SPLIT($F529,"",""),COLUMN()-6),2,300)"),"2 clear coral bags")</f>
        <v>2 clear coral bags</v>
      </c>
      <c r="I529" s="3" t="str">
        <f>IFERROR(__xludf.DUMMYFUNCTION("MID(INDEX(SPLIT($F529,"",""),COLUMN()-6),2,300)"),"2 mirrored silver bags")</f>
        <v>2 mirrored silver bags</v>
      </c>
      <c r="J529" s="3" t="str">
        <f>IFERROR(__xludf.DUMMYFUNCTION("MID(INDEX(SPLIT($F529,"",""),COLUMN()-6),2,300)"),"5 dark cyan bags.")</f>
        <v>5 dark cyan bags.</v>
      </c>
      <c r="K529" s="3">
        <f>IFERROR(__xludf.DUMMYFUNCTION("INDEX(SPLIT(G529,"" ""),1)"),3.0)</f>
        <v>3</v>
      </c>
      <c r="L529" s="3" t="str">
        <f>IFERROR(__xludf.DUMMYFUNCTION("REGEXEXTRACT(G529,"" [^ ]* [^ ]* "")")," pale aqua ")</f>
        <v> pale aqua </v>
      </c>
      <c r="M529" s="3">
        <f>IFERROR(__xludf.DUMMYFUNCTION("INDEX(SPLIT(H529,"" ""),1)"),2.0)</f>
        <v>2</v>
      </c>
      <c r="N529" s="3" t="str">
        <f>IFERROR(__xludf.DUMMYFUNCTION("MID(REGEXEXTRACT(H529,"" [^ ]* [^ ]*""),2,300)"),"clear coral")</f>
        <v>clear coral</v>
      </c>
      <c r="O529" s="3">
        <f>IFERROR(__xludf.DUMMYFUNCTION("INDEX(SPLIT(I529,"" ""),1)"),2.0)</f>
        <v>2</v>
      </c>
      <c r="P529" s="3" t="str">
        <f>IFERROR(__xludf.DUMMYFUNCTION("MID(REGEXEXTRACT(I529,"" [^ ]* [^ ]*""),2,300)"),"mirrored silver")</f>
        <v>mirrored silver</v>
      </c>
      <c r="Q529" s="3">
        <f>IFERROR(__xludf.DUMMYFUNCTION("INDEX(SPLIT(J529,"" ""),1)"),5.0)</f>
        <v>5</v>
      </c>
      <c r="R529" s="3" t="str">
        <f>IFERROR(__xludf.DUMMYFUNCTION("MID(REGEXEXTRACT(J529,"" [^ ]* [^ ]*""),2,300)"),"dark cyan")</f>
        <v>dark cyan</v>
      </c>
      <c r="S529" s="3">
        <f t="shared" si="2"/>
        <v>3</v>
      </c>
      <c r="T529" s="3" t="str">
        <f t="shared" si="3"/>
        <v>pale aqua</v>
      </c>
      <c r="U529" s="3">
        <f t="shared" si="4"/>
        <v>2</v>
      </c>
      <c r="V529" s="3" t="str">
        <f t="shared" si="5"/>
        <v>clear coral</v>
      </c>
      <c r="W529" s="3">
        <f t="shared" si="6"/>
        <v>2</v>
      </c>
      <c r="X529" s="3" t="str">
        <f t="shared" si="7"/>
        <v>mirrored silver</v>
      </c>
      <c r="Y529" s="3">
        <f t="shared" si="8"/>
        <v>5</v>
      </c>
      <c r="Z529" s="3" t="str">
        <f t="shared" si="9"/>
        <v>dark cyan</v>
      </c>
      <c r="AA529" s="13">
        <f t="shared" si="10"/>
        <v>314592018</v>
      </c>
      <c r="AB529" s="3">
        <f t="shared" si="11"/>
        <v>314592017</v>
      </c>
      <c r="AC529" s="3">
        <f t="shared" si="12"/>
        <v>3</v>
      </c>
      <c r="AD529" s="3">
        <f t="shared" si="13"/>
        <v>1578216</v>
      </c>
      <c r="AE529" s="3">
        <f t="shared" si="14"/>
        <v>2</v>
      </c>
      <c r="AF529" s="3">
        <f t="shared" si="15"/>
        <v>1</v>
      </c>
      <c r="AG529" s="3">
        <f t="shared" si="16"/>
        <v>2</v>
      </c>
      <c r="AH529" s="3">
        <f t="shared" si="17"/>
        <v>386</v>
      </c>
      <c r="AI529" s="3">
        <f t="shared" si="18"/>
        <v>5</v>
      </c>
      <c r="AJ529" s="3">
        <f t="shared" si="19"/>
        <v>61971319</v>
      </c>
    </row>
    <row r="530">
      <c r="C530" s="6" t="s">
        <v>530</v>
      </c>
      <c r="D530" s="3">
        <f t="shared" si="1"/>
        <v>3</v>
      </c>
      <c r="E530" s="3" t="str">
        <f>IFERROR(__xludf.DUMMYFUNCTION("REGEXEXTRACT(C530,""[^ ]* [^ ]*"")"),"bright green")</f>
        <v>bright green</v>
      </c>
      <c r="F530" s="3" t="str">
        <f>IFERROR(__xludf.DUMMYFUNCTION("MID(REGEXEXTRACT(C530,""contain.*$""),9,300)"),"1 shiny aqua bag, 5 drab salmon bags, 5 wavy tomato bags, 4 faded beige bags.")</f>
        <v>1 shiny aqua bag, 5 drab salmon bags, 5 wavy tomato bags, 4 faded beige bags.</v>
      </c>
      <c r="G530" s="3" t="str">
        <f>IFERROR(__xludf.DUMMYFUNCTION("INDEX(SPLIT($F530,"",""),COLUMN()-6)"),"1 shiny aqua bag")</f>
        <v>1 shiny aqua bag</v>
      </c>
      <c r="H530" s="3" t="str">
        <f>IFERROR(__xludf.DUMMYFUNCTION("MID(INDEX(SPLIT($F530,"",""),COLUMN()-6),2,300)"),"5 drab salmon bags")</f>
        <v>5 drab salmon bags</v>
      </c>
      <c r="I530" s="3" t="str">
        <f>IFERROR(__xludf.DUMMYFUNCTION("MID(INDEX(SPLIT($F530,"",""),COLUMN()-6),2,300)"),"5 wavy tomato bags")</f>
        <v>5 wavy tomato bags</v>
      </c>
      <c r="J530" s="3" t="str">
        <f>IFERROR(__xludf.DUMMYFUNCTION("MID(INDEX(SPLIT($F530,"",""),COLUMN()-6),2,300)"),"4 faded beige bags.")</f>
        <v>4 faded beige bags.</v>
      </c>
      <c r="K530" s="3">
        <f>IFERROR(__xludf.DUMMYFUNCTION("INDEX(SPLIT(G530,"" ""),1)"),1.0)</f>
        <v>1</v>
      </c>
      <c r="L530" s="3" t="str">
        <f>IFERROR(__xludf.DUMMYFUNCTION("REGEXEXTRACT(G530,"" [^ ]* [^ ]* "")")," shiny aqua ")</f>
        <v> shiny aqua </v>
      </c>
      <c r="M530" s="3">
        <f>IFERROR(__xludf.DUMMYFUNCTION("INDEX(SPLIT(H530,"" ""),1)"),5.0)</f>
        <v>5</v>
      </c>
      <c r="N530" s="3" t="str">
        <f>IFERROR(__xludf.DUMMYFUNCTION("MID(REGEXEXTRACT(H530,"" [^ ]* [^ ]*""),2,300)"),"drab salmon")</f>
        <v>drab salmon</v>
      </c>
      <c r="O530" s="3">
        <f>IFERROR(__xludf.DUMMYFUNCTION("INDEX(SPLIT(I530,"" ""),1)"),5.0)</f>
        <v>5</v>
      </c>
      <c r="P530" s="3" t="str">
        <f>IFERROR(__xludf.DUMMYFUNCTION("MID(REGEXEXTRACT(I530,"" [^ ]* [^ ]*""),2,300)"),"wavy tomato")</f>
        <v>wavy tomato</v>
      </c>
      <c r="Q530" s="3">
        <f>IFERROR(__xludf.DUMMYFUNCTION("INDEX(SPLIT(J530,"" ""),1)"),4.0)</f>
        <v>4</v>
      </c>
      <c r="R530" s="3" t="str">
        <f>IFERROR(__xludf.DUMMYFUNCTION("MID(REGEXEXTRACT(J530,"" [^ ]* [^ ]*""),2,300)"),"faded beige")</f>
        <v>faded beige</v>
      </c>
      <c r="S530" s="3">
        <f t="shared" si="2"/>
        <v>1</v>
      </c>
      <c r="T530" s="3" t="str">
        <f t="shared" si="3"/>
        <v>shiny aqua</v>
      </c>
      <c r="U530" s="3">
        <f t="shared" si="4"/>
        <v>5</v>
      </c>
      <c r="V530" s="3" t="str">
        <f t="shared" si="5"/>
        <v>drab salmon</v>
      </c>
      <c r="W530" s="3">
        <f t="shared" si="6"/>
        <v>5</v>
      </c>
      <c r="X530" s="3" t="str">
        <f t="shared" si="7"/>
        <v>wavy tomato</v>
      </c>
      <c r="Y530" s="3">
        <f t="shared" si="8"/>
        <v>4</v>
      </c>
      <c r="Z530" s="3" t="str">
        <f t="shared" si="9"/>
        <v>faded beige</v>
      </c>
      <c r="AA530" s="13">
        <f t="shared" si="10"/>
        <v>134494</v>
      </c>
      <c r="AB530" s="3">
        <f t="shared" si="11"/>
        <v>134493</v>
      </c>
      <c r="AC530" s="3">
        <f t="shared" si="12"/>
        <v>1</v>
      </c>
      <c r="AD530" s="3">
        <f t="shared" si="13"/>
        <v>32451</v>
      </c>
      <c r="AE530" s="3">
        <f t="shared" si="14"/>
        <v>5</v>
      </c>
      <c r="AF530" s="3">
        <f t="shared" si="15"/>
        <v>15045</v>
      </c>
      <c r="AG530" s="3">
        <f t="shared" si="16"/>
        <v>5</v>
      </c>
      <c r="AH530" s="3">
        <f t="shared" si="17"/>
        <v>265</v>
      </c>
      <c r="AI530" s="3">
        <f t="shared" si="18"/>
        <v>4</v>
      </c>
      <c r="AJ530" s="3">
        <f t="shared" si="19"/>
        <v>6373</v>
      </c>
    </row>
    <row r="531">
      <c r="C531" s="6" t="s">
        <v>531</v>
      </c>
      <c r="D531" s="3">
        <f t="shared" si="1"/>
        <v>2</v>
      </c>
      <c r="E531" s="3" t="str">
        <f>IFERROR(__xludf.DUMMYFUNCTION("REGEXEXTRACT(C531,""[^ ]* [^ ]*"")"),"bright aqua")</f>
        <v>bright aqua</v>
      </c>
      <c r="F531" s="3" t="str">
        <f>IFERROR(__xludf.DUMMYFUNCTION("MID(REGEXEXTRACT(C531,""contain.*$""),9,300)"),"2 vibrant magenta bags, 3 dim indigo bags, 5 dark fuchsia bags.")</f>
        <v>2 vibrant magenta bags, 3 dim indigo bags, 5 dark fuchsia bags.</v>
      </c>
      <c r="G531" s="3" t="str">
        <f>IFERROR(__xludf.DUMMYFUNCTION("INDEX(SPLIT($F531,"",""),COLUMN()-6)"),"2 vibrant magenta bags")</f>
        <v>2 vibrant magenta bags</v>
      </c>
      <c r="H531" s="3" t="str">
        <f>IFERROR(__xludf.DUMMYFUNCTION("MID(INDEX(SPLIT($F531,"",""),COLUMN()-6),2,300)"),"3 dim indigo bags")</f>
        <v>3 dim indigo bags</v>
      </c>
      <c r="I531" s="3" t="str">
        <f>IFERROR(__xludf.DUMMYFUNCTION("MID(INDEX(SPLIT($F531,"",""),COLUMN()-6),2,300)"),"5 dark fuchsia bags.")</f>
        <v>5 dark fuchsia bags.</v>
      </c>
      <c r="J531" s="3" t="str">
        <f>IFERROR(__xludf.DUMMYFUNCTION("MID(INDEX(SPLIT($F531,"",""),COLUMN()-6),2,300)"),"#REF!")</f>
        <v>#REF!</v>
      </c>
      <c r="K531" s="3">
        <f>IFERROR(__xludf.DUMMYFUNCTION("INDEX(SPLIT(G531,"" ""),1)"),2.0)</f>
        <v>2</v>
      </c>
      <c r="L531" s="3" t="str">
        <f>IFERROR(__xludf.DUMMYFUNCTION("REGEXEXTRACT(G531,"" [^ ]* [^ ]* "")")," vibrant magenta ")</f>
        <v> vibrant magenta </v>
      </c>
      <c r="M531" s="3">
        <f>IFERROR(__xludf.DUMMYFUNCTION("INDEX(SPLIT(H531,"" ""),1)"),3.0)</f>
        <v>3</v>
      </c>
      <c r="N531" s="3" t="str">
        <f>IFERROR(__xludf.DUMMYFUNCTION("MID(REGEXEXTRACT(H531,"" [^ ]* [^ ]*""),2,300)"),"dim indigo")</f>
        <v>dim indigo</v>
      </c>
      <c r="O531" s="3">
        <f>IFERROR(__xludf.DUMMYFUNCTION("INDEX(SPLIT(I531,"" ""),1)"),5.0)</f>
        <v>5</v>
      </c>
      <c r="P531" s="3" t="str">
        <f>IFERROR(__xludf.DUMMYFUNCTION("MID(REGEXEXTRACT(I531,"" [^ ]* [^ ]*""),2,300)"),"dark fuchsia")</f>
        <v>dark fuchsia</v>
      </c>
      <c r="Q531" s="3" t="str">
        <f>IFERROR(__xludf.DUMMYFUNCTION("INDEX(SPLIT(J531,"" ""),1)"),"#REF!")</f>
        <v>#REF!</v>
      </c>
      <c r="R531" s="3" t="str">
        <f>IFERROR(__xludf.DUMMYFUNCTION("MID(REGEXEXTRACT(J531,"" [^ ]* [^ ]*""),2,300)"),"#REF!")</f>
        <v>#REF!</v>
      </c>
      <c r="S531" s="3">
        <f t="shared" si="2"/>
        <v>2</v>
      </c>
      <c r="T531" s="3" t="str">
        <f t="shared" si="3"/>
        <v>vibrant magenta</v>
      </c>
      <c r="U531" s="3">
        <f t="shared" si="4"/>
        <v>3</v>
      </c>
      <c r="V531" s="3" t="str">
        <f t="shared" si="5"/>
        <v>dim indigo</v>
      </c>
      <c r="W531" s="3">
        <f t="shared" si="6"/>
        <v>5</v>
      </c>
      <c r="X531" s="3" t="str">
        <f t="shared" si="7"/>
        <v>dark fuchsia</v>
      </c>
      <c r="Y531" s="3" t="str">
        <f t="shared" si="8"/>
        <v/>
      </c>
      <c r="Z531" s="3" t="str">
        <f t="shared" si="9"/>
        <v/>
      </c>
      <c r="AA531" s="13">
        <f t="shared" si="10"/>
        <v>410531752</v>
      </c>
      <c r="AB531" s="3">
        <f t="shared" si="11"/>
        <v>410531751</v>
      </c>
      <c r="AC531" s="3">
        <f t="shared" si="12"/>
        <v>2</v>
      </c>
      <c r="AD531" s="3">
        <f t="shared" si="13"/>
        <v>202868230</v>
      </c>
      <c r="AE531" s="3">
        <f t="shared" si="14"/>
        <v>3</v>
      </c>
      <c r="AF531" s="3">
        <f t="shared" si="15"/>
        <v>29637</v>
      </c>
      <c r="AG531" s="3">
        <f t="shared" si="16"/>
        <v>5</v>
      </c>
      <c r="AH531" s="3">
        <f t="shared" si="17"/>
        <v>941276</v>
      </c>
      <c r="AI531" s="3" t="str">
        <f t="shared" si="18"/>
        <v/>
      </c>
      <c r="AJ531" s="3">
        <f t="shared" si="19"/>
        <v>0</v>
      </c>
    </row>
    <row r="532">
      <c r="C532" s="6" t="s">
        <v>532</v>
      </c>
      <c r="D532" s="3">
        <f t="shared" si="1"/>
        <v>0</v>
      </c>
      <c r="E532" s="3" t="str">
        <f>IFERROR(__xludf.DUMMYFUNCTION("REGEXEXTRACT(C532,""[^ ]* [^ ]*"")"),"pale olive")</f>
        <v>pale olive</v>
      </c>
      <c r="F532" s="3" t="str">
        <f>IFERROR(__xludf.DUMMYFUNCTION("MID(REGEXEXTRACT(C532,""contain.*$""),9,300)"),"1 dotted brown bag.")</f>
        <v>1 dotted brown bag.</v>
      </c>
      <c r="G532" s="3" t="str">
        <f>IFERROR(__xludf.DUMMYFUNCTION("INDEX(SPLIT($F532,"",""),COLUMN()-6)"),"1 dotted brown bag.")</f>
        <v>1 dotted brown bag.</v>
      </c>
      <c r="H532" s="3" t="str">
        <f>IFERROR(__xludf.DUMMYFUNCTION("MID(INDEX(SPLIT($F532,"",""),COLUMN()-6),2,300)"),"#REF!")</f>
        <v>#REF!</v>
      </c>
      <c r="I532" s="3" t="str">
        <f>IFERROR(__xludf.DUMMYFUNCTION("MID(INDEX(SPLIT($F532,"",""),COLUMN()-6),2,300)"),"#REF!")</f>
        <v>#REF!</v>
      </c>
      <c r="J532" s="3" t="str">
        <f>IFERROR(__xludf.DUMMYFUNCTION("MID(INDEX(SPLIT($F532,"",""),COLUMN()-6),2,300)"),"#REF!")</f>
        <v>#REF!</v>
      </c>
      <c r="K532" s="3">
        <f>IFERROR(__xludf.DUMMYFUNCTION("INDEX(SPLIT(G532,"" ""),1)"),1.0)</f>
        <v>1</v>
      </c>
      <c r="L532" s="3" t="str">
        <f>IFERROR(__xludf.DUMMYFUNCTION("REGEXEXTRACT(G532,"" [^ ]* [^ ]* "")")," dotted brown ")</f>
        <v> dotted brown </v>
      </c>
      <c r="M532" s="3" t="str">
        <f>IFERROR(__xludf.DUMMYFUNCTION("INDEX(SPLIT(H532,"" ""),1)"),"#REF!")</f>
        <v>#REF!</v>
      </c>
      <c r="N532" s="3" t="str">
        <f>IFERROR(__xludf.DUMMYFUNCTION("MID(REGEXEXTRACT(H532,"" [^ ]* [^ ]*""),2,300)"),"#REF!")</f>
        <v>#REF!</v>
      </c>
      <c r="O532" s="3" t="str">
        <f>IFERROR(__xludf.DUMMYFUNCTION("INDEX(SPLIT(I532,"" ""),1)"),"#REF!")</f>
        <v>#REF!</v>
      </c>
      <c r="P532" s="3" t="str">
        <f>IFERROR(__xludf.DUMMYFUNCTION("MID(REGEXEXTRACT(I532,"" [^ ]* [^ ]*""),2,300)"),"#REF!")</f>
        <v>#REF!</v>
      </c>
      <c r="Q532" s="3" t="str">
        <f>IFERROR(__xludf.DUMMYFUNCTION("INDEX(SPLIT(J532,"" ""),1)"),"#REF!")</f>
        <v>#REF!</v>
      </c>
      <c r="R532" s="3" t="str">
        <f>IFERROR(__xludf.DUMMYFUNCTION("MID(REGEXEXTRACT(J532,"" [^ ]* [^ ]*""),2,300)"),"#REF!")</f>
        <v>#REF!</v>
      </c>
      <c r="S532" s="3">
        <f t="shared" si="2"/>
        <v>1</v>
      </c>
      <c r="T532" s="3" t="str">
        <f t="shared" si="3"/>
        <v>dotted brown</v>
      </c>
      <c r="U532" s="3" t="str">
        <f t="shared" si="4"/>
        <v/>
      </c>
      <c r="V532" s="3" t="str">
        <f t="shared" si="5"/>
        <v/>
      </c>
      <c r="W532" s="3" t="str">
        <f t="shared" si="6"/>
        <v/>
      </c>
      <c r="X532" s="3" t="str">
        <f t="shared" si="7"/>
        <v/>
      </c>
      <c r="Y532" s="3" t="str">
        <f t="shared" si="8"/>
        <v/>
      </c>
      <c r="Z532" s="3" t="str">
        <f t="shared" si="9"/>
        <v/>
      </c>
      <c r="AA532" s="13">
        <f t="shared" si="10"/>
        <v>306</v>
      </c>
      <c r="AB532" s="3">
        <f t="shared" si="11"/>
        <v>305</v>
      </c>
      <c r="AC532" s="3">
        <f t="shared" si="12"/>
        <v>1</v>
      </c>
      <c r="AD532" s="3">
        <f t="shared" si="13"/>
        <v>305</v>
      </c>
      <c r="AE532" s="3" t="str">
        <f t="shared" si="14"/>
        <v/>
      </c>
      <c r="AF532" s="3">
        <f t="shared" si="15"/>
        <v>0</v>
      </c>
      <c r="AG532" s="3" t="str">
        <f t="shared" si="16"/>
        <v/>
      </c>
      <c r="AH532" s="3">
        <f t="shared" si="17"/>
        <v>0</v>
      </c>
      <c r="AI532" s="3" t="str">
        <f t="shared" si="18"/>
        <v/>
      </c>
      <c r="AJ532" s="3">
        <f t="shared" si="19"/>
        <v>0</v>
      </c>
    </row>
    <row r="533">
      <c r="C533" s="6" t="s">
        <v>533</v>
      </c>
      <c r="D533" s="3">
        <f t="shared" si="1"/>
        <v>1</v>
      </c>
      <c r="E533" s="3" t="str">
        <f>IFERROR(__xludf.DUMMYFUNCTION("REGEXEXTRACT(C533,""[^ ]* [^ ]*"")"),"mirrored fuchsia")</f>
        <v>mirrored fuchsia</v>
      </c>
      <c r="F533" s="3" t="str">
        <f>IFERROR(__xludf.DUMMYFUNCTION("MID(REGEXEXTRACT(C533,""contain.*$""),9,300)"),"1 dull brown bag, 3 light cyan bags.")</f>
        <v>1 dull brown bag, 3 light cyan bags.</v>
      </c>
      <c r="G533" s="3" t="str">
        <f>IFERROR(__xludf.DUMMYFUNCTION("INDEX(SPLIT($F533,"",""),COLUMN()-6)"),"1 dull brown bag")</f>
        <v>1 dull brown bag</v>
      </c>
      <c r="H533" s="3" t="str">
        <f>IFERROR(__xludf.DUMMYFUNCTION("MID(INDEX(SPLIT($F533,"",""),COLUMN()-6),2,300)"),"3 light cyan bags.")</f>
        <v>3 light cyan bags.</v>
      </c>
      <c r="I533" s="3" t="str">
        <f>IFERROR(__xludf.DUMMYFUNCTION("MID(INDEX(SPLIT($F533,"",""),COLUMN()-6),2,300)"),"#REF!")</f>
        <v>#REF!</v>
      </c>
      <c r="J533" s="3" t="str">
        <f>IFERROR(__xludf.DUMMYFUNCTION("MID(INDEX(SPLIT($F533,"",""),COLUMN()-6),2,300)"),"#REF!")</f>
        <v>#REF!</v>
      </c>
      <c r="K533" s="3">
        <f>IFERROR(__xludf.DUMMYFUNCTION("INDEX(SPLIT(G533,"" ""),1)"),1.0)</f>
        <v>1</v>
      </c>
      <c r="L533" s="3" t="str">
        <f>IFERROR(__xludf.DUMMYFUNCTION("REGEXEXTRACT(G533,"" [^ ]* [^ ]* "")")," dull brown ")</f>
        <v> dull brown </v>
      </c>
      <c r="M533" s="3">
        <f>IFERROR(__xludf.DUMMYFUNCTION("INDEX(SPLIT(H533,"" ""),1)"),3.0)</f>
        <v>3</v>
      </c>
      <c r="N533" s="3" t="str">
        <f>IFERROR(__xludf.DUMMYFUNCTION("MID(REGEXEXTRACT(H533,"" [^ ]* [^ ]*""),2,300)"),"light cyan")</f>
        <v>light cyan</v>
      </c>
      <c r="O533" s="3" t="str">
        <f>IFERROR(__xludf.DUMMYFUNCTION("INDEX(SPLIT(I533,"" ""),1)"),"#REF!")</f>
        <v>#REF!</v>
      </c>
      <c r="P533" s="3" t="str">
        <f>IFERROR(__xludf.DUMMYFUNCTION("MID(REGEXEXTRACT(I533,"" [^ ]* [^ ]*""),2,300)"),"#REF!")</f>
        <v>#REF!</v>
      </c>
      <c r="Q533" s="3" t="str">
        <f>IFERROR(__xludf.DUMMYFUNCTION("INDEX(SPLIT(J533,"" ""),1)"),"#REF!")</f>
        <v>#REF!</v>
      </c>
      <c r="R533" s="3" t="str">
        <f>IFERROR(__xludf.DUMMYFUNCTION("MID(REGEXEXTRACT(J533,"" [^ ]* [^ ]*""),2,300)"),"#REF!")</f>
        <v>#REF!</v>
      </c>
      <c r="S533" s="3">
        <f t="shared" si="2"/>
        <v>1</v>
      </c>
      <c r="T533" s="3" t="str">
        <f t="shared" si="3"/>
        <v>dull brown</v>
      </c>
      <c r="U533" s="3">
        <f t="shared" si="4"/>
        <v>3</v>
      </c>
      <c r="V533" s="3" t="str">
        <f t="shared" si="5"/>
        <v>light cyan</v>
      </c>
      <c r="W533" s="3" t="str">
        <f t="shared" si="6"/>
        <v/>
      </c>
      <c r="X533" s="3" t="str">
        <f t="shared" si="7"/>
        <v/>
      </c>
      <c r="Y533" s="3" t="str">
        <f t="shared" si="8"/>
        <v/>
      </c>
      <c r="Z533" s="3" t="str">
        <f t="shared" si="9"/>
        <v/>
      </c>
      <c r="AA533" s="13">
        <f t="shared" si="10"/>
        <v>8337220</v>
      </c>
      <c r="AB533" s="3">
        <f t="shared" si="11"/>
        <v>8337219</v>
      </c>
      <c r="AC533" s="3">
        <f t="shared" si="12"/>
        <v>1</v>
      </c>
      <c r="AD533" s="3">
        <f t="shared" si="13"/>
        <v>8325969</v>
      </c>
      <c r="AE533" s="3">
        <f t="shared" si="14"/>
        <v>3</v>
      </c>
      <c r="AF533" s="3">
        <f t="shared" si="15"/>
        <v>3750</v>
      </c>
      <c r="AG533" s="3" t="str">
        <f t="shared" si="16"/>
        <v/>
      </c>
      <c r="AH533" s="3">
        <f t="shared" si="17"/>
        <v>0</v>
      </c>
      <c r="AI533" s="3" t="str">
        <f t="shared" si="18"/>
        <v/>
      </c>
      <c r="AJ533" s="3">
        <f t="shared" si="19"/>
        <v>0</v>
      </c>
    </row>
    <row r="534">
      <c r="C534" s="6" t="s">
        <v>534</v>
      </c>
      <c r="D534" s="3">
        <f t="shared" si="1"/>
        <v>0</v>
      </c>
      <c r="E534" s="3" t="str">
        <f>IFERROR(__xludf.DUMMYFUNCTION("REGEXEXTRACT(C534,""[^ ]* [^ ]*"")"),"mirrored red")</f>
        <v>mirrored red</v>
      </c>
      <c r="F534" s="3" t="str">
        <f>IFERROR(__xludf.DUMMYFUNCTION("MID(REGEXEXTRACT(C534,""contain.*$""),9,300)"),"3 plaid lavender bags.")</f>
        <v>3 plaid lavender bags.</v>
      </c>
      <c r="G534" s="3" t="str">
        <f>IFERROR(__xludf.DUMMYFUNCTION("INDEX(SPLIT($F534,"",""),COLUMN()-6)"),"3 plaid lavender bags.")</f>
        <v>3 plaid lavender bags.</v>
      </c>
      <c r="H534" s="3" t="str">
        <f>IFERROR(__xludf.DUMMYFUNCTION("MID(INDEX(SPLIT($F534,"",""),COLUMN()-6),2,300)"),"#REF!")</f>
        <v>#REF!</v>
      </c>
      <c r="I534" s="3" t="str">
        <f>IFERROR(__xludf.DUMMYFUNCTION("MID(INDEX(SPLIT($F534,"",""),COLUMN()-6),2,300)"),"#REF!")</f>
        <v>#REF!</v>
      </c>
      <c r="J534" s="3" t="str">
        <f>IFERROR(__xludf.DUMMYFUNCTION("MID(INDEX(SPLIT($F534,"",""),COLUMN()-6),2,300)"),"#REF!")</f>
        <v>#REF!</v>
      </c>
      <c r="K534" s="3">
        <f>IFERROR(__xludf.DUMMYFUNCTION("INDEX(SPLIT(G534,"" ""),1)"),3.0)</f>
        <v>3</v>
      </c>
      <c r="L534" s="3" t="str">
        <f>IFERROR(__xludf.DUMMYFUNCTION("REGEXEXTRACT(G534,"" [^ ]* [^ ]* "")")," plaid lavender ")</f>
        <v> plaid lavender </v>
      </c>
      <c r="M534" s="3" t="str">
        <f>IFERROR(__xludf.DUMMYFUNCTION("INDEX(SPLIT(H534,"" ""),1)"),"#REF!")</f>
        <v>#REF!</v>
      </c>
      <c r="N534" s="3" t="str">
        <f>IFERROR(__xludf.DUMMYFUNCTION("MID(REGEXEXTRACT(H534,"" [^ ]* [^ ]*""),2,300)"),"#REF!")</f>
        <v>#REF!</v>
      </c>
      <c r="O534" s="3" t="str">
        <f>IFERROR(__xludf.DUMMYFUNCTION("INDEX(SPLIT(I534,"" ""),1)"),"#REF!")</f>
        <v>#REF!</v>
      </c>
      <c r="P534" s="3" t="str">
        <f>IFERROR(__xludf.DUMMYFUNCTION("MID(REGEXEXTRACT(I534,"" [^ ]* [^ ]*""),2,300)"),"#REF!")</f>
        <v>#REF!</v>
      </c>
      <c r="Q534" s="3" t="str">
        <f>IFERROR(__xludf.DUMMYFUNCTION("INDEX(SPLIT(J534,"" ""),1)"),"#REF!")</f>
        <v>#REF!</v>
      </c>
      <c r="R534" s="3" t="str">
        <f>IFERROR(__xludf.DUMMYFUNCTION("MID(REGEXEXTRACT(J534,"" [^ ]* [^ ]*""),2,300)"),"#REF!")</f>
        <v>#REF!</v>
      </c>
      <c r="S534" s="3">
        <f t="shared" si="2"/>
        <v>3</v>
      </c>
      <c r="T534" s="3" t="str">
        <f t="shared" si="3"/>
        <v>plaid lavender</v>
      </c>
      <c r="U534" s="3" t="str">
        <f t="shared" si="4"/>
        <v/>
      </c>
      <c r="V534" s="3" t="str">
        <f t="shared" si="5"/>
        <v/>
      </c>
      <c r="W534" s="3" t="str">
        <f t="shared" si="6"/>
        <v/>
      </c>
      <c r="X534" s="3" t="str">
        <f t="shared" si="7"/>
        <v/>
      </c>
      <c r="Y534" s="3" t="str">
        <f t="shared" si="8"/>
        <v/>
      </c>
      <c r="Z534" s="3" t="str">
        <f t="shared" si="9"/>
        <v/>
      </c>
      <c r="AA534" s="13">
        <f t="shared" si="10"/>
        <v>44887</v>
      </c>
      <c r="AB534" s="3">
        <f t="shared" si="11"/>
        <v>44886</v>
      </c>
      <c r="AC534" s="3">
        <f t="shared" si="12"/>
        <v>3</v>
      </c>
      <c r="AD534" s="3">
        <f t="shared" si="13"/>
        <v>14962</v>
      </c>
      <c r="AE534" s="3" t="str">
        <f t="shared" si="14"/>
        <v/>
      </c>
      <c r="AF534" s="3">
        <f t="shared" si="15"/>
        <v>0</v>
      </c>
      <c r="AG534" s="3" t="str">
        <f t="shared" si="16"/>
        <v/>
      </c>
      <c r="AH534" s="3">
        <f t="shared" si="17"/>
        <v>0</v>
      </c>
      <c r="AI534" s="3" t="str">
        <f t="shared" si="18"/>
        <v/>
      </c>
      <c r="AJ534" s="3">
        <f t="shared" si="19"/>
        <v>0</v>
      </c>
    </row>
    <row r="535">
      <c r="C535" s="6" t="s">
        <v>535</v>
      </c>
      <c r="D535" s="3">
        <f t="shared" si="1"/>
        <v>3</v>
      </c>
      <c r="E535" s="3" t="str">
        <f>IFERROR(__xludf.DUMMYFUNCTION("REGEXEXTRACT(C535,""[^ ]* [^ ]*"")"),"wavy blue")</f>
        <v>wavy blue</v>
      </c>
      <c r="F535" s="3" t="str">
        <f>IFERROR(__xludf.DUMMYFUNCTION("MID(REGEXEXTRACT(C535,""contain.*$""),9,300)"),"5 wavy turquoise bags, 3 light green bags, 4 dim indigo bags, 3 posh coral bags.")</f>
        <v>5 wavy turquoise bags, 3 light green bags, 4 dim indigo bags, 3 posh coral bags.</v>
      </c>
      <c r="G535" s="3" t="str">
        <f>IFERROR(__xludf.DUMMYFUNCTION("INDEX(SPLIT($F535,"",""),COLUMN()-6)"),"5 wavy turquoise bags")</f>
        <v>5 wavy turquoise bags</v>
      </c>
      <c r="H535" s="3" t="str">
        <f>IFERROR(__xludf.DUMMYFUNCTION("MID(INDEX(SPLIT($F535,"",""),COLUMN()-6),2,300)"),"3 light green bags")</f>
        <v>3 light green bags</v>
      </c>
      <c r="I535" s="3" t="str">
        <f>IFERROR(__xludf.DUMMYFUNCTION("MID(INDEX(SPLIT($F535,"",""),COLUMN()-6),2,300)"),"4 dim indigo bags")</f>
        <v>4 dim indigo bags</v>
      </c>
      <c r="J535" s="3" t="str">
        <f>IFERROR(__xludf.DUMMYFUNCTION("MID(INDEX(SPLIT($F535,"",""),COLUMN()-6),2,300)"),"3 posh coral bags.")</f>
        <v>3 posh coral bags.</v>
      </c>
      <c r="K535" s="3">
        <f>IFERROR(__xludf.DUMMYFUNCTION("INDEX(SPLIT(G535,"" ""),1)"),5.0)</f>
        <v>5</v>
      </c>
      <c r="L535" s="3" t="str">
        <f>IFERROR(__xludf.DUMMYFUNCTION("REGEXEXTRACT(G535,"" [^ ]* [^ ]* "")")," wavy turquoise ")</f>
        <v> wavy turquoise </v>
      </c>
      <c r="M535" s="3">
        <f>IFERROR(__xludf.DUMMYFUNCTION("INDEX(SPLIT(H535,"" ""),1)"),3.0)</f>
        <v>3</v>
      </c>
      <c r="N535" s="3" t="str">
        <f>IFERROR(__xludf.DUMMYFUNCTION("MID(REGEXEXTRACT(H535,"" [^ ]* [^ ]*""),2,300)"),"light green")</f>
        <v>light green</v>
      </c>
      <c r="O535" s="3">
        <f>IFERROR(__xludf.DUMMYFUNCTION("INDEX(SPLIT(I535,"" ""),1)"),4.0)</f>
        <v>4</v>
      </c>
      <c r="P535" s="3" t="str">
        <f>IFERROR(__xludf.DUMMYFUNCTION("MID(REGEXEXTRACT(I535,"" [^ ]* [^ ]*""),2,300)"),"dim indigo")</f>
        <v>dim indigo</v>
      </c>
      <c r="Q535" s="3">
        <f>IFERROR(__xludf.DUMMYFUNCTION("INDEX(SPLIT(J535,"" ""),1)"),3.0)</f>
        <v>3</v>
      </c>
      <c r="R535" s="3" t="str">
        <f>IFERROR(__xludf.DUMMYFUNCTION("MID(REGEXEXTRACT(J535,"" [^ ]* [^ ]*""),2,300)"),"posh coral")</f>
        <v>posh coral</v>
      </c>
      <c r="S535" s="3">
        <f t="shared" si="2"/>
        <v>5</v>
      </c>
      <c r="T535" s="3" t="str">
        <f t="shared" si="3"/>
        <v>wavy turquoise</v>
      </c>
      <c r="U535" s="3">
        <f t="shared" si="4"/>
        <v>3</v>
      </c>
      <c r="V535" s="3" t="str">
        <f t="shared" si="5"/>
        <v>light green</v>
      </c>
      <c r="W535" s="3">
        <f t="shared" si="6"/>
        <v>4</v>
      </c>
      <c r="X535" s="3" t="str">
        <f t="shared" si="7"/>
        <v>dim indigo</v>
      </c>
      <c r="Y535" s="3">
        <f t="shared" si="8"/>
        <v>3</v>
      </c>
      <c r="Z535" s="3" t="str">
        <f t="shared" si="9"/>
        <v>posh coral</v>
      </c>
      <c r="AA535" s="13">
        <f t="shared" si="10"/>
        <v>42954399</v>
      </c>
      <c r="AB535" s="3">
        <f t="shared" si="11"/>
        <v>42954398</v>
      </c>
      <c r="AC535" s="3">
        <f t="shared" si="12"/>
        <v>5</v>
      </c>
      <c r="AD535" s="3">
        <f t="shared" si="13"/>
        <v>11485</v>
      </c>
      <c r="AE535" s="3">
        <f t="shared" si="14"/>
        <v>3</v>
      </c>
      <c r="AF535" s="3">
        <f t="shared" si="15"/>
        <v>14259474</v>
      </c>
      <c r="AG535" s="3">
        <f t="shared" si="16"/>
        <v>4</v>
      </c>
      <c r="AH535" s="3">
        <f t="shared" si="17"/>
        <v>29637</v>
      </c>
      <c r="AI535" s="3">
        <f t="shared" si="18"/>
        <v>3</v>
      </c>
      <c r="AJ535" s="3">
        <f t="shared" si="19"/>
        <v>1</v>
      </c>
    </row>
    <row r="536">
      <c r="C536" s="6" t="s">
        <v>536</v>
      </c>
      <c r="D536" s="3">
        <f t="shared" si="1"/>
        <v>0</v>
      </c>
      <c r="E536" s="3" t="str">
        <f>IFERROR(__xludf.DUMMYFUNCTION("REGEXEXTRACT(C536,""[^ ]* [^ ]*"")"),"clear silver")</f>
        <v>clear silver</v>
      </c>
      <c r="F536" s="3" t="str">
        <f>IFERROR(__xludf.DUMMYFUNCTION("MID(REGEXEXTRACT(C536,""contain.*$""),9,300)"),"4 plaid gray bags.")</f>
        <v>4 plaid gray bags.</v>
      </c>
      <c r="G536" s="3" t="str">
        <f>IFERROR(__xludf.DUMMYFUNCTION("INDEX(SPLIT($F536,"",""),COLUMN()-6)"),"4 plaid gray bags.")</f>
        <v>4 plaid gray bags.</v>
      </c>
      <c r="H536" s="3" t="str">
        <f>IFERROR(__xludf.DUMMYFUNCTION("MID(INDEX(SPLIT($F536,"",""),COLUMN()-6),2,300)"),"#REF!")</f>
        <v>#REF!</v>
      </c>
      <c r="I536" s="3" t="str">
        <f>IFERROR(__xludf.DUMMYFUNCTION("MID(INDEX(SPLIT($F536,"",""),COLUMN()-6),2,300)"),"#REF!")</f>
        <v>#REF!</v>
      </c>
      <c r="J536" s="3" t="str">
        <f>IFERROR(__xludf.DUMMYFUNCTION("MID(INDEX(SPLIT($F536,"",""),COLUMN()-6),2,300)"),"#REF!")</f>
        <v>#REF!</v>
      </c>
      <c r="K536" s="3">
        <f>IFERROR(__xludf.DUMMYFUNCTION("INDEX(SPLIT(G536,"" ""),1)"),4.0)</f>
        <v>4</v>
      </c>
      <c r="L536" s="3" t="str">
        <f>IFERROR(__xludf.DUMMYFUNCTION("REGEXEXTRACT(G536,"" [^ ]* [^ ]* "")")," plaid gray ")</f>
        <v> plaid gray </v>
      </c>
      <c r="M536" s="3" t="str">
        <f>IFERROR(__xludf.DUMMYFUNCTION("INDEX(SPLIT(H536,"" ""),1)"),"#REF!")</f>
        <v>#REF!</v>
      </c>
      <c r="N536" s="3" t="str">
        <f>IFERROR(__xludf.DUMMYFUNCTION("MID(REGEXEXTRACT(H536,"" [^ ]* [^ ]*""),2,300)"),"#REF!")</f>
        <v>#REF!</v>
      </c>
      <c r="O536" s="3" t="str">
        <f>IFERROR(__xludf.DUMMYFUNCTION("INDEX(SPLIT(I536,"" ""),1)"),"#REF!")</f>
        <v>#REF!</v>
      </c>
      <c r="P536" s="3" t="str">
        <f>IFERROR(__xludf.DUMMYFUNCTION("MID(REGEXEXTRACT(I536,"" [^ ]* [^ ]*""),2,300)"),"#REF!")</f>
        <v>#REF!</v>
      </c>
      <c r="Q536" s="3" t="str">
        <f>IFERROR(__xludf.DUMMYFUNCTION("INDEX(SPLIT(J536,"" ""),1)"),"#REF!")</f>
        <v>#REF!</v>
      </c>
      <c r="R536" s="3" t="str">
        <f>IFERROR(__xludf.DUMMYFUNCTION("MID(REGEXEXTRACT(J536,"" [^ ]* [^ ]*""),2,300)"),"#REF!")</f>
        <v>#REF!</v>
      </c>
      <c r="S536" s="3">
        <f t="shared" si="2"/>
        <v>4</v>
      </c>
      <c r="T536" s="3" t="str">
        <f t="shared" si="3"/>
        <v>plaid gray</v>
      </c>
      <c r="U536" s="3" t="str">
        <f t="shared" si="4"/>
        <v/>
      </c>
      <c r="V536" s="3" t="str">
        <f t="shared" si="5"/>
        <v/>
      </c>
      <c r="W536" s="3" t="str">
        <f t="shared" si="6"/>
        <v/>
      </c>
      <c r="X536" s="3" t="str">
        <f t="shared" si="7"/>
        <v/>
      </c>
      <c r="Y536" s="3" t="str">
        <f t="shared" si="8"/>
        <v/>
      </c>
      <c r="Z536" s="3" t="str">
        <f t="shared" si="9"/>
        <v/>
      </c>
      <c r="AA536" s="13">
        <f t="shared" si="10"/>
        <v>217</v>
      </c>
      <c r="AB536" s="3">
        <f t="shared" si="11"/>
        <v>216</v>
      </c>
      <c r="AC536" s="3">
        <f t="shared" si="12"/>
        <v>4</v>
      </c>
      <c r="AD536" s="3">
        <f t="shared" si="13"/>
        <v>54</v>
      </c>
      <c r="AE536" s="3" t="str">
        <f t="shared" si="14"/>
        <v/>
      </c>
      <c r="AF536" s="3">
        <f t="shared" si="15"/>
        <v>0</v>
      </c>
      <c r="AG536" s="3" t="str">
        <f t="shared" si="16"/>
        <v/>
      </c>
      <c r="AH536" s="3">
        <f t="shared" si="17"/>
        <v>0</v>
      </c>
      <c r="AI536" s="3" t="str">
        <f t="shared" si="18"/>
        <v/>
      </c>
      <c r="AJ536" s="3">
        <f t="shared" si="19"/>
        <v>0</v>
      </c>
    </row>
    <row r="537">
      <c r="C537" s="6" t="s">
        <v>537</v>
      </c>
      <c r="D537" s="3">
        <f t="shared" si="1"/>
        <v>3</v>
      </c>
      <c r="E537" s="3" t="str">
        <f>IFERROR(__xludf.DUMMYFUNCTION("REGEXEXTRACT(C537,""[^ ]* [^ ]*"")"),"muted white")</f>
        <v>muted white</v>
      </c>
      <c r="F537" s="3" t="str">
        <f>IFERROR(__xludf.DUMMYFUNCTION("MID(REGEXEXTRACT(C537,""contain.*$""),9,300)"),"2 dotted salmon bags, 4 mirrored white bags, 3 clear cyan bags, 2 muted chartreuse bags.")</f>
        <v>2 dotted salmon bags, 4 mirrored white bags, 3 clear cyan bags, 2 muted chartreuse bags.</v>
      </c>
      <c r="G537" s="3" t="str">
        <f>IFERROR(__xludf.DUMMYFUNCTION("INDEX(SPLIT($F537,"",""),COLUMN()-6)"),"2 dotted salmon bags")</f>
        <v>2 dotted salmon bags</v>
      </c>
      <c r="H537" s="3" t="str">
        <f>IFERROR(__xludf.DUMMYFUNCTION("MID(INDEX(SPLIT($F537,"",""),COLUMN()-6),2,300)"),"4 mirrored white bags")</f>
        <v>4 mirrored white bags</v>
      </c>
      <c r="I537" s="3" t="str">
        <f>IFERROR(__xludf.DUMMYFUNCTION("MID(INDEX(SPLIT($F537,"",""),COLUMN()-6),2,300)"),"3 clear cyan bags")</f>
        <v>3 clear cyan bags</v>
      </c>
      <c r="J537" s="3" t="str">
        <f>IFERROR(__xludf.DUMMYFUNCTION("MID(INDEX(SPLIT($F537,"",""),COLUMN()-6),2,300)"),"2 muted chartreuse bags.")</f>
        <v>2 muted chartreuse bags.</v>
      </c>
      <c r="K537" s="3">
        <f>IFERROR(__xludf.DUMMYFUNCTION("INDEX(SPLIT(G537,"" ""),1)"),2.0)</f>
        <v>2</v>
      </c>
      <c r="L537" s="3" t="str">
        <f>IFERROR(__xludf.DUMMYFUNCTION("REGEXEXTRACT(G537,"" [^ ]* [^ ]* "")")," dotted salmon ")</f>
        <v> dotted salmon </v>
      </c>
      <c r="M537" s="3">
        <f>IFERROR(__xludf.DUMMYFUNCTION("INDEX(SPLIT(H537,"" ""),1)"),4.0)</f>
        <v>4</v>
      </c>
      <c r="N537" s="3" t="str">
        <f>IFERROR(__xludf.DUMMYFUNCTION("MID(REGEXEXTRACT(H537,"" [^ ]* [^ ]*""),2,300)"),"mirrored white")</f>
        <v>mirrored white</v>
      </c>
      <c r="O537" s="3">
        <f>IFERROR(__xludf.DUMMYFUNCTION("INDEX(SPLIT(I537,"" ""),1)"),3.0)</f>
        <v>3</v>
      </c>
      <c r="P537" s="3" t="str">
        <f>IFERROR(__xludf.DUMMYFUNCTION("MID(REGEXEXTRACT(I537,"" [^ ]* [^ ]*""),2,300)"),"clear cyan")</f>
        <v>clear cyan</v>
      </c>
      <c r="Q537" s="3">
        <f>IFERROR(__xludf.DUMMYFUNCTION("INDEX(SPLIT(J537,"" ""),1)"),2.0)</f>
        <v>2</v>
      </c>
      <c r="R537" s="3" t="str">
        <f>IFERROR(__xludf.DUMMYFUNCTION("MID(REGEXEXTRACT(J537,"" [^ ]* [^ ]*""),2,300)"),"muted chartreuse")</f>
        <v>muted chartreuse</v>
      </c>
      <c r="S537" s="3">
        <f t="shared" si="2"/>
        <v>2</v>
      </c>
      <c r="T537" s="3" t="str">
        <f t="shared" si="3"/>
        <v>dotted salmon</v>
      </c>
      <c r="U537" s="3">
        <f t="shared" si="4"/>
        <v>4</v>
      </c>
      <c r="V537" s="3" t="str">
        <f t="shared" si="5"/>
        <v>mirrored white</v>
      </c>
      <c r="W537" s="3">
        <f t="shared" si="6"/>
        <v>3</v>
      </c>
      <c r="X537" s="3" t="str">
        <f t="shared" si="7"/>
        <v>clear cyan</v>
      </c>
      <c r="Y537" s="3">
        <f t="shared" si="8"/>
        <v>2</v>
      </c>
      <c r="Z537" s="3" t="str">
        <f t="shared" si="9"/>
        <v>muted chartreuse</v>
      </c>
      <c r="AA537" s="13">
        <f t="shared" si="10"/>
        <v>2893450</v>
      </c>
      <c r="AB537" s="3">
        <f t="shared" si="11"/>
        <v>2893449</v>
      </c>
      <c r="AC537" s="3">
        <f t="shared" si="12"/>
        <v>2</v>
      </c>
      <c r="AD537" s="3">
        <f t="shared" si="13"/>
        <v>97296</v>
      </c>
      <c r="AE537" s="3">
        <f t="shared" si="14"/>
        <v>4</v>
      </c>
      <c r="AF537" s="3">
        <f t="shared" si="15"/>
        <v>319</v>
      </c>
      <c r="AG537" s="3">
        <f t="shared" si="16"/>
        <v>3</v>
      </c>
      <c r="AH537" s="3">
        <f t="shared" si="17"/>
        <v>899055</v>
      </c>
      <c r="AI537" s="3">
        <f t="shared" si="18"/>
        <v>2</v>
      </c>
      <c r="AJ537" s="3">
        <f t="shared" si="19"/>
        <v>208</v>
      </c>
    </row>
    <row r="538">
      <c r="C538" s="6" t="s">
        <v>538</v>
      </c>
      <c r="D538" s="3">
        <f t="shared" si="1"/>
        <v>3</v>
      </c>
      <c r="E538" s="3" t="str">
        <f>IFERROR(__xludf.DUMMYFUNCTION("REGEXEXTRACT(C538,""[^ ]* [^ ]*"")"),"dim tomato")</f>
        <v>dim tomato</v>
      </c>
      <c r="F538" s="3" t="str">
        <f>IFERROR(__xludf.DUMMYFUNCTION("MID(REGEXEXTRACT(C538,""contain.*$""),9,300)"),"3 drab white bags, 1 posh gray bag, 3 dark cyan bags, 5 posh green bags.")</f>
        <v>3 drab white bags, 1 posh gray bag, 3 dark cyan bags, 5 posh green bags.</v>
      </c>
      <c r="G538" s="3" t="str">
        <f>IFERROR(__xludf.DUMMYFUNCTION("INDEX(SPLIT($F538,"",""),COLUMN()-6)"),"3 drab white bags")</f>
        <v>3 drab white bags</v>
      </c>
      <c r="H538" s="3" t="str">
        <f>IFERROR(__xludf.DUMMYFUNCTION("MID(INDEX(SPLIT($F538,"",""),COLUMN()-6),2,300)"),"1 posh gray bag")</f>
        <v>1 posh gray bag</v>
      </c>
      <c r="I538" s="3" t="str">
        <f>IFERROR(__xludf.DUMMYFUNCTION("MID(INDEX(SPLIT($F538,"",""),COLUMN()-6),2,300)"),"3 dark cyan bags")</f>
        <v>3 dark cyan bags</v>
      </c>
      <c r="J538" s="3" t="str">
        <f>IFERROR(__xludf.DUMMYFUNCTION("MID(INDEX(SPLIT($F538,"",""),COLUMN()-6),2,300)"),"5 posh green bags.")</f>
        <v>5 posh green bags.</v>
      </c>
      <c r="K538" s="3">
        <f>IFERROR(__xludf.DUMMYFUNCTION("INDEX(SPLIT(G538,"" ""),1)"),3.0)</f>
        <v>3</v>
      </c>
      <c r="L538" s="3" t="str">
        <f>IFERROR(__xludf.DUMMYFUNCTION("REGEXEXTRACT(G538,"" [^ ]* [^ ]* "")")," drab white ")</f>
        <v> drab white </v>
      </c>
      <c r="M538" s="3">
        <f>IFERROR(__xludf.DUMMYFUNCTION("INDEX(SPLIT(H538,"" ""),1)"),1.0)</f>
        <v>1</v>
      </c>
      <c r="N538" s="3" t="str">
        <f>IFERROR(__xludf.DUMMYFUNCTION("MID(REGEXEXTRACT(H538,"" [^ ]* [^ ]*""),2,300)"),"posh gray")</f>
        <v>posh gray</v>
      </c>
      <c r="O538" s="3">
        <f>IFERROR(__xludf.DUMMYFUNCTION("INDEX(SPLIT(I538,"" ""),1)"),3.0)</f>
        <v>3</v>
      </c>
      <c r="P538" s="3" t="str">
        <f>IFERROR(__xludf.DUMMYFUNCTION("MID(REGEXEXTRACT(I538,"" [^ ]* [^ ]*""),2,300)"),"dark cyan")</f>
        <v>dark cyan</v>
      </c>
      <c r="Q538" s="3">
        <f>IFERROR(__xludf.DUMMYFUNCTION("INDEX(SPLIT(J538,"" ""),1)"),5.0)</f>
        <v>5</v>
      </c>
      <c r="R538" s="3" t="str">
        <f>IFERROR(__xludf.DUMMYFUNCTION("MID(REGEXEXTRACT(J538,"" [^ ]* [^ ]*""),2,300)"),"posh green")</f>
        <v>posh green</v>
      </c>
      <c r="S538" s="3">
        <f t="shared" si="2"/>
        <v>3</v>
      </c>
      <c r="T538" s="3" t="str">
        <f t="shared" si="3"/>
        <v>drab white</v>
      </c>
      <c r="U538" s="3">
        <f t="shared" si="4"/>
        <v>1</v>
      </c>
      <c r="V538" s="3" t="str">
        <f t="shared" si="5"/>
        <v>posh gray</v>
      </c>
      <c r="W538" s="3">
        <f t="shared" si="6"/>
        <v>3</v>
      </c>
      <c r="X538" s="3" t="str">
        <f t="shared" si="7"/>
        <v>dark cyan</v>
      </c>
      <c r="Y538" s="3">
        <f t="shared" si="8"/>
        <v>5</v>
      </c>
      <c r="Z538" s="3" t="str">
        <f t="shared" si="9"/>
        <v>posh green</v>
      </c>
      <c r="AA538" s="13">
        <f t="shared" si="10"/>
        <v>186016153</v>
      </c>
      <c r="AB538" s="3">
        <f t="shared" si="11"/>
        <v>186016152</v>
      </c>
      <c r="AC538" s="3">
        <f t="shared" si="12"/>
        <v>3</v>
      </c>
      <c r="AD538" s="3">
        <f t="shared" si="13"/>
        <v>14961</v>
      </c>
      <c r="AE538" s="3">
        <f t="shared" si="14"/>
        <v>1</v>
      </c>
      <c r="AF538" s="3">
        <f t="shared" si="15"/>
        <v>25477</v>
      </c>
      <c r="AG538" s="3">
        <f t="shared" si="16"/>
        <v>3</v>
      </c>
      <c r="AH538" s="3">
        <f t="shared" si="17"/>
        <v>61971319</v>
      </c>
      <c r="AI538" s="3">
        <f t="shared" si="18"/>
        <v>5</v>
      </c>
      <c r="AJ538" s="3">
        <f t="shared" si="19"/>
        <v>6367</v>
      </c>
    </row>
    <row r="539">
      <c r="C539" s="6" t="s">
        <v>539</v>
      </c>
      <c r="D539" s="3">
        <f t="shared" si="1"/>
        <v>2</v>
      </c>
      <c r="E539" s="3" t="str">
        <f>IFERROR(__xludf.DUMMYFUNCTION("REGEXEXTRACT(C539,""[^ ]* [^ ]*"")"),"drab beige")</f>
        <v>drab beige</v>
      </c>
      <c r="F539" s="3" t="str">
        <f>IFERROR(__xludf.DUMMYFUNCTION("MID(REGEXEXTRACT(C539,""contain.*$""),9,300)"),"1 light orange bag, 3 bright salmon bags, 3 pale silver bags.")</f>
        <v>1 light orange bag, 3 bright salmon bags, 3 pale silver bags.</v>
      </c>
      <c r="G539" s="3" t="str">
        <f>IFERROR(__xludf.DUMMYFUNCTION("INDEX(SPLIT($F539,"",""),COLUMN()-6)"),"1 light orange bag")</f>
        <v>1 light orange bag</v>
      </c>
      <c r="H539" s="3" t="str">
        <f>IFERROR(__xludf.DUMMYFUNCTION("MID(INDEX(SPLIT($F539,"",""),COLUMN()-6),2,300)"),"3 bright salmon bags")</f>
        <v>3 bright salmon bags</v>
      </c>
      <c r="I539" s="3" t="str">
        <f>IFERROR(__xludf.DUMMYFUNCTION("MID(INDEX(SPLIT($F539,"",""),COLUMN()-6),2,300)"),"3 pale silver bags.")</f>
        <v>3 pale silver bags.</v>
      </c>
      <c r="J539" s="3" t="str">
        <f>IFERROR(__xludf.DUMMYFUNCTION("MID(INDEX(SPLIT($F539,"",""),COLUMN()-6),2,300)"),"#REF!")</f>
        <v>#REF!</v>
      </c>
      <c r="K539" s="3">
        <f>IFERROR(__xludf.DUMMYFUNCTION("INDEX(SPLIT(G539,"" ""),1)"),1.0)</f>
        <v>1</v>
      </c>
      <c r="L539" s="3" t="str">
        <f>IFERROR(__xludf.DUMMYFUNCTION("REGEXEXTRACT(G539,"" [^ ]* [^ ]* "")")," light orange ")</f>
        <v> light orange </v>
      </c>
      <c r="M539" s="3">
        <f>IFERROR(__xludf.DUMMYFUNCTION("INDEX(SPLIT(H539,"" ""),1)"),3.0)</f>
        <v>3</v>
      </c>
      <c r="N539" s="3" t="str">
        <f>IFERROR(__xludf.DUMMYFUNCTION("MID(REGEXEXTRACT(H539,"" [^ ]* [^ ]*""),2,300)"),"bright salmon")</f>
        <v>bright salmon</v>
      </c>
      <c r="O539" s="3">
        <f>IFERROR(__xludf.DUMMYFUNCTION("INDEX(SPLIT(I539,"" ""),1)"),3.0)</f>
        <v>3</v>
      </c>
      <c r="P539" s="3" t="str">
        <f>IFERROR(__xludf.DUMMYFUNCTION("MID(REGEXEXTRACT(I539,"" [^ ]* [^ ]*""),2,300)"),"pale silver")</f>
        <v>pale silver</v>
      </c>
      <c r="Q539" s="3" t="str">
        <f>IFERROR(__xludf.DUMMYFUNCTION("INDEX(SPLIT(J539,"" ""),1)"),"#REF!")</f>
        <v>#REF!</v>
      </c>
      <c r="R539" s="3" t="str">
        <f>IFERROR(__xludf.DUMMYFUNCTION("MID(REGEXEXTRACT(J539,"" [^ ]* [^ ]*""),2,300)"),"#REF!")</f>
        <v>#REF!</v>
      </c>
      <c r="S539" s="3">
        <f t="shared" si="2"/>
        <v>1</v>
      </c>
      <c r="T539" s="3" t="str">
        <f t="shared" si="3"/>
        <v>light orange</v>
      </c>
      <c r="U539" s="3">
        <f t="shared" si="4"/>
        <v>3</v>
      </c>
      <c r="V539" s="3" t="str">
        <f t="shared" si="5"/>
        <v>bright salmon</v>
      </c>
      <c r="W539" s="3">
        <f t="shared" si="6"/>
        <v>3</v>
      </c>
      <c r="X539" s="3" t="str">
        <f t="shared" si="7"/>
        <v>pale silver</v>
      </c>
      <c r="Y539" s="3" t="str">
        <f t="shared" si="8"/>
        <v/>
      </c>
      <c r="Z539" s="3" t="str">
        <f t="shared" si="9"/>
        <v/>
      </c>
      <c r="AA539" s="13">
        <f t="shared" si="10"/>
        <v>48982306</v>
      </c>
      <c r="AB539" s="3">
        <f t="shared" si="11"/>
        <v>48982305</v>
      </c>
      <c r="AC539" s="3">
        <f t="shared" si="12"/>
        <v>1</v>
      </c>
      <c r="AD539" s="3">
        <f t="shared" si="13"/>
        <v>4507599</v>
      </c>
      <c r="AE539" s="3">
        <f t="shared" si="14"/>
        <v>3</v>
      </c>
      <c r="AF539" s="3">
        <f t="shared" si="15"/>
        <v>367933</v>
      </c>
      <c r="AG539" s="3">
        <f t="shared" si="16"/>
        <v>3</v>
      </c>
      <c r="AH539" s="3">
        <f t="shared" si="17"/>
        <v>14456969</v>
      </c>
      <c r="AI539" s="3" t="str">
        <f t="shared" si="18"/>
        <v/>
      </c>
      <c r="AJ539" s="3">
        <f t="shared" si="19"/>
        <v>0</v>
      </c>
    </row>
    <row r="540">
      <c r="C540" s="6" t="s">
        <v>540</v>
      </c>
      <c r="D540" s="3">
        <f t="shared" si="1"/>
        <v>1</v>
      </c>
      <c r="E540" s="3" t="str">
        <f>IFERROR(__xludf.DUMMYFUNCTION("REGEXEXTRACT(C540,""[^ ]* [^ ]*"")"),"clear gold")</f>
        <v>clear gold</v>
      </c>
      <c r="F540" s="3" t="str">
        <f>IFERROR(__xludf.DUMMYFUNCTION("MID(REGEXEXTRACT(C540,""contain.*$""),9,300)"),"2 vibrant white bags, 2 plaid yellow bags.")</f>
        <v>2 vibrant white bags, 2 plaid yellow bags.</v>
      </c>
      <c r="G540" s="3" t="str">
        <f>IFERROR(__xludf.DUMMYFUNCTION("INDEX(SPLIT($F540,"",""),COLUMN()-6)"),"2 vibrant white bags")</f>
        <v>2 vibrant white bags</v>
      </c>
      <c r="H540" s="3" t="str">
        <f>IFERROR(__xludf.DUMMYFUNCTION("MID(INDEX(SPLIT($F540,"",""),COLUMN()-6),2,300)"),"2 plaid yellow bags.")</f>
        <v>2 plaid yellow bags.</v>
      </c>
      <c r="I540" s="3" t="str">
        <f>IFERROR(__xludf.DUMMYFUNCTION("MID(INDEX(SPLIT($F540,"",""),COLUMN()-6),2,300)"),"#REF!")</f>
        <v>#REF!</v>
      </c>
      <c r="J540" s="3" t="str">
        <f>IFERROR(__xludf.DUMMYFUNCTION("MID(INDEX(SPLIT($F540,"",""),COLUMN()-6),2,300)"),"#REF!")</f>
        <v>#REF!</v>
      </c>
      <c r="K540" s="3">
        <f>IFERROR(__xludf.DUMMYFUNCTION("INDEX(SPLIT(G540,"" ""),1)"),2.0)</f>
        <v>2</v>
      </c>
      <c r="L540" s="3" t="str">
        <f>IFERROR(__xludf.DUMMYFUNCTION("REGEXEXTRACT(G540,"" [^ ]* [^ ]* "")")," vibrant white ")</f>
        <v> vibrant white </v>
      </c>
      <c r="M540" s="3">
        <f>IFERROR(__xludf.DUMMYFUNCTION("INDEX(SPLIT(H540,"" ""),1)"),2.0)</f>
        <v>2</v>
      </c>
      <c r="N540" s="3" t="str">
        <f>IFERROR(__xludf.DUMMYFUNCTION("MID(REGEXEXTRACT(H540,"" [^ ]* [^ ]*""),2,300)"),"plaid yellow")</f>
        <v>plaid yellow</v>
      </c>
      <c r="O540" s="3" t="str">
        <f>IFERROR(__xludf.DUMMYFUNCTION("INDEX(SPLIT(I540,"" ""),1)"),"#REF!")</f>
        <v>#REF!</v>
      </c>
      <c r="P540" s="3" t="str">
        <f>IFERROR(__xludf.DUMMYFUNCTION("MID(REGEXEXTRACT(I540,"" [^ ]* [^ ]*""),2,300)"),"#REF!")</f>
        <v>#REF!</v>
      </c>
      <c r="Q540" s="3" t="str">
        <f>IFERROR(__xludf.DUMMYFUNCTION("INDEX(SPLIT(J540,"" ""),1)"),"#REF!")</f>
        <v>#REF!</v>
      </c>
      <c r="R540" s="3" t="str">
        <f>IFERROR(__xludf.DUMMYFUNCTION("MID(REGEXEXTRACT(J540,"" [^ ]* [^ ]*""),2,300)"),"#REF!")</f>
        <v>#REF!</v>
      </c>
      <c r="S540" s="3">
        <f t="shared" si="2"/>
        <v>2</v>
      </c>
      <c r="T540" s="3" t="str">
        <f t="shared" si="3"/>
        <v>vibrant white</v>
      </c>
      <c r="U540" s="3">
        <f t="shared" si="4"/>
        <v>2</v>
      </c>
      <c r="V540" s="3" t="str">
        <f t="shared" si="5"/>
        <v>plaid yellow</v>
      </c>
      <c r="W540" s="3" t="str">
        <f t="shared" si="6"/>
        <v/>
      </c>
      <c r="X540" s="3" t="str">
        <f t="shared" si="7"/>
        <v/>
      </c>
      <c r="Y540" s="3" t="str">
        <f t="shared" si="8"/>
        <v/>
      </c>
      <c r="Z540" s="3" t="str">
        <f t="shared" si="9"/>
        <v/>
      </c>
      <c r="AA540" s="13">
        <f t="shared" si="10"/>
        <v>116702277</v>
      </c>
      <c r="AB540" s="3">
        <f t="shared" si="11"/>
        <v>116702276</v>
      </c>
      <c r="AC540" s="3">
        <f t="shared" si="12"/>
        <v>2</v>
      </c>
      <c r="AD540" s="3">
        <f t="shared" si="13"/>
        <v>1249859</v>
      </c>
      <c r="AE540" s="3">
        <f t="shared" si="14"/>
        <v>2</v>
      </c>
      <c r="AF540" s="3">
        <f t="shared" si="15"/>
        <v>57101279</v>
      </c>
      <c r="AG540" s="3" t="str">
        <f t="shared" si="16"/>
        <v/>
      </c>
      <c r="AH540" s="3">
        <f t="shared" si="17"/>
        <v>0</v>
      </c>
      <c r="AI540" s="3" t="str">
        <f t="shared" si="18"/>
        <v/>
      </c>
      <c r="AJ540" s="3">
        <f t="shared" si="19"/>
        <v>0</v>
      </c>
    </row>
    <row r="541">
      <c r="C541" s="6" t="s">
        <v>541</v>
      </c>
      <c r="D541" s="3">
        <f t="shared" si="1"/>
        <v>0</v>
      </c>
      <c r="E541" s="3" t="str">
        <f>IFERROR(__xludf.DUMMYFUNCTION("REGEXEXTRACT(C541,""[^ ]* [^ ]*"")"),"vibrant orange")</f>
        <v>vibrant orange</v>
      </c>
      <c r="F541" s="3" t="str">
        <f>IFERROR(__xludf.DUMMYFUNCTION("MID(REGEXEXTRACT(C541,""contain.*$""),9,300)"),"5 muted chartreuse bags.")</f>
        <v>5 muted chartreuse bags.</v>
      </c>
      <c r="G541" s="3" t="str">
        <f>IFERROR(__xludf.DUMMYFUNCTION("INDEX(SPLIT($F541,"",""),COLUMN()-6)"),"5 muted chartreuse bags.")</f>
        <v>5 muted chartreuse bags.</v>
      </c>
      <c r="H541" s="3" t="str">
        <f>IFERROR(__xludf.DUMMYFUNCTION("MID(INDEX(SPLIT($F541,"",""),COLUMN()-6),2,300)"),"#REF!")</f>
        <v>#REF!</v>
      </c>
      <c r="I541" s="3" t="str">
        <f>IFERROR(__xludf.DUMMYFUNCTION("MID(INDEX(SPLIT($F541,"",""),COLUMN()-6),2,300)"),"#REF!")</f>
        <v>#REF!</v>
      </c>
      <c r="J541" s="3" t="str">
        <f>IFERROR(__xludf.DUMMYFUNCTION("MID(INDEX(SPLIT($F541,"",""),COLUMN()-6),2,300)"),"#REF!")</f>
        <v>#REF!</v>
      </c>
      <c r="K541" s="3">
        <f>IFERROR(__xludf.DUMMYFUNCTION("INDEX(SPLIT(G541,"" ""),1)"),5.0)</f>
        <v>5</v>
      </c>
      <c r="L541" s="3" t="str">
        <f>IFERROR(__xludf.DUMMYFUNCTION("REGEXEXTRACT(G541,"" [^ ]* [^ ]* "")")," muted chartreuse ")</f>
        <v> muted chartreuse </v>
      </c>
      <c r="M541" s="3" t="str">
        <f>IFERROR(__xludf.DUMMYFUNCTION("INDEX(SPLIT(H541,"" ""),1)"),"#REF!")</f>
        <v>#REF!</v>
      </c>
      <c r="N541" s="3" t="str">
        <f>IFERROR(__xludf.DUMMYFUNCTION("MID(REGEXEXTRACT(H541,"" [^ ]* [^ ]*""),2,300)"),"#REF!")</f>
        <v>#REF!</v>
      </c>
      <c r="O541" s="3" t="str">
        <f>IFERROR(__xludf.DUMMYFUNCTION("INDEX(SPLIT(I541,"" ""),1)"),"#REF!")</f>
        <v>#REF!</v>
      </c>
      <c r="P541" s="3" t="str">
        <f>IFERROR(__xludf.DUMMYFUNCTION("MID(REGEXEXTRACT(I541,"" [^ ]* [^ ]*""),2,300)"),"#REF!")</f>
        <v>#REF!</v>
      </c>
      <c r="Q541" s="3" t="str">
        <f>IFERROR(__xludf.DUMMYFUNCTION("INDEX(SPLIT(J541,"" ""),1)"),"#REF!")</f>
        <v>#REF!</v>
      </c>
      <c r="R541" s="3" t="str">
        <f>IFERROR(__xludf.DUMMYFUNCTION("MID(REGEXEXTRACT(J541,"" [^ ]* [^ ]*""),2,300)"),"#REF!")</f>
        <v>#REF!</v>
      </c>
      <c r="S541" s="3">
        <f t="shared" si="2"/>
        <v>5</v>
      </c>
      <c r="T541" s="3" t="str">
        <f t="shared" si="3"/>
        <v>muted chartreuse</v>
      </c>
      <c r="U541" s="3" t="str">
        <f t="shared" si="4"/>
        <v/>
      </c>
      <c r="V541" s="3" t="str">
        <f t="shared" si="5"/>
        <v/>
      </c>
      <c r="W541" s="3" t="str">
        <f t="shared" si="6"/>
        <v/>
      </c>
      <c r="X541" s="3" t="str">
        <f t="shared" si="7"/>
        <v/>
      </c>
      <c r="Y541" s="3" t="str">
        <f t="shared" si="8"/>
        <v/>
      </c>
      <c r="Z541" s="3" t="str">
        <f t="shared" si="9"/>
        <v/>
      </c>
      <c r="AA541" s="13">
        <f t="shared" si="10"/>
        <v>1041</v>
      </c>
      <c r="AB541" s="3">
        <f t="shared" si="11"/>
        <v>1040</v>
      </c>
      <c r="AC541" s="3">
        <f t="shared" si="12"/>
        <v>5</v>
      </c>
      <c r="AD541" s="3">
        <f t="shared" si="13"/>
        <v>208</v>
      </c>
      <c r="AE541" s="3" t="str">
        <f t="shared" si="14"/>
        <v/>
      </c>
      <c r="AF541" s="3">
        <f t="shared" si="15"/>
        <v>0</v>
      </c>
      <c r="AG541" s="3" t="str">
        <f t="shared" si="16"/>
        <v/>
      </c>
      <c r="AH541" s="3">
        <f t="shared" si="17"/>
        <v>0</v>
      </c>
      <c r="AI541" s="3" t="str">
        <f t="shared" si="18"/>
        <v/>
      </c>
      <c r="AJ541" s="3">
        <f t="shared" si="19"/>
        <v>0</v>
      </c>
    </row>
    <row r="542">
      <c r="C542" s="6" t="s">
        <v>542</v>
      </c>
      <c r="D542" s="3">
        <f t="shared" si="1"/>
        <v>3</v>
      </c>
      <c r="E542" s="3" t="str">
        <f>IFERROR(__xludf.DUMMYFUNCTION("REGEXEXTRACT(C542,""[^ ]* [^ ]*"")"),"striped tan")</f>
        <v>striped tan</v>
      </c>
      <c r="F542" s="3" t="str">
        <f>IFERROR(__xludf.DUMMYFUNCTION("MID(REGEXEXTRACT(C542,""contain.*$""),9,300)"),"1 wavy gold bag, 3 mirrored black bags, 1 shiny aqua bag, 5 vibrant red bags.")</f>
        <v>1 wavy gold bag, 3 mirrored black bags, 1 shiny aqua bag, 5 vibrant red bags.</v>
      </c>
      <c r="G542" s="3" t="str">
        <f>IFERROR(__xludf.DUMMYFUNCTION("INDEX(SPLIT($F542,"",""),COLUMN()-6)"),"1 wavy gold bag")</f>
        <v>1 wavy gold bag</v>
      </c>
      <c r="H542" s="3" t="str">
        <f>IFERROR(__xludf.DUMMYFUNCTION("MID(INDEX(SPLIT($F542,"",""),COLUMN()-6),2,300)"),"3 mirrored black bags")</f>
        <v>3 mirrored black bags</v>
      </c>
      <c r="I542" s="3" t="str">
        <f>IFERROR(__xludf.DUMMYFUNCTION("MID(INDEX(SPLIT($F542,"",""),COLUMN()-6),2,300)"),"1 shiny aqua bag")</f>
        <v>1 shiny aqua bag</v>
      </c>
      <c r="J542" s="3" t="str">
        <f>IFERROR(__xludf.DUMMYFUNCTION("MID(INDEX(SPLIT($F542,"",""),COLUMN()-6),2,300)"),"5 vibrant red bags.")</f>
        <v>5 vibrant red bags.</v>
      </c>
      <c r="K542" s="3">
        <f>IFERROR(__xludf.DUMMYFUNCTION("INDEX(SPLIT(G542,"" ""),1)"),1.0)</f>
        <v>1</v>
      </c>
      <c r="L542" s="3" t="str">
        <f>IFERROR(__xludf.DUMMYFUNCTION("REGEXEXTRACT(G542,"" [^ ]* [^ ]* "")")," wavy gold ")</f>
        <v> wavy gold </v>
      </c>
      <c r="M542" s="3">
        <f>IFERROR(__xludf.DUMMYFUNCTION("INDEX(SPLIT(H542,"" ""),1)"),3.0)</f>
        <v>3</v>
      </c>
      <c r="N542" s="3" t="str">
        <f>IFERROR(__xludf.DUMMYFUNCTION("MID(REGEXEXTRACT(H542,"" [^ ]* [^ ]*""),2,300)"),"mirrored black")</f>
        <v>mirrored black</v>
      </c>
      <c r="O542" s="3">
        <f>IFERROR(__xludf.DUMMYFUNCTION("INDEX(SPLIT(I542,"" ""),1)"),1.0)</f>
        <v>1</v>
      </c>
      <c r="P542" s="3" t="str">
        <f>IFERROR(__xludf.DUMMYFUNCTION("MID(REGEXEXTRACT(I542,"" [^ ]* [^ ]*""),2,300)"),"shiny aqua")</f>
        <v>shiny aqua</v>
      </c>
      <c r="Q542" s="3">
        <f>IFERROR(__xludf.DUMMYFUNCTION("INDEX(SPLIT(J542,"" ""),1)"),5.0)</f>
        <v>5</v>
      </c>
      <c r="R542" s="3" t="str">
        <f>IFERROR(__xludf.DUMMYFUNCTION("MID(REGEXEXTRACT(J542,"" [^ ]* [^ ]*""),2,300)"),"vibrant red")</f>
        <v>vibrant red</v>
      </c>
      <c r="S542" s="3">
        <f t="shared" si="2"/>
        <v>1</v>
      </c>
      <c r="T542" s="3" t="str">
        <f t="shared" si="3"/>
        <v>wavy gold</v>
      </c>
      <c r="U542" s="3">
        <f t="shared" si="4"/>
        <v>3</v>
      </c>
      <c r="V542" s="3" t="str">
        <f t="shared" si="5"/>
        <v>mirrored black</v>
      </c>
      <c r="W542" s="3">
        <f t="shared" si="6"/>
        <v>1</v>
      </c>
      <c r="X542" s="3" t="str">
        <f t="shared" si="7"/>
        <v>shiny aqua</v>
      </c>
      <c r="Y542" s="3">
        <f t="shared" si="8"/>
        <v>5</v>
      </c>
      <c r="Z542" s="3" t="str">
        <f t="shared" si="9"/>
        <v>vibrant red</v>
      </c>
      <c r="AA542" s="13">
        <f t="shared" si="10"/>
        <v>541901</v>
      </c>
      <c r="AB542" s="3">
        <f t="shared" si="11"/>
        <v>541900</v>
      </c>
      <c r="AC542" s="3">
        <f t="shared" si="12"/>
        <v>1</v>
      </c>
      <c r="AD542" s="3">
        <f t="shared" si="13"/>
        <v>459158</v>
      </c>
      <c r="AE542" s="3">
        <f t="shared" si="14"/>
        <v>3</v>
      </c>
      <c r="AF542" s="3">
        <f t="shared" si="15"/>
        <v>9037</v>
      </c>
      <c r="AG542" s="3">
        <f t="shared" si="16"/>
        <v>1</v>
      </c>
      <c r="AH542" s="3">
        <f t="shared" si="17"/>
        <v>32451</v>
      </c>
      <c r="AI542" s="3">
        <f t="shared" si="18"/>
        <v>5</v>
      </c>
      <c r="AJ542" s="3">
        <f t="shared" si="19"/>
        <v>4636</v>
      </c>
    </row>
    <row r="543">
      <c r="C543" s="6" t="s">
        <v>543</v>
      </c>
      <c r="D543" s="3">
        <f t="shared" si="1"/>
        <v>1</v>
      </c>
      <c r="E543" s="3" t="str">
        <f>IFERROR(__xludf.DUMMYFUNCTION("REGEXEXTRACT(C543,""[^ ]* [^ ]*"")"),"bright lime")</f>
        <v>bright lime</v>
      </c>
      <c r="F543" s="3" t="str">
        <f>IFERROR(__xludf.DUMMYFUNCTION("MID(REGEXEXTRACT(C543,""contain.*$""),9,300)"),"4 dim indigo bags, 3 dull tomato bags.")</f>
        <v>4 dim indigo bags, 3 dull tomato bags.</v>
      </c>
      <c r="G543" s="3" t="str">
        <f>IFERROR(__xludf.DUMMYFUNCTION("INDEX(SPLIT($F543,"",""),COLUMN()-6)"),"4 dim indigo bags")</f>
        <v>4 dim indigo bags</v>
      </c>
      <c r="H543" s="3" t="str">
        <f>IFERROR(__xludf.DUMMYFUNCTION("MID(INDEX(SPLIT($F543,"",""),COLUMN()-6),2,300)"),"3 dull tomato bags.")</f>
        <v>3 dull tomato bags.</v>
      </c>
      <c r="I543" s="3" t="str">
        <f>IFERROR(__xludf.DUMMYFUNCTION("MID(INDEX(SPLIT($F543,"",""),COLUMN()-6),2,300)"),"#REF!")</f>
        <v>#REF!</v>
      </c>
      <c r="J543" s="3" t="str">
        <f>IFERROR(__xludf.DUMMYFUNCTION("MID(INDEX(SPLIT($F543,"",""),COLUMN()-6),2,300)"),"#REF!")</f>
        <v>#REF!</v>
      </c>
      <c r="K543" s="3">
        <f>IFERROR(__xludf.DUMMYFUNCTION("INDEX(SPLIT(G543,"" ""),1)"),4.0)</f>
        <v>4</v>
      </c>
      <c r="L543" s="3" t="str">
        <f>IFERROR(__xludf.DUMMYFUNCTION("REGEXEXTRACT(G543,"" [^ ]* [^ ]* "")")," dim indigo ")</f>
        <v> dim indigo </v>
      </c>
      <c r="M543" s="3">
        <f>IFERROR(__xludf.DUMMYFUNCTION("INDEX(SPLIT(H543,"" ""),1)"),3.0)</f>
        <v>3</v>
      </c>
      <c r="N543" s="3" t="str">
        <f>IFERROR(__xludf.DUMMYFUNCTION("MID(REGEXEXTRACT(H543,"" [^ ]* [^ ]*""),2,300)"),"dull tomato")</f>
        <v>dull tomato</v>
      </c>
      <c r="O543" s="3" t="str">
        <f>IFERROR(__xludf.DUMMYFUNCTION("INDEX(SPLIT(I543,"" ""),1)"),"#REF!")</f>
        <v>#REF!</v>
      </c>
      <c r="P543" s="3" t="str">
        <f>IFERROR(__xludf.DUMMYFUNCTION("MID(REGEXEXTRACT(I543,"" [^ ]* [^ ]*""),2,300)"),"#REF!")</f>
        <v>#REF!</v>
      </c>
      <c r="Q543" s="3" t="str">
        <f>IFERROR(__xludf.DUMMYFUNCTION("INDEX(SPLIT(J543,"" ""),1)"),"#REF!")</f>
        <v>#REF!</v>
      </c>
      <c r="R543" s="3" t="str">
        <f>IFERROR(__xludf.DUMMYFUNCTION("MID(REGEXEXTRACT(J543,"" [^ ]* [^ ]*""),2,300)"),"#REF!")</f>
        <v>#REF!</v>
      </c>
      <c r="S543" s="3">
        <f t="shared" si="2"/>
        <v>4</v>
      </c>
      <c r="T543" s="3" t="str">
        <f t="shared" si="3"/>
        <v>dim indigo</v>
      </c>
      <c r="U543" s="3">
        <f t="shared" si="4"/>
        <v>3</v>
      </c>
      <c r="V543" s="3" t="str">
        <f t="shared" si="5"/>
        <v>dull tomato</v>
      </c>
      <c r="W543" s="3" t="str">
        <f t="shared" si="6"/>
        <v/>
      </c>
      <c r="X543" s="3" t="str">
        <f t="shared" si="7"/>
        <v/>
      </c>
      <c r="Y543" s="3" t="str">
        <f t="shared" si="8"/>
        <v/>
      </c>
      <c r="Z543" s="3" t="str">
        <f t="shared" si="9"/>
        <v/>
      </c>
      <c r="AA543" s="13">
        <f t="shared" si="10"/>
        <v>118582</v>
      </c>
      <c r="AB543" s="3">
        <f t="shared" si="11"/>
        <v>118581</v>
      </c>
      <c r="AC543" s="3">
        <f t="shared" si="12"/>
        <v>4</v>
      </c>
      <c r="AD543" s="3">
        <f t="shared" si="13"/>
        <v>29637</v>
      </c>
      <c r="AE543" s="3">
        <f t="shared" si="14"/>
        <v>3</v>
      </c>
      <c r="AF543" s="3">
        <f t="shared" si="15"/>
        <v>11</v>
      </c>
      <c r="AG543" s="3" t="str">
        <f t="shared" si="16"/>
        <v/>
      </c>
      <c r="AH543" s="3">
        <f t="shared" si="17"/>
        <v>0</v>
      </c>
      <c r="AI543" s="3" t="str">
        <f t="shared" si="18"/>
        <v/>
      </c>
      <c r="AJ543" s="3">
        <f t="shared" si="19"/>
        <v>0</v>
      </c>
    </row>
    <row r="544">
      <c r="C544" s="6" t="s">
        <v>544</v>
      </c>
      <c r="D544" s="3">
        <f t="shared" si="1"/>
        <v>1</v>
      </c>
      <c r="E544" s="3" t="str">
        <f>IFERROR(__xludf.DUMMYFUNCTION("REGEXEXTRACT(C544,""[^ ]* [^ ]*"")"),"bright red")</f>
        <v>bright red</v>
      </c>
      <c r="F544" s="3" t="str">
        <f>IFERROR(__xludf.DUMMYFUNCTION("MID(REGEXEXTRACT(C544,""contain.*$""),9,300)"),"5 drab magenta bags, 1 clear salmon bag.")</f>
        <v>5 drab magenta bags, 1 clear salmon bag.</v>
      </c>
      <c r="G544" s="3" t="str">
        <f>IFERROR(__xludf.DUMMYFUNCTION("INDEX(SPLIT($F544,"",""),COLUMN()-6)"),"5 drab magenta bags")</f>
        <v>5 drab magenta bags</v>
      </c>
      <c r="H544" s="3" t="str">
        <f>IFERROR(__xludf.DUMMYFUNCTION("MID(INDEX(SPLIT($F544,"",""),COLUMN()-6),2,300)"),"1 clear salmon bag.")</f>
        <v>1 clear salmon bag.</v>
      </c>
      <c r="I544" s="3" t="str">
        <f>IFERROR(__xludf.DUMMYFUNCTION("MID(INDEX(SPLIT($F544,"",""),COLUMN()-6),2,300)"),"#REF!")</f>
        <v>#REF!</v>
      </c>
      <c r="J544" s="3" t="str">
        <f>IFERROR(__xludf.DUMMYFUNCTION("MID(INDEX(SPLIT($F544,"",""),COLUMN()-6),2,300)"),"#REF!")</f>
        <v>#REF!</v>
      </c>
      <c r="K544" s="3">
        <f>IFERROR(__xludf.DUMMYFUNCTION("INDEX(SPLIT(G544,"" ""),1)"),5.0)</f>
        <v>5</v>
      </c>
      <c r="L544" s="3" t="str">
        <f>IFERROR(__xludf.DUMMYFUNCTION("REGEXEXTRACT(G544,"" [^ ]* [^ ]* "")")," drab magenta ")</f>
        <v> drab magenta </v>
      </c>
      <c r="M544" s="3">
        <f>IFERROR(__xludf.DUMMYFUNCTION("INDEX(SPLIT(H544,"" ""),1)"),1.0)</f>
        <v>1</v>
      </c>
      <c r="N544" s="3" t="str">
        <f>IFERROR(__xludf.DUMMYFUNCTION("MID(REGEXEXTRACT(H544,"" [^ ]* [^ ]*""),2,300)"),"clear salmon")</f>
        <v>clear salmon</v>
      </c>
      <c r="O544" s="3" t="str">
        <f>IFERROR(__xludf.DUMMYFUNCTION("INDEX(SPLIT(I544,"" ""),1)"),"#REF!")</f>
        <v>#REF!</v>
      </c>
      <c r="P544" s="3" t="str">
        <f>IFERROR(__xludf.DUMMYFUNCTION("MID(REGEXEXTRACT(I544,"" [^ ]* [^ ]*""),2,300)"),"#REF!")</f>
        <v>#REF!</v>
      </c>
      <c r="Q544" s="3" t="str">
        <f>IFERROR(__xludf.DUMMYFUNCTION("INDEX(SPLIT(J544,"" ""),1)"),"#REF!")</f>
        <v>#REF!</v>
      </c>
      <c r="R544" s="3" t="str">
        <f>IFERROR(__xludf.DUMMYFUNCTION("MID(REGEXEXTRACT(J544,"" [^ ]* [^ ]*""),2,300)"),"#REF!")</f>
        <v>#REF!</v>
      </c>
      <c r="S544" s="3">
        <f t="shared" si="2"/>
        <v>5</v>
      </c>
      <c r="T544" s="3" t="str">
        <f t="shared" si="3"/>
        <v>drab magenta</v>
      </c>
      <c r="U544" s="3">
        <f t="shared" si="4"/>
        <v>1</v>
      </c>
      <c r="V544" s="3" t="str">
        <f t="shared" si="5"/>
        <v>clear salmon</v>
      </c>
      <c r="W544" s="3" t="str">
        <f t="shared" si="6"/>
        <v/>
      </c>
      <c r="X544" s="3" t="str">
        <f t="shared" si="7"/>
        <v/>
      </c>
      <c r="Y544" s="3" t="str">
        <f t="shared" si="8"/>
        <v/>
      </c>
      <c r="Z544" s="3" t="str">
        <f t="shared" si="9"/>
        <v/>
      </c>
      <c r="AA544" s="13">
        <f t="shared" si="10"/>
        <v>3162614</v>
      </c>
      <c r="AB544" s="3">
        <f t="shared" si="11"/>
        <v>3162613</v>
      </c>
      <c r="AC544" s="3">
        <f t="shared" si="12"/>
        <v>5</v>
      </c>
      <c r="AD544" s="3">
        <f t="shared" si="13"/>
        <v>1225</v>
      </c>
      <c r="AE544" s="3">
        <f t="shared" si="14"/>
        <v>1</v>
      </c>
      <c r="AF544" s="3">
        <f t="shared" si="15"/>
        <v>3156488</v>
      </c>
      <c r="AG544" s="3" t="str">
        <f t="shared" si="16"/>
        <v/>
      </c>
      <c r="AH544" s="3">
        <f t="shared" si="17"/>
        <v>0</v>
      </c>
      <c r="AI544" s="3" t="str">
        <f t="shared" si="18"/>
        <v/>
      </c>
      <c r="AJ544" s="3">
        <f t="shared" si="19"/>
        <v>0</v>
      </c>
    </row>
    <row r="545">
      <c r="C545" s="6" t="s">
        <v>545</v>
      </c>
      <c r="D545" s="3">
        <f t="shared" si="1"/>
        <v>0</v>
      </c>
      <c r="E545" s="3" t="str">
        <f>IFERROR(__xludf.DUMMYFUNCTION("REGEXEXTRACT(C545,""[^ ]* [^ ]*"")"),"vibrant green")</f>
        <v>vibrant green</v>
      </c>
      <c r="F545" s="3" t="str">
        <f>IFERROR(__xludf.DUMMYFUNCTION("MID(REGEXEXTRACT(C545,""contain.*$""),9,300)"),"4 plaid tomato bags.")</f>
        <v>4 plaid tomato bags.</v>
      </c>
      <c r="G545" s="3" t="str">
        <f>IFERROR(__xludf.DUMMYFUNCTION("INDEX(SPLIT($F545,"",""),COLUMN()-6)"),"4 plaid tomato bags.")</f>
        <v>4 plaid tomato bags.</v>
      </c>
      <c r="H545" s="3" t="str">
        <f>IFERROR(__xludf.DUMMYFUNCTION("MID(INDEX(SPLIT($F545,"",""),COLUMN()-6),2,300)"),"#REF!")</f>
        <v>#REF!</v>
      </c>
      <c r="I545" s="3" t="str">
        <f>IFERROR(__xludf.DUMMYFUNCTION("MID(INDEX(SPLIT($F545,"",""),COLUMN()-6),2,300)"),"#REF!")</f>
        <v>#REF!</v>
      </c>
      <c r="J545" s="3" t="str">
        <f>IFERROR(__xludf.DUMMYFUNCTION("MID(INDEX(SPLIT($F545,"",""),COLUMN()-6),2,300)"),"#REF!")</f>
        <v>#REF!</v>
      </c>
      <c r="K545" s="3">
        <f>IFERROR(__xludf.DUMMYFUNCTION("INDEX(SPLIT(G545,"" ""),1)"),4.0)</f>
        <v>4</v>
      </c>
      <c r="L545" s="3" t="str">
        <f>IFERROR(__xludf.DUMMYFUNCTION("REGEXEXTRACT(G545,"" [^ ]* [^ ]* "")")," plaid tomato ")</f>
        <v> plaid tomato </v>
      </c>
      <c r="M545" s="3" t="str">
        <f>IFERROR(__xludf.DUMMYFUNCTION("INDEX(SPLIT(H545,"" ""),1)"),"#REF!")</f>
        <v>#REF!</v>
      </c>
      <c r="N545" s="3" t="str">
        <f>IFERROR(__xludf.DUMMYFUNCTION("MID(REGEXEXTRACT(H545,"" [^ ]* [^ ]*""),2,300)"),"#REF!")</f>
        <v>#REF!</v>
      </c>
      <c r="O545" s="3" t="str">
        <f>IFERROR(__xludf.DUMMYFUNCTION("INDEX(SPLIT(I545,"" ""),1)"),"#REF!")</f>
        <v>#REF!</v>
      </c>
      <c r="P545" s="3" t="str">
        <f>IFERROR(__xludf.DUMMYFUNCTION("MID(REGEXEXTRACT(I545,"" [^ ]* [^ ]*""),2,300)"),"#REF!")</f>
        <v>#REF!</v>
      </c>
      <c r="Q545" s="3" t="str">
        <f>IFERROR(__xludf.DUMMYFUNCTION("INDEX(SPLIT(J545,"" ""),1)"),"#REF!")</f>
        <v>#REF!</v>
      </c>
      <c r="R545" s="3" t="str">
        <f>IFERROR(__xludf.DUMMYFUNCTION("MID(REGEXEXTRACT(J545,"" [^ ]* [^ ]*""),2,300)"),"#REF!")</f>
        <v>#REF!</v>
      </c>
      <c r="S545" s="3">
        <f t="shared" si="2"/>
        <v>4</v>
      </c>
      <c r="T545" s="3" t="str">
        <f t="shared" si="3"/>
        <v>plaid tomato</v>
      </c>
      <c r="U545" s="3" t="str">
        <f t="shared" si="4"/>
        <v/>
      </c>
      <c r="V545" s="3" t="str">
        <f t="shared" si="5"/>
        <v/>
      </c>
      <c r="W545" s="3" t="str">
        <f t="shared" si="6"/>
        <v/>
      </c>
      <c r="X545" s="3" t="str">
        <f t="shared" si="7"/>
        <v/>
      </c>
      <c r="Y545" s="3" t="str">
        <f t="shared" si="8"/>
        <v/>
      </c>
      <c r="Z545" s="3" t="str">
        <f t="shared" si="9"/>
        <v/>
      </c>
      <c r="AA545" s="13">
        <f t="shared" si="10"/>
        <v>379510905</v>
      </c>
      <c r="AB545" s="3">
        <f t="shared" si="11"/>
        <v>379510904</v>
      </c>
      <c r="AC545" s="3">
        <f t="shared" si="12"/>
        <v>4</v>
      </c>
      <c r="AD545" s="3">
        <f t="shared" si="13"/>
        <v>94877726</v>
      </c>
      <c r="AE545" s="3" t="str">
        <f t="shared" si="14"/>
        <v/>
      </c>
      <c r="AF545" s="3">
        <f t="shared" si="15"/>
        <v>0</v>
      </c>
      <c r="AG545" s="3" t="str">
        <f t="shared" si="16"/>
        <v/>
      </c>
      <c r="AH545" s="3">
        <f t="shared" si="17"/>
        <v>0</v>
      </c>
      <c r="AI545" s="3" t="str">
        <f t="shared" si="18"/>
        <v/>
      </c>
      <c r="AJ545" s="3">
        <f t="shared" si="19"/>
        <v>0</v>
      </c>
    </row>
    <row r="546">
      <c r="C546" s="6" t="s">
        <v>546</v>
      </c>
      <c r="D546" s="3">
        <f t="shared" si="1"/>
        <v>0</v>
      </c>
      <c r="E546" s="3" t="str">
        <f>IFERROR(__xludf.DUMMYFUNCTION("REGEXEXTRACT(C546,""[^ ]* [^ ]*"")"),"light tan")</f>
        <v>light tan</v>
      </c>
      <c r="F546" s="3" t="str">
        <f>IFERROR(__xludf.DUMMYFUNCTION("MID(REGEXEXTRACT(C546,""contain.*$""),9,300)"),"5 muted green bags.")</f>
        <v>5 muted green bags.</v>
      </c>
      <c r="G546" s="3" t="str">
        <f>IFERROR(__xludf.DUMMYFUNCTION("INDEX(SPLIT($F546,"",""),COLUMN()-6)"),"5 muted green bags.")</f>
        <v>5 muted green bags.</v>
      </c>
      <c r="H546" s="3" t="str">
        <f>IFERROR(__xludf.DUMMYFUNCTION("MID(INDEX(SPLIT($F546,"",""),COLUMN()-6),2,300)"),"#REF!")</f>
        <v>#REF!</v>
      </c>
      <c r="I546" s="3" t="str">
        <f>IFERROR(__xludf.DUMMYFUNCTION("MID(INDEX(SPLIT($F546,"",""),COLUMN()-6),2,300)"),"#REF!")</f>
        <v>#REF!</v>
      </c>
      <c r="J546" s="3" t="str">
        <f>IFERROR(__xludf.DUMMYFUNCTION("MID(INDEX(SPLIT($F546,"",""),COLUMN()-6),2,300)"),"#REF!")</f>
        <v>#REF!</v>
      </c>
      <c r="K546" s="3">
        <f>IFERROR(__xludf.DUMMYFUNCTION("INDEX(SPLIT(G546,"" ""),1)"),5.0)</f>
        <v>5</v>
      </c>
      <c r="L546" s="3" t="str">
        <f>IFERROR(__xludf.DUMMYFUNCTION("REGEXEXTRACT(G546,"" [^ ]* [^ ]* "")")," muted green ")</f>
        <v> muted green </v>
      </c>
      <c r="M546" s="3" t="str">
        <f>IFERROR(__xludf.DUMMYFUNCTION("INDEX(SPLIT(H546,"" ""),1)"),"#REF!")</f>
        <v>#REF!</v>
      </c>
      <c r="N546" s="3" t="str">
        <f>IFERROR(__xludf.DUMMYFUNCTION("MID(REGEXEXTRACT(H546,"" [^ ]* [^ ]*""),2,300)"),"#REF!")</f>
        <v>#REF!</v>
      </c>
      <c r="O546" s="3" t="str">
        <f>IFERROR(__xludf.DUMMYFUNCTION("INDEX(SPLIT(I546,"" ""),1)"),"#REF!")</f>
        <v>#REF!</v>
      </c>
      <c r="P546" s="3" t="str">
        <f>IFERROR(__xludf.DUMMYFUNCTION("MID(REGEXEXTRACT(I546,"" [^ ]* [^ ]*""),2,300)"),"#REF!")</f>
        <v>#REF!</v>
      </c>
      <c r="Q546" s="3" t="str">
        <f>IFERROR(__xludf.DUMMYFUNCTION("INDEX(SPLIT(J546,"" ""),1)"),"#REF!")</f>
        <v>#REF!</v>
      </c>
      <c r="R546" s="3" t="str">
        <f>IFERROR(__xludf.DUMMYFUNCTION("MID(REGEXEXTRACT(J546,"" [^ ]* [^ ]*""),2,300)"),"#REF!")</f>
        <v>#REF!</v>
      </c>
      <c r="S546" s="3">
        <f t="shared" si="2"/>
        <v>5</v>
      </c>
      <c r="T546" s="3" t="str">
        <f t="shared" si="3"/>
        <v>muted green</v>
      </c>
      <c r="U546" s="3" t="str">
        <f t="shared" si="4"/>
        <v/>
      </c>
      <c r="V546" s="3" t="str">
        <f t="shared" si="5"/>
        <v/>
      </c>
      <c r="W546" s="3" t="str">
        <f t="shared" si="6"/>
        <v/>
      </c>
      <c r="X546" s="3" t="str">
        <f t="shared" si="7"/>
        <v/>
      </c>
      <c r="Y546" s="3" t="str">
        <f t="shared" si="8"/>
        <v/>
      </c>
      <c r="Z546" s="3" t="str">
        <f t="shared" si="9"/>
        <v/>
      </c>
      <c r="AA546" s="13">
        <f t="shared" si="10"/>
        <v>67946</v>
      </c>
      <c r="AB546" s="3">
        <f t="shared" si="11"/>
        <v>67945</v>
      </c>
      <c r="AC546" s="3">
        <f t="shared" si="12"/>
        <v>5</v>
      </c>
      <c r="AD546" s="3">
        <f t="shared" si="13"/>
        <v>13589</v>
      </c>
      <c r="AE546" s="3" t="str">
        <f t="shared" si="14"/>
        <v/>
      </c>
      <c r="AF546" s="3">
        <f t="shared" si="15"/>
        <v>0</v>
      </c>
      <c r="AG546" s="3" t="str">
        <f t="shared" si="16"/>
        <v/>
      </c>
      <c r="AH546" s="3">
        <f t="shared" si="17"/>
        <v>0</v>
      </c>
      <c r="AI546" s="3" t="str">
        <f t="shared" si="18"/>
        <v/>
      </c>
      <c r="AJ546" s="3">
        <f t="shared" si="19"/>
        <v>0</v>
      </c>
    </row>
    <row r="547">
      <c r="C547" s="6" t="s">
        <v>547</v>
      </c>
      <c r="D547" s="3">
        <f t="shared" si="1"/>
        <v>1</v>
      </c>
      <c r="E547" s="3" t="str">
        <f>IFERROR(__xludf.DUMMYFUNCTION("REGEXEXTRACT(C547,""[^ ]* [^ ]*"")"),"striped white")</f>
        <v>striped white</v>
      </c>
      <c r="F547" s="3" t="str">
        <f>IFERROR(__xludf.DUMMYFUNCTION("MID(REGEXEXTRACT(C547,""contain.*$""),9,300)"),"1 faded silver bag, 2 vibrant red bags.")</f>
        <v>1 faded silver bag, 2 vibrant red bags.</v>
      </c>
      <c r="G547" s="3" t="str">
        <f>IFERROR(__xludf.DUMMYFUNCTION("INDEX(SPLIT($F547,"",""),COLUMN()-6)"),"1 faded silver bag")</f>
        <v>1 faded silver bag</v>
      </c>
      <c r="H547" s="3" t="str">
        <f>IFERROR(__xludf.DUMMYFUNCTION("MID(INDEX(SPLIT($F547,"",""),COLUMN()-6),2,300)"),"2 vibrant red bags.")</f>
        <v>2 vibrant red bags.</v>
      </c>
      <c r="I547" s="3" t="str">
        <f>IFERROR(__xludf.DUMMYFUNCTION("MID(INDEX(SPLIT($F547,"",""),COLUMN()-6),2,300)"),"#REF!")</f>
        <v>#REF!</v>
      </c>
      <c r="J547" s="3" t="str">
        <f>IFERROR(__xludf.DUMMYFUNCTION("MID(INDEX(SPLIT($F547,"",""),COLUMN()-6),2,300)"),"#REF!")</f>
        <v>#REF!</v>
      </c>
      <c r="K547" s="3">
        <f>IFERROR(__xludf.DUMMYFUNCTION("INDEX(SPLIT(G547,"" ""),1)"),1.0)</f>
        <v>1</v>
      </c>
      <c r="L547" s="3" t="str">
        <f>IFERROR(__xludf.DUMMYFUNCTION("REGEXEXTRACT(G547,"" [^ ]* [^ ]* "")")," faded silver ")</f>
        <v> faded silver </v>
      </c>
      <c r="M547" s="3">
        <f>IFERROR(__xludf.DUMMYFUNCTION("INDEX(SPLIT(H547,"" ""),1)"),2.0)</f>
        <v>2</v>
      </c>
      <c r="N547" s="3" t="str">
        <f>IFERROR(__xludf.DUMMYFUNCTION("MID(REGEXEXTRACT(H547,"" [^ ]* [^ ]*""),2,300)"),"vibrant red")</f>
        <v>vibrant red</v>
      </c>
      <c r="O547" s="3" t="str">
        <f>IFERROR(__xludf.DUMMYFUNCTION("INDEX(SPLIT(I547,"" ""),1)"),"#REF!")</f>
        <v>#REF!</v>
      </c>
      <c r="P547" s="3" t="str">
        <f>IFERROR(__xludf.DUMMYFUNCTION("MID(REGEXEXTRACT(I547,"" [^ ]* [^ ]*""),2,300)"),"#REF!")</f>
        <v>#REF!</v>
      </c>
      <c r="Q547" s="3" t="str">
        <f>IFERROR(__xludf.DUMMYFUNCTION("INDEX(SPLIT(J547,"" ""),1)"),"#REF!")</f>
        <v>#REF!</v>
      </c>
      <c r="R547" s="3" t="str">
        <f>IFERROR(__xludf.DUMMYFUNCTION("MID(REGEXEXTRACT(J547,"" [^ ]* [^ ]*""),2,300)"),"#REF!")</f>
        <v>#REF!</v>
      </c>
      <c r="S547" s="3">
        <f t="shared" si="2"/>
        <v>1</v>
      </c>
      <c r="T547" s="3" t="str">
        <f t="shared" si="3"/>
        <v>faded silver</v>
      </c>
      <c r="U547" s="3">
        <f t="shared" si="4"/>
        <v>2</v>
      </c>
      <c r="V547" s="3" t="str">
        <f t="shared" si="5"/>
        <v>vibrant red</v>
      </c>
      <c r="W547" s="3" t="str">
        <f t="shared" si="6"/>
        <v/>
      </c>
      <c r="X547" s="3" t="str">
        <f t="shared" si="7"/>
        <v/>
      </c>
      <c r="Y547" s="3" t="str">
        <f t="shared" si="8"/>
        <v/>
      </c>
      <c r="Z547" s="3" t="str">
        <f t="shared" si="9"/>
        <v/>
      </c>
      <c r="AA547" s="13">
        <f t="shared" si="10"/>
        <v>2739236</v>
      </c>
      <c r="AB547" s="3">
        <f t="shared" si="11"/>
        <v>2739235</v>
      </c>
      <c r="AC547" s="3">
        <f t="shared" si="12"/>
        <v>1</v>
      </c>
      <c r="AD547" s="3">
        <f t="shared" si="13"/>
        <v>2729963</v>
      </c>
      <c r="AE547" s="3">
        <f t="shared" si="14"/>
        <v>2</v>
      </c>
      <c r="AF547" s="3">
        <f t="shared" si="15"/>
        <v>4636</v>
      </c>
      <c r="AG547" s="3" t="str">
        <f t="shared" si="16"/>
        <v/>
      </c>
      <c r="AH547" s="3">
        <f t="shared" si="17"/>
        <v>0</v>
      </c>
      <c r="AI547" s="3" t="str">
        <f t="shared" si="18"/>
        <v/>
      </c>
      <c r="AJ547" s="3">
        <f t="shared" si="19"/>
        <v>0</v>
      </c>
    </row>
    <row r="548">
      <c r="C548" s="6" t="s">
        <v>548</v>
      </c>
      <c r="D548" s="3">
        <f t="shared" si="1"/>
        <v>0</v>
      </c>
      <c r="E548" s="3" t="str">
        <f>IFERROR(__xludf.DUMMYFUNCTION("REGEXEXTRACT(C548,""[^ ]* [^ ]*"")"),"dull violet")</f>
        <v>dull violet</v>
      </c>
      <c r="F548" s="3" t="str">
        <f>IFERROR(__xludf.DUMMYFUNCTION("MID(REGEXEXTRACT(C548,""contain.*$""),9,300)"),"5 dull turquoise bags.")</f>
        <v>5 dull turquoise bags.</v>
      </c>
      <c r="G548" s="3" t="str">
        <f>IFERROR(__xludf.DUMMYFUNCTION("INDEX(SPLIT($F548,"",""),COLUMN()-6)"),"5 dull turquoise bags.")</f>
        <v>5 dull turquoise bags.</v>
      </c>
      <c r="H548" s="3" t="str">
        <f>IFERROR(__xludf.DUMMYFUNCTION("MID(INDEX(SPLIT($F548,"",""),COLUMN()-6),2,300)"),"#REF!")</f>
        <v>#REF!</v>
      </c>
      <c r="I548" s="3" t="str">
        <f>IFERROR(__xludf.DUMMYFUNCTION("MID(INDEX(SPLIT($F548,"",""),COLUMN()-6),2,300)"),"#REF!")</f>
        <v>#REF!</v>
      </c>
      <c r="J548" s="3" t="str">
        <f>IFERROR(__xludf.DUMMYFUNCTION("MID(INDEX(SPLIT($F548,"",""),COLUMN()-6),2,300)"),"#REF!")</f>
        <v>#REF!</v>
      </c>
      <c r="K548" s="3">
        <f>IFERROR(__xludf.DUMMYFUNCTION("INDEX(SPLIT(G548,"" ""),1)"),5.0)</f>
        <v>5</v>
      </c>
      <c r="L548" s="3" t="str">
        <f>IFERROR(__xludf.DUMMYFUNCTION("REGEXEXTRACT(G548,"" [^ ]* [^ ]* "")")," dull turquoise ")</f>
        <v> dull turquoise </v>
      </c>
      <c r="M548" s="3" t="str">
        <f>IFERROR(__xludf.DUMMYFUNCTION("INDEX(SPLIT(H548,"" ""),1)"),"#REF!")</f>
        <v>#REF!</v>
      </c>
      <c r="N548" s="3" t="str">
        <f>IFERROR(__xludf.DUMMYFUNCTION("MID(REGEXEXTRACT(H548,"" [^ ]* [^ ]*""),2,300)"),"#REF!")</f>
        <v>#REF!</v>
      </c>
      <c r="O548" s="3" t="str">
        <f>IFERROR(__xludf.DUMMYFUNCTION("INDEX(SPLIT(I548,"" ""),1)"),"#REF!")</f>
        <v>#REF!</v>
      </c>
      <c r="P548" s="3" t="str">
        <f>IFERROR(__xludf.DUMMYFUNCTION("MID(REGEXEXTRACT(I548,"" [^ ]* [^ ]*""),2,300)"),"#REF!")</f>
        <v>#REF!</v>
      </c>
      <c r="Q548" s="3" t="str">
        <f>IFERROR(__xludf.DUMMYFUNCTION("INDEX(SPLIT(J548,"" ""),1)"),"#REF!")</f>
        <v>#REF!</v>
      </c>
      <c r="R548" s="3" t="str">
        <f>IFERROR(__xludf.DUMMYFUNCTION("MID(REGEXEXTRACT(J548,"" [^ ]* [^ ]*""),2,300)"),"#REF!")</f>
        <v>#REF!</v>
      </c>
      <c r="S548" s="3">
        <f t="shared" si="2"/>
        <v>5</v>
      </c>
      <c r="T548" s="3" t="str">
        <f t="shared" si="3"/>
        <v>dull turquoise</v>
      </c>
      <c r="U548" s="3" t="str">
        <f t="shared" si="4"/>
        <v/>
      </c>
      <c r="V548" s="3" t="str">
        <f t="shared" si="5"/>
        <v/>
      </c>
      <c r="W548" s="3" t="str">
        <f t="shared" si="6"/>
        <v/>
      </c>
      <c r="X548" s="3" t="str">
        <f t="shared" si="7"/>
        <v/>
      </c>
      <c r="Y548" s="3" t="str">
        <f t="shared" si="8"/>
        <v/>
      </c>
      <c r="Z548" s="3" t="str">
        <f t="shared" si="9"/>
        <v/>
      </c>
      <c r="AA548" s="13">
        <f t="shared" si="10"/>
        <v>1732346</v>
      </c>
      <c r="AB548" s="3">
        <f t="shared" si="11"/>
        <v>1732345</v>
      </c>
      <c r="AC548" s="3">
        <f t="shared" si="12"/>
        <v>5</v>
      </c>
      <c r="AD548" s="3">
        <f t="shared" si="13"/>
        <v>346469</v>
      </c>
      <c r="AE548" s="3" t="str">
        <f t="shared" si="14"/>
        <v/>
      </c>
      <c r="AF548" s="3">
        <f t="shared" si="15"/>
        <v>0</v>
      </c>
      <c r="AG548" s="3" t="str">
        <f t="shared" si="16"/>
        <v/>
      </c>
      <c r="AH548" s="3">
        <f t="shared" si="17"/>
        <v>0</v>
      </c>
      <c r="AI548" s="3" t="str">
        <f t="shared" si="18"/>
        <v/>
      </c>
      <c r="AJ548" s="3">
        <f t="shared" si="19"/>
        <v>0</v>
      </c>
    </row>
    <row r="549">
      <c r="C549" s="6" t="s">
        <v>549</v>
      </c>
      <c r="D549" s="3">
        <f t="shared" si="1"/>
        <v>1</v>
      </c>
      <c r="E549" s="3" t="str">
        <f>IFERROR(__xludf.DUMMYFUNCTION("REGEXEXTRACT(C549,""[^ ]* [^ ]*"")"),"drab salmon")</f>
        <v>drab salmon</v>
      </c>
      <c r="F549" s="3" t="str">
        <f>IFERROR(__xludf.DUMMYFUNCTION("MID(REGEXEXTRACT(C549,""contain.*$""),9,300)"),"3 posh magenta bags, 1 dark teal bag.")</f>
        <v>3 posh magenta bags, 1 dark teal bag.</v>
      </c>
      <c r="G549" s="3" t="str">
        <f>IFERROR(__xludf.DUMMYFUNCTION("INDEX(SPLIT($F549,"",""),COLUMN()-6)"),"3 posh magenta bags")</f>
        <v>3 posh magenta bags</v>
      </c>
      <c r="H549" s="3" t="str">
        <f>IFERROR(__xludf.DUMMYFUNCTION("MID(INDEX(SPLIT($F549,"",""),COLUMN()-6),2,300)"),"1 dark teal bag.")</f>
        <v>1 dark teal bag.</v>
      </c>
      <c r="I549" s="3" t="str">
        <f>IFERROR(__xludf.DUMMYFUNCTION("MID(INDEX(SPLIT($F549,"",""),COLUMN()-6),2,300)"),"#REF!")</f>
        <v>#REF!</v>
      </c>
      <c r="J549" s="3" t="str">
        <f>IFERROR(__xludf.DUMMYFUNCTION("MID(INDEX(SPLIT($F549,"",""),COLUMN()-6),2,300)"),"#REF!")</f>
        <v>#REF!</v>
      </c>
      <c r="K549" s="3">
        <f>IFERROR(__xludf.DUMMYFUNCTION("INDEX(SPLIT(G549,"" ""),1)"),3.0)</f>
        <v>3</v>
      </c>
      <c r="L549" s="3" t="str">
        <f>IFERROR(__xludf.DUMMYFUNCTION("REGEXEXTRACT(G549,"" [^ ]* [^ ]* "")")," posh magenta ")</f>
        <v> posh magenta </v>
      </c>
      <c r="M549" s="3">
        <f>IFERROR(__xludf.DUMMYFUNCTION("INDEX(SPLIT(H549,"" ""),1)"),1.0)</f>
        <v>1</v>
      </c>
      <c r="N549" s="3" t="str">
        <f>IFERROR(__xludf.DUMMYFUNCTION("MID(REGEXEXTRACT(H549,"" [^ ]* [^ ]*""),2,300)"),"dark teal")</f>
        <v>dark teal</v>
      </c>
      <c r="O549" s="3" t="str">
        <f>IFERROR(__xludf.DUMMYFUNCTION("INDEX(SPLIT(I549,"" ""),1)"),"#REF!")</f>
        <v>#REF!</v>
      </c>
      <c r="P549" s="3" t="str">
        <f>IFERROR(__xludf.DUMMYFUNCTION("MID(REGEXEXTRACT(I549,"" [^ ]* [^ ]*""),2,300)"),"#REF!")</f>
        <v>#REF!</v>
      </c>
      <c r="Q549" s="3" t="str">
        <f>IFERROR(__xludf.DUMMYFUNCTION("INDEX(SPLIT(J549,"" ""),1)"),"#REF!")</f>
        <v>#REF!</v>
      </c>
      <c r="R549" s="3" t="str">
        <f>IFERROR(__xludf.DUMMYFUNCTION("MID(REGEXEXTRACT(J549,"" [^ ]* [^ ]*""),2,300)"),"#REF!")</f>
        <v>#REF!</v>
      </c>
      <c r="S549" s="3">
        <f t="shared" si="2"/>
        <v>3</v>
      </c>
      <c r="T549" s="3" t="str">
        <f t="shared" si="3"/>
        <v>posh magenta</v>
      </c>
      <c r="U549" s="3">
        <f t="shared" si="4"/>
        <v>1</v>
      </c>
      <c r="V549" s="3" t="str">
        <f t="shared" si="5"/>
        <v>dark teal</v>
      </c>
      <c r="W549" s="3" t="str">
        <f t="shared" si="6"/>
        <v/>
      </c>
      <c r="X549" s="3" t="str">
        <f t="shared" si="7"/>
        <v/>
      </c>
      <c r="Y549" s="3" t="str">
        <f t="shared" si="8"/>
        <v/>
      </c>
      <c r="Z549" s="3" t="str">
        <f t="shared" si="9"/>
        <v/>
      </c>
      <c r="AA549" s="13">
        <f t="shared" si="10"/>
        <v>15045</v>
      </c>
      <c r="AB549" s="3">
        <f t="shared" si="11"/>
        <v>15044</v>
      </c>
      <c r="AC549" s="3">
        <f t="shared" si="12"/>
        <v>3</v>
      </c>
      <c r="AD549" s="3">
        <f t="shared" si="13"/>
        <v>1</v>
      </c>
      <c r="AE549" s="3">
        <f t="shared" si="14"/>
        <v>1</v>
      </c>
      <c r="AF549" s="3">
        <f t="shared" si="15"/>
        <v>15041</v>
      </c>
      <c r="AG549" s="3" t="str">
        <f t="shared" si="16"/>
        <v/>
      </c>
      <c r="AH549" s="3">
        <f t="shared" si="17"/>
        <v>0</v>
      </c>
      <c r="AI549" s="3" t="str">
        <f t="shared" si="18"/>
        <v/>
      </c>
      <c r="AJ549" s="3">
        <f t="shared" si="19"/>
        <v>0</v>
      </c>
    </row>
    <row r="550">
      <c r="C550" s="6" t="s">
        <v>550</v>
      </c>
      <c r="D550" s="3">
        <f t="shared" si="1"/>
        <v>3</v>
      </c>
      <c r="E550" s="3" t="str">
        <f>IFERROR(__xludf.DUMMYFUNCTION("REGEXEXTRACT(C550,""[^ ]* [^ ]*"")"),"mirrored cyan")</f>
        <v>mirrored cyan</v>
      </c>
      <c r="F550" s="3" t="str">
        <f>IFERROR(__xludf.DUMMYFUNCTION("MID(REGEXEXTRACT(C550,""contain.*$""),9,300)"),"2 dim violet bags, 1 plaid aqua bag, 1 vibrant blue bag, 1 posh magenta bag.")</f>
        <v>2 dim violet bags, 1 plaid aqua bag, 1 vibrant blue bag, 1 posh magenta bag.</v>
      </c>
      <c r="G550" s="3" t="str">
        <f>IFERROR(__xludf.DUMMYFUNCTION("INDEX(SPLIT($F550,"",""),COLUMN()-6)"),"2 dim violet bags")</f>
        <v>2 dim violet bags</v>
      </c>
      <c r="H550" s="3" t="str">
        <f>IFERROR(__xludf.DUMMYFUNCTION("MID(INDEX(SPLIT($F550,"",""),COLUMN()-6),2,300)"),"1 plaid aqua bag")</f>
        <v>1 plaid aqua bag</v>
      </c>
      <c r="I550" s="3" t="str">
        <f>IFERROR(__xludf.DUMMYFUNCTION("MID(INDEX(SPLIT($F550,"",""),COLUMN()-6),2,300)"),"1 vibrant blue bag")</f>
        <v>1 vibrant blue bag</v>
      </c>
      <c r="J550" s="3" t="str">
        <f>IFERROR(__xludf.DUMMYFUNCTION("MID(INDEX(SPLIT($F550,"",""),COLUMN()-6),2,300)"),"1 posh magenta bag.")</f>
        <v>1 posh magenta bag.</v>
      </c>
      <c r="K550" s="3">
        <f>IFERROR(__xludf.DUMMYFUNCTION("INDEX(SPLIT(G550,"" ""),1)"),2.0)</f>
        <v>2</v>
      </c>
      <c r="L550" s="3" t="str">
        <f>IFERROR(__xludf.DUMMYFUNCTION("REGEXEXTRACT(G550,"" [^ ]* [^ ]* "")")," dim violet ")</f>
        <v> dim violet </v>
      </c>
      <c r="M550" s="3">
        <f>IFERROR(__xludf.DUMMYFUNCTION("INDEX(SPLIT(H550,"" ""),1)"),1.0)</f>
        <v>1</v>
      </c>
      <c r="N550" s="3" t="str">
        <f>IFERROR(__xludf.DUMMYFUNCTION("MID(REGEXEXTRACT(H550,"" [^ ]* [^ ]*""),2,300)"),"plaid aqua")</f>
        <v>plaid aqua</v>
      </c>
      <c r="O550" s="3">
        <f>IFERROR(__xludf.DUMMYFUNCTION("INDEX(SPLIT(I550,"" ""),1)"),1.0)</f>
        <v>1</v>
      </c>
      <c r="P550" s="3" t="str">
        <f>IFERROR(__xludf.DUMMYFUNCTION("MID(REGEXEXTRACT(I550,"" [^ ]* [^ ]*""),2,300)"),"vibrant blue")</f>
        <v>vibrant blue</v>
      </c>
      <c r="Q550" s="3">
        <f>IFERROR(__xludf.DUMMYFUNCTION("INDEX(SPLIT(J550,"" ""),1)"),1.0)</f>
        <v>1</v>
      </c>
      <c r="R550" s="3" t="str">
        <f>IFERROR(__xludf.DUMMYFUNCTION("MID(REGEXEXTRACT(J550,"" [^ ]* [^ ]*""),2,300)"),"posh magenta")</f>
        <v>posh magenta</v>
      </c>
      <c r="S550" s="3">
        <f t="shared" si="2"/>
        <v>2</v>
      </c>
      <c r="T550" s="3" t="str">
        <f t="shared" si="3"/>
        <v>dim violet</v>
      </c>
      <c r="U550" s="3">
        <f t="shared" si="4"/>
        <v>1</v>
      </c>
      <c r="V550" s="3" t="str">
        <f t="shared" si="5"/>
        <v>plaid aqua</v>
      </c>
      <c r="W550" s="3">
        <f t="shared" si="6"/>
        <v>1</v>
      </c>
      <c r="X550" s="3" t="str">
        <f t="shared" si="7"/>
        <v>vibrant blue</v>
      </c>
      <c r="Y550" s="3">
        <f t="shared" si="8"/>
        <v>1</v>
      </c>
      <c r="Z550" s="3" t="str">
        <f t="shared" si="9"/>
        <v>posh magenta</v>
      </c>
      <c r="AA550" s="13">
        <f t="shared" si="10"/>
        <v>1854</v>
      </c>
      <c r="AB550" s="3">
        <f t="shared" si="11"/>
        <v>1853</v>
      </c>
      <c r="AC550" s="3">
        <f t="shared" si="12"/>
        <v>2</v>
      </c>
      <c r="AD550" s="3">
        <f t="shared" si="13"/>
        <v>153</v>
      </c>
      <c r="AE550" s="3">
        <f t="shared" si="14"/>
        <v>1</v>
      </c>
      <c r="AF550" s="3">
        <f t="shared" si="15"/>
        <v>1</v>
      </c>
      <c r="AG550" s="3">
        <f t="shared" si="16"/>
        <v>1</v>
      </c>
      <c r="AH550" s="3">
        <f t="shared" si="17"/>
        <v>1545</v>
      </c>
      <c r="AI550" s="3">
        <f t="shared" si="18"/>
        <v>1</v>
      </c>
      <c r="AJ550" s="3">
        <f t="shared" si="19"/>
        <v>1</v>
      </c>
    </row>
    <row r="551">
      <c r="C551" s="6" t="s">
        <v>551</v>
      </c>
      <c r="D551" s="3">
        <f t="shared" si="1"/>
        <v>2</v>
      </c>
      <c r="E551" s="3" t="str">
        <f>IFERROR(__xludf.DUMMYFUNCTION("REGEXEXTRACT(C551,""[^ ]* [^ ]*"")"),"wavy teal")</f>
        <v>wavy teal</v>
      </c>
      <c r="F551" s="3" t="str">
        <f>IFERROR(__xludf.DUMMYFUNCTION("MID(REGEXEXTRACT(C551,""contain.*$""),9,300)"),"1 bright crimson bag, 2 light cyan bags, 4 striped silver bags.")</f>
        <v>1 bright crimson bag, 2 light cyan bags, 4 striped silver bags.</v>
      </c>
      <c r="G551" s="3" t="str">
        <f>IFERROR(__xludf.DUMMYFUNCTION("INDEX(SPLIT($F551,"",""),COLUMN()-6)"),"1 bright crimson bag")</f>
        <v>1 bright crimson bag</v>
      </c>
      <c r="H551" s="3" t="str">
        <f>IFERROR(__xludf.DUMMYFUNCTION("MID(INDEX(SPLIT($F551,"",""),COLUMN()-6),2,300)"),"2 light cyan bags")</f>
        <v>2 light cyan bags</v>
      </c>
      <c r="I551" s="3" t="str">
        <f>IFERROR(__xludf.DUMMYFUNCTION("MID(INDEX(SPLIT($F551,"",""),COLUMN()-6),2,300)"),"4 striped silver bags.")</f>
        <v>4 striped silver bags.</v>
      </c>
      <c r="J551" s="3" t="str">
        <f>IFERROR(__xludf.DUMMYFUNCTION("MID(INDEX(SPLIT($F551,"",""),COLUMN()-6),2,300)"),"#REF!")</f>
        <v>#REF!</v>
      </c>
      <c r="K551" s="3">
        <f>IFERROR(__xludf.DUMMYFUNCTION("INDEX(SPLIT(G551,"" ""),1)"),1.0)</f>
        <v>1</v>
      </c>
      <c r="L551" s="3" t="str">
        <f>IFERROR(__xludf.DUMMYFUNCTION("REGEXEXTRACT(G551,"" [^ ]* [^ ]* "")")," bright crimson ")</f>
        <v> bright crimson </v>
      </c>
      <c r="M551" s="3">
        <f>IFERROR(__xludf.DUMMYFUNCTION("INDEX(SPLIT(H551,"" ""),1)"),2.0)</f>
        <v>2</v>
      </c>
      <c r="N551" s="3" t="str">
        <f>IFERROR(__xludf.DUMMYFUNCTION("MID(REGEXEXTRACT(H551,"" [^ ]* [^ ]*""),2,300)"),"light cyan")</f>
        <v>light cyan</v>
      </c>
      <c r="O551" s="3">
        <f>IFERROR(__xludf.DUMMYFUNCTION("INDEX(SPLIT(I551,"" ""),1)"),4.0)</f>
        <v>4</v>
      </c>
      <c r="P551" s="3" t="str">
        <f>IFERROR(__xludf.DUMMYFUNCTION("MID(REGEXEXTRACT(I551,"" [^ ]* [^ ]*""),2,300)"),"striped silver")</f>
        <v>striped silver</v>
      </c>
      <c r="Q551" s="3" t="str">
        <f>IFERROR(__xludf.DUMMYFUNCTION("INDEX(SPLIT(J551,"" ""),1)"),"#REF!")</f>
        <v>#REF!</v>
      </c>
      <c r="R551" s="3" t="str">
        <f>IFERROR(__xludf.DUMMYFUNCTION("MID(REGEXEXTRACT(J551,"" [^ ]* [^ ]*""),2,300)"),"#REF!")</f>
        <v>#REF!</v>
      </c>
      <c r="S551" s="3">
        <f t="shared" si="2"/>
        <v>1</v>
      </c>
      <c r="T551" s="3" t="str">
        <f t="shared" si="3"/>
        <v>bright crimson</v>
      </c>
      <c r="U551" s="3">
        <f t="shared" si="4"/>
        <v>2</v>
      </c>
      <c r="V551" s="3" t="str">
        <f t="shared" si="5"/>
        <v>light cyan</v>
      </c>
      <c r="W551" s="3">
        <f t="shared" si="6"/>
        <v>4</v>
      </c>
      <c r="X551" s="3" t="str">
        <f t="shared" si="7"/>
        <v>striped silver</v>
      </c>
      <c r="Y551" s="3" t="str">
        <f t="shared" si="8"/>
        <v/>
      </c>
      <c r="Z551" s="3" t="str">
        <f t="shared" si="9"/>
        <v/>
      </c>
      <c r="AA551" s="13">
        <f t="shared" si="10"/>
        <v>84750</v>
      </c>
      <c r="AB551" s="3">
        <f t="shared" si="11"/>
        <v>84749</v>
      </c>
      <c r="AC551" s="3">
        <f t="shared" si="12"/>
        <v>1</v>
      </c>
      <c r="AD551" s="3">
        <f t="shared" si="13"/>
        <v>773</v>
      </c>
      <c r="AE551" s="3">
        <f t="shared" si="14"/>
        <v>2</v>
      </c>
      <c r="AF551" s="3">
        <f t="shared" si="15"/>
        <v>3750</v>
      </c>
      <c r="AG551" s="3">
        <f t="shared" si="16"/>
        <v>4</v>
      </c>
      <c r="AH551" s="3">
        <f t="shared" si="17"/>
        <v>19119</v>
      </c>
      <c r="AI551" s="3" t="str">
        <f t="shared" si="18"/>
        <v/>
      </c>
      <c r="AJ551" s="3">
        <f t="shared" si="19"/>
        <v>0</v>
      </c>
    </row>
    <row r="552">
      <c r="C552" s="6" t="s">
        <v>552</v>
      </c>
      <c r="D552" s="3">
        <f t="shared" si="1"/>
        <v>2</v>
      </c>
      <c r="E552" s="3" t="str">
        <f>IFERROR(__xludf.DUMMYFUNCTION("REGEXEXTRACT(C552,""[^ ]* [^ ]*"")"),"vibrant purple")</f>
        <v>vibrant purple</v>
      </c>
      <c r="F552" s="3" t="str">
        <f>IFERROR(__xludf.DUMMYFUNCTION("MID(REGEXEXTRACT(C552,""contain.*$""),9,300)"),"5 shiny magenta bags, 1 dotted orange bag, 2 wavy teal bags.")</f>
        <v>5 shiny magenta bags, 1 dotted orange bag, 2 wavy teal bags.</v>
      </c>
      <c r="G552" s="3" t="str">
        <f>IFERROR(__xludf.DUMMYFUNCTION("INDEX(SPLIT($F552,"",""),COLUMN()-6)"),"5 shiny magenta bags")</f>
        <v>5 shiny magenta bags</v>
      </c>
      <c r="H552" s="3" t="str">
        <f>IFERROR(__xludf.DUMMYFUNCTION("MID(INDEX(SPLIT($F552,"",""),COLUMN()-6),2,300)"),"1 dotted orange bag")</f>
        <v>1 dotted orange bag</v>
      </c>
      <c r="I552" s="3" t="str">
        <f>IFERROR(__xludf.DUMMYFUNCTION("MID(INDEX(SPLIT($F552,"",""),COLUMN()-6),2,300)"),"2 wavy teal bags.")</f>
        <v>2 wavy teal bags.</v>
      </c>
      <c r="J552" s="3" t="str">
        <f>IFERROR(__xludf.DUMMYFUNCTION("MID(INDEX(SPLIT($F552,"",""),COLUMN()-6),2,300)"),"#REF!")</f>
        <v>#REF!</v>
      </c>
      <c r="K552" s="3">
        <f>IFERROR(__xludf.DUMMYFUNCTION("INDEX(SPLIT(G552,"" ""),1)"),5.0)</f>
        <v>5</v>
      </c>
      <c r="L552" s="3" t="str">
        <f>IFERROR(__xludf.DUMMYFUNCTION("REGEXEXTRACT(G552,"" [^ ]* [^ ]* "")")," shiny magenta ")</f>
        <v> shiny magenta </v>
      </c>
      <c r="M552" s="3">
        <f>IFERROR(__xludf.DUMMYFUNCTION("INDEX(SPLIT(H552,"" ""),1)"),1.0)</f>
        <v>1</v>
      </c>
      <c r="N552" s="3" t="str">
        <f>IFERROR(__xludf.DUMMYFUNCTION("MID(REGEXEXTRACT(H552,"" [^ ]* [^ ]*""),2,300)"),"dotted orange")</f>
        <v>dotted orange</v>
      </c>
      <c r="O552" s="3">
        <f>IFERROR(__xludf.DUMMYFUNCTION("INDEX(SPLIT(I552,"" ""),1)"),2.0)</f>
        <v>2</v>
      </c>
      <c r="P552" s="3" t="str">
        <f>IFERROR(__xludf.DUMMYFUNCTION("MID(REGEXEXTRACT(I552,"" [^ ]* [^ ]*""),2,300)"),"wavy teal")</f>
        <v>wavy teal</v>
      </c>
      <c r="Q552" s="3" t="str">
        <f>IFERROR(__xludf.DUMMYFUNCTION("INDEX(SPLIT(J552,"" ""),1)"),"#REF!")</f>
        <v>#REF!</v>
      </c>
      <c r="R552" s="3" t="str">
        <f>IFERROR(__xludf.DUMMYFUNCTION("MID(REGEXEXTRACT(J552,"" [^ ]* [^ ]*""),2,300)"),"#REF!")</f>
        <v>#REF!</v>
      </c>
      <c r="S552" s="3">
        <f t="shared" si="2"/>
        <v>5</v>
      </c>
      <c r="T552" s="3" t="str">
        <f t="shared" si="3"/>
        <v>shiny magenta</v>
      </c>
      <c r="U552" s="3">
        <f t="shared" si="4"/>
        <v>1</v>
      </c>
      <c r="V552" s="3" t="str">
        <f t="shared" si="5"/>
        <v>dotted orange</v>
      </c>
      <c r="W552" s="3">
        <f t="shared" si="6"/>
        <v>2</v>
      </c>
      <c r="X552" s="3" t="str">
        <f t="shared" si="7"/>
        <v>wavy teal</v>
      </c>
      <c r="Y552" s="3" t="str">
        <f t="shared" si="8"/>
        <v/>
      </c>
      <c r="Z552" s="3" t="str">
        <f t="shared" si="9"/>
        <v/>
      </c>
      <c r="AA552" s="13">
        <f t="shared" si="10"/>
        <v>207721</v>
      </c>
      <c r="AB552" s="3">
        <f t="shared" si="11"/>
        <v>207720</v>
      </c>
      <c r="AC552" s="3">
        <f t="shared" si="12"/>
        <v>5</v>
      </c>
      <c r="AD552" s="3">
        <f t="shared" si="13"/>
        <v>7288</v>
      </c>
      <c r="AE552" s="3">
        <f t="shared" si="14"/>
        <v>1</v>
      </c>
      <c r="AF552" s="3">
        <f t="shared" si="15"/>
        <v>1780</v>
      </c>
      <c r="AG552" s="3">
        <f t="shared" si="16"/>
        <v>2</v>
      </c>
      <c r="AH552" s="3">
        <f t="shared" si="17"/>
        <v>84750</v>
      </c>
      <c r="AI552" s="3" t="str">
        <f t="shared" si="18"/>
        <v/>
      </c>
      <c r="AJ552" s="3">
        <f t="shared" si="19"/>
        <v>0</v>
      </c>
    </row>
    <row r="553">
      <c r="C553" s="6" t="s">
        <v>553</v>
      </c>
      <c r="D553" s="3">
        <f t="shared" si="1"/>
        <v>1</v>
      </c>
      <c r="E553" s="3" t="str">
        <f>IFERROR(__xludf.DUMMYFUNCTION("REGEXEXTRACT(C553,""[^ ]* [^ ]*"")"),"faded beige")</f>
        <v>faded beige</v>
      </c>
      <c r="F553" s="3" t="str">
        <f>IFERROR(__xludf.DUMMYFUNCTION("MID(REGEXEXTRACT(C553,""contain.*$""),9,300)"),"1 posh green bag, 5 clear coral bags.")</f>
        <v>1 posh green bag, 5 clear coral bags.</v>
      </c>
      <c r="G553" s="3" t="str">
        <f>IFERROR(__xludf.DUMMYFUNCTION("INDEX(SPLIT($F553,"",""),COLUMN()-6)"),"1 posh green bag")</f>
        <v>1 posh green bag</v>
      </c>
      <c r="H553" s="3" t="str">
        <f>IFERROR(__xludf.DUMMYFUNCTION("MID(INDEX(SPLIT($F553,"",""),COLUMN()-6),2,300)"),"5 clear coral bags.")</f>
        <v>5 clear coral bags.</v>
      </c>
      <c r="I553" s="3" t="str">
        <f>IFERROR(__xludf.DUMMYFUNCTION("MID(INDEX(SPLIT($F553,"",""),COLUMN()-6),2,300)"),"#REF!")</f>
        <v>#REF!</v>
      </c>
      <c r="J553" s="3" t="str">
        <f>IFERROR(__xludf.DUMMYFUNCTION("MID(INDEX(SPLIT($F553,"",""),COLUMN()-6),2,300)"),"#REF!")</f>
        <v>#REF!</v>
      </c>
      <c r="K553" s="3">
        <f>IFERROR(__xludf.DUMMYFUNCTION("INDEX(SPLIT(G553,"" ""),1)"),1.0)</f>
        <v>1</v>
      </c>
      <c r="L553" s="3" t="str">
        <f>IFERROR(__xludf.DUMMYFUNCTION("REGEXEXTRACT(G553,"" [^ ]* [^ ]* "")")," posh green ")</f>
        <v> posh green </v>
      </c>
      <c r="M553" s="3">
        <f>IFERROR(__xludf.DUMMYFUNCTION("INDEX(SPLIT(H553,"" ""),1)"),5.0)</f>
        <v>5</v>
      </c>
      <c r="N553" s="3" t="str">
        <f>IFERROR(__xludf.DUMMYFUNCTION("MID(REGEXEXTRACT(H553,"" [^ ]* [^ ]*""),2,300)"),"clear coral")</f>
        <v>clear coral</v>
      </c>
      <c r="O553" s="3" t="str">
        <f>IFERROR(__xludf.DUMMYFUNCTION("INDEX(SPLIT(I553,"" ""),1)"),"#REF!")</f>
        <v>#REF!</v>
      </c>
      <c r="P553" s="3" t="str">
        <f>IFERROR(__xludf.DUMMYFUNCTION("MID(REGEXEXTRACT(I553,"" [^ ]* [^ ]*""),2,300)"),"#REF!")</f>
        <v>#REF!</v>
      </c>
      <c r="Q553" s="3" t="str">
        <f>IFERROR(__xludf.DUMMYFUNCTION("INDEX(SPLIT(J553,"" ""),1)"),"#REF!")</f>
        <v>#REF!</v>
      </c>
      <c r="R553" s="3" t="str">
        <f>IFERROR(__xludf.DUMMYFUNCTION("MID(REGEXEXTRACT(J553,"" [^ ]* [^ ]*""),2,300)"),"#REF!")</f>
        <v>#REF!</v>
      </c>
      <c r="S553" s="3">
        <f t="shared" si="2"/>
        <v>1</v>
      </c>
      <c r="T553" s="3" t="str">
        <f t="shared" si="3"/>
        <v>posh green</v>
      </c>
      <c r="U553" s="3">
        <f t="shared" si="4"/>
        <v>5</v>
      </c>
      <c r="V553" s="3" t="str">
        <f t="shared" si="5"/>
        <v>clear coral</v>
      </c>
      <c r="W553" s="3" t="str">
        <f t="shared" si="6"/>
        <v/>
      </c>
      <c r="X553" s="3" t="str">
        <f t="shared" si="7"/>
        <v/>
      </c>
      <c r="Y553" s="3" t="str">
        <f t="shared" si="8"/>
        <v/>
      </c>
      <c r="Z553" s="3" t="str">
        <f t="shared" si="9"/>
        <v/>
      </c>
      <c r="AA553" s="13">
        <f t="shared" si="10"/>
        <v>6373</v>
      </c>
      <c r="AB553" s="3">
        <f t="shared" si="11"/>
        <v>6372</v>
      </c>
      <c r="AC553" s="3">
        <f t="shared" si="12"/>
        <v>1</v>
      </c>
      <c r="AD553" s="3">
        <f t="shared" si="13"/>
        <v>6367</v>
      </c>
      <c r="AE553" s="3">
        <f t="shared" si="14"/>
        <v>5</v>
      </c>
      <c r="AF553" s="3">
        <f t="shared" si="15"/>
        <v>1</v>
      </c>
      <c r="AG553" s="3" t="str">
        <f t="shared" si="16"/>
        <v/>
      </c>
      <c r="AH553" s="3">
        <f t="shared" si="17"/>
        <v>0</v>
      </c>
      <c r="AI553" s="3" t="str">
        <f t="shared" si="18"/>
        <v/>
      </c>
      <c r="AJ553" s="3">
        <f t="shared" si="19"/>
        <v>0</v>
      </c>
    </row>
    <row r="554">
      <c r="C554" s="6" t="s">
        <v>554</v>
      </c>
      <c r="D554" s="3">
        <f t="shared" si="1"/>
        <v>2</v>
      </c>
      <c r="E554" s="3" t="str">
        <f>IFERROR(__xludf.DUMMYFUNCTION("REGEXEXTRACT(C554,""[^ ]* [^ ]*"")"),"faded lime")</f>
        <v>faded lime</v>
      </c>
      <c r="F554" s="3" t="str">
        <f>IFERROR(__xludf.DUMMYFUNCTION("MID(REGEXEXTRACT(C554,""contain.*$""),9,300)"),"1 wavy gray bag, 1 light orange bag, 5 clear bronze bags.")</f>
        <v>1 wavy gray bag, 1 light orange bag, 5 clear bronze bags.</v>
      </c>
      <c r="G554" s="3" t="str">
        <f>IFERROR(__xludf.DUMMYFUNCTION("INDEX(SPLIT($F554,"",""),COLUMN()-6)"),"1 wavy gray bag")</f>
        <v>1 wavy gray bag</v>
      </c>
      <c r="H554" s="3" t="str">
        <f>IFERROR(__xludf.DUMMYFUNCTION("MID(INDEX(SPLIT($F554,"",""),COLUMN()-6),2,300)"),"1 light orange bag")</f>
        <v>1 light orange bag</v>
      </c>
      <c r="I554" s="3" t="str">
        <f>IFERROR(__xludf.DUMMYFUNCTION("MID(INDEX(SPLIT($F554,"",""),COLUMN()-6),2,300)"),"5 clear bronze bags.")</f>
        <v>5 clear bronze bags.</v>
      </c>
      <c r="J554" s="3" t="str">
        <f>IFERROR(__xludf.DUMMYFUNCTION("MID(INDEX(SPLIT($F554,"",""),COLUMN()-6),2,300)"),"#REF!")</f>
        <v>#REF!</v>
      </c>
      <c r="K554" s="3">
        <f>IFERROR(__xludf.DUMMYFUNCTION("INDEX(SPLIT(G554,"" ""),1)"),1.0)</f>
        <v>1</v>
      </c>
      <c r="L554" s="3" t="str">
        <f>IFERROR(__xludf.DUMMYFUNCTION("REGEXEXTRACT(G554,"" [^ ]* [^ ]* "")")," wavy gray ")</f>
        <v> wavy gray </v>
      </c>
      <c r="M554" s="3">
        <f>IFERROR(__xludf.DUMMYFUNCTION("INDEX(SPLIT(H554,"" ""),1)"),1.0)</f>
        <v>1</v>
      </c>
      <c r="N554" s="3" t="str">
        <f>IFERROR(__xludf.DUMMYFUNCTION("MID(REGEXEXTRACT(H554,"" [^ ]* [^ ]*""),2,300)"),"light orange")</f>
        <v>light orange</v>
      </c>
      <c r="O554" s="3">
        <f>IFERROR(__xludf.DUMMYFUNCTION("INDEX(SPLIT(I554,"" ""),1)"),5.0)</f>
        <v>5</v>
      </c>
      <c r="P554" s="3" t="str">
        <f>IFERROR(__xludf.DUMMYFUNCTION("MID(REGEXEXTRACT(I554,"" [^ ]* [^ ]*""),2,300)"),"clear bronze")</f>
        <v>clear bronze</v>
      </c>
      <c r="Q554" s="3" t="str">
        <f>IFERROR(__xludf.DUMMYFUNCTION("INDEX(SPLIT(J554,"" ""),1)"),"#REF!")</f>
        <v>#REF!</v>
      </c>
      <c r="R554" s="3" t="str">
        <f>IFERROR(__xludf.DUMMYFUNCTION("MID(REGEXEXTRACT(J554,"" [^ ]* [^ ]*""),2,300)"),"#REF!")</f>
        <v>#REF!</v>
      </c>
      <c r="S554" s="3">
        <f t="shared" si="2"/>
        <v>1</v>
      </c>
      <c r="T554" s="3" t="str">
        <f t="shared" si="3"/>
        <v>wavy gray</v>
      </c>
      <c r="U554" s="3">
        <f t="shared" si="4"/>
        <v>1</v>
      </c>
      <c r="V554" s="3" t="str">
        <f t="shared" si="5"/>
        <v>light orange</v>
      </c>
      <c r="W554" s="3">
        <f t="shared" si="6"/>
        <v>5</v>
      </c>
      <c r="X554" s="3" t="str">
        <f t="shared" si="7"/>
        <v>clear bronze</v>
      </c>
      <c r="Y554" s="3" t="str">
        <f t="shared" si="8"/>
        <v/>
      </c>
      <c r="Z554" s="3" t="str">
        <f t="shared" si="9"/>
        <v/>
      </c>
      <c r="AA554" s="13">
        <f t="shared" si="10"/>
        <v>8796485787</v>
      </c>
      <c r="AB554" s="3">
        <f t="shared" si="11"/>
        <v>8796485786</v>
      </c>
      <c r="AC554" s="3">
        <f t="shared" si="12"/>
        <v>1</v>
      </c>
      <c r="AD554" s="3">
        <f t="shared" si="13"/>
        <v>3322</v>
      </c>
      <c r="AE554" s="3">
        <f t="shared" si="14"/>
        <v>1</v>
      </c>
      <c r="AF554" s="3">
        <f t="shared" si="15"/>
        <v>4507599</v>
      </c>
      <c r="AG554" s="3">
        <f t="shared" si="16"/>
        <v>5</v>
      </c>
      <c r="AH554" s="3">
        <f t="shared" si="17"/>
        <v>1758394973</v>
      </c>
      <c r="AI554" s="3" t="str">
        <f t="shared" si="18"/>
        <v/>
      </c>
      <c r="AJ554" s="3">
        <f t="shared" si="19"/>
        <v>0</v>
      </c>
    </row>
    <row r="555">
      <c r="C555" s="6" t="s">
        <v>555</v>
      </c>
      <c r="D555" s="3">
        <f t="shared" si="1"/>
        <v>2</v>
      </c>
      <c r="E555" s="3" t="str">
        <f>IFERROR(__xludf.DUMMYFUNCTION("REGEXEXTRACT(C555,""[^ ]* [^ ]*"")"),"mirrored green")</f>
        <v>mirrored green</v>
      </c>
      <c r="F555" s="3" t="str">
        <f>IFERROR(__xludf.DUMMYFUNCTION("MID(REGEXEXTRACT(C555,""contain.*$""),9,300)"),"5 drab bronze bags, 3 muted violet bags, 1 clear blue bag.")</f>
        <v>5 drab bronze bags, 3 muted violet bags, 1 clear blue bag.</v>
      </c>
      <c r="G555" s="3" t="str">
        <f>IFERROR(__xludf.DUMMYFUNCTION("INDEX(SPLIT($F555,"",""),COLUMN()-6)"),"5 drab bronze bags")</f>
        <v>5 drab bronze bags</v>
      </c>
      <c r="H555" s="3" t="str">
        <f>IFERROR(__xludf.DUMMYFUNCTION("MID(INDEX(SPLIT($F555,"",""),COLUMN()-6),2,300)"),"3 muted violet bags")</f>
        <v>3 muted violet bags</v>
      </c>
      <c r="I555" s="3" t="str">
        <f>IFERROR(__xludf.DUMMYFUNCTION("MID(INDEX(SPLIT($F555,"",""),COLUMN()-6),2,300)"),"1 clear blue bag.")</f>
        <v>1 clear blue bag.</v>
      </c>
      <c r="J555" s="3" t="str">
        <f>IFERROR(__xludf.DUMMYFUNCTION("MID(INDEX(SPLIT($F555,"",""),COLUMN()-6),2,300)"),"#REF!")</f>
        <v>#REF!</v>
      </c>
      <c r="K555" s="3">
        <f>IFERROR(__xludf.DUMMYFUNCTION("INDEX(SPLIT(G555,"" ""),1)"),5.0)</f>
        <v>5</v>
      </c>
      <c r="L555" s="3" t="str">
        <f>IFERROR(__xludf.DUMMYFUNCTION("REGEXEXTRACT(G555,"" [^ ]* [^ ]* "")")," drab bronze ")</f>
        <v> drab bronze </v>
      </c>
      <c r="M555" s="3">
        <f>IFERROR(__xludf.DUMMYFUNCTION("INDEX(SPLIT(H555,"" ""),1)"),3.0)</f>
        <v>3</v>
      </c>
      <c r="N555" s="3" t="str">
        <f>IFERROR(__xludf.DUMMYFUNCTION("MID(REGEXEXTRACT(H555,"" [^ ]* [^ ]*""),2,300)"),"muted violet")</f>
        <v>muted violet</v>
      </c>
      <c r="O555" s="3">
        <f>IFERROR(__xludf.DUMMYFUNCTION("INDEX(SPLIT(I555,"" ""),1)"),1.0)</f>
        <v>1</v>
      </c>
      <c r="P555" s="3" t="str">
        <f>IFERROR(__xludf.DUMMYFUNCTION("MID(REGEXEXTRACT(I555,"" [^ ]* [^ ]*""),2,300)"),"clear blue")</f>
        <v>clear blue</v>
      </c>
      <c r="Q555" s="3" t="str">
        <f>IFERROR(__xludf.DUMMYFUNCTION("INDEX(SPLIT(J555,"" ""),1)"),"#REF!")</f>
        <v>#REF!</v>
      </c>
      <c r="R555" s="3" t="str">
        <f>IFERROR(__xludf.DUMMYFUNCTION("MID(REGEXEXTRACT(J555,"" [^ ]* [^ ]*""),2,300)"),"#REF!")</f>
        <v>#REF!</v>
      </c>
      <c r="S555" s="3">
        <f t="shared" si="2"/>
        <v>5</v>
      </c>
      <c r="T555" s="3" t="str">
        <f t="shared" si="3"/>
        <v>drab bronze</v>
      </c>
      <c r="U555" s="3">
        <f t="shared" si="4"/>
        <v>3</v>
      </c>
      <c r="V555" s="3" t="str">
        <f t="shared" si="5"/>
        <v>muted violet</v>
      </c>
      <c r="W555" s="3">
        <f t="shared" si="6"/>
        <v>1</v>
      </c>
      <c r="X555" s="3" t="str">
        <f t="shared" si="7"/>
        <v>clear blue</v>
      </c>
      <c r="Y555" s="3" t="str">
        <f t="shared" si="8"/>
        <v/>
      </c>
      <c r="Z555" s="3" t="str">
        <f t="shared" si="9"/>
        <v/>
      </c>
      <c r="AA555" s="13">
        <f t="shared" si="10"/>
        <v>399804</v>
      </c>
      <c r="AB555" s="3">
        <f t="shared" si="11"/>
        <v>399803</v>
      </c>
      <c r="AC555" s="3">
        <f t="shared" si="12"/>
        <v>5</v>
      </c>
      <c r="AD555" s="3">
        <f t="shared" si="13"/>
        <v>79943</v>
      </c>
      <c r="AE555" s="3">
        <f t="shared" si="14"/>
        <v>3</v>
      </c>
      <c r="AF555" s="3">
        <f t="shared" si="15"/>
        <v>4</v>
      </c>
      <c r="AG555" s="3">
        <f t="shared" si="16"/>
        <v>1</v>
      </c>
      <c r="AH555" s="3">
        <f t="shared" si="17"/>
        <v>76</v>
      </c>
      <c r="AI555" s="3" t="str">
        <f t="shared" si="18"/>
        <v/>
      </c>
      <c r="AJ555" s="3">
        <f t="shared" si="19"/>
        <v>0</v>
      </c>
    </row>
    <row r="556">
      <c r="C556" s="6" t="s">
        <v>556</v>
      </c>
      <c r="D556" s="3">
        <f t="shared" si="1"/>
        <v>1</v>
      </c>
      <c r="E556" s="3" t="str">
        <f>IFERROR(__xludf.DUMMYFUNCTION("REGEXEXTRACT(C556,""[^ ]* [^ ]*"")"),"light green")</f>
        <v>light green</v>
      </c>
      <c r="F556" s="3" t="str">
        <f>IFERROR(__xludf.DUMMYFUNCTION("MID(REGEXEXTRACT(C556,""contain.*$""),9,300)"),"5 mirrored lavender bags, 3 drab gold bags.")</f>
        <v>5 mirrored lavender bags, 3 drab gold bags.</v>
      </c>
      <c r="G556" s="3" t="str">
        <f>IFERROR(__xludf.DUMMYFUNCTION("INDEX(SPLIT($F556,"",""),COLUMN()-6)"),"5 mirrored lavender bags")</f>
        <v>5 mirrored lavender bags</v>
      </c>
      <c r="H556" s="3" t="str">
        <f>IFERROR(__xludf.DUMMYFUNCTION("MID(INDEX(SPLIT($F556,"",""),COLUMN()-6),2,300)"),"3 drab gold bags.")</f>
        <v>3 drab gold bags.</v>
      </c>
      <c r="I556" s="3" t="str">
        <f>IFERROR(__xludf.DUMMYFUNCTION("MID(INDEX(SPLIT($F556,"",""),COLUMN()-6),2,300)"),"#REF!")</f>
        <v>#REF!</v>
      </c>
      <c r="J556" s="3" t="str">
        <f>IFERROR(__xludf.DUMMYFUNCTION("MID(INDEX(SPLIT($F556,"",""),COLUMN()-6),2,300)"),"#REF!")</f>
        <v>#REF!</v>
      </c>
      <c r="K556" s="3">
        <f>IFERROR(__xludf.DUMMYFUNCTION("INDEX(SPLIT(G556,"" ""),1)"),5.0)</f>
        <v>5</v>
      </c>
      <c r="L556" s="3" t="str">
        <f>IFERROR(__xludf.DUMMYFUNCTION("REGEXEXTRACT(G556,"" [^ ]* [^ ]* "")")," mirrored lavender ")</f>
        <v> mirrored lavender </v>
      </c>
      <c r="M556" s="3">
        <f>IFERROR(__xludf.DUMMYFUNCTION("INDEX(SPLIT(H556,"" ""),1)"),3.0)</f>
        <v>3</v>
      </c>
      <c r="N556" s="3" t="str">
        <f>IFERROR(__xludf.DUMMYFUNCTION("MID(REGEXEXTRACT(H556,"" [^ ]* [^ ]*""),2,300)"),"drab gold")</f>
        <v>drab gold</v>
      </c>
      <c r="O556" s="3" t="str">
        <f>IFERROR(__xludf.DUMMYFUNCTION("INDEX(SPLIT(I556,"" ""),1)"),"#REF!")</f>
        <v>#REF!</v>
      </c>
      <c r="P556" s="3" t="str">
        <f>IFERROR(__xludf.DUMMYFUNCTION("MID(REGEXEXTRACT(I556,"" [^ ]* [^ ]*""),2,300)"),"#REF!")</f>
        <v>#REF!</v>
      </c>
      <c r="Q556" s="3" t="str">
        <f>IFERROR(__xludf.DUMMYFUNCTION("INDEX(SPLIT(J556,"" ""),1)"),"#REF!")</f>
        <v>#REF!</v>
      </c>
      <c r="R556" s="3" t="str">
        <f>IFERROR(__xludf.DUMMYFUNCTION("MID(REGEXEXTRACT(J556,"" [^ ]* [^ ]*""),2,300)"),"#REF!")</f>
        <v>#REF!</v>
      </c>
      <c r="S556" s="3">
        <f t="shared" si="2"/>
        <v>5</v>
      </c>
      <c r="T556" s="3" t="str">
        <f t="shared" si="3"/>
        <v>mirrored lavender</v>
      </c>
      <c r="U556" s="3">
        <f t="shared" si="4"/>
        <v>3</v>
      </c>
      <c r="V556" s="3" t="str">
        <f t="shared" si="5"/>
        <v>drab gold</v>
      </c>
      <c r="W556" s="3" t="str">
        <f t="shared" si="6"/>
        <v/>
      </c>
      <c r="X556" s="3" t="str">
        <f t="shared" si="7"/>
        <v/>
      </c>
      <c r="Y556" s="3" t="str">
        <f t="shared" si="8"/>
        <v/>
      </c>
      <c r="Z556" s="3" t="str">
        <f t="shared" si="9"/>
        <v/>
      </c>
      <c r="AA556" s="13">
        <f t="shared" si="10"/>
        <v>14259474</v>
      </c>
      <c r="AB556" s="3">
        <f t="shared" si="11"/>
        <v>14259473</v>
      </c>
      <c r="AC556" s="3">
        <f t="shared" si="12"/>
        <v>5</v>
      </c>
      <c r="AD556" s="3">
        <f t="shared" si="13"/>
        <v>5563</v>
      </c>
      <c r="AE556" s="3">
        <f t="shared" si="14"/>
        <v>3</v>
      </c>
      <c r="AF556" s="3">
        <f t="shared" si="15"/>
        <v>4743886</v>
      </c>
      <c r="AG556" s="3" t="str">
        <f t="shared" si="16"/>
        <v/>
      </c>
      <c r="AH556" s="3">
        <f t="shared" si="17"/>
        <v>0</v>
      </c>
      <c r="AI556" s="3" t="str">
        <f t="shared" si="18"/>
        <v/>
      </c>
      <c r="AJ556" s="3">
        <f t="shared" si="19"/>
        <v>0</v>
      </c>
    </row>
    <row r="557">
      <c r="C557" s="6" t="s">
        <v>557</v>
      </c>
      <c r="D557" s="3">
        <f t="shared" si="1"/>
        <v>0</v>
      </c>
      <c r="E557" s="3" t="str">
        <f>IFERROR(__xludf.DUMMYFUNCTION("REGEXEXTRACT(C557,""[^ ]* [^ ]*"")"),"pale crimson")</f>
        <v>pale crimson</v>
      </c>
      <c r="F557" s="3" t="str">
        <f>IFERROR(__xludf.DUMMYFUNCTION("MID(REGEXEXTRACT(C557,""contain.*$""),9,300)"),"3 pale chartreuse bags.")</f>
        <v>3 pale chartreuse bags.</v>
      </c>
      <c r="G557" s="3" t="str">
        <f>IFERROR(__xludf.DUMMYFUNCTION("INDEX(SPLIT($F557,"",""),COLUMN()-6)"),"3 pale chartreuse bags.")</f>
        <v>3 pale chartreuse bags.</v>
      </c>
      <c r="H557" s="3" t="str">
        <f>IFERROR(__xludf.DUMMYFUNCTION("MID(INDEX(SPLIT($F557,"",""),COLUMN()-6),2,300)"),"#REF!")</f>
        <v>#REF!</v>
      </c>
      <c r="I557" s="3" t="str">
        <f>IFERROR(__xludf.DUMMYFUNCTION("MID(INDEX(SPLIT($F557,"",""),COLUMN()-6),2,300)"),"#REF!")</f>
        <v>#REF!</v>
      </c>
      <c r="J557" s="3" t="str">
        <f>IFERROR(__xludf.DUMMYFUNCTION("MID(INDEX(SPLIT($F557,"",""),COLUMN()-6),2,300)"),"#REF!")</f>
        <v>#REF!</v>
      </c>
      <c r="K557" s="3">
        <f>IFERROR(__xludf.DUMMYFUNCTION("INDEX(SPLIT(G557,"" ""),1)"),3.0)</f>
        <v>3</v>
      </c>
      <c r="L557" s="3" t="str">
        <f>IFERROR(__xludf.DUMMYFUNCTION("REGEXEXTRACT(G557,"" [^ ]* [^ ]* "")")," pale chartreuse ")</f>
        <v> pale chartreuse </v>
      </c>
      <c r="M557" s="3" t="str">
        <f>IFERROR(__xludf.DUMMYFUNCTION("INDEX(SPLIT(H557,"" ""),1)"),"#REF!")</f>
        <v>#REF!</v>
      </c>
      <c r="N557" s="3" t="str">
        <f>IFERROR(__xludf.DUMMYFUNCTION("MID(REGEXEXTRACT(H557,"" [^ ]* [^ ]*""),2,300)"),"#REF!")</f>
        <v>#REF!</v>
      </c>
      <c r="O557" s="3" t="str">
        <f>IFERROR(__xludf.DUMMYFUNCTION("INDEX(SPLIT(I557,"" ""),1)"),"#REF!")</f>
        <v>#REF!</v>
      </c>
      <c r="P557" s="3" t="str">
        <f>IFERROR(__xludf.DUMMYFUNCTION("MID(REGEXEXTRACT(I557,"" [^ ]* [^ ]*""),2,300)"),"#REF!")</f>
        <v>#REF!</v>
      </c>
      <c r="Q557" s="3" t="str">
        <f>IFERROR(__xludf.DUMMYFUNCTION("INDEX(SPLIT(J557,"" ""),1)"),"#REF!")</f>
        <v>#REF!</v>
      </c>
      <c r="R557" s="3" t="str">
        <f>IFERROR(__xludf.DUMMYFUNCTION("MID(REGEXEXTRACT(J557,"" [^ ]* [^ ]*""),2,300)"),"#REF!")</f>
        <v>#REF!</v>
      </c>
      <c r="S557" s="3">
        <f t="shared" si="2"/>
        <v>3</v>
      </c>
      <c r="T557" s="3" t="str">
        <f t="shared" si="3"/>
        <v>pale chartreuse</v>
      </c>
      <c r="U557" s="3" t="str">
        <f t="shared" si="4"/>
        <v/>
      </c>
      <c r="V557" s="3" t="str">
        <f t="shared" si="5"/>
        <v/>
      </c>
      <c r="W557" s="3" t="str">
        <f t="shared" si="6"/>
        <v/>
      </c>
      <c r="X557" s="3" t="str">
        <f t="shared" si="7"/>
        <v/>
      </c>
      <c r="Y557" s="3" t="str">
        <f t="shared" si="8"/>
        <v/>
      </c>
      <c r="Z557" s="3" t="str">
        <f t="shared" si="9"/>
        <v/>
      </c>
      <c r="AA557" s="13">
        <f t="shared" si="10"/>
        <v>472517005</v>
      </c>
      <c r="AB557" s="3">
        <f t="shared" si="11"/>
        <v>472517004</v>
      </c>
      <c r="AC557" s="3">
        <f t="shared" si="12"/>
        <v>3</v>
      </c>
      <c r="AD557" s="3">
        <f t="shared" si="13"/>
        <v>157505668</v>
      </c>
      <c r="AE557" s="3" t="str">
        <f t="shared" si="14"/>
        <v/>
      </c>
      <c r="AF557" s="3">
        <f t="shared" si="15"/>
        <v>0</v>
      </c>
      <c r="AG557" s="3" t="str">
        <f t="shared" si="16"/>
        <v/>
      </c>
      <c r="AH557" s="3">
        <f t="shared" si="17"/>
        <v>0</v>
      </c>
      <c r="AI557" s="3" t="str">
        <f t="shared" si="18"/>
        <v/>
      </c>
      <c r="AJ557" s="3">
        <f t="shared" si="19"/>
        <v>0</v>
      </c>
    </row>
    <row r="558">
      <c r="C558" s="6" t="s">
        <v>558</v>
      </c>
      <c r="D558" s="3">
        <f t="shared" si="1"/>
        <v>0</v>
      </c>
      <c r="E558" s="3" t="str">
        <f>IFERROR(__xludf.DUMMYFUNCTION("REGEXEXTRACT(C558,""[^ ]* [^ ]*"")"),"mirrored aqua")</f>
        <v>mirrored aqua</v>
      </c>
      <c r="F558" s="3" t="str">
        <f>IFERROR(__xludf.DUMMYFUNCTION("MID(REGEXEXTRACT(C558,""contain.*$""),9,300)"),"4 drab plum bags.")</f>
        <v>4 drab plum bags.</v>
      </c>
      <c r="G558" s="3" t="str">
        <f>IFERROR(__xludf.DUMMYFUNCTION("INDEX(SPLIT($F558,"",""),COLUMN()-6)"),"4 drab plum bags.")</f>
        <v>4 drab plum bags.</v>
      </c>
      <c r="H558" s="3" t="str">
        <f>IFERROR(__xludf.DUMMYFUNCTION("MID(INDEX(SPLIT($F558,"",""),COLUMN()-6),2,300)"),"#REF!")</f>
        <v>#REF!</v>
      </c>
      <c r="I558" s="3" t="str">
        <f>IFERROR(__xludf.DUMMYFUNCTION("MID(INDEX(SPLIT($F558,"",""),COLUMN()-6),2,300)"),"#REF!")</f>
        <v>#REF!</v>
      </c>
      <c r="J558" s="3" t="str">
        <f>IFERROR(__xludf.DUMMYFUNCTION("MID(INDEX(SPLIT($F558,"",""),COLUMN()-6),2,300)"),"#REF!")</f>
        <v>#REF!</v>
      </c>
      <c r="K558" s="3">
        <f>IFERROR(__xludf.DUMMYFUNCTION("INDEX(SPLIT(G558,"" ""),1)"),4.0)</f>
        <v>4</v>
      </c>
      <c r="L558" s="3" t="str">
        <f>IFERROR(__xludf.DUMMYFUNCTION("REGEXEXTRACT(G558,"" [^ ]* [^ ]* "")")," drab plum ")</f>
        <v> drab plum </v>
      </c>
      <c r="M558" s="3" t="str">
        <f>IFERROR(__xludf.DUMMYFUNCTION("INDEX(SPLIT(H558,"" ""),1)"),"#REF!")</f>
        <v>#REF!</v>
      </c>
      <c r="N558" s="3" t="str">
        <f>IFERROR(__xludf.DUMMYFUNCTION("MID(REGEXEXTRACT(H558,"" [^ ]* [^ ]*""),2,300)"),"#REF!")</f>
        <v>#REF!</v>
      </c>
      <c r="O558" s="3" t="str">
        <f>IFERROR(__xludf.DUMMYFUNCTION("INDEX(SPLIT(I558,"" ""),1)"),"#REF!")</f>
        <v>#REF!</v>
      </c>
      <c r="P558" s="3" t="str">
        <f>IFERROR(__xludf.DUMMYFUNCTION("MID(REGEXEXTRACT(I558,"" [^ ]* [^ ]*""),2,300)"),"#REF!")</f>
        <v>#REF!</v>
      </c>
      <c r="Q558" s="3" t="str">
        <f>IFERROR(__xludf.DUMMYFUNCTION("INDEX(SPLIT(J558,"" ""),1)"),"#REF!")</f>
        <v>#REF!</v>
      </c>
      <c r="R558" s="3" t="str">
        <f>IFERROR(__xludf.DUMMYFUNCTION("MID(REGEXEXTRACT(J558,"" [^ ]* [^ ]*""),2,300)"),"#REF!")</f>
        <v>#REF!</v>
      </c>
      <c r="S558" s="3">
        <f t="shared" si="2"/>
        <v>4</v>
      </c>
      <c r="T558" s="3" t="str">
        <f t="shared" si="3"/>
        <v>drab plum</v>
      </c>
      <c r="U558" s="3" t="str">
        <f t="shared" si="4"/>
        <v/>
      </c>
      <c r="V558" s="3" t="str">
        <f t="shared" si="5"/>
        <v/>
      </c>
      <c r="W558" s="3" t="str">
        <f t="shared" si="6"/>
        <v/>
      </c>
      <c r="X558" s="3" t="str">
        <f t="shared" si="7"/>
        <v/>
      </c>
      <c r="Y558" s="3" t="str">
        <f t="shared" si="8"/>
        <v/>
      </c>
      <c r="Z558" s="3" t="str">
        <f t="shared" si="9"/>
        <v/>
      </c>
      <c r="AA558" s="13">
        <f t="shared" si="10"/>
        <v>80013785</v>
      </c>
      <c r="AB558" s="3">
        <f t="shared" si="11"/>
        <v>80013784</v>
      </c>
      <c r="AC558" s="3">
        <f t="shared" si="12"/>
        <v>4</v>
      </c>
      <c r="AD558" s="3">
        <f t="shared" si="13"/>
        <v>20003446</v>
      </c>
      <c r="AE558" s="3" t="str">
        <f t="shared" si="14"/>
        <v/>
      </c>
      <c r="AF558" s="3">
        <f t="shared" si="15"/>
        <v>0</v>
      </c>
      <c r="AG558" s="3" t="str">
        <f t="shared" si="16"/>
        <v/>
      </c>
      <c r="AH558" s="3">
        <f t="shared" si="17"/>
        <v>0</v>
      </c>
      <c r="AI558" s="3" t="str">
        <f t="shared" si="18"/>
        <v/>
      </c>
      <c r="AJ558" s="3">
        <f t="shared" si="19"/>
        <v>0</v>
      </c>
    </row>
    <row r="559">
      <c r="C559" s="6" t="s">
        <v>559</v>
      </c>
      <c r="D559" s="3">
        <f t="shared" si="1"/>
        <v>2</v>
      </c>
      <c r="E559" s="3" t="str">
        <f>IFERROR(__xludf.DUMMYFUNCTION("REGEXEXTRACT(C559,""[^ ]* [^ ]*"")"),"dull crimson")</f>
        <v>dull crimson</v>
      </c>
      <c r="F559" s="3" t="str">
        <f>IFERROR(__xludf.DUMMYFUNCTION("MID(REGEXEXTRACT(C559,""contain.*$""),9,300)"),"2 bright white bags, 5 drab olive bags, 5 pale salmon bags.")</f>
        <v>2 bright white bags, 5 drab olive bags, 5 pale salmon bags.</v>
      </c>
      <c r="G559" s="3" t="str">
        <f>IFERROR(__xludf.DUMMYFUNCTION("INDEX(SPLIT($F559,"",""),COLUMN()-6)"),"2 bright white bags")</f>
        <v>2 bright white bags</v>
      </c>
      <c r="H559" s="3" t="str">
        <f>IFERROR(__xludf.DUMMYFUNCTION("MID(INDEX(SPLIT($F559,"",""),COLUMN()-6),2,300)"),"5 drab olive bags")</f>
        <v>5 drab olive bags</v>
      </c>
      <c r="I559" s="3" t="str">
        <f>IFERROR(__xludf.DUMMYFUNCTION("MID(INDEX(SPLIT($F559,"",""),COLUMN()-6),2,300)"),"5 pale salmon bags.")</f>
        <v>5 pale salmon bags.</v>
      </c>
      <c r="J559" s="3" t="str">
        <f>IFERROR(__xludf.DUMMYFUNCTION("MID(INDEX(SPLIT($F559,"",""),COLUMN()-6),2,300)"),"#REF!")</f>
        <v>#REF!</v>
      </c>
      <c r="K559" s="3">
        <f>IFERROR(__xludf.DUMMYFUNCTION("INDEX(SPLIT(G559,"" ""),1)"),2.0)</f>
        <v>2</v>
      </c>
      <c r="L559" s="3" t="str">
        <f>IFERROR(__xludf.DUMMYFUNCTION("REGEXEXTRACT(G559,"" [^ ]* [^ ]* "")")," bright white ")</f>
        <v> bright white </v>
      </c>
      <c r="M559" s="3">
        <f>IFERROR(__xludf.DUMMYFUNCTION("INDEX(SPLIT(H559,"" ""),1)"),5.0)</f>
        <v>5</v>
      </c>
      <c r="N559" s="3" t="str">
        <f>IFERROR(__xludf.DUMMYFUNCTION("MID(REGEXEXTRACT(H559,"" [^ ]* [^ ]*""),2,300)"),"drab olive")</f>
        <v>drab olive</v>
      </c>
      <c r="O559" s="3">
        <f>IFERROR(__xludf.DUMMYFUNCTION("INDEX(SPLIT(I559,"" ""),1)"),5.0)</f>
        <v>5</v>
      </c>
      <c r="P559" s="3" t="str">
        <f>IFERROR(__xludf.DUMMYFUNCTION("MID(REGEXEXTRACT(I559,"" [^ ]* [^ ]*""),2,300)"),"pale salmon")</f>
        <v>pale salmon</v>
      </c>
      <c r="Q559" s="3" t="str">
        <f>IFERROR(__xludf.DUMMYFUNCTION("INDEX(SPLIT(J559,"" ""),1)"),"#REF!")</f>
        <v>#REF!</v>
      </c>
      <c r="R559" s="3" t="str">
        <f>IFERROR(__xludf.DUMMYFUNCTION("MID(REGEXEXTRACT(J559,"" [^ ]* [^ ]*""),2,300)"),"#REF!")</f>
        <v>#REF!</v>
      </c>
      <c r="S559" s="3">
        <f t="shared" si="2"/>
        <v>2</v>
      </c>
      <c r="T559" s="3" t="str">
        <f t="shared" si="3"/>
        <v>bright white</v>
      </c>
      <c r="U559" s="3">
        <f t="shared" si="4"/>
        <v>5</v>
      </c>
      <c r="V559" s="3" t="str">
        <f t="shared" si="5"/>
        <v>drab olive</v>
      </c>
      <c r="W559" s="3">
        <f t="shared" si="6"/>
        <v>5</v>
      </c>
      <c r="X559" s="3" t="str">
        <f t="shared" si="7"/>
        <v>pale salmon</v>
      </c>
      <c r="Y559" s="3" t="str">
        <f t="shared" si="8"/>
        <v/>
      </c>
      <c r="Z559" s="3" t="str">
        <f t="shared" si="9"/>
        <v/>
      </c>
      <c r="AA559" s="13">
        <f t="shared" si="10"/>
        <v>53790347</v>
      </c>
      <c r="AB559" s="3">
        <f t="shared" si="11"/>
        <v>53790346</v>
      </c>
      <c r="AC559" s="3">
        <f t="shared" si="12"/>
        <v>2</v>
      </c>
      <c r="AD559" s="3">
        <f t="shared" si="13"/>
        <v>24984108</v>
      </c>
      <c r="AE559" s="3">
        <f t="shared" si="14"/>
        <v>5</v>
      </c>
      <c r="AF559" s="3">
        <f t="shared" si="15"/>
        <v>754537</v>
      </c>
      <c r="AG559" s="3">
        <f t="shared" si="16"/>
        <v>5</v>
      </c>
      <c r="AH559" s="3">
        <f t="shared" si="17"/>
        <v>9889</v>
      </c>
      <c r="AI559" s="3" t="str">
        <f t="shared" si="18"/>
        <v/>
      </c>
      <c r="AJ559" s="3">
        <f t="shared" si="19"/>
        <v>0</v>
      </c>
    </row>
    <row r="560">
      <c r="C560" s="6" t="s">
        <v>560</v>
      </c>
      <c r="D560" s="3">
        <f t="shared" si="1"/>
        <v>1</v>
      </c>
      <c r="E560" s="3" t="str">
        <f>IFERROR(__xludf.DUMMYFUNCTION("REGEXEXTRACT(C560,""[^ ]* [^ ]*"")"),"dull purple")</f>
        <v>dull purple</v>
      </c>
      <c r="F560" s="3" t="str">
        <f>IFERROR(__xludf.DUMMYFUNCTION("MID(REGEXEXTRACT(C560,""contain.*$""),9,300)"),"1 posh magenta bag, 3 mirrored brown bags.")</f>
        <v>1 posh magenta bag, 3 mirrored brown bags.</v>
      </c>
      <c r="G560" s="3" t="str">
        <f>IFERROR(__xludf.DUMMYFUNCTION("INDEX(SPLIT($F560,"",""),COLUMN()-6)"),"1 posh magenta bag")</f>
        <v>1 posh magenta bag</v>
      </c>
      <c r="H560" s="3" t="str">
        <f>IFERROR(__xludf.DUMMYFUNCTION("MID(INDEX(SPLIT($F560,"",""),COLUMN()-6),2,300)"),"3 mirrored brown bags.")</f>
        <v>3 mirrored brown bags.</v>
      </c>
      <c r="I560" s="3" t="str">
        <f>IFERROR(__xludf.DUMMYFUNCTION("MID(INDEX(SPLIT($F560,"",""),COLUMN()-6),2,300)"),"#REF!")</f>
        <v>#REF!</v>
      </c>
      <c r="J560" s="3" t="str">
        <f>IFERROR(__xludf.DUMMYFUNCTION("MID(INDEX(SPLIT($F560,"",""),COLUMN()-6),2,300)"),"#REF!")</f>
        <v>#REF!</v>
      </c>
      <c r="K560" s="3">
        <f>IFERROR(__xludf.DUMMYFUNCTION("INDEX(SPLIT(G560,"" ""),1)"),1.0)</f>
        <v>1</v>
      </c>
      <c r="L560" s="3" t="str">
        <f>IFERROR(__xludf.DUMMYFUNCTION("REGEXEXTRACT(G560,"" [^ ]* [^ ]* "")")," posh magenta ")</f>
        <v> posh magenta </v>
      </c>
      <c r="M560" s="3">
        <f>IFERROR(__xludf.DUMMYFUNCTION("INDEX(SPLIT(H560,"" ""),1)"),3.0)</f>
        <v>3</v>
      </c>
      <c r="N560" s="3" t="str">
        <f>IFERROR(__xludf.DUMMYFUNCTION("MID(REGEXEXTRACT(H560,"" [^ ]* [^ ]*""),2,300)"),"mirrored brown")</f>
        <v>mirrored brown</v>
      </c>
      <c r="O560" s="3" t="str">
        <f>IFERROR(__xludf.DUMMYFUNCTION("INDEX(SPLIT(I560,"" ""),1)"),"#REF!")</f>
        <v>#REF!</v>
      </c>
      <c r="P560" s="3" t="str">
        <f>IFERROR(__xludf.DUMMYFUNCTION("MID(REGEXEXTRACT(I560,"" [^ ]* [^ ]*""),2,300)"),"#REF!")</f>
        <v>#REF!</v>
      </c>
      <c r="Q560" s="3" t="str">
        <f>IFERROR(__xludf.DUMMYFUNCTION("INDEX(SPLIT(J560,"" ""),1)"),"#REF!")</f>
        <v>#REF!</v>
      </c>
      <c r="R560" s="3" t="str">
        <f>IFERROR(__xludf.DUMMYFUNCTION("MID(REGEXEXTRACT(J560,"" [^ ]* [^ ]*""),2,300)"),"#REF!")</f>
        <v>#REF!</v>
      </c>
      <c r="S560" s="3">
        <f t="shared" si="2"/>
        <v>1</v>
      </c>
      <c r="T560" s="3" t="str">
        <f t="shared" si="3"/>
        <v>posh magenta</v>
      </c>
      <c r="U560" s="3">
        <f t="shared" si="4"/>
        <v>3</v>
      </c>
      <c r="V560" s="3" t="str">
        <f t="shared" si="5"/>
        <v>mirrored brown</v>
      </c>
      <c r="W560" s="3" t="str">
        <f t="shared" si="6"/>
        <v/>
      </c>
      <c r="X560" s="3" t="str">
        <f t="shared" si="7"/>
        <v/>
      </c>
      <c r="Y560" s="3" t="str">
        <f t="shared" si="8"/>
        <v/>
      </c>
      <c r="Z560" s="3" t="str">
        <f t="shared" si="9"/>
        <v/>
      </c>
      <c r="AA560" s="13">
        <f t="shared" si="10"/>
        <v>1589</v>
      </c>
      <c r="AB560" s="3">
        <f t="shared" si="11"/>
        <v>1588</v>
      </c>
      <c r="AC560" s="3">
        <f t="shared" si="12"/>
        <v>1</v>
      </c>
      <c r="AD560" s="3">
        <f t="shared" si="13"/>
        <v>1</v>
      </c>
      <c r="AE560" s="3">
        <f t="shared" si="14"/>
        <v>3</v>
      </c>
      <c r="AF560" s="3">
        <f t="shared" si="15"/>
        <v>529</v>
      </c>
      <c r="AG560" s="3" t="str">
        <f t="shared" si="16"/>
        <v/>
      </c>
      <c r="AH560" s="3">
        <f t="shared" si="17"/>
        <v>0</v>
      </c>
      <c r="AI560" s="3" t="str">
        <f t="shared" si="18"/>
        <v/>
      </c>
      <c r="AJ560" s="3">
        <f t="shared" si="19"/>
        <v>0</v>
      </c>
    </row>
    <row r="561">
      <c r="C561" s="6" t="s">
        <v>561</v>
      </c>
      <c r="D561" s="3">
        <f t="shared" si="1"/>
        <v>2</v>
      </c>
      <c r="E561" s="3" t="str">
        <f>IFERROR(__xludf.DUMMYFUNCTION("REGEXEXTRACT(C561,""[^ ]* [^ ]*"")"),"bright white")</f>
        <v>bright white</v>
      </c>
      <c r="F561" s="3" t="str">
        <f>IFERROR(__xludf.DUMMYFUNCTION("MID(REGEXEXTRACT(C561,""contain.*$""),9,300)"),"4 vibrant blue bags, 3 dull brown bags, 4 drab green bags.")</f>
        <v>4 vibrant blue bags, 3 dull brown bags, 4 drab green bags.</v>
      </c>
      <c r="G561" s="3" t="str">
        <f>IFERROR(__xludf.DUMMYFUNCTION("INDEX(SPLIT($F561,"",""),COLUMN()-6)"),"4 vibrant blue bags")</f>
        <v>4 vibrant blue bags</v>
      </c>
      <c r="H561" s="3" t="str">
        <f>IFERROR(__xludf.DUMMYFUNCTION("MID(INDEX(SPLIT($F561,"",""),COLUMN()-6),2,300)"),"3 dull brown bags")</f>
        <v>3 dull brown bags</v>
      </c>
      <c r="I561" s="3" t="str">
        <f>IFERROR(__xludf.DUMMYFUNCTION("MID(INDEX(SPLIT($F561,"",""),COLUMN()-6),2,300)"),"4 drab green bags.")</f>
        <v>4 drab green bags.</v>
      </c>
      <c r="J561" s="3" t="str">
        <f>IFERROR(__xludf.DUMMYFUNCTION("MID(INDEX(SPLIT($F561,"",""),COLUMN()-6),2,300)"),"#REF!")</f>
        <v>#REF!</v>
      </c>
      <c r="K561" s="3">
        <f>IFERROR(__xludf.DUMMYFUNCTION("INDEX(SPLIT(G561,"" ""),1)"),4.0)</f>
        <v>4</v>
      </c>
      <c r="L561" s="3" t="str">
        <f>IFERROR(__xludf.DUMMYFUNCTION("REGEXEXTRACT(G561,"" [^ ]* [^ ]* "")")," vibrant blue ")</f>
        <v> vibrant blue </v>
      </c>
      <c r="M561" s="3">
        <f>IFERROR(__xludf.DUMMYFUNCTION("INDEX(SPLIT(H561,"" ""),1)"),3.0)</f>
        <v>3</v>
      </c>
      <c r="N561" s="3" t="str">
        <f>IFERROR(__xludf.DUMMYFUNCTION("MID(REGEXEXTRACT(H561,"" [^ ]* [^ ]*""),2,300)"),"dull brown")</f>
        <v>dull brown</v>
      </c>
      <c r="O561" s="3">
        <f>IFERROR(__xludf.DUMMYFUNCTION("INDEX(SPLIT(I561,"" ""),1)"),4.0)</f>
        <v>4</v>
      </c>
      <c r="P561" s="3" t="str">
        <f>IFERROR(__xludf.DUMMYFUNCTION("MID(REGEXEXTRACT(I561,"" [^ ]* [^ ]*""),2,300)"),"drab green")</f>
        <v>drab green</v>
      </c>
      <c r="Q561" s="3" t="str">
        <f>IFERROR(__xludf.DUMMYFUNCTION("INDEX(SPLIT(J561,"" ""),1)"),"#REF!")</f>
        <v>#REF!</v>
      </c>
      <c r="R561" s="3" t="str">
        <f>IFERROR(__xludf.DUMMYFUNCTION("MID(REGEXEXTRACT(J561,"" [^ ]* [^ ]*""),2,300)"),"#REF!")</f>
        <v>#REF!</v>
      </c>
      <c r="S561" s="3">
        <f t="shared" si="2"/>
        <v>4</v>
      </c>
      <c r="T561" s="3" t="str">
        <f t="shared" si="3"/>
        <v>vibrant blue</v>
      </c>
      <c r="U561" s="3">
        <f t="shared" si="4"/>
        <v>3</v>
      </c>
      <c r="V561" s="3" t="str">
        <f t="shared" si="5"/>
        <v>dull brown</v>
      </c>
      <c r="W561" s="3">
        <f t="shared" si="6"/>
        <v>4</v>
      </c>
      <c r="X561" s="3" t="str">
        <f t="shared" si="7"/>
        <v>drab green</v>
      </c>
      <c r="Y561" s="3" t="str">
        <f t="shared" si="8"/>
        <v/>
      </c>
      <c r="Z561" s="3" t="str">
        <f t="shared" si="9"/>
        <v/>
      </c>
      <c r="AA561" s="13">
        <f t="shared" si="10"/>
        <v>24984108</v>
      </c>
      <c r="AB561" s="3">
        <f t="shared" si="11"/>
        <v>24984107</v>
      </c>
      <c r="AC561" s="3">
        <f t="shared" si="12"/>
        <v>4</v>
      </c>
      <c r="AD561" s="3">
        <f t="shared" si="13"/>
        <v>1545</v>
      </c>
      <c r="AE561" s="3">
        <f t="shared" si="14"/>
        <v>3</v>
      </c>
      <c r="AF561" s="3">
        <f t="shared" si="15"/>
        <v>8325969</v>
      </c>
      <c r="AG561" s="3">
        <f t="shared" si="16"/>
        <v>4</v>
      </c>
      <c r="AH561" s="3">
        <f t="shared" si="17"/>
        <v>5</v>
      </c>
      <c r="AI561" s="3" t="str">
        <f t="shared" si="18"/>
        <v/>
      </c>
      <c r="AJ561" s="3">
        <f t="shared" si="19"/>
        <v>0</v>
      </c>
    </row>
    <row r="562">
      <c r="C562" s="6" t="s">
        <v>562</v>
      </c>
      <c r="D562" s="3">
        <f t="shared" si="1"/>
        <v>2</v>
      </c>
      <c r="E562" s="3" t="str">
        <f>IFERROR(__xludf.DUMMYFUNCTION("REGEXEXTRACT(C562,""[^ ]* [^ ]*"")"),"drab indigo")</f>
        <v>drab indigo</v>
      </c>
      <c r="F562" s="3" t="str">
        <f>IFERROR(__xludf.DUMMYFUNCTION("MID(REGEXEXTRACT(C562,""contain.*$""),9,300)"),"2 bright salmon bags, 2 muted maroon bags, 2 clear gray bags.")</f>
        <v>2 bright salmon bags, 2 muted maroon bags, 2 clear gray bags.</v>
      </c>
      <c r="G562" s="3" t="str">
        <f>IFERROR(__xludf.DUMMYFUNCTION("INDEX(SPLIT($F562,"",""),COLUMN()-6)"),"2 bright salmon bags")</f>
        <v>2 bright salmon bags</v>
      </c>
      <c r="H562" s="3" t="str">
        <f>IFERROR(__xludf.DUMMYFUNCTION("MID(INDEX(SPLIT($F562,"",""),COLUMN()-6),2,300)"),"2 muted maroon bags")</f>
        <v>2 muted maroon bags</v>
      </c>
      <c r="I562" s="3" t="str">
        <f>IFERROR(__xludf.DUMMYFUNCTION("MID(INDEX(SPLIT($F562,"",""),COLUMN()-6),2,300)"),"2 clear gray bags.")</f>
        <v>2 clear gray bags.</v>
      </c>
      <c r="J562" s="3" t="str">
        <f>IFERROR(__xludf.DUMMYFUNCTION("MID(INDEX(SPLIT($F562,"",""),COLUMN()-6),2,300)"),"#REF!")</f>
        <v>#REF!</v>
      </c>
      <c r="K562" s="3">
        <f>IFERROR(__xludf.DUMMYFUNCTION("INDEX(SPLIT(G562,"" ""),1)"),2.0)</f>
        <v>2</v>
      </c>
      <c r="L562" s="3" t="str">
        <f>IFERROR(__xludf.DUMMYFUNCTION("REGEXEXTRACT(G562,"" [^ ]* [^ ]* "")")," bright salmon ")</f>
        <v> bright salmon </v>
      </c>
      <c r="M562" s="3">
        <f>IFERROR(__xludf.DUMMYFUNCTION("INDEX(SPLIT(H562,"" ""),1)"),2.0)</f>
        <v>2</v>
      </c>
      <c r="N562" s="3" t="str">
        <f>IFERROR(__xludf.DUMMYFUNCTION("MID(REGEXEXTRACT(H562,"" [^ ]* [^ ]*""),2,300)"),"muted maroon")</f>
        <v>muted maroon</v>
      </c>
      <c r="O562" s="3">
        <f>IFERROR(__xludf.DUMMYFUNCTION("INDEX(SPLIT(I562,"" ""),1)"),2.0)</f>
        <v>2</v>
      </c>
      <c r="P562" s="3" t="str">
        <f>IFERROR(__xludf.DUMMYFUNCTION("MID(REGEXEXTRACT(I562,"" [^ ]* [^ ]*""),2,300)"),"clear gray")</f>
        <v>clear gray</v>
      </c>
      <c r="Q562" s="3" t="str">
        <f>IFERROR(__xludf.DUMMYFUNCTION("INDEX(SPLIT(J562,"" ""),1)"),"#REF!")</f>
        <v>#REF!</v>
      </c>
      <c r="R562" s="3" t="str">
        <f>IFERROR(__xludf.DUMMYFUNCTION("MID(REGEXEXTRACT(J562,"" [^ ]* [^ ]*""),2,300)"),"#REF!")</f>
        <v>#REF!</v>
      </c>
      <c r="S562" s="3">
        <f t="shared" si="2"/>
        <v>2</v>
      </c>
      <c r="T562" s="3" t="str">
        <f t="shared" si="3"/>
        <v>bright salmon</v>
      </c>
      <c r="U562" s="3">
        <f t="shared" si="4"/>
        <v>2</v>
      </c>
      <c r="V562" s="3" t="str">
        <f t="shared" si="5"/>
        <v>muted maroon</v>
      </c>
      <c r="W562" s="3">
        <f t="shared" si="6"/>
        <v>2</v>
      </c>
      <c r="X562" s="3" t="str">
        <f t="shared" si="7"/>
        <v>clear gray</v>
      </c>
      <c r="Y562" s="3" t="str">
        <f t="shared" si="8"/>
        <v/>
      </c>
      <c r="Z562" s="3" t="str">
        <f t="shared" si="9"/>
        <v/>
      </c>
      <c r="AA562" s="13">
        <f t="shared" si="10"/>
        <v>1975037</v>
      </c>
      <c r="AB562" s="3">
        <f t="shared" si="11"/>
        <v>1975036</v>
      </c>
      <c r="AC562" s="3">
        <f t="shared" si="12"/>
        <v>2</v>
      </c>
      <c r="AD562" s="3">
        <f t="shared" si="13"/>
        <v>367933</v>
      </c>
      <c r="AE562" s="3">
        <f t="shared" si="14"/>
        <v>2</v>
      </c>
      <c r="AF562" s="3">
        <f t="shared" si="15"/>
        <v>25481</v>
      </c>
      <c r="AG562" s="3">
        <f t="shared" si="16"/>
        <v>2</v>
      </c>
      <c r="AH562" s="3">
        <f t="shared" si="17"/>
        <v>594104</v>
      </c>
      <c r="AI562" s="3" t="str">
        <f t="shared" si="18"/>
        <v/>
      </c>
      <c r="AJ562" s="3">
        <f t="shared" si="19"/>
        <v>0</v>
      </c>
    </row>
    <row r="563">
      <c r="C563" s="6" t="s">
        <v>563</v>
      </c>
      <c r="D563" s="3">
        <f t="shared" si="1"/>
        <v>3</v>
      </c>
      <c r="E563" s="3" t="str">
        <f>IFERROR(__xludf.DUMMYFUNCTION("REGEXEXTRACT(C563,""[^ ]* [^ ]*"")"),"striped fuchsia")</f>
        <v>striped fuchsia</v>
      </c>
      <c r="F563" s="3" t="str">
        <f>IFERROR(__xludf.DUMMYFUNCTION("MID(REGEXEXTRACT(C563,""contain.*$""),9,300)"),"2 drab gold bags, 4 mirrored white bags, 3 muted black bags, 1 dark teal bag.")</f>
        <v>2 drab gold bags, 4 mirrored white bags, 3 muted black bags, 1 dark teal bag.</v>
      </c>
      <c r="G563" s="3" t="str">
        <f>IFERROR(__xludf.DUMMYFUNCTION("INDEX(SPLIT($F563,"",""),COLUMN()-6)"),"2 drab gold bags")</f>
        <v>2 drab gold bags</v>
      </c>
      <c r="H563" s="3" t="str">
        <f>IFERROR(__xludf.DUMMYFUNCTION("MID(INDEX(SPLIT($F563,"",""),COLUMN()-6),2,300)"),"4 mirrored white bags")</f>
        <v>4 mirrored white bags</v>
      </c>
      <c r="I563" s="3" t="str">
        <f>IFERROR(__xludf.DUMMYFUNCTION("MID(INDEX(SPLIT($F563,"",""),COLUMN()-6),2,300)"),"3 muted black bags")</f>
        <v>3 muted black bags</v>
      </c>
      <c r="J563" s="3" t="str">
        <f>IFERROR(__xludf.DUMMYFUNCTION("MID(INDEX(SPLIT($F563,"",""),COLUMN()-6),2,300)"),"1 dark teal bag.")</f>
        <v>1 dark teal bag.</v>
      </c>
      <c r="K563" s="3">
        <f>IFERROR(__xludf.DUMMYFUNCTION("INDEX(SPLIT(G563,"" ""),1)"),2.0)</f>
        <v>2</v>
      </c>
      <c r="L563" s="3" t="str">
        <f>IFERROR(__xludf.DUMMYFUNCTION("REGEXEXTRACT(G563,"" [^ ]* [^ ]* "")")," drab gold ")</f>
        <v> drab gold </v>
      </c>
      <c r="M563" s="3">
        <f>IFERROR(__xludf.DUMMYFUNCTION("INDEX(SPLIT(H563,"" ""),1)"),4.0)</f>
        <v>4</v>
      </c>
      <c r="N563" s="3" t="str">
        <f>IFERROR(__xludf.DUMMYFUNCTION("MID(REGEXEXTRACT(H563,"" [^ ]* [^ ]*""),2,300)"),"mirrored white")</f>
        <v>mirrored white</v>
      </c>
      <c r="O563" s="3">
        <f>IFERROR(__xludf.DUMMYFUNCTION("INDEX(SPLIT(I563,"" ""),1)"),3.0)</f>
        <v>3</v>
      </c>
      <c r="P563" s="3" t="str">
        <f>IFERROR(__xludf.DUMMYFUNCTION("MID(REGEXEXTRACT(I563,"" [^ ]* [^ ]*""),2,300)"),"muted black")</f>
        <v>muted black</v>
      </c>
      <c r="Q563" s="3">
        <f>IFERROR(__xludf.DUMMYFUNCTION("INDEX(SPLIT(J563,"" ""),1)"),1.0)</f>
        <v>1</v>
      </c>
      <c r="R563" s="3" t="str">
        <f>IFERROR(__xludf.DUMMYFUNCTION("MID(REGEXEXTRACT(J563,"" [^ ]* [^ ]*""),2,300)"),"dark teal")</f>
        <v>dark teal</v>
      </c>
      <c r="S563" s="3">
        <f t="shared" si="2"/>
        <v>2</v>
      </c>
      <c r="T563" s="3" t="str">
        <f t="shared" si="3"/>
        <v>drab gold</v>
      </c>
      <c r="U563" s="3">
        <f t="shared" si="4"/>
        <v>4</v>
      </c>
      <c r="V563" s="3" t="str">
        <f t="shared" si="5"/>
        <v>mirrored white</v>
      </c>
      <c r="W563" s="3">
        <f t="shared" si="6"/>
        <v>3</v>
      </c>
      <c r="X563" s="3" t="str">
        <f t="shared" si="7"/>
        <v>muted black</v>
      </c>
      <c r="Y563" s="3">
        <f t="shared" si="8"/>
        <v>1</v>
      </c>
      <c r="Z563" s="3" t="str">
        <f t="shared" si="9"/>
        <v>dark teal</v>
      </c>
      <c r="AA563" s="13">
        <f t="shared" si="10"/>
        <v>52697622</v>
      </c>
      <c r="AB563" s="3">
        <f t="shared" si="11"/>
        <v>52697621</v>
      </c>
      <c r="AC563" s="3">
        <f t="shared" si="12"/>
        <v>2</v>
      </c>
      <c r="AD563" s="3">
        <f t="shared" si="13"/>
        <v>4743886</v>
      </c>
      <c r="AE563" s="3">
        <f t="shared" si="14"/>
        <v>4</v>
      </c>
      <c r="AF563" s="3">
        <f t="shared" si="15"/>
        <v>319</v>
      </c>
      <c r="AG563" s="3">
        <f t="shared" si="16"/>
        <v>3</v>
      </c>
      <c r="AH563" s="3">
        <f t="shared" si="17"/>
        <v>14397844</v>
      </c>
      <c r="AI563" s="3">
        <f t="shared" si="18"/>
        <v>1</v>
      </c>
      <c r="AJ563" s="3">
        <f t="shared" si="19"/>
        <v>15041</v>
      </c>
    </row>
    <row r="564">
      <c r="C564" s="6" t="s">
        <v>564</v>
      </c>
      <c r="D564" s="3">
        <f t="shared" si="1"/>
        <v>2</v>
      </c>
      <c r="E564" s="3" t="str">
        <f>IFERROR(__xludf.DUMMYFUNCTION("REGEXEXTRACT(C564,""[^ ]* [^ ]*"")"),"dark tomato")</f>
        <v>dark tomato</v>
      </c>
      <c r="F564" s="3" t="str">
        <f>IFERROR(__xludf.DUMMYFUNCTION("MID(REGEXEXTRACT(C564,""contain.*$""),9,300)"),"3 muted fuchsia bags, 1 dotted lavender bag, 4 drab turquoise bags.")</f>
        <v>3 muted fuchsia bags, 1 dotted lavender bag, 4 drab turquoise bags.</v>
      </c>
      <c r="G564" s="3" t="str">
        <f>IFERROR(__xludf.DUMMYFUNCTION("INDEX(SPLIT($F564,"",""),COLUMN()-6)"),"3 muted fuchsia bags")</f>
        <v>3 muted fuchsia bags</v>
      </c>
      <c r="H564" s="3" t="str">
        <f>IFERROR(__xludf.DUMMYFUNCTION("MID(INDEX(SPLIT($F564,"",""),COLUMN()-6),2,300)"),"1 dotted lavender bag")</f>
        <v>1 dotted lavender bag</v>
      </c>
      <c r="I564" s="3" t="str">
        <f>IFERROR(__xludf.DUMMYFUNCTION("MID(INDEX(SPLIT($F564,"",""),COLUMN()-6),2,300)"),"4 drab turquoise bags.")</f>
        <v>4 drab turquoise bags.</v>
      </c>
      <c r="J564" s="3" t="str">
        <f>IFERROR(__xludf.DUMMYFUNCTION("MID(INDEX(SPLIT($F564,"",""),COLUMN()-6),2,300)"),"#REF!")</f>
        <v>#REF!</v>
      </c>
      <c r="K564" s="3">
        <f>IFERROR(__xludf.DUMMYFUNCTION("INDEX(SPLIT(G564,"" ""),1)"),3.0)</f>
        <v>3</v>
      </c>
      <c r="L564" s="3" t="str">
        <f>IFERROR(__xludf.DUMMYFUNCTION("REGEXEXTRACT(G564,"" [^ ]* [^ ]* "")")," muted fuchsia ")</f>
        <v> muted fuchsia </v>
      </c>
      <c r="M564" s="3">
        <f>IFERROR(__xludf.DUMMYFUNCTION("INDEX(SPLIT(H564,"" ""),1)"),1.0)</f>
        <v>1</v>
      </c>
      <c r="N564" s="3" t="str">
        <f>IFERROR(__xludf.DUMMYFUNCTION("MID(REGEXEXTRACT(H564,"" [^ ]* [^ ]*""),2,300)"),"dotted lavender")</f>
        <v>dotted lavender</v>
      </c>
      <c r="O564" s="3">
        <f>IFERROR(__xludf.DUMMYFUNCTION("INDEX(SPLIT(I564,"" ""),1)"),4.0)</f>
        <v>4</v>
      </c>
      <c r="P564" s="3" t="str">
        <f>IFERROR(__xludf.DUMMYFUNCTION("MID(REGEXEXTRACT(I564,"" [^ ]* [^ ]*""),2,300)"),"drab turquoise")</f>
        <v>drab turquoise</v>
      </c>
      <c r="Q564" s="3" t="str">
        <f>IFERROR(__xludf.DUMMYFUNCTION("INDEX(SPLIT(J564,"" ""),1)"),"#REF!")</f>
        <v>#REF!</v>
      </c>
      <c r="R564" s="3" t="str">
        <f>IFERROR(__xludf.DUMMYFUNCTION("MID(REGEXEXTRACT(J564,"" [^ ]* [^ ]*""),2,300)"),"#REF!")</f>
        <v>#REF!</v>
      </c>
      <c r="S564" s="3">
        <f t="shared" si="2"/>
        <v>3</v>
      </c>
      <c r="T564" s="3" t="str">
        <f t="shared" si="3"/>
        <v>muted fuchsia</v>
      </c>
      <c r="U564" s="3">
        <f t="shared" si="4"/>
        <v>1</v>
      </c>
      <c r="V564" s="3" t="str">
        <f t="shared" si="5"/>
        <v>dotted lavender</v>
      </c>
      <c r="W564" s="3">
        <f t="shared" si="6"/>
        <v>4</v>
      </c>
      <c r="X564" s="3" t="str">
        <f t="shared" si="7"/>
        <v>drab turquoise</v>
      </c>
      <c r="Y564" s="3" t="str">
        <f t="shared" si="8"/>
        <v/>
      </c>
      <c r="Z564" s="3" t="str">
        <f t="shared" si="9"/>
        <v/>
      </c>
      <c r="AA564" s="13">
        <f t="shared" si="10"/>
        <v>3041729033</v>
      </c>
      <c r="AB564" s="3">
        <f t="shared" si="11"/>
        <v>3041729032</v>
      </c>
      <c r="AC564" s="3">
        <f t="shared" si="12"/>
        <v>3</v>
      </c>
      <c r="AD564" s="3">
        <f t="shared" si="13"/>
        <v>19267</v>
      </c>
      <c r="AE564" s="3">
        <f t="shared" si="14"/>
        <v>1</v>
      </c>
      <c r="AF564" s="3">
        <f t="shared" si="15"/>
        <v>3014999971</v>
      </c>
      <c r="AG564" s="3">
        <f t="shared" si="16"/>
        <v>4</v>
      </c>
      <c r="AH564" s="3">
        <f t="shared" si="17"/>
        <v>6667815</v>
      </c>
      <c r="AI564" s="3" t="str">
        <f t="shared" si="18"/>
        <v/>
      </c>
      <c r="AJ564" s="3">
        <f t="shared" si="19"/>
        <v>0</v>
      </c>
    </row>
    <row r="565">
      <c r="C565" s="6" t="s">
        <v>565</v>
      </c>
      <c r="D565" s="3">
        <f t="shared" si="1"/>
        <v>2</v>
      </c>
      <c r="E565" s="3" t="str">
        <f>IFERROR(__xludf.DUMMYFUNCTION("REGEXEXTRACT(C565,""[^ ]* [^ ]*"")"),"mirrored tomato")</f>
        <v>mirrored tomato</v>
      </c>
      <c r="F565" s="3" t="str">
        <f>IFERROR(__xludf.DUMMYFUNCTION("MID(REGEXEXTRACT(C565,""contain.*$""),9,300)"),"5 dark olive bags, 4 light black bags, 4 dark magenta bags.")</f>
        <v>5 dark olive bags, 4 light black bags, 4 dark magenta bags.</v>
      </c>
      <c r="G565" s="3" t="str">
        <f>IFERROR(__xludf.DUMMYFUNCTION("INDEX(SPLIT($F565,"",""),COLUMN()-6)"),"5 dark olive bags")</f>
        <v>5 dark olive bags</v>
      </c>
      <c r="H565" s="3" t="str">
        <f>IFERROR(__xludf.DUMMYFUNCTION("MID(INDEX(SPLIT($F565,"",""),COLUMN()-6),2,300)"),"4 light black bags")</f>
        <v>4 light black bags</v>
      </c>
      <c r="I565" s="3" t="str">
        <f>IFERROR(__xludf.DUMMYFUNCTION("MID(INDEX(SPLIT($F565,"",""),COLUMN()-6),2,300)"),"4 dark magenta bags.")</f>
        <v>4 dark magenta bags.</v>
      </c>
      <c r="J565" s="3" t="str">
        <f>IFERROR(__xludf.DUMMYFUNCTION("MID(INDEX(SPLIT($F565,"",""),COLUMN()-6),2,300)"),"#REF!")</f>
        <v>#REF!</v>
      </c>
      <c r="K565" s="3">
        <f>IFERROR(__xludf.DUMMYFUNCTION("INDEX(SPLIT(G565,"" ""),1)"),5.0)</f>
        <v>5</v>
      </c>
      <c r="L565" s="3" t="str">
        <f>IFERROR(__xludf.DUMMYFUNCTION("REGEXEXTRACT(G565,"" [^ ]* [^ ]* "")")," dark olive ")</f>
        <v> dark olive </v>
      </c>
      <c r="M565" s="3">
        <f>IFERROR(__xludf.DUMMYFUNCTION("INDEX(SPLIT(H565,"" ""),1)"),4.0)</f>
        <v>4</v>
      </c>
      <c r="N565" s="3" t="str">
        <f>IFERROR(__xludf.DUMMYFUNCTION("MID(REGEXEXTRACT(H565,"" [^ ]* [^ ]*""),2,300)"),"light black")</f>
        <v>light black</v>
      </c>
      <c r="O565" s="3">
        <f>IFERROR(__xludf.DUMMYFUNCTION("INDEX(SPLIT(I565,"" ""),1)"),4.0)</f>
        <v>4</v>
      </c>
      <c r="P565" s="3" t="str">
        <f>IFERROR(__xludf.DUMMYFUNCTION("MID(REGEXEXTRACT(I565,"" [^ ]* [^ ]*""),2,300)"),"dark magenta")</f>
        <v>dark magenta</v>
      </c>
      <c r="Q565" s="3" t="str">
        <f>IFERROR(__xludf.DUMMYFUNCTION("INDEX(SPLIT(J565,"" ""),1)"),"#REF!")</f>
        <v>#REF!</v>
      </c>
      <c r="R565" s="3" t="str">
        <f>IFERROR(__xludf.DUMMYFUNCTION("MID(REGEXEXTRACT(J565,"" [^ ]* [^ ]*""),2,300)"),"#REF!")</f>
        <v>#REF!</v>
      </c>
      <c r="S565" s="3">
        <f t="shared" si="2"/>
        <v>5</v>
      </c>
      <c r="T565" s="3" t="str">
        <f t="shared" si="3"/>
        <v>dark olive</v>
      </c>
      <c r="U565" s="3">
        <f t="shared" si="4"/>
        <v>4</v>
      </c>
      <c r="V565" s="3" t="str">
        <f t="shared" si="5"/>
        <v>light black</v>
      </c>
      <c r="W565" s="3">
        <f t="shared" si="6"/>
        <v>4</v>
      </c>
      <c r="X565" s="3" t="str">
        <f t="shared" si="7"/>
        <v>dark magenta</v>
      </c>
      <c r="Y565" s="3" t="str">
        <f t="shared" si="8"/>
        <v/>
      </c>
      <c r="Z565" s="3" t="str">
        <f t="shared" si="9"/>
        <v/>
      </c>
      <c r="AA565" s="13">
        <f t="shared" si="10"/>
        <v>8486990572</v>
      </c>
      <c r="AB565" s="3">
        <f t="shared" si="11"/>
        <v>8486990571</v>
      </c>
      <c r="AC565" s="3">
        <f t="shared" si="12"/>
        <v>5</v>
      </c>
      <c r="AD565" s="3">
        <f t="shared" si="13"/>
        <v>1513927203</v>
      </c>
      <c r="AE565" s="3">
        <f t="shared" si="14"/>
        <v>4</v>
      </c>
      <c r="AF565" s="3">
        <f t="shared" si="15"/>
        <v>132149</v>
      </c>
      <c r="AG565" s="3">
        <f t="shared" si="16"/>
        <v>4</v>
      </c>
      <c r="AH565" s="3">
        <f t="shared" si="17"/>
        <v>229206490</v>
      </c>
      <c r="AI565" s="3" t="str">
        <f t="shared" si="18"/>
        <v/>
      </c>
      <c r="AJ565" s="3">
        <f t="shared" si="19"/>
        <v>0</v>
      </c>
    </row>
    <row r="566">
      <c r="C566" s="6" t="s">
        <v>566</v>
      </c>
      <c r="D566" s="3">
        <f t="shared" si="1"/>
        <v>1</v>
      </c>
      <c r="E566" s="3" t="str">
        <f>IFERROR(__xludf.DUMMYFUNCTION("REGEXEXTRACT(C566,""[^ ]* [^ ]*"")"),"dark plum")</f>
        <v>dark plum</v>
      </c>
      <c r="F566" s="3" t="str">
        <f>IFERROR(__xludf.DUMMYFUNCTION("MID(REGEXEXTRACT(C566,""contain.*$""),9,300)"),"4 wavy yellow bags, 4 shiny salmon bags.")</f>
        <v>4 wavy yellow bags, 4 shiny salmon bags.</v>
      </c>
      <c r="G566" s="3" t="str">
        <f>IFERROR(__xludf.DUMMYFUNCTION("INDEX(SPLIT($F566,"",""),COLUMN()-6)"),"4 wavy yellow bags")</f>
        <v>4 wavy yellow bags</v>
      </c>
      <c r="H566" s="3" t="str">
        <f>IFERROR(__xludf.DUMMYFUNCTION("MID(INDEX(SPLIT($F566,"",""),COLUMN()-6),2,300)"),"4 shiny salmon bags.")</f>
        <v>4 shiny salmon bags.</v>
      </c>
      <c r="I566" s="3" t="str">
        <f>IFERROR(__xludf.DUMMYFUNCTION("MID(INDEX(SPLIT($F566,"",""),COLUMN()-6),2,300)"),"#REF!")</f>
        <v>#REF!</v>
      </c>
      <c r="J566" s="3" t="str">
        <f>IFERROR(__xludf.DUMMYFUNCTION("MID(INDEX(SPLIT($F566,"",""),COLUMN()-6),2,300)"),"#REF!")</f>
        <v>#REF!</v>
      </c>
      <c r="K566" s="3">
        <f>IFERROR(__xludf.DUMMYFUNCTION("INDEX(SPLIT(G566,"" ""),1)"),4.0)</f>
        <v>4</v>
      </c>
      <c r="L566" s="3" t="str">
        <f>IFERROR(__xludf.DUMMYFUNCTION("REGEXEXTRACT(G566,"" [^ ]* [^ ]* "")")," wavy yellow ")</f>
        <v> wavy yellow </v>
      </c>
      <c r="M566" s="3">
        <f>IFERROR(__xludf.DUMMYFUNCTION("INDEX(SPLIT(H566,"" ""),1)"),4.0)</f>
        <v>4</v>
      </c>
      <c r="N566" s="3" t="str">
        <f>IFERROR(__xludf.DUMMYFUNCTION("MID(REGEXEXTRACT(H566,"" [^ ]* [^ ]*""),2,300)"),"shiny salmon")</f>
        <v>shiny salmon</v>
      </c>
      <c r="O566" s="3" t="str">
        <f>IFERROR(__xludf.DUMMYFUNCTION("INDEX(SPLIT(I566,"" ""),1)"),"#REF!")</f>
        <v>#REF!</v>
      </c>
      <c r="P566" s="3" t="str">
        <f>IFERROR(__xludf.DUMMYFUNCTION("MID(REGEXEXTRACT(I566,"" [^ ]* [^ ]*""),2,300)"),"#REF!")</f>
        <v>#REF!</v>
      </c>
      <c r="Q566" s="3" t="str">
        <f>IFERROR(__xludf.DUMMYFUNCTION("INDEX(SPLIT(J566,"" ""),1)"),"#REF!")</f>
        <v>#REF!</v>
      </c>
      <c r="R566" s="3" t="str">
        <f>IFERROR(__xludf.DUMMYFUNCTION("MID(REGEXEXTRACT(J566,"" [^ ]* [^ ]*""),2,300)"),"#REF!")</f>
        <v>#REF!</v>
      </c>
      <c r="S566" s="3">
        <f t="shared" si="2"/>
        <v>4</v>
      </c>
      <c r="T566" s="3" t="str">
        <f t="shared" si="3"/>
        <v>wavy yellow</v>
      </c>
      <c r="U566" s="3">
        <f t="shared" si="4"/>
        <v>4</v>
      </c>
      <c r="V566" s="3" t="str">
        <f t="shared" si="5"/>
        <v>shiny salmon</v>
      </c>
      <c r="W566" s="3" t="str">
        <f t="shared" si="6"/>
        <v/>
      </c>
      <c r="X566" s="3" t="str">
        <f t="shared" si="7"/>
        <v/>
      </c>
      <c r="Y566" s="3" t="str">
        <f t="shared" si="8"/>
        <v/>
      </c>
      <c r="Z566" s="3" t="str">
        <f t="shared" si="9"/>
        <v/>
      </c>
      <c r="AA566" s="13">
        <f t="shared" si="10"/>
        <v>174393</v>
      </c>
      <c r="AB566" s="3">
        <f t="shared" si="11"/>
        <v>174392</v>
      </c>
      <c r="AC566" s="3">
        <f t="shared" si="12"/>
        <v>4</v>
      </c>
      <c r="AD566" s="3">
        <f t="shared" si="13"/>
        <v>25486</v>
      </c>
      <c r="AE566" s="3">
        <f t="shared" si="14"/>
        <v>4</v>
      </c>
      <c r="AF566" s="3">
        <f t="shared" si="15"/>
        <v>18112</v>
      </c>
      <c r="AG566" s="3" t="str">
        <f t="shared" si="16"/>
        <v/>
      </c>
      <c r="AH566" s="3">
        <f t="shared" si="17"/>
        <v>0</v>
      </c>
      <c r="AI566" s="3" t="str">
        <f t="shared" si="18"/>
        <v/>
      </c>
      <c r="AJ566" s="3">
        <f t="shared" si="19"/>
        <v>0</v>
      </c>
    </row>
    <row r="567">
      <c r="C567" s="6" t="s">
        <v>567</v>
      </c>
      <c r="D567" s="3">
        <f t="shared" si="1"/>
        <v>2</v>
      </c>
      <c r="E567" s="3" t="str">
        <f>IFERROR(__xludf.DUMMYFUNCTION("REGEXEXTRACT(C567,""[^ ]* [^ ]*"")"),"dark salmon")</f>
        <v>dark salmon</v>
      </c>
      <c r="F567" s="3" t="str">
        <f>IFERROR(__xludf.DUMMYFUNCTION("MID(REGEXEXTRACT(C567,""contain.*$""),9,300)"),"1 dim bronze bag, 4 pale indigo bags, 5 dotted chartreuse bags.")</f>
        <v>1 dim bronze bag, 4 pale indigo bags, 5 dotted chartreuse bags.</v>
      </c>
      <c r="G567" s="3" t="str">
        <f>IFERROR(__xludf.DUMMYFUNCTION("INDEX(SPLIT($F567,"",""),COLUMN()-6)"),"1 dim bronze bag")</f>
        <v>1 dim bronze bag</v>
      </c>
      <c r="H567" s="3" t="str">
        <f>IFERROR(__xludf.DUMMYFUNCTION("MID(INDEX(SPLIT($F567,"",""),COLUMN()-6),2,300)"),"4 pale indigo bags")</f>
        <v>4 pale indigo bags</v>
      </c>
      <c r="I567" s="3" t="str">
        <f>IFERROR(__xludf.DUMMYFUNCTION("MID(INDEX(SPLIT($F567,"",""),COLUMN()-6),2,300)"),"5 dotted chartreuse bags.")</f>
        <v>5 dotted chartreuse bags.</v>
      </c>
      <c r="J567" s="3" t="str">
        <f>IFERROR(__xludf.DUMMYFUNCTION("MID(INDEX(SPLIT($F567,"",""),COLUMN()-6),2,300)"),"#REF!")</f>
        <v>#REF!</v>
      </c>
      <c r="K567" s="3">
        <f>IFERROR(__xludf.DUMMYFUNCTION("INDEX(SPLIT(G567,"" ""),1)"),1.0)</f>
        <v>1</v>
      </c>
      <c r="L567" s="3" t="str">
        <f>IFERROR(__xludf.DUMMYFUNCTION("REGEXEXTRACT(G567,"" [^ ]* [^ ]* "")")," dim bronze ")</f>
        <v> dim bronze </v>
      </c>
      <c r="M567" s="3">
        <f>IFERROR(__xludf.DUMMYFUNCTION("INDEX(SPLIT(H567,"" ""),1)"),4.0)</f>
        <v>4</v>
      </c>
      <c r="N567" s="3" t="str">
        <f>IFERROR(__xludf.DUMMYFUNCTION("MID(REGEXEXTRACT(H567,"" [^ ]* [^ ]*""),2,300)"),"pale indigo")</f>
        <v>pale indigo</v>
      </c>
      <c r="O567" s="3">
        <f>IFERROR(__xludf.DUMMYFUNCTION("INDEX(SPLIT(I567,"" ""),1)"),5.0)</f>
        <v>5</v>
      </c>
      <c r="P567" s="3" t="str">
        <f>IFERROR(__xludf.DUMMYFUNCTION("MID(REGEXEXTRACT(I567,"" [^ ]* [^ ]*""),2,300)"),"dotted chartreuse")</f>
        <v>dotted chartreuse</v>
      </c>
      <c r="Q567" s="3" t="str">
        <f>IFERROR(__xludf.DUMMYFUNCTION("INDEX(SPLIT(J567,"" ""),1)"),"#REF!")</f>
        <v>#REF!</v>
      </c>
      <c r="R567" s="3" t="str">
        <f>IFERROR(__xludf.DUMMYFUNCTION("MID(REGEXEXTRACT(J567,"" [^ ]* [^ ]*""),2,300)"),"#REF!")</f>
        <v>#REF!</v>
      </c>
      <c r="S567" s="3">
        <f t="shared" si="2"/>
        <v>1</v>
      </c>
      <c r="T567" s="3" t="str">
        <f t="shared" si="3"/>
        <v>dim bronze</v>
      </c>
      <c r="U567" s="3">
        <f t="shared" si="4"/>
        <v>4</v>
      </c>
      <c r="V567" s="3" t="str">
        <f t="shared" si="5"/>
        <v>pale indigo</v>
      </c>
      <c r="W567" s="3">
        <f t="shared" si="6"/>
        <v>5</v>
      </c>
      <c r="X567" s="3" t="str">
        <f t="shared" si="7"/>
        <v>dotted chartreuse</v>
      </c>
      <c r="Y567" s="3" t="str">
        <f t="shared" si="8"/>
        <v/>
      </c>
      <c r="Z567" s="3" t="str">
        <f t="shared" si="9"/>
        <v/>
      </c>
      <c r="AA567" s="13">
        <f t="shared" si="10"/>
        <v>376208840</v>
      </c>
      <c r="AB567" s="3">
        <f t="shared" si="11"/>
        <v>376208839</v>
      </c>
      <c r="AC567" s="3">
        <f t="shared" si="12"/>
        <v>1</v>
      </c>
      <c r="AD567" s="3">
        <f t="shared" si="13"/>
        <v>557021</v>
      </c>
      <c r="AE567" s="3">
        <f t="shared" si="14"/>
        <v>4</v>
      </c>
      <c r="AF567" s="3">
        <f t="shared" si="15"/>
        <v>93823002</v>
      </c>
      <c r="AG567" s="3">
        <f t="shared" si="16"/>
        <v>5</v>
      </c>
      <c r="AH567" s="3">
        <f t="shared" si="17"/>
        <v>71962</v>
      </c>
      <c r="AI567" s="3" t="str">
        <f t="shared" si="18"/>
        <v/>
      </c>
      <c r="AJ567" s="3">
        <f t="shared" si="19"/>
        <v>0</v>
      </c>
    </row>
    <row r="568">
      <c r="C568" s="6" t="s">
        <v>568</v>
      </c>
      <c r="D568" s="3">
        <f t="shared" si="1"/>
        <v>1</v>
      </c>
      <c r="E568" s="3" t="str">
        <f>IFERROR(__xludf.DUMMYFUNCTION("REGEXEXTRACT(C568,""[^ ]* [^ ]*"")"),"dotted lime")</f>
        <v>dotted lime</v>
      </c>
      <c r="F568" s="3" t="str">
        <f>IFERROR(__xludf.DUMMYFUNCTION("MID(REGEXEXTRACT(C568,""contain.*$""),9,300)"),"1 shiny brown bag, 3 faded lavender bags.")</f>
        <v>1 shiny brown bag, 3 faded lavender bags.</v>
      </c>
      <c r="G568" s="3" t="str">
        <f>IFERROR(__xludf.DUMMYFUNCTION("INDEX(SPLIT($F568,"",""),COLUMN()-6)"),"1 shiny brown bag")</f>
        <v>1 shiny brown bag</v>
      </c>
      <c r="H568" s="3" t="str">
        <f>IFERROR(__xludf.DUMMYFUNCTION("MID(INDEX(SPLIT($F568,"",""),COLUMN()-6),2,300)"),"3 faded lavender bags.")</f>
        <v>3 faded lavender bags.</v>
      </c>
      <c r="I568" s="3" t="str">
        <f>IFERROR(__xludf.DUMMYFUNCTION("MID(INDEX(SPLIT($F568,"",""),COLUMN()-6),2,300)"),"#REF!")</f>
        <v>#REF!</v>
      </c>
      <c r="J568" s="3" t="str">
        <f>IFERROR(__xludf.DUMMYFUNCTION("MID(INDEX(SPLIT($F568,"",""),COLUMN()-6),2,300)"),"#REF!")</f>
        <v>#REF!</v>
      </c>
      <c r="K568" s="3">
        <f>IFERROR(__xludf.DUMMYFUNCTION("INDEX(SPLIT(G568,"" ""),1)"),1.0)</f>
        <v>1</v>
      </c>
      <c r="L568" s="3" t="str">
        <f>IFERROR(__xludf.DUMMYFUNCTION("REGEXEXTRACT(G568,"" [^ ]* [^ ]* "")")," shiny brown ")</f>
        <v> shiny brown </v>
      </c>
      <c r="M568" s="3">
        <f>IFERROR(__xludf.DUMMYFUNCTION("INDEX(SPLIT(H568,"" ""),1)"),3.0)</f>
        <v>3</v>
      </c>
      <c r="N568" s="3" t="str">
        <f>IFERROR(__xludf.DUMMYFUNCTION("MID(REGEXEXTRACT(H568,"" [^ ]* [^ ]*""),2,300)"),"faded lavender")</f>
        <v>faded lavender</v>
      </c>
      <c r="O568" s="3" t="str">
        <f>IFERROR(__xludf.DUMMYFUNCTION("INDEX(SPLIT(I568,"" ""),1)"),"#REF!")</f>
        <v>#REF!</v>
      </c>
      <c r="P568" s="3" t="str">
        <f>IFERROR(__xludf.DUMMYFUNCTION("MID(REGEXEXTRACT(I568,"" [^ ]* [^ ]*""),2,300)"),"#REF!")</f>
        <v>#REF!</v>
      </c>
      <c r="Q568" s="3" t="str">
        <f>IFERROR(__xludf.DUMMYFUNCTION("INDEX(SPLIT(J568,"" ""),1)"),"#REF!")</f>
        <v>#REF!</v>
      </c>
      <c r="R568" s="3" t="str">
        <f>IFERROR(__xludf.DUMMYFUNCTION("MID(REGEXEXTRACT(J568,"" [^ ]* [^ ]*""),2,300)"),"#REF!")</f>
        <v>#REF!</v>
      </c>
      <c r="S568" s="3">
        <f t="shared" si="2"/>
        <v>1</v>
      </c>
      <c r="T568" s="3" t="str">
        <f t="shared" si="3"/>
        <v>shiny brown</v>
      </c>
      <c r="U568" s="3">
        <f t="shared" si="4"/>
        <v>3</v>
      </c>
      <c r="V568" s="3" t="str">
        <f t="shared" si="5"/>
        <v>faded lavender</v>
      </c>
      <c r="W568" s="3" t="str">
        <f t="shared" si="6"/>
        <v/>
      </c>
      <c r="X568" s="3" t="str">
        <f t="shared" si="7"/>
        <v/>
      </c>
      <c r="Y568" s="3" t="str">
        <f t="shared" si="8"/>
        <v/>
      </c>
      <c r="Z568" s="3" t="str">
        <f t="shared" si="9"/>
        <v/>
      </c>
      <c r="AA568" s="13">
        <f t="shared" si="10"/>
        <v>7182087446</v>
      </c>
      <c r="AB568" s="3">
        <f t="shared" si="11"/>
        <v>7182087445</v>
      </c>
      <c r="AC568" s="3">
        <f t="shared" si="12"/>
        <v>1</v>
      </c>
      <c r="AD568" s="3">
        <f t="shared" si="13"/>
        <v>3479893</v>
      </c>
      <c r="AE568" s="3">
        <f t="shared" si="14"/>
        <v>3</v>
      </c>
      <c r="AF568" s="3">
        <f t="shared" si="15"/>
        <v>2392869184</v>
      </c>
      <c r="AG568" s="3" t="str">
        <f t="shared" si="16"/>
        <v/>
      </c>
      <c r="AH568" s="3">
        <f t="shared" si="17"/>
        <v>0</v>
      </c>
      <c r="AI568" s="3" t="str">
        <f t="shared" si="18"/>
        <v/>
      </c>
      <c r="AJ568" s="3">
        <f t="shared" si="19"/>
        <v>0</v>
      </c>
    </row>
    <row r="569">
      <c r="C569" s="6" t="s">
        <v>569</v>
      </c>
      <c r="D569" s="3">
        <f t="shared" si="1"/>
        <v>2</v>
      </c>
      <c r="E569" s="3" t="str">
        <f>IFERROR(__xludf.DUMMYFUNCTION("REGEXEXTRACT(C569,""[^ ]* [^ ]*"")"),"dark red")</f>
        <v>dark red</v>
      </c>
      <c r="F569" s="3" t="str">
        <f>IFERROR(__xludf.DUMMYFUNCTION("MID(REGEXEXTRACT(C569,""contain.*$""),9,300)"),"3 posh green bags, 1 vibrant bronze bag, 2 dull maroon bags.")</f>
        <v>3 posh green bags, 1 vibrant bronze bag, 2 dull maroon bags.</v>
      </c>
      <c r="G569" s="3" t="str">
        <f>IFERROR(__xludf.DUMMYFUNCTION("INDEX(SPLIT($F569,"",""),COLUMN()-6)"),"3 posh green bags")</f>
        <v>3 posh green bags</v>
      </c>
      <c r="H569" s="3" t="str">
        <f>IFERROR(__xludf.DUMMYFUNCTION("MID(INDEX(SPLIT($F569,"",""),COLUMN()-6),2,300)"),"1 vibrant bronze bag")</f>
        <v>1 vibrant bronze bag</v>
      </c>
      <c r="I569" s="3" t="str">
        <f>IFERROR(__xludf.DUMMYFUNCTION("MID(INDEX(SPLIT($F569,"",""),COLUMN()-6),2,300)"),"2 dull maroon bags.")</f>
        <v>2 dull maroon bags.</v>
      </c>
      <c r="J569" s="3" t="str">
        <f>IFERROR(__xludf.DUMMYFUNCTION("MID(INDEX(SPLIT($F569,"",""),COLUMN()-6),2,300)"),"#REF!")</f>
        <v>#REF!</v>
      </c>
      <c r="K569" s="3">
        <f>IFERROR(__xludf.DUMMYFUNCTION("INDEX(SPLIT(G569,"" ""),1)"),3.0)</f>
        <v>3</v>
      </c>
      <c r="L569" s="3" t="str">
        <f>IFERROR(__xludf.DUMMYFUNCTION("REGEXEXTRACT(G569,"" [^ ]* [^ ]* "")")," posh green ")</f>
        <v> posh green </v>
      </c>
      <c r="M569" s="3">
        <f>IFERROR(__xludf.DUMMYFUNCTION("INDEX(SPLIT(H569,"" ""),1)"),1.0)</f>
        <v>1</v>
      </c>
      <c r="N569" s="3" t="str">
        <f>IFERROR(__xludf.DUMMYFUNCTION("MID(REGEXEXTRACT(H569,"" [^ ]* [^ ]*""),2,300)"),"vibrant bronze")</f>
        <v>vibrant bronze</v>
      </c>
      <c r="O569" s="3">
        <f>IFERROR(__xludf.DUMMYFUNCTION("INDEX(SPLIT(I569,"" ""),1)"),2.0)</f>
        <v>2</v>
      </c>
      <c r="P569" s="3" t="str">
        <f>IFERROR(__xludf.DUMMYFUNCTION("MID(REGEXEXTRACT(I569,"" [^ ]* [^ ]*""),2,300)"),"dull maroon")</f>
        <v>dull maroon</v>
      </c>
      <c r="Q569" s="3" t="str">
        <f>IFERROR(__xludf.DUMMYFUNCTION("INDEX(SPLIT(J569,"" ""),1)"),"#REF!")</f>
        <v>#REF!</v>
      </c>
      <c r="R569" s="3" t="str">
        <f>IFERROR(__xludf.DUMMYFUNCTION("MID(REGEXEXTRACT(J569,"" [^ ]* [^ ]*""),2,300)"),"#REF!")</f>
        <v>#REF!</v>
      </c>
      <c r="S569" s="3">
        <f t="shared" si="2"/>
        <v>3</v>
      </c>
      <c r="T569" s="3" t="str">
        <f t="shared" si="3"/>
        <v>posh green</v>
      </c>
      <c r="U569" s="3">
        <f t="shared" si="4"/>
        <v>1</v>
      </c>
      <c r="V569" s="3" t="str">
        <f t="shared" si="5"/>
        <v>vibrant bronze</v>
      </c>
      <c r="W569" s="3">
        <f t="shared" si="6"/>
        <v>2</v>
      </c>
      <c r="X569" s="3" t="str">
        <f t="shared" si="7"/>
        <v>dull maroon</v>
      </c>
      <c r="Y569" s="3" t="str">
        <f t="shared" si="8"/>
        <v/>
      </c>
      <c r="Z569" s="3" t="str">
        <f t="shared" si="9"/>
        <v/>
      </c>
      <c r="AA569" s="13">
        <f t="shared" si="10"/>
        <v>44592</v>
      </c>
      <c r="AB569" s="3">
        <f t="shared" si="11"/>
        <v>44591</v>
      </c>
      <c r="AC569" s="3">
        <f t="shared" si="12"/>
        <v>3</v>
      </c>
      <c r="AD569" s="3">
        <f t="shared" si="13"/>
        <v>6367</v>
      </c>
      <c r="AE569" s="3">
        <f t="shared" si="14"/>
        <v>1</v>
      </c>
      <c r="AF569" s="3">
        <f t="shared" si="15"/>
        <v>2520</v>
      </c>
      <c r="AG569" s="3">
        <f t="shared" si="16"/>
        <v>2</v>
      </c>
      <c r="AH569" s="3">
        <f t="shared" si="17"/>
        <v>11485</v>
      </c>
      <c r="AI569" s="3" t="str">
        <f t="shared" si="18"/>
        <v/>
      </c>
      <c r="AJ569" s="3">
        <f t="shared" si="19"/>
        <v>0</v>
      </c>
    </row>
    <row r="570">
      <c r="C570" s="6" t="s">
        <v>570</v>
      </c>
      <c r="D570" s="3">
        <f t="shared" si="1"/>
        <v>0</v>
      </c>
      <c r="E570" s="3" t="str">
        <f>IFERROR(__xludf.DUMMYFUNCTION("REGEXEXTRACT(C570,""[^ ]* [^ ]*"")"),"dim lavender")</f>
        <v>dim lavender</v>
      </c>
      <c r="F570" s="3" t="str">
        <f>IFERROR(__xludf.DUMMYFUNCTION("MID(REGEXEXTRACT(C570,""contain.*$""),9,300)"),"2 dark turquoise bags.")</f>
        <v>2 dark turquoise bags.</v>
      </c>
      <c r="G570" s="3" t="str">
        <f>IFERROR(__xludf.DUMMYFUNCTION("INDEX(SPLIT($F570,"",""),COLUMN()-6)"),"2 dark turquoise bags.")</f>
        <v>2 dark turquoise bags.</v>
      </c>
      <c r="H570" s="3" t="str">
        <f>IFERROR(__xludf.DUMMYFUNCTION("MID(INDEX(SPLIT($F570,"",""),COLUMN()-6),2,300)"),"#REF!")</f>
        <v>#REF!</v>
      </c>
      <c r="I570" s="3" t="str">
        <f>IFERROR(__xludf.DUMMYFUNCTION("MID(INDEX(SPLIT($F570,"",""),COLUMN()-6),2,300)"),"#REF!")</f>
        <v>#REF!</v>
      </c>
      <c r="J570" s="3" t="str">
        <f>IFERROR(__xludf.DUMMYFUNCTION("MID(INDEX(SPLIT($F570,"",""),COLUMN()-6),2,300)"),"#REF!")</f>
        <v>#REF!</v>
      </c>
      <c r="K570" s="3">
        <f>IFERROR(__xludf.DUMMYFUNCTION("INDEX(SPLIT(G570,"" ""),1)"),2.0)</f>
        <v>2</v>
      </c>
      <c r="L570" s="3" t="str">
        <f>IFERROR(__xludf.DUMMYFUNCTION("REGEXEXTRACT(G570,"" [^ ]* [^ ]* "")")," dark turquoise ")</f>
        <v> dark turquoise </v>
      </c>
      <c r="M570" s="3" t="str">
        <f>IFERROR(__xludf.DUMMYFUNCTION("INDEX(SPLIT(H570,"" ""),1)"),"#REF!")</f>
        <v>#REF!</v>
      </c>
      <c r="N570" s="3" t="str">
        <f>IFERROR(__xludf.DUMMYFUNCTION("MID(REGEXEXTRACT(H570,"" [^ ]* [^ ]*""),2,300)"),"#REF!")</f>
        <v>#REF!</v>
      </c>
      <c r="O570" s="3" t="str">
        <f>IFERROR(__xludf.DUMMYFUNCTION("INDEX(SPLIT(I570,"" ""),1)"),"#REF!")</f>
        <v>#REF!</v>
      </c>
      <c r="P570" s="3" t="str">
        <f>IFERROR(__xludf.DUMMYFUNCTION("MID(REGEXEXTRACT(I570,"" [^ ]* [^ ]*""),2,300)"),"#REF!")</f>
        <v>#REF!</v>
      </c>
      <c r="Q570" s="3" t="str">
        <f>IFERROR(__xludf.DUMMYFUNCTION("INDEX(SPLIT(J570,"" ""),1)"),"#REF!")</f>
        <v>#REF!</v>
      </c>
      <c r="R570" s="3" t="str">
        <f>IFERROR(__xludf.DUMMYFUNCTION("MID(REGEXEXTRACT(J570,"" [^ ]* [^ ]*""),2,300)"),"#REF!")</f>
        <v>#REF!</v>
      </c>
      <c r="S570" s="3">
        <f t="shared" si="2"/>
        <v>2</v>
      </c>
      <c r="T570" s="3" t="str">
        <f t="shared" si="3"/>
        <v>dark turquoise</v>
      </c>
      <c r="U570" s="3" t="str">
        <f t="shared" si="4"/>
        <v/>
      </c>
      <c r="V570" s="3" t="str">
        <f t="shared" si="5"/>
        <v/>
      </c>
      <c r="W570" s="3" t="str">
        <f t="shared" si="6"/>
        <v/>
      </c>
      <c r="X570" s="3" t="str">
        <f t="shared" si="7"/>
        <v/>
      </c>
      <c r="Y570" s="3" t="str">
        <f t="shared" si="8"/>
        <v/>
      </c>
      <c r="Z570" s="3" t="str">
        <f t="shared" si="9"/>
        <v/>
      </c>
      <c r="AA570" s="13">
        <f t="shared" si="10"/>
        <v>771399</v>
      </c>
      <c r="AB570" s="3">
        <f t="shared" si="11"/>
        <v>771398</v>
      </c>
      <c r="AC570" s="3">
        <f t="shared" si="12"/>
        <v>2</v>
      </c>
      <c r="AD570" s="3">
        <f t="shared" si="13"/>
        <v>385699</v>
      </c>
      <c r="AE570" s="3" t="str">
        <f t="shared" si="14"/>
        <v/>
      </c>
      <c r="AF570" s="3">
        <f t="shared" si="15"/>
        <v>0</v>
      </c>
      <c r="AG570" s="3" t="str">
        <f t="shared" si="16"/>
        <v/>
      </c>
      <c r="AH570" s="3">
        <f t="shared" si="17"/>
        <v>0</v>
      </c>
      <c r="AI570" s="3" t="str">
        <f t="shared" si="18"/>
        <v/>
      </c>
      <c r="AJ570" s="3">
        <f t="shared" si="19"/>
        <v>0</v>
      </c>
    </row>
    <row r="571">
      <c r="C571" s="6" t="s">
        <v>571</v>
      </c>
      <c r="D571" s="3">
        <f t="shared" si="1"/>
        <v>0</v>
      </c>
      <c r="E571" s="3" t="str">
        <f>IFERROR(__xludf.DUMMYFUNCTION("REGEXEXTRACT(C571,""[^ ]* [^ ]*"")"),"striped cyan")</f>
        <v>striped cyan</v>
      </c>
      <c r="F571" s="3" t="str">
        <f>IFERROR(__xludf.DUMMYFUNCTION("MID(REGEXEXTRACT(C571,""contain.*$""),9,300)"),"1 clear chartreuse bag.")</f>
        <v>1 clear chartreuse bag.</v>
      </c>
      <c r="G571" s="3" t="str">
        <f>IFERROR(__xludf.DUMMYFUNCTION("INDEX(SPLIT($F571,"",""),COLUMN()-6)"),"1 clear chartreuse bag.")</f>
        <v>1 clear chartreuse bag.</v>
      </c>
      <c r="H571" s="3" t="str">
        <f>IFERROR(__xludf.DUMMYFUNCTION("MID(INDEX(SPLIT($F571,"",""),COLUMN()-6),2,300)"),"#REF!")</f>
        <v>#REF!</v>
      </c>
      <c r="I571" s="3" t="str">
        <f>IFERROR(__xludf.DUMMYFUNCTION("MID(INDEX(SPLIT($F571,"",""),COLUMN()-6),2,300)"),"#REF!")</f>
        <v>#REF!</v>
      </c>
      <c r="J571" s="3" t="str">
        <f>IFERROR(__xludf.DUMMYFUNCTION("MID(INDEX(SPLIT($F571,"",""),COLUMN()-6),2,300)"),"#REF!")</f>
        <v>#REF!</v>
      </c>
      <c r="K571" s="3">
        <f>IFERROR(__xludf.DUMMYFUNCTION("INDEX(SPLIT(G571,"" ""),1)"),1.0)</f>
        <v>1</v>
      </c>
      <c r="L571" s="3" t="str">
        <f>IFERROR(__xludf.DUMMYFUNCTION("REGEXEXTRACT(G571,"" [^ ]* [^ ]* "")")," clear chartreuse ")</f>
        <v> clear chartreuse </v>
      </c>
      <c r="M571" s="3" t="str">
        <f>IFERROR(__xludf.DUMMYFUNCTION("INDEX(SPLIT(H571,"" ""),1)"),"#REF!")</f>
        <v>#REF!</v>
      </c>
      <c r="N571" s="3" t="str">
        <f>IFERROR(__xludf.DUMMYFUNCTION("MID(REGEXEXTRACT(H571,"" [^ ]* [^ ]*""),2,300)"),"#REF!")</f>
        <v>#REF!</v>
      </c>
      <c r="O571" s="3" t="str">
        <f>IFERROR(__xludf.DUMMYFUNCTION("INDEX(SPLIT(I571,"" ""),1)"),"#REF!")</f>
        <v>#REF!</v>
      </c>
      <c r="P571" s="3" t="str">
        <f>IFERROR(__xludf.DUMMYFUNCTION("MID(REGEXEXTRACT(I571,"" [^ ]* [^ ]*""),2,300)"),"#REF!")</f>
        <v>#REF!</v>
      </c>
      <c r="Q571" s="3" t="str">
        <f>IFERROR(__xludf.DUMMYFUNCTION("INDEX(SPLIT(J571,"" ""),1)"),"#REF!")</f>
        <v>#REF!</v>
      </c>
      <c r="R571" s="3" t="str">
        <f>IFERROR(__xludf.DUMMYFUNCTION("MID(REGEXEXTRACT(J571,"" [^ ]* [^ ]*""),2,300)"),"#REF!")</f>
        <v>#REF!</v>
      </c>
      <c r="S571" s="3">
        <f t="shared" si="2"/>
        <v>1</v>
      </c>
      <c r="T571" s="3" t="str">
        <f t="shared" si="3"/>
        <v>clear chartreuse</v>
      </c>
      <c r="U571" s="3" t="str">
        <f t="shared" si="4"/>
        <v/>
      </c>
      <c r="V571" s="3" t="str">
        <f t="shared" si="5"/>
        <v/>
      </c>
      <c r="W571" s="3" t="str">
        <f t="shared" si="6"/>
        <v/>
      </c>
      <c r="X571" s="3" t="str">
        <f t="shared" si="7"/>
        <v/>
      </c>
      <c r="Y571" s="3" t="str">
        <f t="shared" si="8"/>
        <v/>
      </c>
      <c r="Z571" s="3" t="str">
        <f t="shared" si="9"/>
        <v/>
      </c>
      <c r="AA571" s="13">
        <f t="shared" si="10"/>
        <v>52325345</v>
      </c>
      <c r="AB571" s="3">
        <f t="shared" si="11"/>
        <v>52325344</v>
      </c>
      <c r="AC571" s="3">
        <f t="shared" si="12"/>
        <v>1</v>
      </c>
      <c r="AD571" s="3">
        <f t="shared" si="13"/>
        <v>52325344</v>
      </c>
      <c r="AE571" s="3" t="str">
        <f t="shared" si="14"/>
        <v/>
      </c>
      <c r="AF571" s="3">
        <f t="shared" si="15"/>
        <v>0</v>
      </c>
      <c r="AG571" s="3" t="str">
        <f t="shared" si="16"/>
        <v/>
      </c>
      <c r="AH571" s="3">
        <f t="shared" si="17"/>
        <v>0</v>
      </c>
      <c r="AI571" s="3" t="str">
        <f t="shared" si="18"/>
        <v/>
      </c>
      <c r="AJ571" s="3">
        <f t="shared" si="19"/>
        <v>0</v>
      </c>
    </row>
    <row r="572">
      <c r="C572" s="6" t="s">
        <v>572</v>
      </c>
      <c r="D572" s="3">
        <f t="shared" si="1"/>
        <v>0</v>
      </c>
      <c r="E572" s="3" t="str">
        <f>IFERROR(__xludf.DUMMYFUNCTION("REGEXEXTRACT(C572,""[^ ]* [^ ]*"")"),"dull indigo")</f>
        <v>dull indigo</v>
      </c>
      <c r="F572" s="3" t="str">
        <f>IFERROR(__xludf.DUMMYFUNCTION("MID(REGEXEXTRACT(C572,""contain.*$""),9,300)"),"5 shiny brown bags.")</f>
        <v>5 shiny brown bags.</v>
      </c>
      <c r="G572" s="3" t="str">
        <f>IFERROR(__xludf.DUMMYFUNCTION("INDEX(SPLIT($F572,"",""),COLUMN()-6)"),"5 shiny brown bags.")</f>
        <v>5 shiny brown bags.</v>
      </c>
      <c r="H572" s="3" t="str">
        <f>IFERROR(__xludf.DUMMYFUNCTION("MID(INDEX(SPLIT($F572,"",""),COLUMN()-6),2,300)"),"#REF!")</f>
        <v>#REF!</v>
      </c>
      <c r="I572" s="3" t="str">
        <f>IFERROR(__xludf.DUMMYFUNCTION("MID(INDEX(SPLIT($F572,"",""),COLUMN()-6),2,300)"),"#REF!")</f>
        <v>#REF!</v>
      </c>
      <c r="J572" s="3" t="str">
        <f>IFERROR(__xludf.DUMMYFUNCTION("MID(INDEX(SPLIT($F572,"",""),COLUMN()-6),2,300)"),"#REF!")</f>
        <v>#REF!</v>
      </c>
      <c r="K572" s="3">
        <f>IFERROR(__xludf.DUMMYFUNCTION("INDEX(SPLIT(G572,"" ""),1)"),5.0)</f>
        <v>5</v>
      </c>
      <c r="L572" s="3" t="str">
        <f>IFERROR(__xludf.DUMMYFUNCTION("REGEXEXTRACT(G572,"" [^ ]* [^ ]* "")")," shiny brown ")</f>
        <v> shiny brown </v>
      </c>
      <c r="M572" s="3" t="str">
        <f>IFERROR(__xludf.DUMMYFUNCTION("INDEX(SPLIT(H572,"" ""),1)"),"#REF!")</f>
        <v>#REF!</v>
      </c>
      <c r="N572" s="3" t="str">
        <f>IFERROR(__xludf.DUMMYFUNCTION("MID(REGEXEXTRACT(H572,"" [^ ]* [^ ]*""),2,300)"),"#REF!")</f>
        <v>#REF!</v>
      </c>
      <c r="O572" s="3" t="str">
        <f>IFERROR(__xludf.DUMMYFUNCTION("INDEX(SPLIT(I572,"" ""),1)"),"#REF!")</f>
        <v>#REF!</v>
      </c>
      <c r="P572" s="3" t="str">
        <f>IFERROR(__xludf.DUMMYFUNCTION("MID(REGEXEXTRACT(I572,"" [^ ]* [^ ]*""),2,300)"),"#REF!")</f>
        <v>#REF!</v>
      </c>
      <c r="Q572" s="3" t="str">
        <f>IFERROR(__xludf.DUMMYFUNCTION("INDEX(SPLIT(J572,"" ""),1)"),"#REF!")</f>
        <v>#REF!</v>
      </c>
      <c r="R572" s="3" t="str">
        <f>IFERROR(__xludf.DUMMYFUNCTION("MID(REGEXEXTRACT(J572,"" [^ ]* [^ ]*""),2,300)"),"#REF!")</f>
        <v>#REF!</v>
      </c>
      <c r="S572" s="3">
        <f t="shared" si="2"/>
        <v>5</v>
      </c>
      <c r="T572" s="3" t="str">
        <f t="shared" si="3"/>
        <v>shiny brown</v>
      </c>
      <c r="U572" s="3" t="str">
        <f t="shared" si="4"/>
        <v/>
      </c>
      <c r="V572" s="3" t="str">
        <f t="shared" si="5"/>
        <v/>
      </c>
      <c r="W572" s="3" t="str">
        <f t="shared" si="6"/>
        <v/>
      </c>
      <c r="X572" s="3" t="str">
        <f t="shared" si="7"/>
        <v/>
      </c>
      <c r="Y572" s="3" t="str">
        <f t="shared" si="8"/>
        <v/>
      </c>
      <c r="Z572" s="3" t="str">
        <f t="shared" si="9"/>
        <v/>
      </c>
      <c r="AA572" s="13">
        <f t="shared" si="10"/>
        <v>17399466</v>
      </c>
      <c r="AB572" s="3">
        <f t="shared" si="11"/>
        <v>17399465</v>
      </c>
      <c r="AC572" s="3">
        <f t="shared" si="12"/>
        <v>5</v>
      </c>
      <c r="AD572" s="3">
        <f t="shared" si="13"/>
        <v>3479893</v>
      </c>
      <c r="AE572" s="3" t="str">
        <f t="shared" si="14"/>
        <v/>
      </c>
      <c r="AF572" s="3">
        <f t="shared" si="15"/>
        <v>0</v>
      </c>
      <c r="AG572" s="3" t="str">
        <f t="shared" si="16"/>
        <v/>
      </c>
      <c r="AH572" s="3">
        <f t="shared" si="17"/>
        <v>0</v>
      </c>
      <c r="AI572" s="3" t="str">
        <f t="shared" si="18"/>
        <v/>
      </c>
      <c r="AJ572" s="3">
        <f t="shared" si="19"/>
        <v>0</v>
      </c>
    </row>
    <row r="573">
      <c r="C573" s="6" t="s">
        <v>573</v>
      </c>
      <c r="D573" s="3">
        <f t="shared" si="1"/>
        <v>0</v>
      </c>
      <c r="E573" s="3" t="str">
        <f>IFERROR(__xludf.DUMMYFUNCTION("REGEXEXTRACT(C573,""[^ ]* [^ ]*"")"),"faded green")</f>
        <v>faded green</v>
      </c>
      <c r="F573" s="3" t="str">
        <f>IFERROR(__xludf.DUMMYFUNCTION("MID(REGEXEXTRACT(C573,""contain.*$""),9,300)"),"1 drab maroon bag.")</f>
        <v>1 drab maroon bag.</v>
      </c>
      <c r="G573" s="3" t="str">
        <f>IFERROR(__xludf.DUMMYFUNCTION("INDEX(SPLIT($F573,"",""),COLUMN()-6)"),"1 drab maroon bag.")</f>
        <v>1 drab maroon bag.</v>
      </c>
      <c r="H573" s="3" t="str">
        <f>IFERROR(__xludf.DUMMYFUNCTION("MID(INDEX(SPLIT($F573,"",""),COLUMN()-6),2,300)"),"#REF!")</f>
        <v>#REF!</v>
      </c>
      <c r="I573" s="3" t="str">
        <f>IFERROR(__xludf.DUMMYFUNCTION("MID(INDEX(SPLIT($F573,"",""),COLUMN()-6),2,300)"),"#REF!")</f>
        <v>#REF!</v>
      </c>
      <c r="J573" s="3" t="str">
        <f>IFERROR(__xludf.DUMMYFUNCTION("MID(INDEX(SPLIT($F573,"",""),COLUMN()-6),2,300)"),"#REF!")</f>
        <v>#REF!</v>
      </c>
      <c r="K573" s="3">
        <f>IFERROR(__xludf.DUMMYFUNCTION("INDEX(SPLIT(G573,"" ""),1)"),1.0)</f>
        <v>1</v>
      </c>
      <c r="L573" s="3" t="str">
        <f>IFERROR(__xludf.DUMMYFUNCTION("REGEXEXTRACT(G573,"" [^ ]* [^ ]* "")")," drab maroon ")</f>
        <v> drab maroon </v>
      </c>
      <c r="M573" s="3" t="str">
        <f>IFERROR(__xludf.DUMMYFUNCTION("INDEX(SPLIT(H573,"" ""),1)"),"#REF!")</f>
        <v>#REF!</v>
      </c>
      <c r="N573" s="3" t="str">
        <f>IFERROR(__xludf.DUMMYFUNCTION("MID(REGEXEXTRACT(H573,"" [^ ]* [^ ]*""),2,300)"),"#REF!")</f>
        <v>#REF!</v>
      </c>
      <c r="O573" s="3" t="str">
        <f>IFERROR(__xludf.DUMMYFUNCTION("INDEX(SPLIT(I573,"" ""),1)"),"#REF!")</f>
        <v>#REF!</v>
      </c>
      <c r="P573" s="3" t="str">
        <f>IFERROR(__xludf.DUMMYFUNCTION("MID(REGEXEXTRACT(I573,"" [^ ]* [^ ]*""),2,300)"),"#REF!")</f>
        <v>#REF!</v>
      </c>
      <c r="Q573" s="3" t="str">
        <f>IFERROR(__xludf.DUMMYFUNCTION("INDEX(SPLIT(J573,"" ""),1)"),"#REF!")</f>
        <v>#REF!</v>
      </c>
      <c r="R573" s="3" t="str">
        <f>IFERROR(__xludf.DUMMYFUNCTION("MID(REGEXEXTRACT(J573,"" [^ ]* [^ ]*""),2,300)"),"#REF!")</f>
        <v>#REF!</v>
      </c>
      <c r="S573" s="3">
        <f t="shared" si="2"/>
        <v>1</v>
      </c>
      <c r="T573" s="3" t="str">
        <f t="shared" si="3"/>
        <v>drab maroon</v>
      </c>
      <c r="U573" s="3" t="str">
        <f t="shared" si="4"/>
        <v/>
      </c>
      <c r="V573" s="3" t="str">
        <f t="shared" si="5"/>
        <v/>
      </c>
      <c r="W573" s="3" t="str">
        <f t="shared" si="6"/>
        <v/>
      </c>
      <c r="X573" s="3" t="str">
        <f t="shared" si="7"/>
        <v/>
      </c>
      <c r="Y573" s="3" t="str">
        <f t="shared" si="8"/>
        <v/>
      </c>
      <c r="Z573" s="3" t="str">
        <f t="shared" si="9"/>
        <v/>
      </c>
      <c r="AA573" s="13">
        <f t="shared" si="10"/>
        <v>3598</v>
      </c>
      <c r="AB573" s="3">
        <f t="shared" si="11"/>
        <v>3597</v>
      </c>
      <c r="AC573" s="3">
        <f t="shared" si="12"/>
        <v>1</v>
      </c>
      <c r="AD573" s="3">
        <f t="shared" si="13"/>
        <v>3597</v>
      </c>
      <c r="AE573" s="3" t="str">
        <f t="shared" si="14"/>
        <v/>
      </c>
      <c r="AF573" s="3">
        <f t="shared" si="15"/>
        <v>0</v>
      </c>
      <c r="AG573" s="3" t="str">
        <f t="shared" si="16"/>
        <v/>
      </c>
      <c r="AH573" s="3">
        <f t="shared" si="17"/>
        <v>0</v>
      </c>
      <c r="AI573" s="3" t="str">
        <f t="shared" si="18"/>
        <v/>
      </c>
      <c r="AJ573" s="3">
        <f t="shared" si="19"/>
        <v>0</v>
      </c>
    </row>
    <row r="574">
      <c r="C574" s="6" t="s">
        <v>574</v>
      </c>
      <c r="D574" s="3">
        <f t="shared" si="1"/>
        <v>1</v>
      </c>
      <c r="E574" s="3" t="str">
        <f>IFERROR(__xludf.DUMMYFUNCTION("REGEXEXTRACT(C574,""[^ ]* [^ ]*"")"),"drab fuchsia")</f>
        <v>drab fuchsia</v>
      </c>
      <c r="F574" s="3" t="str">
        <f>IFERROR(__xludf.DUMMYFUNCTION("MID(REGEXEXTRACT(C574,""contain.*$""),9,300)"),"2 clear olive bags, 1 bright cyan bag.")</f>
        <v>2 clear olive bags, 1 bright cyan bag.</v>
      </c>
      <c r="G574" s="3" t="str">
        <f>IFERROR(__xludf.DUMMYFUNCTION("INDEX(SPLIT($F574,"",""),COLUMN()-6)"),"2 clear olive bags")</f>
        <v>2 clear olive bags</v>
      </c>
      <c r="H574" s="3" t="str">
        <f>IFERROR(__xludf.DUMMYFUNCTION("MID(INDEX(SPLIT($F574,"",""),COLUMN()-6),2,300)"),"1 bright cyan bag.")</f>
        <v>1 bright cyan bag.</v>
      </c>
      <c r="I574" s="3" t="str">
        <f>IFERROR(__xludf.DUMMYFUNCTION("MID(INDEX(SPLIT($F574,"",""),COLUMN()-6),2,300)"),"#REF!")</f>
        <v>#REF!</v>
      </c>
      <c r="J574" s="3" t="str">
        <f>IFERROR(__xludf.DUMMYFUNCTION("MID(INDEX(SPLIT($F574,"",""),COLUMN()-6),2,300)"),"#REF!")</f>
        <v>#REF!</v>
      </c>
      <c r="K574" s="3">
        <f>IFERROR(__xludf.DUMMYFUNCTION("INDEX(SPLIT(G574,"" ""),1)"),2.0)</f>
        <v>2</v>
      </c>
      <c r="L574" s="3" t="str">
        <f>IFERROR(__xludf.DUMMYFUNCTION("REGEXEXTRACT(G574,"" [^ ]* [^ ]* "")")," clear olive ")</f>
        <v> clear olive </v>
      </c>
      <c r="M574" s="3">
        <f>IFERROR(__xludf.DUMMYFUNCTION("INDEX(SPLIT(H574,"" ""),1)"),1.0)</f>
        <v>1</v>
      </c>
      <c r="N574" s="3" t="str">
        <f>IFERROR(__xludf.DUMMYFUNCTION("MID(REGEXEXTRACT(H574,"" [^ ]* [^ ]*""),2,300)"),"bright cyan")</f>
        <v>bright cyan</v>
      </c>
      <c r="O574" s="3" t="str">
        <f>IFERROR(__xludf.DUMMYFUNCTION("INDEX(SPLIT(I574,"" ""),1)"),"#REF!")</f>
        <v>#REF!</v>
      </c>
      <c r="P574" s="3" t="str">
        <f>IFERROR(__xludf.DUMMYFUNCTION("MID(REGEXEXTRACT(I574,"" [^ ]* [^ ]*""),2,300)"),"#REF!")</f>
        <v>#REF!</v>
      </c>
      <c r="Q574" s="3" t="str">
        <f>IFERROR(__xludf.DUMMYFUNCTION("INDEX(SPLIT(J574,"" ""),1)"),"#REF!")</f>
        <v>#REF!</v>
      </c>
      <c r="R574" s="3" t="str">
        <f>IFERROR(__xludf.DUMMYFUNCTION("MID(REGEXEXTRACT(J574,"" [^ ]* [^ ]*""),2,300)"),"#REF!")</f>
        <v>#REF!</v>
      </c>
      <c r="S574" s="3">
        <f t="shared" si="2"/>
        <v>2</v>
      </c>
      <c r="T574" s="3" t="str">
        <f t="shared" si="3"/>
        <v>clear olive</v>
      </c>
      <c r="U574" s="3">
        <f t="shared" si="4"/>
        <v>1</v>
      </c>
      <c r="V574" s="3" t="str">
        <f t="shared" si="5"/>
        <v>bright cyan</v>
      </c>
      <c r="W574" s="3" t="str">
        <f t="shared" si="6"/>
        <v/>
      </c>
      <c r="X574" s="3" t="str">
        <f t="shared" si="7"/>
        <v/>
      </c>
      <c r="Y574" s="3" t="str">
        <f t="shared" si="8"/>
        <v/>
      </c>
      <c r="Z574" s="3" t="str">
        <f t="shared" si="9"/>
        <v/>
      </c>
      <c r="AA574" s="13">
        <f t="shared" si="10"/>
        <v>5394972</v>
      </c>
      <c r="AB574" s="3">
        <f t="shared" si="11"/>
        <v>5394971</v>
      </c>
      <c r="AC574" s="3">
        <f t="shared" si="12"/>
        <v>2</v>
      </c>
      <c r="AD574" s="3">
        <f t="shared" si="13"/>
        <v>2697220</v>
      </c>
      <c r="AE574" s="3">
        <f t="shared" si="14"/>
        <v>1</v>
      </c>
      <c r="AF574" s="3">
        <f t="shared" si="15"/>
        <v>531</v>
      </c>
      <c r="AG574" s="3" t="str">
        <f t="shared" si="16"/>
        <v/>
      </c>
      <c r="AH574" s="3">
        <f t="shared" si="17"/>
        <v>0</v>
      </c>
      <c r="AI574" s="3" t="str">
        <f t="shared" si="18"/>
        <v/>
      </c>
      <c r="AJ574" s="3">
        <f t="shared" si="19"/>
        <v>0</v>
      </c>
    </row>
    <row r="575">
      <c r="C575" s="6" t="s">
        <v>575</v>
      </c>
      <c r="D575" s="3">
        <f t="shared" si="1"/>
        <v>2</v>
      </c>
      <c r="E575" s="3" t="str">
        <f>IFERROR(__xludf.DUMMYFUNCTION("REGEXEXTRACT(C575,""[^ ]* [^ ]*"")"),"drab gold")</f>
        <v>drab gold</v>
      </c>
      <c r="F575" s="3" t="str">
        <f>IFERROR(__xludf.DUMMYFUNCTION("MID(REGEXEXTRACT(C575,""contain.*$""),9,300)"),"2 dull turquoise bags, 5 dim lavender bags, 4 light teal bags.")</f>
        <v>2 dull turquoise bags, 5 dim lavender bags, 4 light teal bags.</v>
      </c>
      <c r="G575" s="3" t="str">
        <f>IFERROR(__xludf.DUMMYFUNCTION("INDEX(SPLIT($F575,"",""),COLUMN()-6)"),"2 dull turquoise bags")</f>
        <v>2 dull turquoise bags</v>
      </c>
      <c r="H575" s="3" t="str">
        <f>IFERROR(__xludf.DUMMYFUNCTION("MID(INDEX(SPLIT($F575,"",""),COLUMN()-6),2,300)"),"5 dim lavender bags")</f>
        <v>5 dim lavender bags</v>
      </c>
      <c r="I575" s="3" t="str">
        <f>IFERROR(__xludf.DUMMYFUNCTION("MID(INDEX(SPLIT($F575,"",""),COLUMN()-6),2,300)"),"4 light teal bags.")</f>
        <v>4 light teal bags.</v>
      </c>
      <c r="J575" s="3" t="str">
        <f>IFERROR(__xludf.DUMMYFUNCTION("MID(INDEX(SPLIT($F575,"",""),COLUMN()-6),2,300)"),"#REF!")</f>
        <v>#REF!</v>
      </c>
      <c r="K575" s="3">
        <f>IFERROR(__xludf.DUMMYFUNCTION("INDEX(SPLIT(G575,"" ""),1)"),2.0)</f>
        <v>2</v>
      </c>
      <c r="L575" s="3" t="str">
        <f>IFERROR(__xludf.DUMMYFUNCTION("REGEXEXTRACT(G575,"" [^ ]* [^ ]* "")")," dull turquoise ")</f>
        <v> dull turquoise </v>
      </c>
      <c r="M575" s="3">
        <f>IFERROR(__xludf.DUMMYFUNCTION("INDEX(SPLIT(H575,"" ""),1)"),5.0)</f>
        <v>5</v>
      </c>
      <c r="N575" s="3" t="str">
        <f>IFERROR(__xludf.DUMMYFUNCTION("MID(REGEXEXTRACT(H575,"" [^ ]* [^ ]*""),2,300)"),"dim lavender")</f>
        <v>dim lavender</v>
      </c>
      <c r="O575" s="3">
        <f>IFERROR(__xludf.DUMMYFUNCTION("INDEX(SPLIT(I575,"" ""),1)"),4.0)</f>
        <v>4</v>
      </c>
      <c r="P575" s="3" t="str">
        <f>IFERROR(__xludf.DUMMYFUNCTION("MID(REGEXEXTRACT(I575,"" [^ ]* [^ ]*""),2,300)"),"light teal")</f>
        <v>light teal</v>
      </c>
      <c r="Q575" s="3" t="str">
        <f>IFERROR(__xludf.DUMMYFUNCTION("INDEX(SPLIT(J575,"" ""),1)"),"#REF!")</f>
        <v>#REF!</v>
      </c>
      <c r="R575" s="3" t="str">
        <f>IFERROR(__xludf.DUMMYFUNCTION("MID(REGEXEXTRACT(J575,"" [^ ]* [^ ]*""),2,300)"),"#REF!")</f>
        <v>#REF!</v>
      </c>
      <c r="S575" s="3">
        <f t="shared" si="2"/>
        <v>2</v>
      </c>
      <c r="T575" s="3" t="str">
        <f t="shared" si="3"/>
        <v>dull turquoise</v>
      </c>
      <c r="U575" s="3">
        <f t="shared" si="4"/>
        <v>5</v>
      </c>
      <c r="V575" s="3" t="str">
        <f t="shared" si="5"/>
        <v>dim lavender</v>
      </c>
      <c r="W575" s="3">
        <f t="shared" si="6"/>
        <v>4</v>
      </c>
      <c r="X575" s="3" t="str">
        <f t="shared" si="7"/>
        <v>light teal</v>
      </c>
      <c r="Y575" s="3" t="str">
        <f t="shared" si="8"/>
        <v/>
      </c>
      <c r="Z575" s="3" t="str">
        <f t="shared" si="9"/>
        <v/>
      </c>
      <c r="AA575" s="13">
        <f t="shared" si="10"/>
        <v>4743886</v>
      </c>
      <c r="AB575" s="3">
        <f t="shared" si="11"/>
        <v>4743885</v>
      </c>
      <c r="AC575" s="3">
        <f t="shared" si="12"/>
        <v>2</v>
      </c>
      <c r="AD575" s="3">
        <f t="shared" si="13"/>
        <v>346469</v>
      </c>
      <c r="AE575" s="3">
        <f t="shared" si="14"/>
        <v>5</v>
      </c>
      <c r="AF575" s="3">
        <f t="shared" si="15"/>
        <v>771399</v>
      </c>
      <c r="AG575" s="3">
        <f t="shared" si="16"/>
        <v>4</v>
      </c>
      <c r="AH575" s="3">
        <f t="shared" si="17"/>
        <v>48488</v>
      </c>
      <c r="AI575" s="3" t="str">
        <f t="shared" si="18"/>
        <v/>
      </c>
      <c r="AJ575" s="3">
        <f t="shared" si="19"/>
        <v>0</v>
      </c>
    </row>
    <row r="576">
      <c r="C576" s="6" t="s">
        <v>576</v>
      </c>
      <c r="D576" s="3">
        <f t="shared" si="1"/>
        <v>2</v>
      </c>
      <c r="E576" s="3" t="str">
        <f>IFERROR(__xludf.DUMMYFUNCTION("REGEXEXTRACT(C576,""[^ ]* [^ ]*"")"),"dotted violet")</f>
        <v>dotted violet</v>
      </c>
      <c r="F576" s="3" t="str">
        <f>IFERROR(__xludf.DUMMYFUNCTION("MID(REGEXEXTRACT(C576,""contain.*$""),9,300)"),"3 drab tomato bags, 5 dark lavender bags, 4 bright fuchsia bags.")</f>
        <v>3 drab tomato bags, 5 dark lavender bags, 4 bright fuchsia bags.</v>
      </c>
      <c r="G576" s="3" t="str">
        <f>IFERROR(__xludf.DUMMYFUNCTION("INDEX(SPLIT($F576,"",""),COLUMN()-6)"),"3 drab tomato bags")</f>
        <v>3 drab tomato bags</v>
      </c>
      <c r="H576" s="3" t="str">
        <f>IFERROR(__xludf.DUMMYFUNCTION("MID(INDEX(SPLIT($F576,"",""),COLUMN()-6),2,300)"),"5 dark lavender bags")</f>
        <v>5 dark lavender bags</v>
      </c>
      <c r="I576" s="3" t="str">
        <f>IFERROR(__xludf.DUMMYFUNCTION("MID(INDEX(SPLIT($F576,"",""),COLUMN()-6),2,300)"),"4 bright fuchsia bags.")</f>
        <v>4 bright fuchsia bags.</v>
      </c>
      <c r="J576" s="3" t="str">
        <f>IFERROR(__xludf.DUMMYFUNCTION("MID(INDEX(SPLIT($F576,"",""),COLUMN()-6),2,300)"),"#REF!")</f>
        <v>#REF!</v>
      </c>
      <c r="K576" s="3">
        <f>IFERROR(__xludf.DUMMYFUNCTION("INDEX(SPLIT(G576,"" ""),1)"),3.0)</f>
        <v>3</v>
      </c>
      <c r="L576" s="3" t="str">
        <f>IFERROR(__xludf.DUMMYFUNCTION("REGEXEXTRACT(G576,"" [^ ]* [^ ]* "")")," drab tomato ")</f>
        <v> drab tomato </v>
      </c>
      <c r="M576" s="3">
        <f>IFERROR(__xludf.DUMMYFUNCTION("INDEX(SPLIT(H576,"" ""),1)"),5.0)</f>
        <v>5</v>
      </c>
      <c r="N576" s="3" t="str">
        <f>IFERROR(__xludf.DUMMYFUNCTION("MID(REGEXEXTRACT(H576,"" [^ ]* [^ ]*""),2,300)"),"dark lavender")</f>
        <v>dark lavender</v>
      </c>
      <c r="O576" s="3">
        <f>IFERROR(__xludf.DUMMYFUNCTION("INDEX(SPLIT(I576,"" ""),1)"),4.0)</f>
        <v>4</v>
      </c>
      <c r="P576" s="3" t="str">
        <f>IFERROR(__xludf.DUMMYFUNCTION("MID(REGEXEXTRACT(I576,"" [^ ]* [^ ]*""),2,300)"),"bright fuchsia")</f>
        <v>bright fuchsia</v>
      </c>
      <c r="Q576" s="3" t="str">
        <f>IFERROR(__xludf.DUMMYFUNCTION("INDEX(SPLIT(J576,"" ""),1)"),"#REF!")</f>
        <v>#REF!</v>
      </c>
      <c r="R576" s="3" t="str">
        <f>IFERROR(__xludf.DUMMYFUNCTION("MID(REGEXEXTRACT(J576,"" [^ ]* [^ ]*""),2,300)"),"#REF!")</f>
        <v>#REF!</v>
      </c>
      <c r="S576" s="3">
        <f t="shared" si="2"/>
        <v>3</v>
      </c>
      <c r="T576" s="3" t="str">
        <f t="shared" si="3"/>
        <v>drab tomato</v>
      </c>
      <c r="U576" s="3">
        <f t="shared" si="4"/>
        <v>5</v>
      </c>
      <c r="V576" s="3" t="str">
        <f t="shared" si="5"/>
        <v>dark lavender</v>
      </c>
      <c r="W576" s="3">
        <f t="shared" si="6"/>
        <v>4</v>
      </c>
      <c r="X576" s="3" t="str">
        <f t="shared" si="7"/>
        <v>bright fuchsia</v>
      </c>
      <c r="Y576" s="3" t="str">
        <f t="shared" si="8"/>
        <v/>
      </c>
      <c r="Z576" s="3" t="str">
        <f t="shared" si="9"/>
        <v/>
      </c>
      <c r="AA576" s="13">
        <f t="shared" si="10"/>
        <v>165251</v>
      </c>
      <c r="AB576" s="3">
        <f t="shared" si="11"/>
        <v>165250</v>
      </c>
      <c r="AC576" s="3">
        <f t="shared" si="12"/>
        <v>3</v>
      </c>
      <c r="AD576" s="3">
        <f t="shared" si="13"/>
        <v>38687</v>
      </c>
      <c r="AE576" s="3">
        <f t="shared" si="14"/>
        <v>5</v>
      </c>
      <c r="AF576" s="3">
        <f t="shared" si="15"/>
        <v>133</v>
      </c>
      <c r="AG576" s="3">
        <f t="shared" si="16"/>
        <v>4</v>
      </c>
      <c r="AH576" s="3">
        <f t="shared" si="17"/>
        <v>12131</v>
      </c>
      <c r="AI576" s="3" t="str">
        <f t="shared" si="18"/>
        <v/>
      </c>
      <c r="AJ576" s="3">
        <f t="shared" si="19"/>
        <v>0</v>
      </c>
    </row>
    <row r="577">
      <c r="C577" s="6" t="s">
        <v>577</v>
      </c>
      <c r="D577" s="3">
        <f t="shared" si="1"/>
        <v>0</v>
      </c>
      <c r="E577" s="3" t="str">
        <f>IFERROR(__xludf.DUMMYFUNCTION("REGEXEXTRACT(C577,""[^ ]* [^ ]*"")"),"shiny turquoise")</f>
        <v>shiny turquoise</v>
      </c>
      <c r="F577" s="3" t="str">
        <f>IFERROR(__xludf.DUMMYFUNCTION("MID(REGEXEXTRACT(C577,""contain.*$""),9,300)"),"4 light black bags.")</f>
        <v>4 light black bags.</v>
      </c>
      <c r="G577" s="3" t="str">
        <f>IFERROR(__xludf.DUMMYFUNCTION("INDEX(SPLIT($F577,"",""),COLUMN()-6)"),"4 light black bags.")</f>
        <v>4 light black bags.</v>
      </c>
      <c r="H577" s="3" t="str">
        <f>IFERROR(__xludf.DUMMYFUNCTION("MID(INDEX(SPLIT($F577,"",""),COLUMN()-6),2,300)"),"#REF!")</f>
        <v>#REF!</v>
      </c>
      <c r="I577" s="3" t="str">
        <f>IFERROR(__xludf.DUMMYFUNCTION("MID(INDEX(SPLIT($F577,"",""),COLUMN()-6),2,300)"),"#REF!")</f>
        <v>#REF!</v>
      </c>
      <c r="J577" s="3" t="str">
        <f>IFERROR(__xludf.DUMMYFUNCTION("MID(INDEX(SPLIT($F577,"",""),COLUMN()-6),2,300)"),"#REF!")</f>
        <v>#REF!</v>
      </c>
      <c r="K577" s="3">
        <f>IFERROR(__xludf.DUMMYFUNCTION("INDEX(SPLIT(G577,"" ""),1)"),4.0)</f>
        <v>4</v>
      </c>
      <c r="L577" s="3" t="str">
        <f>IFERROR(__xludf.DUMMYFUNCTION("REGEXEXTRACT(G577,"" [^ ]* [^ ]* "")")," light black ")</f>
        <v> light black </v>
      </c>
      <c r="M577" s="3" t="str">
        <f>IFERROR(__xludf.DUMMYFUNCTION("INDEX(SPLIT(H577,"" ""),1)"),"#REF!")</f>
        <v>#REF!</v>
      </c>
      <c r="N577" s="3" t="str">
        <f>IFERROR(__xludf.DUMMYFUNCTION("MID(REGEXEXTRACT(H577,"" [^ ]* [^ ]*""),2,300)"),"#REF!")</f>
        <v>#REF!</v>
      </c>
      <c r="O577" s="3" t="str">
        <f>IFERROR(__xludf.DUMMYFUNCTION("INDEX(SPLIT(I577,"" ""),1)"),"#REF!")</f>
        <v>#REF!</v>
      </c>
      <c r="P577" s="3" t="str">
        <f>IFERROR(__xludf.DUMMYFUNCTION("MID(REGEXEXTRACT(I577,"" [^ ]* [^ ]*""),2,300)"),"#REF!")</f>
        <v>#REF!</v>
      </c>
      <c r="Q577" s="3" t="str">
        <f>IFERROR(__xludf.DUMMYFUNCTION("INDEX(SPLIT(J577,"" ""),1)"),"#REF!")</f>
        <v>#REF!</v>
      </c>
      <c r="R577" s="3" t="str">
        <f>IFERROR(__xludf.DUMMYFUNCTION("MID(REGEXEXTRACT(J577,"" [^ ]* [^ ]*""),2,300)"),"#REF!")</f>
        <v>#REF!</v>
      </c>
      <c r="S577" s="3">
        <f t="shared" si="2"/>
        <v>4</v>
      </c>
      <c r="T577" s="3" t="str">
        <f t="shared" si="3"/>
        <v>light black</v>
      </c>
      <c r="U577" s="3" t="str">
        <f t="shared" si="4"/>
        <v/>
      </c>
      <c r="V577" s="3" t="str">
        <f t="shared" si="5"/>
        <v/>
      </c>
      <c r="W577" s="3" t="str">
        <f t="shared" si="6"/>
        <v/>
      </c>
      <c r="X577" s="3" t="str">
        <f t="shared" si="7"/>
        <v/>
      </c>
      <c r="Y577" s="3" t="str">
        <f t="shared" si="8"/>
        <v/>
      </c>
      <c r="Z577" s="3" t="str">
        <f t="shared" si="9"/>
        <v/>
      </c>
      <c r="AA577" s="13">
        <f t="shared" si="10"/>
        <v>528597</v>
      </c>
      <c r="AB577" s="3">
        <f t="shared" si="11"/>
        <v>528596</v>
      </c>
      <c r="AC577" s="3">
        <f t="shared" si="12"/>
        <v>4</v>
      </c>
      <c r="AD577" s="3">
        <f t="shared" si="13"/>
        <v>132149</v>
      </c>
      <c r="AE577" s="3" t="str">
        <f t="shared" si="14"/>
        <v/>
      </c>
      <c r="AF577" s="3">
        <f t="shared" si="15"/>
        <v>0</v>
      </c>
      <c r="AG577" s="3" t="str">
        <f t="shared" si="16"/>
        <v/>
      </c>
      <c r="AH577" s="3">
        <f t="shared" si="17"/>
        <v>0</v>
      </c>
      <c r="AI577" s="3" t="str">
        <f t="shared" si="18"/>
        <v/>
      </c>
      <c r="AJ577" s="3">
        <f t="shared" si="19"/>
        <v>0</v>
      </c>
    </row>
    <row r="578">
      <c r="C578" s="6" t="s">
        <v>578</v>
      </c>
      <c r="D578" s="3">
        <f t="shared" si="1"/>
        <v>3</v>
      </c>
      <c r="E578" s="3" t="str">
        <f>IFERROR(__xludf.DUMMYFUNCTION("REGEXEXTRACT(C578,""[^ ]* [^ ]*"")"),"muted green")</f>
        <v>muted green</v>
      </c>
      <c r="F578" s="3" t="str">
        <f>IFERROR(__xludf.DUMMYFUNCTION("MID(REGEXEXTRACT(C578,""contain.*$""),9,300)"),"3 vibrant bronze bags, 4 dim olive bags, 2 posh yellow bags, 2 dull cyan bags.")</f>
        <v>3 vibrant bronze bags, 4 dim olive bags, 2 posh yellow bags, 2 dull cyan bags.</v>
      </c>
      <c r="G578" s="3" t="str">
        <f>IFERROR(__xludf.DUMMYFUNCTION("INDEX(SPLIT($F578,"",""),COLUMN()-6)"),"3 vibrant bronze bags")</f>
        <v>3 vibrant bronze bags</v>
      </c>
      <c r="H578" s="3" t="str">
        <f>IFERROR(__xludf.DUMMYFUNCTION("MID(INDEX(SPLIT($F578,"",""),COLUMN()-6),2,300)"),"4 dim olive bags")</f>
        <v>4 dim olive bags</v>
      </c>
      <c r="I578" s="3" t="str">
        <f>IFERROR(__xludf.DUMMYFUNCTION("MID(INDEX(SPLIT($F578,"",""),COLUMN()-6),2,300)"),"2 posh yellow bags")</f>
        <v>2 posh yellow bags</v>
      </c>
      <c r="J578" s="3" t="str">
        <f>IFERROR(__xludf.DUMMYFUNCTION("MID(INDEX(SPLIT($F578,"",""),COLUMN()-6),2,300)"),"2 dull cyan bags.")</f>
        <v>2 dull cyan bags.</v>
      </c>
      <c r="K578" s="3">
        <f>IFERROR(__xludf.DUMMYFUNCTION("INDEX(SPLIT(G578,"" ""),1)"),3.0)</f>
        <v>3</v>
      </c>
      <c r="L578" s="3" t="str">
        <f>IFERROR(__xludf.DUMMYFUNCTION("REGEXEXTRACT(G578,"" [^ ]* [^ ]* "")")," vibrant bronze ")</f>
        <v> vibrant bronze </v>
      </c>
      <c r="M578" s="3">
        <f>IFERROR(__xludf.DUMMYFUNCTION("INDEX(SPLIT(H578,"" ""),1)"),4.0)</f>
        <v>4</v>
      </c>
      <c r="N578" s="3" t="str">
        <f>IFERROR(__xludf.DUMMYFUNCTION("MID(REGEXEXTRACT(H578,"" [^ ]* [^ ]*""),2,300)"),"dim olive")</f>
        <v>dim olive</v>
      </c>
      <c r="O578" s="3">
        <f>IFERROR(__xludf.DUMMYFUNCTION("INDEX(SPLIT(I578,"" ""),1)"),2.0)</f>
        <v>2</v>
      </c>
      <c r="P578" s="3" t="str">
        <f>IFERROR(__xludf.DUMMYFUNCTION("MID(REGEXEXTRACT(I578,"" [^ ]* [^ ]*""),2,300)"),"posh yellow")</f>
        <v>posh yellow</v>
      </c>
      <c r="Q578" s="3">
        <f>IFERROR(__xludf.DUMMYFUNCTION("INDEX(SPLIT(J578,"" ""),1)"),2.0)</f>
        <v>2</v>
      </c>
      <c r="R578" s="3" t="str">
        <f>IFERROR(__xludf.DUMMYFUNCTION("MID(REGEXEXTRACT(J578,"" [^ ]* [^ ]*""),2,300)"),"dull cyan")</f>
        <v>dull cyan</v>
      </c>
      <c r="S578" s="3">
        <f t="shared" si="2"/>
        <v>3</v>
      </c>
      <c r="T578" s="3" t="str">
        <f t="shared" si="3"/>
        <v>vibrant bronze</v>
      </c>
      <c r="U578" s="3">
        <f t="shared" si="4"/>
        <v>4</v>
      </c>
      <c r="V578" s="3" t="str">
        <f t="shared" si="5"/>
        <v>dim olive</v>
      </c>
      <c r="W578" s="3">
        <f t="shared" si="6"/>
        <v>2</v>
      </c>
      <c r="X578" s="3" t="str">
        <f t="shared" si="7"/>
        <v>posh yellow</v>
      </c>
      <c r="Y578" s="3">
        <f t="shared" si="8"/>
        <v>2</v>
      </c>
      <c r="Z578" s="3" t="str">
        <f t="shared" si="9"/>
        <v>dull cyan</v>
      </c>
      <c r="AA578" s="13">
        <f t="shared" si="10"/>
        <v>13589</v>
      </c>
      <c r="AB578" s="3">
        <f t="shared" si="11"/>
        <v>13588</v>
      </c>
      <c r="AC578" s="3">
        <f t="shared" si="12"/>
        <v>3</v>
      </c>
      <c r="AD578" s="3">
        <f t="shared" si="13"/>
        <v>2520</v>
      </c>
      <c r="AE578" s="3">
        <f t="shared" si="14"/>
        <v>4</v>
      </c>
      <c r="AF578" s="3">
        <f t="shared" si="15"/>
        <v>1</v>
      </c>
      <c r="AG578" s="3">
        <f t="shared" si="16"/>
        <v>2</v>
      </c>
      <c r="AH578" s="3">
        <f t="shared" si="17"/>
        <v>4</v>
      </c>
      <c r="AI578" s="3">
        <f t="shared" si="18"/>
        <v>2</v>
      </c>
      <c r="AJ578" s="3">
        <f t="shared" si="19"/>
        <v>3008</v>
      </c>
    </row>
    <row r="579">
      <c r="C579" s="6" t="s">
        <v>579</v>
      </c>
      <c r="D579" s="3">
        <f t="shared" si="1"/>
        <v>1</v>
      </c>
      <c r="E579" s="3" t="str">
        <f>IFERROR(__xludf.DUMMYFUNCTION("REGEXEXTRACT(C579,""[^ ]* [^ ]*"")"),"pale purple")</f>
        <v>pale purple</v>
      </c>
      <c r="F579" s="3" t="str">
        <f>IFERROR(__xludf.DUMMYFUNCTION("MID(REGEXEXTRACT(C579,""contain.*$""),9,300)"),"2 drab yellow bags, 3 bright crimson bags.")</f>
        <v>2 drab yellow bags, 3 bright crimson bags.</v>
      </c>
      <c r="G579" s="3" t="str">
        <f>IFERROR(__xludf.DUMMYFUNCTION("INDEX(SPLIT($F579,"",""),COLUMN()-6)"),"2 drab yellow bags")</f>
        <v>2 drab yellow bags</v>
      </c>
      <c r="H579" s="3" t="str">
        <f>IFERROR(__xludf.DUMMYFUNCTION("MID(INDEX(SPLIT($F579,"",""),COLUMN()-6),2,300)"),"3 bright crimson bags.")</f>
        <v>3 bright crimson bags.</v>
      </c>
      <c r="I579" s="3" t="str">
        <f>IFERROR(__xludf.DUMMYFUNCTION("MID(INDEX(SPLIT($F579,"",""),COLUMN()-6),2,300)"),"#REF!")</f>
        <v>#REF!</v>
      </c>
      <c r="J579" s="3" t="str">
        <f>IFERROR(__xludf.DUMMYFUNCTION("MID(INDEX(SPLIT($F579,"",""),COLUMN()-6),2,300)"),"#REF!")</f>
        <v>#REF!</v>
      </c>
      <c r="K579" s="3">
        <f>IFERROR(__xludf.DUMMYFUNCTION("INDEX(SPLIT(G579,"" ""),1)"),2.0)</f>
        <v>2</v>
      </c>
      <c r="L579" s="3" t="str">
        <f>IFERROR(__xludf.DUMMYFUNCTION("REGEXEXTRACT(G579,"" [^ ]* [^ ]* "")")," drab yellow ")</f>
        <v> drab yellow </v>
      </c>
      <c r="M579" s="3">
        <f>IFERROR(__xludf.DUMMYFUNCTION("INDEX(SPLIT(H579,"" ""),1)"),3.0)</f>
        <v>3</v>
      </c>
      <c r="N579" s="3" t="str">
        <f>IFERROR(__xludf.DUMMYFUNCTION("MID(REGEXEXTRACT(H579,"" [^ ]* [^ ]*""),2,300)"),"bright crimson")</f>
        <v>bright crimson</v>
      </c>
      <c r="O579" s="3" t="str">
        <f>IFERROR(__xludf.DUMMYFUNCTION("INDEX(SPLIT(I579,"" ""),1)"),"#REF!")</f>
        <v>#REF!</v>
      </c>
      <c r="P579" s="3" t="str">
        <f>IFERROR(__xludf.DUMMYFUNCTION("MID(REGEXEXTRACT(I579,"" [^ ]* [^ ]*""),2,300)"),"#REF!")</f>
        <v>#REF!</v>
      </c>
      <c r="Q579" s="3" t="str">
        <f>IFERROR(__xludf.DUMMYFUNCTION("INDEX(SPLIT(J579,"" ""),1)"),"#REF!")</f>
        <v>#REF!</v>
      </c>
      <c r="R579" s="3" t="str">
        <f>IFERROR(__xludf.DUMMYFUNCTION("MID(REGEXEXTRACT(J579,"" [^ ]* [^ ]*""),2,300)"),"#REF!")</f>
        <v>#REF!</v>
      </c>
      <c r="S579" s="3">
        <f t="shared" si="2"/>
        <v>2</v>
      </c>
      <c r="T579" s="3" t="str">
        <f t="shared" si="3"/>
        <v>drab yellow</v>
      </c>
      <c r="U579" s="3">
        <f t="shared" si="4"/>
        <v>3</v>
      </c>
      <c r="V579" s="3" t="str">
        <f t="shared" si="5"/>
        <v>bright crimson</v>
      </c>
      <c r="W579" s="3" t="str">
        <f t="shared" si="6"/>
        <v/>
      </c>
      <c r="X579" s="3" t="str">
        <f t="shared" si="7"/>
        <v/>
      </c>
      <c r="Y579" s="3" t="str">
        <f t="shared" si="8"/>
        <v/>
      </c>
      <c r="Z579" s="3" t="str">
        <f t="shared" si="9"/>
        <v/>
      </c>
      <c r="AA579" s="13">
        <f t="shared" si="10"/>
        <v>1187887608</v>
      </c>
      <c r="AB579" s="3">
        <f t="shared" si="11"/>
        <v>1187887607</v>
      </c>
      <c r="AC579" s="3">
        <f t="shared" si="12"/>
        <v>2</v>
      </c>
      <c r="AD579" s="3">
        <f t="shared" si="13"/>
        <v>593942644</v>
      </c>
      <c r="AE579" s="3">
        <f t="shared" si="14"/>
        <v>3</v>
      </c>
      <c r="AF579" s="3">
        <f t="shared" si="15"/>
        <v>773</v>
      </c>
      <c r="AG579" s="3" t="str">
        <f t="shared" si="16"/>
        <v/>
      </c>
      <c r="AH579" s="3">
        <f t="shared" si="17"/>
        <v>0</v>
      </c>
      <c r="AI579" s="3" t="str">
        <f t="shared" si="18"/>
        <v/>
      </c>
      <c r="AJ579" s="3">
        <f t="shared" si="19"/>
        <v>0</v>
      </c>
    </row>
    <row r="580">
      <c r="C580" s="6" t="s">
        <v>580</v>
      </c>
      <c r="D580" s="3">
        <f t="shared" si="1"/>
        <v>1</v>
      </c>
      <c r="E580" s="3" t="str">
        <f>IFERROR(__xludf.DUMMYFUNCTION("REGEXEXTRACT(C580,""[^ ]* [^ ]*"")"),"posh fuchsia")</f>
        <v>posh fuchsia</v>
      </c>
      <c r="F580" s="3" t="str">
        <f>IFERROR(__xludf.DUMMYFUNCTION("MID(REGEXEXTRACT(C580,""contain.*$""),9,300)"),"1 dull tan bag, 2 dim orange bags.")</f>
        <v>1 dull tan bag, 2 dim orange bags.</v>
      </c>
      <c r="G580" s="3" t="str">
        <f>IFERROR(__xludf.DUMMYFUNCTION("INDEX(SPLIT($F580,"",""),COLUMN()-6)"),"1 dull tan bag")</f>
        <v>1 dull tan bag</v>
      </c>
      <c r="H580" s="3" t="str">
        <f>IFERROR(__xludf.DUMMYFUNCTION("MID(INDEX(SPLIT($F580,"",""),COLUMN()-6),2,300)"),"2 dim orange bags.")</f>
        <v>2 dim orange bags.</v>
      </c>
      <c r="I580" s="3" t="str">
        <f>IFERROR(__xludf.DUMMYFUNCTION("MID(INDEX(SPLIT($F580,"",""),COLUMN()-6),2,300)"),"#REF!")</f>
        <v>#REF!</v>
      </c>
      <c r="J580" s="3" t="str">
        <f>IFERROR(__xludf.DUMMYFUNCTION("MID(INDEX(SPLIT($F580,"",""),COLUMN()-6),2,300)"),"#REF!")</f>
        <v>#REF!</v>
      </c>
      <c r="K580" s="3">
        <f>IFERROR(__xludf.DUMMYFUNCTION("INDEX(SPLIT(G580,"" ""),1)"),1.0)</f>
        <v>1</v>
      </c>
      <c r="L580" s="3" t="str">
        <f>IFERROR(__xludf.DUMMYFUNCTION("REGEXEXTRACT(G580,"" [^ ]* [^ ]* "")")," dull tan ")</f>
        <v> dull tan </v>
      </c>
      <c r="M580" s="3">
        <f>IFERROR(__xludf.DUMMYFUNCTION("INDEX(SPLIT(H580,"" ""),1)"),2.0)</f>
        <v>2</v>
      </c>
      <c r="N580" s="3" t="str">
        <f>IFERROR(__xludf.DUMMYFUNCTION("MID(REGEXEXTRACT(H580,"" [^ ]* [^ ]*""),2,300)"),"dim orange")</f>
        <v>dim orange</v>
      </c>
      <c r="O580" s="3" t="str">
        <f>IFERROR(__xludf.DUMMYFUNCTION("INDEX(SPLIT(I580,"" ""),1)"),"#REF!")</f>
        <v>#REF!</v>
      </c>
      <c r="P580" s="3" t="str">
        <f>IFERROR(__xludf.DUMMYFUNCTION("MID(REGEXEXTRACT(I580,"" [^ ]* [^ ]*""),2,300)"),"#REF!")</f>
        <v>#REF!</v>
      </c>
      <c r="Q580" s="3" t="str">
        <f>IFERROR(__xludf.DUMMYFUNCTION("INDEX(SPLIT(J580,"" ""),1)"),"#REF!")</f>
        <v>#REF!</v>
      </c>
      <c r="R580" s="3" t="str">
        <f>IFERROR(__xludf.DUMMYFUNCTION("MID(REGEXEXTRACT(J580,"" [^ ]* [^ ]*""),2,300)"),"#REF!")</f>
        <v>#REF!</v>
      </c>
      <c r="S580" s="3">
        <f t="shared" si="2"/>
        <v>1</v>
      </c>
      <c r="T580" s="3" t="str">
        <f t="shared" si="3"/>
        <v>dull tan</v>
      </c>
      <c r="U580" s="3">
        <f t="shared" si="4"/>
        <v>2</v>
      </c>
      <c r="V580" s="3" t="str">
        <f t="shared" si="5"/>
        <v>dim orange</v>
      </c>
      <c r="W580" s="3" t="str">
        <f t="shared" si="6"/>
        <v/>
      </c>
      <c r="X580" s="3" t="str">
        <f t="shared" si="7"/>
        <v/>
      </c>
      <c r="Y580" s="3" t="str">
        <f t="shared" si="8"/>
        <v/>
      </c>
      <c r="Z580" s="3" t="str">
        <f t="shared" si="9"/>
        <v/>
      </c>
      <c r="AA580" s="13">
        <f t="shared" si="10"/>
        <v>3398927830</v>
      </c>
      <c r="AB580" s="3">
        <f t="shared" si="11"/>
        <v>3398927829</v>
      </c>
      <c r="AC580" s="3">
        <f t="shared" si="12"/>
        <v>1</v>
      </c>
      <c r="AD580" s="3">
        <f t="shared" si="13"/>
        <v>321177</v>
      </c>
      <c r="AE580" s="3">
        <f t="shared" si="14"/>
        <v>2</v>
      </c>
      <c r="AF580" s="3">
        <f t="shared" si="15"/>
        <v>1699303326</v>
      </c>
      <c r="AG580" s="3" t="str">
        <f t="shared" si="16"/>
        <v/>
      </c>
      <c r="AH580" s="3">
        <f t="shared" si="17"/>
        <v>0</v>
      </c>
      <c r="AI580" s="3" t="str">
        <f t="shared" si="18"/>
        <v/>
      </c>
      <c r="AJ580" s="3">
        <f t="shared" si="19"/>
        <v>0</v>
      </c>
    </row>
    <row r="581">
      <c r="C581" s="6" t="s">
        <v>581</v>
      </c>
      <c r="D581" s="3">
        <f t="shared" si="1"/>
        <v>3</v>
      </c>
      <c r="E581" s="3" t="str">
        <f>IFERROR(__xludf.DUMMYFUNCTION("REGEXEXTRACT(C581,""[^ ]* [^ ]*"")"),"drab teal")</f>
        <v>drab teal</v>
      </c>
      <c r="F581" s="3" t="str">
        <f>IFERROR(__xludf.DUMMYFUNCTION("MID(REGEXEXTRACT(C581,""contain.*$""),9,300)"),"1 dim violet bag, 2 drab green bags, 5 mirrored lavender bags, 2 faded purple bags.")</f>
        <v>1 dim violet bag, 2 drab green bags, 5 mirrored lavender bags, 2 faded purple bags.</v>
      </c>
      <c r="G581" s="3" t="str">
        <f>IFERROR(__xludf.DUMMYFUNCTION("INDEX(SPLIT($F581,"",""),COLUMN()-6)"),"1 dim violet bag")</f>
        <v>1 dim violet bag</v>
      </c>
      <c r="H581" s="3" t="str">
        <f>IFERROR(__xludf.DUMMYFUNCTION("MID(INDEX(SPLIT($F581,"",""),COLUMN()-6),2,300)"),"2 drab green bags")</f>
        <v>2 drab green bags</v>
      </c>
      <c r="I581" s="3" t="str">
        <f>IFERROR(__xludf.DUMMYFUNCTION("MID(INDEX(SPLIT($F581,"",""),COLUMN()-6),2,300)"),"5 mirrored lavender bags")</f>
        <v>5 mirrored lavender bags</v>
      </c>
      <c r="J581" s="3" t="str">
        <f>IFERROR(__xludf.DUMMYFUNCTION("MID(INDEX(SPLIT($F581,"",""),COLUMN()-6),2,300)"),"2 faded purple bags.")</f>
        <v>2 faded purple bags.</v>
      </c>
      <c r="K581" s="3">
        <f>IFERROR(__xludf.DUMMYFUNCTION("INDEX(SPLIT(G581,"" ""),1)"),1.0)</f>
        <v>1</v>
      </c>
      <c r="L581" s="3" t="str">
        <f>IFERROR(__xludf.DUMMYFUNCTION("REGEXEXTRACT(G581,"" [^ ]* [^ ]* "")")," dim violet ")</f>
        <v> dim violet </v>
      </c>
      <c r="M581" s="3">
        <f>IFERROR(__xludf.DUMMYFUNCTION("INDEX(SPLIT(H581,"" ""),1)"),2.0)</f>
        <v>2</v>
      </c>
      <c r="N581" s="3" t="str">
        <f>IFERROR(__xludf.DUMMYFUNCTION("MID(REGEXEXTRACT(H581,"" [^ ]* [^ ]*""),2,300)"),"drab green")</f>
        <v>drab green</v>
      </c>
      <c r="O581" s="3">
        <f>IFERROR(__xludf.DUMMYFUNCTION("INDEX(SPLIT(I581,"" ""),1)"),5.0)</f>
        <v>5</v>
      </c>
      <c r="P581" s="3" t="str">
        <f>IFERROR(__xludf.DUMMYFUNCTION("MID(REGEXEXTRACT(I581,"" [^ ]* [^ ]*""),2,300)"),"mirrored lavender")</f>
        <v>mirrored lavender</v>
      </c>
      <c r="Q581" s="3">
        <f>IFERROR(__xludf.DUMMYFUNCTION("INDEX(SPLIT(J581,"" ""),1)"),2.0)</f>
        <v>2</v>
      </c>
      <c r="R581" s="3" t="str">
        <f>IFERROR(__xludf.DUMMYFUNCTION("MID(REGEXEXTRACT(J581,"" [^ ]* [^ ]*""),2,300)"),"faded purple")</f>
        <v>faded purple</v>
      </c>
      <c r="S581" s="3">
        <f t="shared" si="2"/>
        <v>1</v>
      </c>
      <c r="T581" s="3" t="str">
        <f t="shared" si="3"/>
        <v>dim violet</v>
      </c>
      <c r="U581" s="3">
        <f t="shared" si="4"/>
        <v>2</v>
      </c>
      <c r="V581" s="3" t="str">
        <f t="shared" si="5"/>
        <v>drab green</v>
      </c>
      <c r="W581" s="3">
        <f t="shared" si="6"/>
        <v>5</v>
      </c>
      <c r="X581" s="3" t="str">
        <f t="shared" si="7"/>
        <v>mirrored lavender</v>
      </c>
      <c r="Y581" s="3">
        <f t="shared" si="8"/>
        <v>2</v>
      </c>
      <c r="Z581" s="3" t="str">
        <f t="shared" si="9"/>
        <v>faded purple</v>
      </c>
      <c r="AA581" s="13">
        <f t="shared" si="10"/>
        <v>40693</v>
      </c>
      <c r="AB581" s="3">
        <f t="shared" si="11"/>
        <v>40692</v>
      </c>
      <c r="AC581" s="3">
        <f t="shared" si="12"/>
        <v>1</v>
      </c>
      <c r="AD581" s="3">
        <f t="shared" si="13"/>
        <v>153</v>
      </c>
      <c r="AE581" s="3">
        <f t="shared" si="14"/>
        <v>2</v>
      </c>
      <c r="AF581" s="3">
        <f t="shared" si="15"/>
        <v>5</v>
      </c>
      <c r="AG581" s="3">
        <f t="shared" si="16"/>
        <v>5</v>
      </c>
      <c r="AH581" s="3">
        <f t="shared" si="17"/>
        <v>5563</v>
      </c>
      <c r="AI581" s="3">
        <f t="shared" si="18"/>
        <v>2</v>
      </c>
      <c r="AJ581" s="3">
        <f t="shared" si="19"/>
        <v>6357</v>
      </c>
    </row>
    <row r="582">
      <c r="C582" s="6" t="s">
        <v>582</v>
      </c>
      <c r="D582" s="3">
        <f t="shared" si="1"/>
        <v>3</v>
      </c>
      <c r="E582" s="3" t="str">
        <f>IFERROR(__xludf.DUMMYFUNCTION("REGEXEXTRACT(C582,""[^ ]* [^ ]*"")"),"mirrored teal")</f>
        <v>mirrored teal</v>
      </c>
      <c r="F582" s="3" t="str">
        <f>IFERROR(__xludf.DUMMYFUNCTION("MID(REGEXEXTRACT(C582,""contain.*$""),9,300)"),"4 vibrant aqua bags, 2 dull turquoise bags, 4 vibrant bronze bags, 3 mirrored olive bags.")</f>
        <v>4 vibrant aqua bags, 2 dull turquoise bags, 4 vibrant bronze bags, 3 mirrored olive bags.</v>
      </c>
      <c r="G582" s="3" t="str">
        <f>IFERROR(__xludf.DUMMYFUNCTION("INDEX(SPLIT($F582,"",""),COLUMN()-6)"),"4 vibrant aqua bags")</f>
        <v>4 vibrant aqua bags</v>
      </c>
      <c r="H582" s="3" t="str">
        <f>IFERROR(__xludf.DUMMYFUNCTION("MID(INDEX(SPLIT($F582,"",""),COLUMN()-6),2,300)"),"2 dull turquoise bags")</f>
        <v>2 dull turquoise bags</v>
      </c>
      <c r="I582" s="3" t="str">
        <f>IFERROR(__xludf.DUMMYFUNCTION("MID(INDEX(SPLIT($F582,"",""),COLUMN()-6),2,300)"),"4 vibrant bronze bags")</f>
        <v>4 vibrant bronze bags</v>
      </c>
      <c r="J582" s="3" t="str">
        <f>IFERROR(__xludf.DUMMYFUNCTION("MID(INDEX(SPLIT($F582,"",""),COLUMN()-6),2,300)"),"3 mirrored olive bags.")</f>
        <v>3 mirrored olive bags.</v>
      </c>
      <c r="K582" s="3">
        <f>IFERROR(__xludf.DUMMYFUNCTION("INDEX(SPLIT(G582,"" ""),1)"),4.0)</f>
        <v>4</v>
      </c>
      <c r="L582" s="3" t="str">
        <f>IFERROR(__xludf.DUMMYFUNCTION("REGEXEXTRACT(G582,"" [^ ]* [^ ]* "")")," vibrant aqua ")</f>
        <v> vibrant aqua </v>
      </c>
      <c r="M582" s="3">
        <f>IFERROR(__xludf.DUMMYFUNCTION("INDEX(SPLIT(H582,"" ""),1)"),2.0)</f>
        <v>2</v>
      </c>
      <c r="N582" s="3" t="str">
        <f>IFERROR(__xludf.DUMMYFUNCTION("MID(REGEXEXTRACT(H582,"" [^ ]* [^ ]*""),2,300)"),"dull turquoise")</f>
        <v>dull turquoise</v>
      </c>
      <c r="O582" s="3">
        <f>IFERROR(__xludf.DUMMYFUNCTION("INDEX(SPLIT(I582,"" ""),1)"),4.0)</f>
        <v>4</v>
      </c>
      <c r="P582" s="3" t="str">
        <f>IFERROR(__xludf.DUMMYFUNCTION("MID(REGEXEXTRACT(I582,"" [^ ]* [^ ]*""),2,300)"),"vibrant bronze")</f>
        <v>vibrant bronze</v>
      </c>
      <c r="Q582" s="3">
        <f>IFERROR(__xludf.DUMMYFUNCTION("INDEX(SPLIT(J582,"" ""),1)"),3.0)</f>
        <v>3</v>
      </c>
      <c r="R582" s="3" t="str">
        <f>IFERROR(__xludf.DUMMYFUNCTION("MID(REGEXEXTRACT(J582,"" [^ ]* [^ ]*""),2,300)"),"mirrored olive")</f>
        <v>mirrored olive</v>
      </c>
      <c r="S582" s="3">
        <f t="shared" si="2"/>
        <v>4</v>
      </c>
      <c r="T582" s="3" t="str">
        <f t="shared" si="3"/>
        <v>vibrant aqua</v>
      </c>
      <c r="U582" s="3">
        <f t="shared" si="4"/>
        <v>2</v>
      </c>
      <c r="V582" s="3" t="str">
        <f t="shared" si="5"/>
        <v>dull turquoise</v>
      </c>
      <c r="W582" s="3">
        <f t="shared" si="6"/>
        <v>4</v>
      </c>
      <c r="X582" s="3" t="str">
        <f t="shared" si="7"/>
        <v>vibrant bronze</v>
      </c>
      <c r="Y582" s="3">
        <f t="shared" si="8"/>
        <v>3</v>
      </c>
      <c r="Z582" s="3" t="str">
        <f t="shared" si="9"/>
        <v>mirrored olive</v>
      </c>
      <c r="AA582" s="13">
        <f t="shared" si="10"/>
        <v>725247</v>
      </c>
      <c r="AB582" s="3">
        <f t="shared" si="11"/>
        <v>725246</v>
      </c>
      <c r="AC582" s="3">
        <f t="shared" si="12"/>
        <v>4</v>
      </c>
      <c r="AD582" s="3">
        <f t="shared" si="13"/>
        <v>1</v>
      </c>
      <c r="AE582" s="3">
        <f t="shared" si="14"/>
        <v>2</v>
      </c>
      <c r="AF582" s="3">
        <f t="shared" si="15"/>
        <v>346469</v>
      </c>
      <c r="AG582" s="3">
        <f t="shared" si="16"/>
        <v>4</v>
      </c>
      <c r="AH582" s="3">
        <f t="shared" si="17"/>
        <v>2520</v>
      </c>
      <c r="AI582" s="3">
        <f t="shared" si="18"/>
        <v>3</v>
      </c>
      <c r="AJ582" s="3">
        <f t="shared" si="19"/>
        <v>7408</v>
      </c>
    </row>
    <row r="583">
      <c r="C583" s="6" t="s">
        <v>583</v>
      </c>
      <c r="D583" s="3">
        <f t="shared" si="1"/>
        <v>0</v>
      </c>
      <c r="E583" s="3" t="str">
        <f>IFERROR(__xludf.DUMMYFUNCTION("REGEXEXTRACT(C583,""[^ ]* [^ ]*"")"),"muted violet")</f>
        <v>muted violet</v>
      </c>
      <c r="F583" s="3" t="str">
        <f>IFERROR(__xludf.DUMMYFUNCTION("MID(REGEXEXTRACT(C583,""contain.*$""),9,300)"),"3 wavy chartreuse bags.")</f>
        <v>3 wavy chartreuse bags.</v>
      </c>
      <c r="G583" s="3" t="str">
        <f>IFERROR(__xludf.DUMMYFUNCTION("INDEX(SPLIT($F583,"",""),COLUMN()-6)"),"3 wavy chartreuse bags.")</f>
        <v>3 wavy chartreuse bags.</v>
      </c>
      <c r="H583" s="3" t="str">
        <f>IFERROR(__xludf.DUMMYFUNCTION("MID(INDEX(SPLIT($F583,"",""),COLUMN()-6),2,300)"),"#REF!")</f>
        <v>#REF!</v>
      </c>
      <c r="I583" s="3" t="str">
        <f>IFERROR(__xludf.DUMMYFUNCTION("MID(INDEX(SPLIT($F583,"",""),COLUMN()-6),2,300)"),"#REF!")</f>
        <v>#REF!</v>
      </c>
      <c r="J583" s="3" t="str">
        <f>IFERROR(__xludf.DUMMYFUNCTION("MID(INDEX(SPLIT($F583,"",""),COLUMN()-6),2,300)"),"#REF!")</f>
        <v>#REF!</v>
      </c>
      <c r="K583" s="3">
        <f>IFERROR(__xludf.DUMMYFUNCTION("INDEX(SPLIT(G583,"" ""),1)"),3.0)</f>
        <v>3</v>
      </c>
      <c r="L583" s="3" t="str">
        <f>IFERROR(__xludf.DUMMYFUNCTION("REGEXEXTRACT(G583,"" [^ ]* [^ ]* "")")," wavy chartreuse ")</f>
        <v> wavy chartreuse </v>
      </c>
      <c r="M583" s="3" t="str">
        <f>IFERROR(__xludf.DUMMYFUNCTION("INDEX(SPLIT(H583,"" ""),1)"),"#REF!")</f>
        <v>#REF!</v>
      </c>
      <c r="N583" s="3" t="str">
        <f>IFERROR(__xludf.DUMMYFUNCTION("MID(REGEXEXTRACT(H583,"" [^ ]* [^ ]*""),2,300)"),"#REF!")</f>
        <v>#REF!</v>
      </c>
      <c r="O583" s="3" t="str">
        <f>IFERROR(__xludf.DUMMYFUNCTION("INDEX(SPLIT(I583,"" ""),1)"),"#REF!")</f>
        <v>#REF!</v>
      </c>
      <c r="P583" s="3" t="str">
        <f>IFERROR(__xludf.DUMMYFUNCTION("MID(REGEXEXTRACT(I583,"" [^ ]* [^ ]*""),2,300)"),"#REF!")</f>
        <v>#REF!</v>
      </c>
      <c r="Q583" s="3" t="str">
        <f>IFERROR(__xludf.DUMMYFUNCTION("INDEX(SPLIT(J583,"" ""),1)"),"#REF!")</f>
        <v>#REF!</v>
      </c>
      <c r="R583" s="3" t="str">
        <f>IFERROR(__xludf.DUMMYFUNCTION("MID(REGEXEXTRACT(J583,"" [^ ]* [^ ]*""),2,300)"),"#REF!")</f>
        <v>#REF!</v>
      </c>
      <c r="S583" s="3">
        <f t="shared" si="2"/>
        <v>3</v>
      </c>
      <c r="T583" s="3" t="str">
        <f t="shared" si="3"/>
        <v>wavy chartreuse</v>
      </c>
      <c r="U583" s="3" t="str">
        <f t="shared" si="4"/>
        <v/>
      </c>
      <c r="V583" s="3" t="str">
        <f t="shared" si="5"/>
        <v/>
      </c>
      <c r="W583" s="3" t="str">
        <f t="shared" si="6"/>
        <v/>
      </c>
      <c r="X583" s="3" t="str">
        <f t="shared" si="7"/>
        <v/>
      </c>
      <c r="Y583" s="3" t="str">
        <f t="shared" si="8"/>
        <v/>
      </c>
      <c r="Z583" s="3" t="str">
        <f t="shared" si="9"/>
        <v/>
      </c>
      <c r="AA583" s="13">
        <f t="shared" si="10"/>
        <v>4</v>
      </c>
      <c r="AB583" s="3">
        <f t="shared" si="11"/>
        <v>3</v>
      </c>
      <c r="AC583" s="3">
        <f t="shared" si="12"/>
        <v>3</v>
      </c>
      <c r="AD583" s="3">
        <f t="shared" si="13"/>
        <v>1</v>
      </c>
      <c r="AE583" s="3" t="str">
        <f t="shared" si="14"/>
        <v/>
      </c>
      <c r="AF583" s="3">
        <f t="shared" si="15"/>
        <v>0</v>
      </c>
      <c r="AG583" s="3" t="str">
        <f t="shared" si="16"/>
        <v/>
      </c>
      <c r="AH583" s="3">
        <f t="shared" si="17"/>
        <v>0</v>
      </c>
      <c r="AI583" s="3" t="str">
        <f t="shared" si="18"/>
        <v/>
      </c>
      <c r="AJ583" s="3">
        <f t="shared" si="19"/>
        <v>0</v>
      </c>
    </row>
    <row r="584">
      <c r="C584" s="6" t="s">
        <v>584</v>
      </c>
      <c r="D584" s="3">
        <f t="shared" si="1"/>
        <v>2</v>
      </c>
      <c r="E584" s="3" t="str">
        <f>IFERROR(__xludf.DUMMYFUNCTION("REGEXEXTRACT(C584,""[^ ]* [^ ]*"")"),"mirrored salmon")</f>
        <v>mirrored salmon</v>
      </c>
      <c r="F584" s="3" t="str">
        <f>IFERROR(__xludf.DUMMYFUNCTION("MID(REGEXEXTRACT(C584,""contain.*$""),9,300)"),"3 clear cyan bags, 5 posh plum bags, 1 shiny coral bag.")</f>
        <v>3 clear cyan bags, 5 posh plum bags, 1 shiny coral bag.</v>
      </c>
      <c r="G584" s="3" t="str">
        <f>IFERROR(__xludf.DUMMYFUNCTION("INDEX(SPLIT($F584,"",""),COLUMN()-6)"),"3 clear cyan bags")</f>
        <v>3 clear cyan bags</v>
      </c>
      <c r="H584" s="3" t="str">
        <f>IFERROR(__xludf.DUMMYFUNCTION("MID(INDEX(SPLIT($F584,"",""),COLUMN()-6),2,300)"),"5 posh plum bags")</f>
        <v>5 posh plum bags</v>
      </c>
      <c r="I584" s="3" t="str">
        <f>IFERROR(__xludf.DUMMYFUNCTION("MID(INDEX(SPLIT($F584,"",""),COLUMN()-6),2,300)"),"1 shiny coral bag.")</f>
        <v>1 shiny coral bag.</v>
      </c>
      <c r="J584" s="3" t="str">
        <f>IFERROR(__xludf.DUMMYFUNCTION("MID(INDEX(SPLIT($F584,"",""),COLUMN()-6),2,300)"),"#REF!")</f>
        <v>#REF!</v>
      </c>
      <c r="K584" s="3">
        <f>IFERROR(__xludf.DUMMYFUNCTION("INDEX(SPLIT(G584,"" ""),1)"),3.0)</f>
        <v>3</v>
      </c>
      <c r="L584" s="3" t="str">
        <f>IFERROR(__xludf.DUMMYFUNCTION("REGEXEXTRACT(G584,"" [^ ]* [^ ]* "")")," clear cyan ")</f>
        <v> clear cyan </v>
      </c>
      <c r="M584" s="3">
        <f>IFERROR(__xludf.DUMMYFUNCTION("INDEX(SPLIT(H584,"" ""),1)"),5.0)</f>
        <v>5</v>
      </c>
      <c r="N584" s="3" t="str">
        <f>IFERROR(__xludf.DUMMYFUNCTION("MID(REGEXEXTRACT(H584,"" [^ ]* [^ ]*""),2,300)"),"posh plum")</f>
        <v>posh plum</v>
      </c>
      <c r="O584" s="3">
        <f>IFERROR(__xludf.DUMMYFUNCTION("INDEX(SPLIT(I584,"" ""),1)"),1.0)</f>
        <v>1</v>
      </c>
      <c r="P584" s="3" t="str">
        <f>IFERROR(__xludf.DUMMYFUNCTION("MID(REGEXEXTRACT(I584,"" [^ ]* [^ ]*""),2,300)"),"shiny coral")</f>
        <v>shiny coral</v>
      </c>
      <c r="Q584" s="3" t="str">
        <f>IFERROR(__xludf.DUMMYFUNCTION("INDEX(SPLIT(J584,"" ""),1)"),"#REF!")</f>
        <v>#REF!</v>
      </c>
      <c r="R584" s="3" t="str">
        <f>IFERROR(__xludf.DUMMYFUNCTION("MID(REGEXEXTRACT(J584,"" [^ ]* [^ ]*""),2,300)"),"#REF!")</f>
        <v>#REF!</v>
      </c>
      <c r="S584" s="3">
        <f t="shared" si="2"/>
        <v>3</v>
      </c>
      <c r="T584" s="3" t="str">
        <f t="shared" si="3"/>
        <v>clear cyan</v>
      </c>
      <c r="U584" s="3">
        <f t="shared" si="4"/>
        <v>5</v>
      </c>
      <c r="V584" s="3" t="str">
        <f t="shared" si="5"/>
        <v>posh plum</v>
      </c>
      <c r="W584" s="3">
        <f t="shared" si="6"/>
        <v>1</v>
      </c>
      <c r="X584" s="3" t="str">
        <f t="shared" si="7"/>
        <v>shiny coral</v>
      </c>
      <c r="Y584" s="3" t="str">
        <f t="shared" si="8"/>
        <v/>
      </c>
      <c r="Z584" s="3" t="str">
        <f t="shared" si="9"/>
        <v/>
      </c>
      <c r="AA584" s="13">
        <f t="shared" si="10"/>
        <v>2728077</v>
      </c>
      <c r="AB584" s="3">
        <f t="shared" si="11"/>
        <v>2728076</v>
      </c>
      <c r="AC584" s="3">
        <f t="shared" si="12"/>
        <v>3</v>
      </c>
      <c r="AD584" s="3">
        <f t="shared" si="13"/>
        <v>899055</v>
      </c>
      <c r="AE584" s="3">
        <f t="shared" si="14"/>
        <v>5</v>
      </c>
      <c r="AF584" s="3">
        <f t="shared" si="15"/>
        <v>6182</v>
      </c>
      <c r="AG584" s="3">
        <f t="shared" si="16"/>
        <v>1</v>
      </c>
      <c r="AH584" s="3">
        <f t="shared" si="17"/>
        <v>1</v>
      </c>
      <c r="AI584" s="3" t="str">
        <f t="shared" si="18"/>
        <v/>
      </c>
      <c r="AJ584" s="3">
        <f t="shared" si="19"/>
        <v>0</v>
      </c>
    </row>
    <row r="585">
      <c r="C585" s="6" t="s">
        <v>585</v>
      </c>
      <c r="D585" s="3">
        <f t="shared" si="1"/>
        <v>2</v>
      </c>
      <c r="E585" s="3" t="str">
        <f>IFERROR(__xludf.DUMMYFUNCTION("REGEXEXTRACT(C585,""[^ ]* [^ ]*"")"),"vibrant crimson")</f>
        <v>vibrant crimson</v>
      </c>
      <c r="F585" s="3" t="str">
        <f>IFERROR(__xludf.DUMMYFUNCTION("MID(REGEXEXTRACT(C585,""contain.*$""),9,300)"),"4 dotted chartreuse bags, 2 wavy yellow bags, 3 drab green bags.")</f>
        <v>4 dotted chartreuse bags, 2 wavy yellow bags, 3 drab green bags.</v>
      </c>
      <c r="G585" s="3" t="str">
        <f>IFERROR(__xludf.DUMMYFUNCTION("INDEX(SPLIT($F585,"",""),COLUMN()-6)"),"4 dotted chartreuse bags")</f>
        <v>4 dotted chartreuse bags</v>
      </c>
      <c r="H585" s="3" t="str">
        <f>IFERROR(__xludf.DUMMYFUNCTION("MID(INDEX(SPLIT($F585,"",""),COLUMN()-6),2,300)"),"2 wavy yellow bags")</f>
        <v>2 wavy yellow bags</v>
      </c>
      <c r="I585" s="3" t="str">
        <f>IFERROR(__xludf.DUMMYFUNCTION("MID(INDEX(SPLIT($F585,"",""),COLUMN()-6),2,300)"),"3 drab green bags.")</f>
        <v>3 drab green bags.</v>
      </c>
      <c r="J585" s="3" t="str">
        <f>IFERROR(__xludf.DUMMYFUNCTION("MID(INDEX(SPLIT($F585,"",""),COLUMN()-6),2,300)"),"#REF!")</f>
        <v>#REF!</v>
      </c>
      <c r="K585" s="3">
        <f>IFERROR(__xludf.DUMMYFUNCTION("INDEX(SPLIT(G585,"" ""),1)"),4.0)</f>
        <v>4</v>
      </c>
      <c r="L585" s="3" t="str">
        <f>IFERROR(__xludf.DUMMYFUNCTION("REGEXEXTRACT(G585,"" [^ ]* [^ ]* "")")," dotted chartreuse ")</f>
        <v> dotted chartreuse </v>
      </c>
      <c r="M585" s="3">
        <f>IFERROR(__xludf.DUMMYFUNCTION("INDEX(SPLIT(H585,"" ""),1)"),2.0)</f>
        <v>2</v>
      </c>
      <c r="N585" s="3" t="str">
        <f>IFERROR(__xludf.DUMMYFUNCTION("MID(REGEXEXTRACT(H585,"" [^ ]* [^ ]*""),2,300)"),"wavy yellow")</f>
        <v>wavy yellow</v>
      </c>
      <c r="O585" s="3">
        <f>IFERROR(__xludf.DUMMYFUNCTION("INDEX(SPLIT(I585,"" ""),1)"),3.0)</f>
        <v>3</v>
      </c>
      <c r="P585" s="3" t="str">
        <f>IFERROR(__xludf.DUMMYFUNCTION("MID(REGEXEXTRACT(I585,"" [^ ]* [^ ]*""),2,300)"),"drab green")</f>
        <v>drab green</v>
      </c>
      <c r="Q585" s="3" t="str">
        <f>IFERROR(__xludf.DUMMYFUNCTION("INDEX(SPLIT(J585,"" ""),1)"),"#REF!")</f>
        <v>#REF!</v>
      </c>
      <c r="R585" s="3" t="str">
        <f>IFERROR(__xludf.DUMMYFUNCTION("MID(REGEXEXTRACT(J585,"" [^ ]* [^ ]*""),2,300)"),"#REF!")</f>
        <v>#REF!</v>
      </c>
      <c r="S585" s="3">
        <f t="shared" si="2"/>
        <v>4</v>
      </c>
      <c r="T585" s="3" t="str">
        <f t="shared" si="3"/>
        <v>dotted chartreuse</v>
      </c>
      <c r="U585" s="3">
        <f t="shared" si="4"/>
        <v>2</v>
      </c>
      <c r="V585" s="3" t="str">
        <f t="shared" si="5"/>
        <v>wavy yellow</v>
      </c>
      <c r="W585" s="3">
        <f t="shared" si="6"/>
        <v>3</v>
      </c>
      <c r="X585" s="3" t="str">
        <f t="shared" si="7"/>
        <v>drab green</v>
      </c>
      <c r="Y585" s="3" t="str">
        <f t="shared" si="8"/>
        <v/>
      </c>
      <c r="Z585" s="3" t="str">
        <f t="shared" si="9"/>
        <v/>
      </c>
      <c r="AA585" s="13">
        <f t="shared" si="10"/>
        <v>338836</v>
      </c>
      <c r="AB585" s="3">
        <f t="shared" si="11"/>
        <v>338835</v>
      </c>
      <c r="AC585" s="3">
        <f t="shared" si="12"/>
        <v>4</v>
      </c>
      <c r="AD585" s="3">
        <f t="shared" si="13"/>
        <v>71962</v>
      </c>
      <c r="AE585" s="3">
        <f t="shared" si="14"/>
        <v>2</v>
      </c>
      <c r="AF585" s="3">
        <f t="shared" si="15"/>
        <v>25486</v>
      </c>
      <c r="AG585" s="3">
        <f t="shared" si="16"/>
        <v>3</v>
      </c>
      <c r="AH585" s="3">
        <f t="shared" si="17"/>
        <v>5</v>
      </c>
      <c r="AI585" s="3" t="str">
        <f t="shared" si="18"/>
        <v/>
      </c>
      <c r="AJ585" s="3">
        <f t="shared" si="19"/>
        <v>0</v>
      </c>
    </row>
    <row r="586">
      <c r="C586" s="6" t="s">
        <v>586</v>
      </c>
      <c r="D586" s="3">
        <f t="shared" si="1"/>
        <v>3</v>
      </c>
      <c r="E586" s="3" t="str">
        <f>IFERROR(__xludf.DUMMYFUNCTION("REGEXEXTRACT(C586,""[^ ]* [^ ]*"")"),"dotted teal")</f>
        <v>dotted teal</v>
      </c>
      <c r="F586" s="3" t="str">
        <f>IFERROR(__xludf.DUMMYFUNCTION("MID(REGEXEXTRACT(C586,""contain.*$""),9,300)"),"3 clear black bags, 1 faded blue bag, 1 clear beige bag, 4 striped brown bags.")</f>
        <v>3 clear black bags, 1 faded blue bag, 1 clear beige bag, 4 striped brown bags.</v>
      </c>
      <c r="G586" s="3" t="str">
        <f>IFERROR(__xludf.DUMMYFUNCTION("INDEX(SPLIT($F586,"",""),COLUMN()-6)"),"3 clear black bags")</f>
        <v>3 clear black bags</v>
      </c>
      <c r="H586" s="3" t="str">
        <f>IFERROR(__xludf.DUMMYFUNCTION("MID(INDEX(SPLIT($F586,"",""),COLUMN()-6),2,300)"),"1 faded blue bag")</f>
        <v>1 faded blue bag</v>
      </c>
      <c r="I586" s="3" t="str">
        <f>IFERROR(__xludf.DUMMYFUNCTION("MID(INDEX(SPLIT($F586,"",""),COLUMN()-6),2,300)"),"1 clear beige bag")</f>
        <v>1 clear beige bag</v>
      </c>
      <c r="J586" s="3" t="str">
        <f>IFERROR(__xludf.DUMMYFUNCTION("MID(INDEX(SPLIT($F586,"",""),COLUMN()-6),2,300)"),"4 striped brown bags.")</f>
        <v>4 striped brown bags.</v>
      </c>
      <c r="K586" s="3">
        <f>IFERROR(__xludf.DUMMYFUNCTION("INDEX(SPLIT(G586,"" ""),1)"),3.0)</f>
        <v>3</v>
      </c>
      <c r="L586" s="3" t="str">
        <f>IFERROR(__xludf.DUMMYFUNCTION("REGEXEXTRACT(G586,"" [^ ]* [^ ]* "")")," clear black ")</f>
        <v> clear black </v>
      </c>
      <c r="M586" s="3">
        <f>IFERROR(__xludf.DUMMYFUNCTION("INDEX(SPLIT(H586,"" ""),1)"),1.0)</f>
        <v>1</v>
      </c>
      <c r="N586" s="3" t="str">
        <f>IFERROR(__xludf.DUMMYFUNCTION("MID(REGEXEXTRACT(H586,"" [^ ]* [^ ]*""),2,300)"),"faded blue")</f>
        <v>faded blue</v>
      </c>
      <c r="O586" s="3">
        <f>IFERROR(__xludf.DUMMYFUNCTION("INDEX(SPLIT(I586,"" ""),1)"),1.0)</f>
        <v>1</v>
      </c>
      <c r="P586" s="3" t="str">
        <f>IFERROR(__xludf.DUMMYFUNCTION("MID(REGEXEXTRACT(I586,"" [^ ]* [^ ]*""),2,300)"),"clear beige")</f>
        <v>clear beige</v>
      </c>
      <c r="Q586" s="3">
        <f>IFERROR(__xludf.DUMMYFUNCTION("INDEX(SPLIT(J586,"" ""),1)"),4.0)</f>
        <v>4</v>
      </c>
      <c r="R586" s="3" t="str">
        <f>IFERROR(__xludf.DUMMYFUNCTION("MID(REGEXEXTRACT(J586,"" [^ ]* [^ ]*""),2,300)"),"striped brown")</f>
        <v>striped brown</v>
      </c>
      <c r="S586" s="3">
        <f t="shared" si="2"/>
        <v>3</v>
      </c>
      <c r="T586" s="3" t="str">
        <f t="shared" si="3"/>
        <v>clear black</v>
      </c>
      <c r="U586" s="3">
        <f t="shared" si="4"/>
        <v>1</v>
      </c>
      <c r="V586" s="3" t="str">
        <f t="shared" si="5"/>
        <v>faded blue</v>
      </c>
      <c r="W586" s="3">
        <f t="shared" si="6"/>
        <v>1</v>
      </c>
      <c r="X586" s="3" t="str">
        <f t="shared" si="7"/>
        <v>clear beige</v>
      </c>
      <c r="Y586" s="3">
        <f t="shared" si="8"/>
        <v>4</v>
      </c>
      <c r="Z586" s="3" t="str">
        <f t="shared" si="9"/>
        <v>striped brown</v>
      </c>
      <c r="AA586" s="13">
        <f t="shared" si="10"/>
        <v>797530850</v>
      </c>
      <c r="AB586" s="3">
        <f t="shared" si="11"/>
        <v>797530849</v>
      </c>
      <c r="AC586" s="3">
        <f t="shared" si="12"/>
        <v>3</v>
      </c>
      <c r="AD586" s="3">
        <f t="shared" si="13"/>
        <v>12</v>
      </c>
      <c r="AE586" s="3">
        <f t="shared" si="14"/>
        <v>1</v>
      </c>
      <c r="AF586" s="3">
        <f t="shared" si="15"/>
        <v>12631028</v>
      </c>
      <c r="AG586" s="3">
        <f t="shared" si="16"/>
        <v>1</v>
      </c>
      <c r="AH586" s="3">
        <f t="shared" si="17"/>
        <v>156976053</v>
      </c>
      <c r="AI586" s="3">
        <f t="shared" si="18"/>
        <v>4</v>
      </c>
      <c r="AJ586" s="3">
        <f t="shared" si="19"/>
        <v>156980933</v>
      </c>
    </row>
    <row r="587">
      <c r="C587" s="6" t="s">
        <v>587</v>
      </c>
      <c r="D587" s="3">
        <f t="shared" si="1"/>
        <v>0</v>
      </c>
      <c r="E587" s="3" t="str">
        <f>IFERROR(__xludf.DUMMYFUNCTION("REGEXEXTRACT(C587,""[^ ]* [^ ]*"")"),"posh orange")</f>
        <v>posh orange</v>
      </c>
      <c r="F587" s="3" t="str">
        <f>IFERROR(__xludf.DUMMYFUNCTION("MID(REGEXEXTRACT(C587,""contain.*$""),9,300)"),"1 dim olive bag.")</f>
        <v>1 dim olive bag.</v>
      </c>
      <c r="G587" s="3" t="str">
        <f>IFERROR(__xludf.DUMMYFUNCTION("INDEX(SPLIT($F587,"",""),COLUMN()-6)"),"1 dim olive bag.")</f>
        <v>1 dim olive bag.</v>
      </c>
      <c r="H587" s="3" t="str">
        <f>IFERROR(__xludf.DUMMYFUNCTION("MID(INDEX(SPLIT($F587,"",""),COLUMN()-6),2,300)"),"#REF!")</f>
        <v>#REF!</v>
      </c>
      <c r="I587" s="3" t="str">
        <f>IFERROR(__xludf.DUMMYFUNCTION("MID(INDEX(SPLIT($F587,"",""),COLUMN()-6),2,300)"),"#REF!")</f>
        <v>#REF!</v>
      </c>
      <c r="J587" s="3" t="str">
        <f>IFERROR(__xludf.DUMMYFUNCTION("MID(INDEX(SPLIT($F587,"",""),COLUMN()-6),2,300)"),"#REF!")</f>
        <v>#REF!</v>
      </c>
      <c r="K587" s="3">
        <f>IFERROR(__xludf.DUMMYFUNCTION("INDEX(SPLIT(G587,"" ""),1)"),1.0)</f>
        <v>1</v>
      </c>
      <c r="L587" s="3" t="str">
        <f>IFERROR(__xludf.DUMMYFUNCTION("REGEXEXTRACT(G587,"" [^ ]* [^ ]* "")")," dim olive ")</f>
        <v> dim olive </v>
      </c>
      <c r="M587" s="3" t="str">
        <f>IFERROR(__xludf.DUMMYFUNCTION("INDEX(SPLIT(H587,"" ""),1)"),"#REF!")</f>
        <v>#REF!</v>
      </c>
      <c r="N587" s="3" t="str">
        <f>IFERROR(__xludf.DUMMYFUNCTION("MID(REGEXEXTRACT(H587,"" [^ ]* [^ ]*""),2,300)"),"#REF!")</f>
        <v>#REF!</v>
      </c>
      <c r="O587" s="3" t="str">
        <f>IFERROR(__xludf.DUMMYFUNCTION("INDEX(SPLIT(I587,"" ""),1)"),"#REF!")</f>
        <v>#REF!</v>
      </c>
      <c r="P587" s="3" t="str">
        <f>IFERROR(__xludf.DUMMYFUNCTION("MID(REGEXEXTRACT(I587,"" [^ ]* [^ ]*""),2,300)"),"#REF!")</f>
        <v>#REF!</v>
      </c>
      <c r="Q587" s="3" t="str">
        <f>IFERROR(__xludf.DUMMYFUNCTION("INDEX(SPLIT(J587,"" ""),1)"),"#REF!")</f>
        <v>#REF!</v>
      </c>
      <c r="R587" s="3" t="str">
        <f>IFERROR(__xludf.DUMMYFUNCTION("MID(REGEXEXTRACT(J587,"" [^ ]* [^ ]*""),2,300)"),"#REF!")</f>
        <v>#REF!</v>
      </c>
      <c r="S587" s="3">
        <f t="shared" si="2"/>
        <v>1</v>
      </c>
      <c r="T587" s="3" t="str">
        <f t="shared" si="3"/>
        <v>dim olive</v>
      </c>
      <c r="U587" s="3" t="str">
        <f t="shared" si="4"/>
        <v/>
      </c>
      <c r="V587" s="3" t="str">
        <f t="shared" si="5"/>
        <v/>
      </c>
      <c r="W587" s="3" t="str">
        <f t="shared" si="6"/>
        <v/>
      </c>
      <c r="X587" s="3" t="str">
        <f t="shared" si="7"/>
        <v/>
      </c>
      <c r="Y587" s="3" t="str">
        <f t="shared" si="8"/>
        <v/>
      </c>
      <c r="Z587" s="3" t="str">
        <f t="shared" si="9"/>
        <v/>
      </c>
      <c r="AA587" s="13">
        <f t="shared" si="10"/>
        <v>2</v>
      </c>
      <c r="AB587" s="3">
        <f t="shared" si="11"/>
        <v>1</v>
      </c>
      <c r="AC587" s="3">
        <f t="shared" si="12"/>
        <v>1</v>
      </c>
      <c r="AD587" s="3">
        <f t="shared" si="13"/>
        <v>1</v>
      </c>
      <c r="AE587" s="3" t="str">
        <f t="shared" si="14"/>
        <v/>
      </c>
      <c r="AF587" s="3">
        <f t="shared" si="15"/>
        <v>0</v>
      </c>
      <c r="AG587" s="3" t="str">
        <f t="shared" si="16"/>
        <v/>
      </c>
      <c r="AH587" s="3">
        <f t="shared" si="17"/>
        <v>0</v>
      </c>
      <c r="AI587" s="3" t="str">
        <f t="shared" si="18"/>
        <v/>
      </c>
      <c r="AJ587" s="3">
        <f t="shared" si="19"/>
        <v>0</v>
      </c>
    </row>
    <row r="588">
      <c r="C588" s="6" t="s">
        <v>588</v>
      </c>
      <c r="D588" s="3">
        <f t="shared" si="1"/>
        <v>3</v>
      </c>
      <c r="E588" s="3" t="str">
        <f>IFERROR(__xludf.DUMMYFUNCTION("REGEXEXTRACT(C588,""[^ ]* [^ ]*"")"),"striped bronze")</f>
        <v>striped bronze</v>
      </c>
      <c r="F588" s="3" t="str">
        <f>IFERROR(__xludf.DUMMYFUNCTION("MID(REGEXEXTRACT(C588,""contain.*$""),9,300)"),"1 dull salmon bag, 4 wavy teal bags, 1 pale salmon bag, 2 dim aqua bags.")</f>
        <v>1 dull salmon bag, 4 wavy teal bags, 1 pale salmon bag, 2 dim aqua bags.</v>
      </c>
      <c r="G588" s="3" t="str">
        <f>IFERROR(__xludf.DUMMYFUNCTION("INDEX(SPLIT($F588,"",""),COLUMN()-6)"),"1 dull salmon bag")</f>
        <v>1 dull salmon bag</v>
      </c>
      <c r="H588" s="3" t="str">
        <f>IFERROR(__xludf.DUMMYFUNCTION("MID(INDEX(SPLIT($F588,"",""),COLUMN()-6),2,300)"),"4 wavy teal bags")</f>
        <v>4 wavy teal bags</v>
      </c>
      <c r="I588" s="3" t="str">
        <f>IFERROR(__xludf.DUMMYFUNCTION("MID(INDEX(SPLIT($F588,"",""),COLUMN()-6),2,300)"),"1 pale salmon bag")</f>
        <v>1 pale salmon bag</v>
      </c>
      <c r="J588" s="3" t="str">
        <f>IFERROR(__xludf.DUMMYFUNCTION("MID(INDEX(SPLIT($F588,"",""),COLUMN()-6),2,300)"),"2 dim aqua bags.")</f>
        <v>2 dim aqua bags.</v>
      </c>
      <c r="K588" s="3">
        <f>IFERROR(__xludf.DUMMYFUNCTION("INDEX(SPLIT(G588,"" ""),1)"),1.0)</f>
        <v>1</v>
      </c>
      <c r="L588" s="3" t="str">
        <f>IFERROR(__xludf.DUMMYFUNCTION("REGEXEXTRACT(G588,"" [^ ]* [^ ]* "")")," dull salmon ")</f>
        <v> dull salmon </v>
      </c>
      <c r="M588" s="3">
        <f>IFERROR(__xludf.DUMMYFUNCTION("INDEX(SPLIT(H588,"" ""),1)"),4.0)</f>
        <v>4</v>
      </c>
      <c r="N588" s="3" t="str">
        <f>IFERROR(__xludf.DUMMYFUNCTION("MID(REGEXEXTRACT(H588,"" [^ ]* [^ ]*""),2,300)"),"wavy teal")</f>
        <v>wavy teal</v>
      </c>
      <c r="O588" s="3">
        <f>IFERROR(__xludf.DUMMYFUNCTION("INDEX(SPLIT(I588,"" ""),1)"),1.0)</f>
        <v>1</v>
      </c>
      <c r="P588" s="3" t="str">
        <f>IFERROR(__xludf.DUMMYFUNCTION("MID(REGEXEXTRACT(I588,"" [^ ]* [^ ]*""),2,300)"),"pale salmon")</f>
        <v>pale salmon</v>
      </c>
      <c r="Q588" s="3">
        <f>IFERROR(__xludf.DUMMYFUNCTION("INDEX(SPLIT(J588,"" ""),1)"),2.0)</f>
        <v>2</v>
      </c>
      <c r="R588" s="3" t="str">
        <f>IFERROR(__xludf.DUMMYFUNCTION("MID(REGEXEXTRACT(J588,"" [^ ]* [^ ]*""),2,300)"),"dim aqua")</f>
        <v>dim aqua</v>
      </c>
      <c r="S588" s="3">
        <f t="shared" si="2"/>
        <v>1</v>
      </c>
      <c r="T588" s="3" t="str">
        <f t="shared" si="3"/>
        <v>dull salmon</v>
      </c>
      <c r="U588" s="3">
        <f t="shared" si="4"/>
        <v>4</v>
      </c>
      <c r="V588" s="3" t="str">
        <f t="shared" si="5"/>
        <v>wavy teal</v>
      </c>
      <c r="W588" s="3">
        <f t="shared" si="6"/>
        <v>1</v>
      </c>
      <c r="X588" s="3" t="str">
        <f t="shared" si="7"/>
        <v>pale salmon</v>
      </c>
      <c r="Y588" s="3">
        <f t="shared" si="8"/>
        <v>2</v>
      </c>
      <c r="Z588" s="3" t="str">
        <f t="shared" si="9"/>
        <v>dim aqua</v>
      </c>
      <c r="AA588" s="13">
        <f t="shared" si="10"/>
        <v>3362673</v>
      </c>
      <c r="AB588" s="3">
        <f t="shared" si="11"/>
        <v>3362672</v>
      </c>
      <c r="AC588" s="3">
        <f t="shared" si="12"/>
        <v>1</v>
      </c>
      <c r="AD588" s="3">
        <f t="shared" si="13"/>
        <v>2893451</v>
      </c>
      <c r="AE588" s="3">
        <f t="shared" si="14"/>
        <v>4</v>
      </c>
      <c r="AF588" s="3">
        <f t="shared" si="15"/>
        <v>84750</v>
      </c>
      <c r="AG588" s="3">
        <f t="shared" si="16"/>
        <v>1</v>
      </c>
      <c r="AH588" s="3">
        <f t="shared" si="17"/>
        <v>9889</v>
      </c>
      <c r="AI588" s="3">
        <f t="shared" si="18"/>
        <v>2</v>
      </c>
      <c r="AJ588" s="3">
        <f t="shared" si="19"/>
        <v>60166</v>
      </c>
    </row>
    <row r="589">
      <c r="C589" s="6" t="s">
        <v>589</v>
      </c>
      <c r="D589" s="3">
        <f t="shared" si="1"/>
        <v>1</v>
      </c>
      <c r="E589" s="3" t="str">
        <f>IFERROR(__xludf.DUMMYFUNCTION("REGEXEXTRACT(C589,""[^ ]* [^ ]*"")"),"clear lime")</f>
        <v>clear lime</v>
      </c>
      <c r="F589" s="3" t="str">
        <f>IFERROR(__xludf.DUMMYFUNCTION("MID(REGEXEXTRACT(C589,""contain.*$""),9,300)"),"1 dim lavender bag, 1 drab magenta bag.")</f>
        <v>1 dim lavender bag, 1 drab magenta bag.</v>
      </c>
      <c r="G589" s="3" t="str">
        <f>IFERROR(__xludf.DUMMYFUNCTION("INDEX(SPLIT($F589,"",""),COLUMN()-6)"),"1 dim lavender bag")</f>
        <v>1 dim lavender bag</v>
      </c>
      <c r="H589" s="3" t="str">
        <f>IFERROR(__xludf.DUMMYFUNCTION("MID(INDEX(SPLIT($F589,"",""),COLUMN()-6),2,300)"),"1 drab magenta bag.")</f>
        <v>1 drab magenta bag.</v>
      </c>
      <c r="I589" s="3" t="str">
        <f>IFERROR(__xludf.DUMMYFUNCTION("MID(INDEX(SPLIT($F589,"",""),COLUMN()-6),2,300)"),"#REF!")</f>
        <v>#REF!</v>
      </c>
      <c r="J589" s="3" t="str">
        <f>IFERROR(__xludf.DUMMYFUNCTION("MID(INDEX(SPLIT($F589,"",""),COLUMN()-6),2,300)"),"#REF!")</f>
        <v>#REF!</v>
      </c>
      <c r="K589" s="3">
        <f>IFERROR(__xludf.DUMMYFUNCTION("INDEX(SPLIT(G589,"" ""),1)"),1.0)</f>
        <v>1</v>
      </c>
      <c r="L589" s="3" t="str">
        <f>IFERROR(__xludf.DUMMYFUNCTION("REGEXEXTRACT(G589,"" [^ ]* [^ ]* "")")," dim lavender ")</f>
        <v> dim lavender </v>
      </c>
      <c r="M589" s="3">
        <f>IFERROR(__xludf.DUMMYFUNCTION("INDEX(SPLIT(H589,"" ""),1)"),1.0)</f>
        <v>1</v>
      </c>
      <c r="N589" s="3" t="str">
        <f>IFERROR(__xludf.DUMMYFUNCTION("MID(REGEXEXTRACT(H589,"" [^ ]* [^ ]*""),2,300)"),"drab magenta")</f>
        <v>drab magenta</v>
      </c>
      <c r="O589" s="3" t="str">
        <f>IFERROR(__xludf.DUMMYFUNCTION("INDEX(SPLIT(I589,"" ""),1)"),"#REF!")</f>
        <v>#REF!</v>
      </c>
      <c r="P589" s="3" t="str">
        <f>IFERROR(__xludf.DUMMYFUNCTION("MID(REGEXEXTRACT(I589,"" [^ ]* [^ ]*""),2,300)"),"#REF!")</f>
        <v>#REF!</v>
      </c>
      <c r="Q589" s="3" t="str">
        <f>IFERROR(__xludf.DUMMYFUNCTION("INDEX(SPLIT(J589,"" ""),1)"),"#REF!")</f>
        <v>#REF!</v>
      </c>
      <c r="R589" s="3" t="str">
        <f>IFERROR(__xludf.DUMMYFUNCTION("MID(REGEXEXTRACT(J589,"" [^ ]* [^ ]*""),2,300)"),"#REF!")</f>
        <v>#REF!</v>
      </c>
      <c r="S589" s="3">
        <f t="shared" si="2"/>
        <v>1</v>
      </c>
      <c r="T589" s="3" t="str">
        <f t="shared" si="3"/>
        <v>dim lavender</v>
      </c>
      <c r="U589" s="3">
        <f t="shared" si="4"/>
        <v>1</v>
      </c>
      <c r="V589" s="3" t="str">
        <f t="shared" si="5"/>
        <v>drab magenta</v>
      </c>
      <c r="W589" s="3" t="str">
        <f t="shared" si="6"/>
        <v/>
      </c>
      <c r="X589" s="3" t="str">
        <f t="shared" si="7"/>
        <v/>
      </c>
      <c r="Y589" s="3" t="str">
        <f t="shared" si="8"/>
        <v/>
      </c>
      <c r="Z589" s="3" t="str">
        <f t="shared" si="9"/>
        <v/>
      </c>
      <c r="AA589" s="13">
        <f t="shared" si="10"/>
        <v>772625</v>
      </c>
      <c r="AB589" s="3">
        <f t="shared" si="11"/>
        <v>772624</v>
      </c>
      <c r="AC589" s="3">
        <f t="shared" si="12"/>
        <v>1</v>
      </c>
      <c r="AD589" s="3">
        <f t="shared" si="13"/>
        <v>771399</v>
      </c>
      <c r="AE589" s="3">
        <f t="shared" si="14"/>
        <v>1</v>
      </c>
      <c r="AF589" s="3">
        <f t="shared" si="15"/>
        <v>1225</v>
      </c>
      <c r="AG589" s="3" t="str">
        <f t="shared" si="16"/>
        <v/>
      </c>
      <c r="AH589" s="3">
        <f t="shared" si="17"/>
        <v>0</v>
      </c>
      <c r="AI589" s="3" t="str">
        <f t="shared" si="18"/>
        <v/>
      </c>
      <c r="AJ589" s="3">
        <f t="shared" si="19"/>
        <v>0</v>
      </c>
    </row>
    <row r="590">
      <c r="C590" s="6" t="s">
        <v>590</v>
      </c>
      <c r="D590" s="3">
        <f t="shared" si="1"/>
        <v>3</v>
      </c>
      <c r="E590" s="3" t="str">
        <f>IFERROR(__xludf.DUMMYFUNCTION("REGEXEXTRACT(C590,""[^ ]* [^ ]*"")"),"muted magenta")</f>
        <v>muted magenta</v>
      </c>
      <c r="F590" s="3" t="str">
        <f>IFERROR(__xludf.DUMMYFUNCTION("MID(REGEXEXTRACT(C590,""contain.*$""),9,300)"),"1 shiny indigo bag, 4 mirrored cyan bags, 4 shiny cyan bags, 2 posh bronze bags.")</f>
        <v>1 shiny indigo bag, 4 mirrored cyan bags, 4 shiny cyan bags, 2 posh bronze bags.</v>
      </c>
      <c r="G590" s="3" t="str">
        <f>IFERROR(__xludf.DUMMYFUNCTION("INDEX(SPLIT($F590,"",""),COLUMN()-6)"),"1 shiny indigo bag")</f>
        <v>1 shiny indigo bag</v>
      </c>
      <c r="H590" s="3" t="str">
        <f>IFERROR(__xludf.DUMMYFUNCTION("MID(INDEX(SPLIT($F590,"",""),COLUMN()-6),2,300)"),"4 mirrored cyan bags")</f>
        <v>4 mirrored cyan bags</v>
      </c>
      <c r="I590" s="3" t="str">
        <f>IFERROR(__xludf.DUMMYFUNCTION("MID(INDEX(SPLIT($F590,"",""),COLUMN()-6),2,300)"),"4 shiny cyan bags")</f>
        <v>4 shiny cyan bags</v>
      </c>
      <c r="J590" s="3" t="str">
        <f>IFERROR(__xludf.DUMMYFUNCTION("MID(INDEX(SPLIT($F590,"",""),COLUMN()-6),2,300)"),"2 posh bronze bags.")</f>
        <v>2 posh bronze bags.</v>
      </c>
      <c r="K590" s="3">
        <f>IFERROR(__xludf.DUMMYFUNCTION("INDEX(SPLIT(G590,"" ""),1)"),1.0)</f>
        <v>1</v>
      </c>
      <c r="L590" s="3" t="str">
        <f>IFERROR(__xludf.DUMMYFUNCTION("REGEXEXTRACT(G590,"" [^ ]* [^ ]* "")")," shiny indigo ")</f>
        <v> shiny indigo </v>
      </c>
      <c r="M590" s="3">
        <f>IFERROR(__xludf.DUMMYFUNCTION("INDEX(SPLIT(H590,"" ""),1)"),4.0)</f>
        <v>4</v>
      </c>
      <c r="N590" s="3" t="str">
        <f>IFERROR(__xludf.DUMMYFUNCTION("MID(REGEXEXTRACT(H590,"" [^ ]* [^ ]*""),2,300)"),"mirrored cyan")</f>
        <v>mirrored cyan</v>
      </c>
      <c r="O590" s="3">
        <f>IFERROR(__xludf.DUMMYFUNCTION("INDEX(SPLIT(I590,"" ""),1)"),4.0)</f>
        <v>4</v>
      </c>
      <c r="P590" s="3" t="str">
        <f>IFERROR(__xludf.DUMMYFUNCTION("MID(REGEXEXTRACT(I590,"" [^ ]* [^ ]*""),2,300)"),"shiny cyan")</f>
        <v>shiny cyan</v>
      </c>
      <c r="Q590" s="3">
        <f>IFERROR(__xludf.DUMMYFUNCTION("INDEX(SPLIT(J590,"" ""),1)"),2.0)</f>
        <v>2</v>
      </c>
      <c r="R590" s="3" t="str">
        <f>IFERROR(__xludf.DUMMYFUNCTION("MID(REGEXEXTRACT(J590,"" [^ ]* [^ ]*""),2,300)"),"posh bronze")</f>
        <v>posh bronze</v>
      </c>
      <c r="S590" s="3">
        <f t="shared" si="2"/>
        <v>1</v>
      </c>
      <c r="T590" s="3" t="str">
        <f t="shared" si="3"/>
        <v>shiny indigo</v>
      </c>
      <c r="U590" s="3">
        <f t="shared" si="4"/>
        <v>4</v>
      </c>
      <c r="V590" s="3" t="str">
        <f t="shared" si="5"/>
        <v>mirrored cyan</v>
      </c>
      <c r="W590" s="3">
        <f t="shared" si="6"/>
        <v>4</v>
      </c>
      <c r="X590" s="3" t="str">
        <f t="shared" si="7"/>
        <v>shiny cyan</v>
      </c>
      <c r="Y590" s="3">
        <f t="shared" si="8"/>
        <v>2</v>
      </c>
      <c r="Z590" s="3" t="str">
        <f t="shared" si="9"/>
        <v>posh bronze</v>
      </c>
      <c r="AA590" s="13">
        <f t="shared" si="10"/>
        <v>762011</v>
      </c>
      <c r="AB590" s="3">
        <f t="shared" si="11"/>
        <v>762010</v>
      </c>
      <c r="AC590" s="3">
        <f t="shared" si="12"/>
        <v>1</v>
      </c>
      <c r="AD590" s="3">
        <f t="shared" si="13"/>
        <v>754536</v>
      </c>
      <c r="AE590" s="3">
        <f t="shared" si="14"/>
        <v>4</v>
      </c>
      <c r="AF590" s="3">
        <f t="shared" si="15"/>
        <v>1854</v>
      </c>
      <c r="AG590" s="3">
        <f t="shared" si="16"/>
        <v>4</v>
      </c>
      <c r="AH590" s="3">
        <f t="shared" si="17"/>
        <v>4</v>
      </c>
      <c r="AI590" s="3">
        <f t="shared" si="18"/>
        <v>2</v>
      </c>
      <c r="AJ590" s="3">
        <f t="shared" si="19"/>
        <v>21</v>
      </c>
    </row>
    <row r="591">
      <c r="C591" s="6" t="s">
        <v>591</v>
      </c>
      <c r="D591" s="3">
        <f t="shared" si="1"/>
        <v>1</v>
      </c>
      <c r="E591" s="3" t="str">
        <f>IFERROR(__xludf.DUMMYFUNCTION("REGEXEXTRACT(C591,""[^ ]* [^ ]*"")"),"bright chartreuse")</f>
        <v>bright chartreuse</v>
      </c>
      <c r="F591" s="3" t="str">
        <f>IFERROR(__xludf.DUMMYFUNCTION("MID(REGEXEXTRACT(C591,""contain.*$""),9,300)"),"5 drab white bags, 3 dotted purple bags.")</f>
        <v>5 drab white bags, 3 dotted purple bags.</v>
      </c>
      <c r="G591" s="3" t="str">
        <f>IFERROR(__xludf.DUMMYFUNCTION("INDEX(SPLIT($F591,"",""),COLUMN()-6)"),"5 drab white bags")</f>
        <v>5 drab white bags</v>
      </c>
      <c r="H591" s="3" t="str">
        <f>IFERROR(__xludf.DUMMYFUNCTION("MID(INDEX(SPLIT($F591,"",""),COLUMN()-6),2,300)"),"3 dotted purple bags.")</f>
        <v>3 dotted purple bags.</v>
      </c>
      <c r="I591" s="3" t="str">
        <f>IFERROR(__xludf.DUMMYFUNCTION("MID(INDEX(SPLIT($F591,"",""),COLUMN()-6),2,300)"),"#REF!")</f>
        <v>#REF!</v>
      </c>
      <c r="J591" s="3" t="str">
        <f>IFERROR(__xludf.DUMMYFUNCTION("MID(INDEX(SPLIT($F591,"",""),COLUMN()-6),2,300)"),"#REF!")</f>
        <v>#REF!</v>
      </c>
      <c r="K591" s="3">
        <f>IFERROR(__xludf.DUMMYFUNCTION("INDEX(SPLIT(G591,"" ""),1)"),5.0)</f>
        <v>5</v>
      </c>
      <c r="L591" s="3" t="str">
        <f>IFERROR(__xludf.DUMMYFUNCTION("REGEXEXTRACT(G591,"" [^ ]* [^ ]* "")")," drab white ")</f>
        <v> drab white </v>
      </c>
      <c r="M591" s="3">
        <f>IFERROR(__xludf.DUMMYFUNCTION("INDEX(SPLIT(H591,"" ""),1)"),3.0)</f>
        <v>3</v>
      </c>
      <c r="N591" s="3" t="str">
        <f>IFERROR(__xludf.DUMMYFUNCTION("MID(REGEXEXTRACT(H591,"" [^ ]* [^ ]*""),2,300)"),"dotted purple")</f>
        <v>dotted purple</v>
      </c>
      <c r="O591" s="3" t="str">
        <f>IFERROR(__xludf.DUMMYFUNCTION("INDEX(SPLIT(I591,"" ""),1)"),"#REF!")</f>
        <v>#REF!</v>
      </c>
      <c r="P591" s="3" t="str">
        <f>IFERROR(__xludf.DUMMYFUNCTION("MID(REGEXEXTRACT(I591,"" [^ ]* [^ ]*""),2,300)"),"#REF!")</f>
        <v>#REF!</v>
      </c>
      <c r="Q591" s="3" t="str">
        <f>IFERROR(__xludf.DUMMYFUNCTION("INDEX(SPLIT(J591,"" ""),1)"),"#REF!")</f>
        <v>#REF!</v>
      </c>
      <c r="R591" s="3" t="str">
        <f>IFERROR(__xludf.DUMMYFUNCTION("MID(REGEXEXTRACT(J591,"" [^ ]* [^ ]*""),2,300)"),"#REF!")</f>
        <v>#REF!</v>
      </c>
      <c r="S591" s="3">
        <f t="shared" si="2"/>
        <v>5</v>
      </c>
      <c r="T591" s="3" t="str">
        <f t="shared" si="3"/>
        <v>drab white</v>
      </c>
      <c r="U591" s="3">
        <f t="shared" si="4"/>
        <v>3</v>
      </c>
      <c r="V591" s="3" t="str">
        <f t="shared" si="5"/>
        <v>dotted purple</v>
      </c>
      <c r="W591" s="3" t="str">
        <f t="shared" si="6"/>
        <v/>
      </c>
      <c r="X591" s="3" t="str">
        <f t="shared" si="7"/>
        <v/>
      </c>
      <c r="Y591" s="3" t="str">
        <f t="shared" si="8"/>
        <v/>
      </c>
      <c r="Z591" s="3" t="str">
        <f t="shared" si="9"/>
        <v/>
      </c>
      <c r="AA591" s="13">
        <f t="shared" si="10"/>
        <v>132604</v>
      </c>
      <c r="AB591" s="3">
        <f t="shared" si="11"/>
        <v>132603</v>
      </c>
      <c r="AC591" s="3">
        <f t="shared" si="12"/>
        <v>5</v>
      </c>
      <c r="AD591" s="3">
        <f t="shared" si="13"/>
        <v>14961</v>
      </c>
      <c r="AE591" s="3">
        <f t="shared" si="14"/>
        <v>3</v>
      </c>
      <c r="AF591" s="3">
        <f t="shared" si="15"/>
        <v>19266</v>
      </c>
      <c r="AG591" s="3" t="str">
        <f t="shared" si="16"/>
        <v/>
      </c>
      <c r="AH591" s="3">
        <f t="shared" si="17"/>
        <v>0</v>
      </c>
      <c r="AI591" s="3" t="str">
        <f t="shared" si="18"/>
        <v/>
      </c>
      <c r="AJ591" s="3">
        <f t="shared" si="19"/>
        <v>0</v>
      </c>
    </row>
    <row r="592">
      <c r="C592" s="6" t="s">
        <v>592</v>
      </c>
      <c r="D592" s="3">
        <f t="shared" si="1"/>
        <v>3</v>
      </c>
      <c r="E592" s="3" t="str">
        <f>IFERROR(__xludf.DUMMYFUNCTION("REGEXEXTRACT(C592,""[^ ]* [^ ]*"")"),"dim magenta")</f>
        <v>dim magenta</v>
      </c>
      <c r="F592" s="3" t="str">
        <f>IFERROR(__xludf.DUMMYFUNCTION("MID(REGEXEXTRACT(C592,""contain.*$""),9,300)"),"2 dull turquoise bags, 1 dull coral bag, 3 dark violet bags, 4 muted crimson bags.")</f>
        <v>2 dull turquoise bags, 1 dull coral bag, 3 dark violet bags, 4 muted crimson bags.</v>
      </c>
      <c r="G592" s="3" t="str">
        <f>IFERROR(__xludf.DUMMYFUNCTION("INDEX(SPLIT($F592,"",""),COLUMN()-6)"),"2 dull turquoise bags")</f>
        <v>2 dull turquoise bags</v>
      </c>
      <c r="H592" s="3" t="str">
        <f>IFERROR(__xludf.DUMMYFUNCTION("MID(INDEX(SPLIT($F592,"",""),COLUMN()-6),2,300)"),"1 dull coral bag")</f>
        <v>1 dull coral bag</v>
      </c>
      <c r="I592" s="3" t="str">
        <f>IFERROR(__xludf.DUMMYFUNCTION("MID(INDEX(SPLIT($F592,"",""),COLUMN()-6),2,300)"),"3 dark violet bags")</f>
        <v>3 dark violet bags</v>
      </c>
      <c r="J592" s="3" t="str">
        <f>IFERROR(__xludf.DUMMYFUNCTION("MID(INDEX(SPLIT($F592,"",""),COLUMN()-6),2,300)"),"4 muted crimson bags.")</f>
        <v>4 muted crimson bags.</v>
      </c>
      <c r="K592" s="3">
        <f>IFERROR(__xludf.DUMMYFUNCTION("INDEX(SPLIT(G592,"" ""),1)"),2.0)</f>
        <v>2</v>
      </c>
      <c r="L592" s="3" t="str">
        <f>IFERROR(__xludf.DUMMYFUNCTION("REGEXEXTRACT(G592,"" [^ ]* [^ ]* "")")," dull turquoise ")</f>
        <v> dull turquoise </v>
      </c>
      <c r="M592" s="3">
        <f>IFERROR(__xludf.DUMMYFUNCTION("INDEX(SPLIT(H592,"" ""),1)"),1.0)</f>
        <v>1</v>
      </c>
      <c r="N592" s="3" t="str">
        <f>IFERROR(__xludf.DUMMYFUNCTION("MID(REGEXEXTRACT(H592,"" [^ ]* [^ ]*""),2,300)"),"dull coral")</f>
        <v>dull coral</v>
      </c>
      <c r="O592" s="3">
        <f>IFERROR(__xludf.DUMMYFUNCTION("INDEX(SPLIT(I592,"" ""),1)"),3.0)</f>
        <v>3</v>
      </c>
      <c r="P592" s="3" t="str">
        <f>IFERROR(__xludf.DUMMYFUNCTION("MID(REGEXEXTRACT(I592,"" [^ ]* [^ ]*""),2,300)"),"dark violet")</f>
        <v>dark violet</v>
      </c>
      <c r="Q592" s="3">
        <f>IFERROR(__xludf.DUMMYFUNCTION("INDEX(SPLIT(J592,"" ""),1)"),4.0)</f>
        <v>4</v>
      </c>
      <c r="R592" s="3" t="str">
        <f>IFERROR(__xludf.DUMMYFUNCTION("MID(REGEXEXTRACT(J592,"" [^ ]* [^ ]*""),2,300)"),"muted crimson")</f>
        <v>muted crimson</v>
      </c>
      <c r="S592" s="3">
        <f t="shared" si="2"/>
        <v>2</v>
      </c>
      <c r="T592" s="3" t="str">
        <f t="shared" si="3"/>
        <v>dull turquoise</v>
      </c>
      <c r="U592" s="3">
        <f t="shared" si="4"/>
        <v>1</v>
      </c>
      <c r="V592" s="3" t="str">
        <f t="shared" si="5"/>
        <v>dull coral</v>
      </c>
      <c r="W592" s="3">
        <f t="shared" si="6"/>
        <v>3</v>
      </c>
      <c r="X592" s="3" t="str">
        <f t="shared" si="7"/>
        <v>dark violet</v>
      </c>
      <c r="Y592" s="3">
        <f t="shared" si="8"/>
        <v>4</v>
      </c>
      <c r="Z592" s="3" t="str">
        <f t="shared" si="9"/>
        <v>muted crimson</v>
      </c>
      <c r="AA592" s="13">
        <f t="shared" si="10"/>
        <v>2222594</v>
      </c>
      <c r="AB592" s="3">
        <f t="shared" si="11"/>
        <v>2222593</v>
      </c>
      <c r="AC592" s="3">
        <f t="shared" si="12"/>
        <v>2</v>
      </c>
      <c r="AD592" s="3">
        <f t="shared" si="13"/>
        <v>346469</v>
      </c>
      <c r="AE592" s="3">
        <f t="shared" si="14"/>
        <v>1</v>
      </c>
      <c r="AF592" s="3">
        <f t="shared" si="15"/>
        <v>924</v>
      </c>
      <c r="AG592" s="3">
        <f t="shared" si="16"/>
        <v>3</v>
      </c>
      <c r="AH592" s="3">
        <f t="shared" si="17"/>
        <v>508749</v>
      </c>
      <c r="AI592" s="3">
        <f t="shared" si="18"/>
        <v>4</v>
      </c>
      <c r="AJ592" s="3">
        <f t="shared" si="19"/>
        <v>621</v>
      </c>
    </row>
    <row r="593">
      <c r="C593" s="6" t="s">
        <v>593</v>
      </c>
      <c r="D593" s="3">
        <f t="shared" si="1"/>
        <v>2</v>
      </c>
      <c r="E593" s="3" t="str">
        <f>IFERROR(__xludf.DUMMYFUNCTION("REGEXEXTRACT(C593,""[^ ]* [^ ]*"")"),"pale cyan")</f>
        <v>pale cyan</v>
      </c>
      <c r="F593" s="3" t="str">
        <f>IFERROR(__xludf.DUMMYFUNCTION("MID(REGEXEXTRACT(C593,""contain.*$""),9,300)"),"5 dotted coral bags, 4 drab chartreuse bags, 4 dull plum bags.")</f>
        <v>5 dotted coral bags, 4 drab chartreuse bags, 4 dull plum bags.</v>
      </c>
      <c r="G593" s="3" t="str">
        <f>IFERROR(__xludf.DUMMYFUNCTION("INDEX(SPLIT($F593,"",""),COLUMN()-6)"),"5 dotted coral bags")</f>
        <v>5 dotted coral bags</v>
      </c>
      <c r="H593" s="3" t="str">
        <f>IFERROR(__xludf.DUMMYFUNCTION("MID(INDEX(SPLIT($F593,"",""),COLUMN()-6),2,300)"),"4 drab chartreuse bags")</f>
        <v>4 drab chartreuse bags</v>
      </c>
      <c r="I593" s="3" t="str">
        <f>IFERROR(__xludf.DUMMYFUNCTION("MID(INDEX(SPLIT($F593,"",""),COLUMN()-6),2,300)"),"4 dull plum bags.")</f>
        <v>4 dull plum bags.</v>
      </c>
      <c r="J593" s="3" t="str">
        <f>IFERROR(__xludf.DUMMYFUNCTION("MID(INDEX(SPLIT($F593,"",""),COLUMN()-6),2,300)"),"#REF!")</f>
        <v>#REF!</v>
      </c>
      <c r="K593" s="3">
        <f>IFERROR(__xludf.DUMMYFUNCTION("INDEX(SPLIT(G593,"" ""),1)"),5.0)</f>
        <v>5</v>
      </c>
      <c r="L593" s="3" t="str">
        <f>IFERROR(__xludf.DUMMYFUNCTION("REGEXEXTRACT(G593,"" [^ ]* [^ ]* "")")," dotted coral ")</f>
        <v> dotted coral </v>
      </c>
      <c r="M593" s="3">
        <f>IFERROR(__xludf.DUMMYFUNCTION("INDEX(SPLIT(H593,"" ""),1)"),4.0)</f>
        <v>4</v>
      </c>
      <c r="N593" s="3" t="str">
        <f>IFERROR(__xludf.DUMMYFUNCTION("MID(REGEXEXTRACT(H593,"" [^ ]* [^ ]*""),2,300)"),"drab chartreuse")</f>
        <v>drab chartreuse</v>
      </c>
      <c r="O593" s="3">
        <f>IFERROR(__xludf.DUMMYFUNCTION("INDEX(SPLIT(I593,"" ""),1)"),4.0)</f>
        <v>4</v>
      </c>
      <c r="P593" s="3" t="str">
        <f>IFERROR(__xludf.DUMMYFUNCTION("MID(REGEXEXTRACT(I593,"" [^ ]* [^ ]*""),2,300)"),"dull plum")</f>
        <v>dull plum</v>
      </c>
      <c r="Q593" s="3" t="str">
        <f>IFERROR(__xludf.DUMMYFUNCTION("INDEX(SPLIT(J593,"" ""),1)"),"#REF!")</f>
        <v>#REF!</v>
      </c>
      <c r="R593" s="3" t="str">
        <f>IFERROR(__xludf.DUMMYFUNCTION("MID(REGEXEXTRACT(J593,"" [^ ]* [^ ]*""),2,300)"),"#REF!")</f>
        <v>#REF!</v>
      </c>
      <c r="S593" s="3">
        <f t="shared" si="2"/>
        <v>5</v>
      </c>
      <c r="T593" s="3" t="str">
        <f t="shared" si="3"/>
        <v>dotted coral</v>
      </c>
      <c r="U593" s="3">
        <f t="shared" si="4"/>
        <v>4</v>
      </c>
      <c r="V593" s="3" t="str">
        <f t="shared" si="5"/>
        <v>drab chartreuse</v>
      </c>
      <c r="W593" s="3">
        <f t="shared" si="6"/>
        <v>4</v>
      </c>
      <c r="X593" s="3" t="str">
        <f t="shared" si="7"/>
        <v>dull plum</v>
      </c>
      <c r="Y593" s="3" t="str">
        <f t="shared" si="8"/>
        <v/>
      </c>
      <c r="Z593" s="3" t="str">
        <f t="shared" si="9"/>
        <v/>
      </c>
      <c r="AA593" s="13">
        <f t="shared" si="10"/>
        <v>54344884</v>
      </c>
      <c r="AB593" s="3">
        <f t="shared" si="11"/>
        <v>54344883</v>
      </c>
      <c r="AC593" s="3">
        <f t="shared" si="12"/>
        <v>5</v>
      </c>
      <c r="AD593" s="3">
        <f t="shared" si="13"/>
        <v>10803</v>
      </c>
      <c r="AE593" s="3">
        <f t="shared" si="14"/>
        <v>4</v>
      </c>
      <c r="AF593" s="3">
        <f t="shared" si="15"/>
        <v>26949</v>
      </c>
      <c r="AG593" s="3">
        <f t="shared" si="16"/>
        <v>4</v>
      </c>
      <c r="AH593" s="3">
        <f t="shared" si="17"/>
        <v>13545768</v>
      </c>
      <c r="AI593" s="3" t="str">
        <f t="shared" si="18"/>
        <v/>
      </c>
      <c r="AJ593" s="3">
        <f t="shared" si="19"/>
        <v>0</v>
      </c>
    </row>
    <row r="594">
      <c r="C594" s="6" t="s">
        <v>594</v>
      </c>
      <c r="D594" s="3">
        <f t="shared" si="1"/>
        <v>1</v>
      </c>
      <c r="E594" s="3" t="str">
        <f>IFERROR(__xludf.DUMMYFUNCTION("REGEXEXTRACT(C594,""[^ ]* [^ ]*"")"),"shiny white")</f>
        <v>shiny white</v>
      </c>
      <c r="F594" s="3" t="str">
        <f>IFERROR(__xludf.DUMMYFUNCTION("MID(REGEXEXTRACT(C594,""contain.*$""),9,300)"),"2 drab salmon bags, 3 shiny silver bags.")</f>
        <v>2 drab salmon bags, 3 shiny silver bags.</v>
      </c>
      <c r="G594" s="3" t="str">
        <f>IFERROR(__xludf.DUMMYFUNCTION("INDEX(SPLIT($F594,"",""),COLUMN()-6)"),"2 drab salmon bags")</f>
        <v>2 drab salmon bags</v>
      </c>
      <c r="H594" s="3" t="str">
        <f>IFERROR(__xludf.DUMMYFUNCTION("MID(INDEX(SPLIT($F594,"",""),COLUMN()-6),2,300)"),"3 shiny silver bags.")</f>
        <v>3 shiny silver bags.</v>
      </c>
      <c r="I594" s="3" t="str">
        <f>IFERROR(__xludf.DUMMYFUNCTION("MID(INDEX(SPLIT($F594,"",""),COLUMN()-6),2,300)"),"#REF!")</f>
        <v>#REF!</v>
      </c>
      <c r="J594" s="3" t="str">
        <f>IFERROR(__xludf.DUMMYFUNCTION("MID(INDEX(SPLIT($F594,"",""),COLUMN()-6),2,300)"),"#REF!")</f>
        <v>#REF!</v>
      </c>
      <c r="K594" s="3">
        <f>IFERROR(__xludf.DUMMYFUNCTION("INDEX(SPLIT(G594,"" ""),1)"),2.0)</f>
        <v>2</v>
      </c>
      <c r="L594" s="3" t="str">
        <f>IFERROR(__xludf.DUMMYFUNCTION("REGEXEXTRACT(G594,"" [^ ]* [^ ]* "")")," drab salmon ")</f>
        <v> drab salmon </v>
      </c>
      <c r="M594" s="3">
        <f>IFERROR(__xludf.DUMMYFUNCTION("INDEX(SPLIT(H594,"" ""),1)"),3.0)</f>
        <v>3</v>
      </c>
      <c r="N594" s="3" t="str">
        <f>IFERROR(__xludf.DUMMYFUNCTION("MID(REGEXEXTRACT(H594,"" [^ ]* [^ ]*""),2,300)"),"shiny silver")</f>
        <v>shiny silver</v>
      </c>
      <c r="O594" s="3" t="str">
        <f>IFERROR(__xludf.DUMMYFUNCTION("INDEX(SPLIT(I594,"" ""),1)"),"#REF!")</f>
        <v>#REF!</v>
      </c>
      <c r="P594" s="3" t="str">
        <f>IFERROR(__xludf.DUMMYFUNCTION("MID(REGEXEXTRACT(I594,"" [^ ]* [^ ]*""),2,300)"),"#REF!")</f>
        <v>#REF!</v>
      </c>
      <c r="Q594" s="3" t="str">
        <f>IFERROR(__xludf.DUMMYFUNCTION("INDEX(SPLIT(J594,"" ""),1)"),"#REF!")</f>
        <v>#REF!</v>
      </c>
      <c r="R594" s="3" t="str">
        <f>IFERROR(__xludf.DUMMYFUNCTION("MID(REGEXEXTRACT(J594,"" [^ ]* [^ ]*""),2,300)"),"#REF!")</f>
        <v>#REF!</v>
      </c>
      <c r="S594" s="3">
        <f t="shared" si="2"/>
        <v>2</v>
      </c>
      <c r="T594" s="3" t="str">
        <f t="shared" si="3"/>
        <v>drab salmon</v>
      </c>
      <c r="U594" s="3">
        <f t="shared" si="4"/>
        <v>3</v>
      </c>
      <c r="V594" s="3" t="str">
        <f t="shared" si="5"/>
        <v>shiny silver</v>
      </c>
      <c r="W594" s="3" t="str">
        <f t="shared" si="6"/>
        <v/>
      </c>
      <c r="X594" s="3" t="str">
        <f t="shared" si="7"/>
        <v/>
      </c>
      <c r="Y594" s="3" t="str">
        <f t="shared" si="8"/>
        <v/>
      </c>
      <c r="Z594" s="3" t="str">
        <f t="shared" si="9"/>
        <v/>
      </c>
      <c r="AA594" s="13">
        <f t="shared" si="10"/>
        <v>118192</v>
      </c>
      <c r="AB594" s="3">
        <f t="shared" si="11"/>
        <v>118191</v>
      </c>
      <c r="AC594" s="3">
        <f t="shared" si="12"/>
        <v>2</v>
      </c>
      <c r="AD594" s="3">
        <f t="shared" si="13"/>
        <v>15045</v>
      </c>
      <c r="AE594" s="3">
        <f t="shared" si="14"/>
        <v>3</v>
      </c>
      <c r="AF594" s="3">
        <f t="shared" si="15"/>
        <v>29367</v>
      </c>
      <c r="AG594" s="3" t="str">
        <f t="shared" si="16"/>
        <v/>
      </c>
      <c r="AH594" s="3">
        <f t="shared" si="17"/>
        <v>0</v>
      </c>
      <c r="AI594" s="3" t="str">
        <f t="shared" si="18"/>
        <v/>
      </c>
      <c r="AJ594" s="3">
        <f t="shared" si="19"/>
        <v>0</v>
      </c>
    </row>
    <row r="595">
      <c r="C595" s="6" t="s">
        <v>595</v>
      </c>
      <c r="D595" s="3">
        <f t="shared" si="1"/>
        <v>1</v>
      </c>
      <c r="E595" s="3" t="str">
        <f>IFERROR(__xludf.DUMMYFUNCTION("REGEXEXTRACT(C595,""[^ ]* [^ ]*"")"),"faded tan")</f>
        <v>faded tan</v>
      </c>
      <c r="F595" s="3" t="str">
        <f>IFERROR(__xludf.DUMMYFUNCTION("MID(REGEXEXTRACT(C595,""contain.*$""),9,300)"),"4 posh magenta bags, 1 pale teal bag.")</f>
        <v>4 posh magenta bags, 1 pale teal bag.</v>
      </c>
      <c r="G595" s="3" t="str">
        <f>IFERROR(__xludf.DUMMYFUNCTION("INDEX(SPLIT($F595,"",""),COLUMN()-6)"),"4 posh magenta bags")</f>
        <v>4 posh magenta bags</v>
      </c>
      <c r="H595" s="3" t="str">
        <f>IFERROR(__xludf.DUMMYFUNCTION("MID(INDEX(SPLIT($F595,"",""),COLUMN()-6),2,300)"),"1 pale teal bag.")</f>
        <v>1 pale teal bag.</v>
      </c>
      <c r="I595" s="3" t="str">
        <f>IFERROR(__xludf.DUMMYFUNCTION("MID(INDEX(SPLIT($F595,"",""),COLUMN()-6),2,300)"),"#REF!")</f>
        <v>#REF!</v>
      </c>
      <c r="J595" s="3" t="str">
        <f>IFERROR(__xludf.DUMMYFUNCTION("MID(INDEX(SPLIT($F595,"",""),COLUMN()-6),2,300)"),"#REF!")</f>
        <v>#REF!</v>
      </c>
      <c r="K595" s="3">
        <f>IFERROR(__xludf.DUMMYFUNCTION("INDEX(SPLIT(G595,"" ""),1)"),4.0)</f>
        <v>4</v>
      </c>
      <c r="L595" s="3" t="str">
        <f>IFERROR(__xludf.DUMMYFUNCTION("REGEXEXTRACT(G595,"" [^ ]* [^ ]* "")")," posh magenta ")</f>
        <v> posh magenta </v>
      </c>
      <c r="M595" s="3">
        <f>IFERROR(__xludf.DUMMYFUNCTION("INDEX(SPLIT(H595,"" ""),1)"),1.0)</f>
        <v>1</v>
      </c>
      <c r="N595" s="3" t="str">
        <f>IFERROR(__xludf.DUMMYFUNCTION("MID(REGEXEXTRACT(H595,"" [^ ]* [^ ]*""),2,300)"),"pale teal")</f>
        <v>pale teal</v>
      </c>
      <c r="O595" s="3" t="str">
        <f>IFERROR(__xludf.DUMMYFUNCTION("INDEX(SPLIT(I595,"" ""),1)"),"#REF!")</f>
        <v>#REF!</v>
      </c>
      <c r="P595" s="3" t="str">
        <f>IFERROR(__xludf.DUMMYFUNCTION("MID(REGEXEXTRACT(I595,"" [^ ]* [^ ]*""),2,300)"),"#REF!")</f>
        <v>#REF!</v>
      </c>
      <c r="Q595" s="3" t="str">
        <f>IFERROR(__xludf.DUMMYFUNCTION("INDEX(SPLIT(J595,"" ""),1)"),"#REF!")</f>
        <v>#REF!</v>
      </c>
      <c r="R595" s="3" t="str">
        <f>IFERROR(__xludf.DUMMYFUNCTION("MID(REGEXEXTRACT(J595,"" [^ ]* [^ ]*""),2,300)"),"#REF!")</f>
        <v>#REF!</v>
      </c>
      <c r="S595" s="3">
        <f t="shared" si="2"/>
        <v>4</v>
      </c>
      <c r="T595" s="3" t="str">
        <f t="shared" si="3"/>
        <v>posh magenta</v>
      </c>
      <c r="U595" s="3">
        <f t="shared" si="4"/>
        <v>1</v>
      </c>
      <c r="V595" s="3" t="str">
        <f t="shared" si="5"/>
        <v>pale teal</v>
      </c>
      <c r="W595" s="3" t="str">
        <f t="shared" si="6"/>
        <v/>
      </c>
      <c r="X595" s="3" t="str">
        <f t="shared" si="7"/>
        <v/>
      </c>
      <c r="Y595" s="3" t="str">
        <f t="shared" si="8"/>
        <v/>
      </c>
      <c r="Z595" s="3" t="str">
        <f t="shared" si="9"/>
        <v/>
      </c>
      <c r="AA595" s="13">
        <f t="shared" si="10"/>
        <v>314592024</v>
      </c>
      <c r="AB595" s="3">
        <f t="shared" si="11"/>
        <v>314592023</v>
      </c>
      <c r="AC595" s="3">
        <f t="shared" si="12"/>
        <v>4</v>
      </c>
      <c r="AD595" s="3">
        <f t="shared" si="13"/>
        <v>1</v>
      </c>
      <c r="AE595" s="3">
        <f t="shared" si="14"/>
        <v>1</v>
      </c>
      <c r="AF595" s="3">
        <f t="shared" si="15"/>
        <v>314592019</v>
      </c>
      <c r="AG595" s="3" t="str">
        <f t="shared" si="16"/>
        <v/>
      </c>
      <c r="AH595" s="3">
        <f t="shared" si="17"/>
        <v>0</v>
      </c>
      <c r="AI595" s="3" t="str">
        <f t="shared" si="18"/>
        <v/>
      </c>
      <c r="AJ595" s="3">
        <f t="shared" si="19"/>
        <v>0</v>
      </c>
    </row>
    <row r="596">
      <c r="C596" s="6"/>
      <c r="S596" s="3" t="str">
        <f t="shared" si="2"/>
        <v/>
      </c>
      <c r="T596" s="3" t="str">
        <f t="shared" si="3"/>
        <v/>
      </c>
      <c r="U596" s="3" t="str">
        <f t="shared" si="4"/>
        <v/>
      </c>
      <c r="V596" s="3" t="str">
        <f t="shared" si="5"/>
        <v/>
      </c>
      <c r="W596" s="3" t="str">
        <f t="shared" si="6"/>
        <v/>
      </c>
      <c r="X596" s="3" t="str">
        <f t="shared" si="7"/>
        <v/>
      </c>
      <c r="Y596" s="3" t="str">
        <f t="shared" si="8"/>
        <v/>
      </c>
      <c r="Z596" s="3" t="str">
        <f t="shared" si="9"/>
        <v/>
      </c>
      <c r="AA596" s="13"/>
    </row>
  </sheetData>
  <autoFilter ref="$C$1:$AJ$596"/>
  <drawing r:id="rId1"/>
</worksheet>
</file>