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gb\Documents\CRESP Folder\2016 PJM Design and Verification\"/>
    </mc:Choice>
  </mc:AlternateContent>
  <bookViews>
    <workbookView xWindow="0" yWindow="0" windowWidth="28800" windowHeight="14220" tabRatio="737" activeTab="6"/>
  </bookViews>
  <sheets>
    <sheet name="Inputs" sheetId="1" r:id="rId1"/>
    <sheet name="HLP-22A,B,C" sheetId="2" r:id="rId2"/>
    <sheet name="UFP-01A,B" sheetId="3" r:id="rId3"/>
    <sheet name="UFP-02A,B-preconc" sheetId="4" r:id="rId4"/>
    <sheet name="UFP-02A,B-postconc" sheetId="5" r:id="rId5"/>
    <sheet name="UFP-02A,B-NaOH" sheetId="6" r:id="rId6"/>
    <sheet name="UFP-02A,B-Digest" sheetId="7" r:id="rId7"/>
    <sheet name="UFP-02A,B-Conc" sheetId="8" r:id="rId8"/>
    <sheet name="UFP-02A,B-Wash" sheetId="9" r:id="rId9"/>
    <sheet name="HLP-28A,B,C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B9" i="7"/>
  <c r="F15" i="1" l="1"/>
  <c r="C3" i="5" l="1"/>
  <c r="B3" i="5"/>
  <c r="B11" i="9" l="1"/>
  <c r="F24" i="1" l="1"/>
  <c r="C11" i="9" s="1"/>
  <c r="B11" i="8"/>
  <c r="B31" i="1" l="1"/>
  <c r="B30" i="1"/>
  <c r="B29" i="1"/>
  <c r="B28" i="1"/>
  <c r="B27" i="1"/>
  <c r="B12" i="6"/>
  <c r="L19" i="1" l="1"/>
  <c r="L18" i="1"/>
  <c r="L21" i="1" s="1"/>
  <c r="A9" i="9"/>
  <c r="C11" i="8"/>
  <c r="C4" i="5"/>
  <c r="C2" i="6" s="1"/>
  <c r="B4" i="5"/>
  <c r="B2" i="6" s="1"/>
  <c r="E3" i="4"/>
  <c r="E4" i="4" s="1"/>
  <c r="C6" i="4"/>
  <c r="C4" i="4"/>
  <c r="B6" i="4"/>
  <c r="B4" i="4"/>
  <c r="B5" i="4" s="1"/>
  <c r="C4" i="3"/>
  <c r="C5" i="3" s="1"/>
  <c r="B4" i="3"/>
  <c r="B8" i="3" s="1"/>
  <c r="B2" i="3"/>
  <c r="D2" i="2"/>
  <c r="C2" i="2"/>
  <c r="B2" i="2"/>
  <c r="D4" i="2"/>
  <c r="D5" i="2" s="1"/>
  <c r="D6" i="2" s="1"/>
  <c r="D7" i="2" s="1"/>
  <c r="C4" i="2"/>
  <c r="C5" i="2" s="1"/>
  <c r="C6" i="2" s="1"/>
  <c r="C7" i="2" s="1"/>
  <c r="B4" i="2"/>
  <c r="B5" i="2" s="1"/>
  <c r="B6" i="2" s="1"/>
  <c r="B7" i="2" s="1"/>
  <c r="D2" i="10"/>
  <c r="C2" i="10"/>
  <c r="B2" i="10"/>
  <c r="L22" i="1" l="1"/>
  <c r="D4" i="9"/>
  <c r="B8" i="2"/>
  <c r="C5" i="4"/>
  <c r="C7" i="4" s="1"/>
  <c r="C8" i="4" s="1"/>
  <c r="B7" i="4"/>
  <c r="B8" i="4" s="1"/>
  <c r="G6" i="4" s="1"/>
  <c r="B5" i="3"/>
  <c r="C8" i="3"/>
  <c r="D8" i="2"/>
  <c r="C9" i="2"/>
  <c r="C8" i="2"/>
  <c r="D9" i="2"/>
  <c r="B9" i="2"/>
  <c r="C9" i="4" l="1"/>
  <c r="C10" i="4" s="1"/>
  <c r="C11" i="4" s="1"/>
  <c r="C12" i="4"/>
  <c r="B12" i="4" l="1"/>
  <c r="C13" i="3" l="1"/>
  <c r="C14" i="3" s="1"/>
  <c r="B13" i="3"/>
  <c r="C2" i="3"/>
  <c r="D4" i="10"/>
  <c r="D5" i="10" s="1"/>
  <c r="C4" i="10"/>
  <c r="C5" i="10" s="1"/>
  <c r="B4" i="10"/>
  <c r="B5" i="10" s="1"/>
  <c r="D24" i="10"/>
  <c r="D25" i="10" s="1"/>
  <c r="D26" i="10" s="1"/>
  <c r="D27" i="10" s="1"/>
  <c r="D28" i="10" s="1"/>
  <c r="D18" i="10"/>
  <c r="D23" i="10" s="1"/>
  <c r="D6" i="10"/>
  <c r="D3" i="10"/>
  <c r="C24" i="10"/>
  <c r="C25" i="10" s="1"/>
  <c r="B24" i="10"/>
  <c r="B25" i="10" s="1"/>
  <c r="B26" i="10" s="1"/>
  <c r="B27" i="10" s="1"/>
  <c r="C3" i="10"/>
  <c r="C18" i="10"/>
  <c r="C23" i="10" s="1"/>
  <c r="C6" i="10"/>
  <c r="B18" i="10"/>
  <c r="D19" i="10" s="1"/>
  <c r="B6" i="10"/>
  <c r="C12" i="9"/>
  <c r="C12" i="8"/>
  <c r="C2" i="9" s="1"/>
  <c r="C3" i="9" s="1"/>
  <c r="B12" i="9"/>
  <c r="C1" i="9"/>
  <c r="B1" i="9"/>
  <c r="B12" i="8"/>
  <c r="C1" i="8"/>
  <c r="B1" i="8"/>
  <c r="B6" i="6"/>
  <c r="B7" i="6" s="1"/>
  <c r="B8" i="6" s="1"/>
  <c r="B9" i="6" s="1"/>
  <c r="B10" i="6" s="1"/>
  <c r="C1" i="7"/>
  <c r="B1" i="7"/>
  <c r="C12" i="6"/>
  <c r="C13" i="6" s="1"/>
  <c r="B13" i="6"/>
  <c r="B14" i="6" s="1"/>
  <c r="C17" i="6"/>
  <c r="C18" i="6" s="1"/>
  <c r="C19" i="6" s="1"/>
  <c r="B17" i="6"/>
  <c r="B18" i="6" s="1"/>
  <c r="B19" i="6" s="1"/>
  <c r="C6" i="6"/>
  <c r="C7" i="6" s="1"/>
  <c r="C8" i="6" s="1"/>
  <c r="C9" i="6" s="1"/>
  <c r="C10" i="6" s="1"/>
  <c r="C14" i="6" l="1"/>
  <c r="C15" i="6" s="1"/>
  <c r="B15" i="6"/>
  <c r="B2" i="9"/>
  <c r="B3" i="9" s="1"/>
  <c r="C15" i="3"/>
  <c r="C16" i="3" s="1"/>
  <c r="C17" i="3" s="1"/>
  <c r="C18" i="3" s="1"/>
  <c r="C19" i="3" s="1"/>
  <c r="C19" i="10"/>
  <c r="C7" i="10"/>
  <c r="C8" i="10" s="1"/>
  <c r="D7" i="10"/>
  <c r="D8" i="10" s="1"/>
  <c r="C31" i="10"/>
  <c r="D31" i="10"/>
  <c r="D29" i="10"/>
  <c r="D30" i="10" s="1"/>
  <c r="C26" i="10"/>
  <c r="C27" i="10" s="1"/>
  <c r="C28" i="10" s="1"/>
  <c r="C29" i="10" s="1"/>
  <c r="C30" i="10" s="1"/>
  <c r="B28" i="10"/>
  <c r="B29" i="10" s="1"/>
  <c r="B30" i="10" s="1"/>
  <c r="B3" i="10"/>
  <c r="B31" i="10" s="1"/>
  <c r="B7" i="10"/>
  <c r="B8" i="10" s="1"/>
  <c r="B19" i="10"/>
  <c r="B23" i="10"/>
  <c r="C2" i="5"/>
  <c r="B2" i="5"/>
  <c r="C1" i="5"/>
  <c r="B1" i="5"/>
  <c r="B20" i="3"/>
  <c r="C20" i="3"/>
  <c r="B9" i="10" l="1"/>
  <c r="C9" i="10"/>
  <c r="D9" i="10"/>
  <c r="D10" i="10"/>
  <c r="D11" i="10" s="1"/>
  <c r="D12" i="10" s="1"/>
  <c r="C10" i="10"/>
  <c r="C11" i="10" s="1"/>
  <c r="C12" i="10" s="1"/>
  <c r="B10" i="10"/>
  <c r="B11" i="10" s="1"/>
  <c r="B12" i="10" s="1"/>
  <c r="B9" i="4"/>
  <c r="B10" i="4" s="1"/>
  <c r="B11" i="4" s="1"/>
  <c r="C24" i="4" l="1"/>
  <c r="C25" i="4" s="1"/>
  <c r="C26" i="4" s="1"/>
  <c r="B24" i="4"/>
  <c r="B25" i="4" s="1"/>
  <c r="B26" i="4" s="1"/>
  <c r="C17" i="4"/>
  <c r="C22" i="4" s="1"/>
  <c r="B17" i="4"/>
  <c r="C21" i="3"/>
  <c r="C22" i="3" s="1"/>
  <c r="C23" i="3" s="1"/>
  <c r="B21" i="3"/>
  <c r="B22" i="3" s="1"/>
  <c r="B23" i="3" s="1"/>
  <c r="C3" i="3"/>
  <c r="C6" i="3" s="1"/>
  <c r="C7" i="3" s="1"/>
  <c r="B14" i="3"/>
  <c r="D20" i="2"/>
  <c r="D21" i="2" s="1"/>
  <c r="D22" i="2" s="1"/>
  <c r="D23" i="2" s="1"/>
  <c r="C20" i="2"/>
  <c r="C21" i="2" s="1"/>
  <c r="B20" i="2"/>
  <c r="B21" i="2" s="1"/>
  <c r="B22" i="2" s="1"/>
  <c r="B23" i="2" s="1"/>
  <c r="D13" i="2"/>
  <c r="D14" i="2" s="1"/>
  <c r="D15" i="2" s="1"/>
  <c r="D16" i="2" s="1"/>
  <c r="D28" i="2" s="1"/>
  <c r="D29" i="2" s="1"/>
  <c r="C13" i="2"/>
  <c r="C14" i="2" s="1"/>
  <c r="B13" i="2"/>
  <c r="B14" i="2" s="1"/>
  <c r="D3" i="2"/>
  <c r="C3" i="2"/>
  <c r="B3" i="2"/>
  <c r="C27" i="2" l="1"/>
  <c r="D27" i="2"/>
  <c r="D30" i="2" s="1"/>
  <c r="D31" i="2" s="1"/>
  <c r="B15" i="3"/>
  <c r="B16" i="3" s="1"/>
  <c r="B3" i="3"/>
  <c r="B27" i="3" s="1"/>
  <c r="C22" i="2"/>
  <c r="C23" i="2" s="1"/>
  <c r="C24" i="2" s="1"/>
  <c r="C25" i="2" s="1"/>
  <c r="C26" i="2" s="1"/>
  <c r="D10" i="2"/>
  <c r="D11" i="2" s="1"/>
  <c r="D12" i="2" s="1"/>
  <c r="C15" i="2"/>
  <c r="B15" i="2"/>
  <c r="C18" i="4"/>
  <c r="C19" i="4" s="1"/>
  <c r="B22" i="4"/>
  <c r="B18" i="4"/>
  <c r="B19" i="4" s="1"/>
  <c r="B27" i="4"/>
  <c r="B28" i="4" s="1"/>
  <c r="B29" i="4" s="1"/>
  <c r="C27" i="3"/>
  <c r="B24" i="3"/>
  <c r="B25" i="3" s="1"/>
  <c r="B26" i="3" s="1"/>
  <c r="B27" i="2"/>
  <c r="D24" i="2"/>
  <c r="D25" i="2" s="1"/>
  <c r="D26" i="2" s="1"/>
  <c r="B24" i="2"/>
  <c r="B25" i="2" s="1"/>
  <c r="B26" i="2" s="1"/>
  <c r="D17" i="2"/>
  <c r="D18" i="2" s="1"/>
  <c r="D19" i="2" s="1"/>
  <c r="B17" i="3" l="1"/>
  <c r="B18" i="3" s="1"/>
  <c r="B19" i="3" s="1"/>
  <c r="B6" i="3"/>
  <c r="B7" i="3" s="1"/>
  <c r="C16" i="2"/>
  <c r="B16" i="2"/>
  <c r="B28" i="2" s="1"/>
  <c r="B29" i="2" s="1"/>
  <c r="B30" i="2" s="1"/>
  <c r="B31" i="2" s="1"/>
  <c r="C24" i="3"/>
  <c r="C25" i="3" s="1"/>
  <c r="C26" i="3" s="1"/>
  <c r="C27" i="4"/>
  <c r="C28" i="4" s="1"/>
  <c r="C29" i="4" s="1"/>
  <c r="B10" i="2"/>
  <c r="B11" i="2" s="1"/>
  <c r="B12" i="2" s="1"/>
  <c r="C10" i="2"/>
  <c r="C11" i="2" s="1"/>
  <c r="C12" i="2" s="1"/>
  <c r="C17" i="2" l="1"/>
  <c r="C18" i="2" s="1"/>
  <c r="C19" i="2" s="1"/>
  <c r="C28" i="2"/>
  <c r="C29" i="2" s="1"/>
  <c r="C30" i="2" s="1"/>
  <c r="C31" i="2" s="1"/>
  <c r="B17" i="2"/>
  <c r="B18" i="2" s="1"/>
  <c r="B19" i="2" s="1"/>
  <c r="B36" i="2" s="1"/>
  <c r="D34" i="2"/>
  <c r="D36" i="2"/>
  <c r="B34" i="2"/>
  <c r="D32" i="2"/>
  <c r="C32" i="2" l="1"/>
  <c r="C35" i="2" s="1"/>
  <c r="C34" i="2"/>
  <c r="E34" i="2" s="1"/>
  <c r="C36" i="2"/>
  <c r="E36" i="2" s="1"/>
  <c r="B32" i="2"/>
  <c r="C33" i="2"/>
  <c r="D33" i="2"/>
  <c r="D35" i="2"/>
  <c r="B9" i="3" l="1"/>
  <c r="B28" i="3" s="1"/>
  <c r="B29" i="3" s="1"/>
  <c r="B30" i="3" s="1"/>
  <c r="B31" i="3" s="1"/>
  <c r="C9" i="3"/>
  <c r="C10" i="3" s="1"/>
  <c r="C11" i="3" s="1"/>
  <c r="C12" i="3" s="1"/>
  <c r="B35" i="2"/>
  <c r="E35" i="2" s="1"/>
  <c r="B33" i="2"/>
  <c r="E33" i="2" s="1"/>
  <c r="B10" i="3" l="1"/>
  <c r="B11" i="3" s="1"/>
  <c r="B12" i="3" s="1"/>
  <c r="B34" i="3"/>
  <c r="C28" i="3"/>
  <c r="C29" i="3" l="1"/>
  <c r="C30" i="3" s="1"/>
  <c r="C31" i="3" s="1"/>
  <c r="C32" i="3" s="1"/>
  <c r="C33" i="3" s="1"/>
  <c r="B32" i="3"/>
  <c r="B33" i="3" s="1"/>
  <c r="B36" i="3"/>
  <c r="C34" i="3"/>
  <c r="D34" i="3" s="1"/>
  <c r="G7" i="4" s="1"/>
  <c r="C36" i="3" l="1"/>
  <c r="D36" i="3" s="1"/>
  <c r="C35" i="3"/>
  <c r="B35" i="3"/>
  <c r="D33" i="3"/>
  <c r="D35" i="3" l="1"/>
  <c r="E2" i="4" s="1"/>
  <c r="E5" i="4" l="1"/>
  <c r="E6" i="4" s="1"/>
  <c r="B13" i="4" l="1"/>
  <c r="E7" i="4"/>
  <c r="E8" i="4" s="1"/>
  <c r="C2" i="4" s="1"/>
  <c r="C3" i="4" s="1"/>
  <c r="C13" i="4" l="1"/>
  <c r="C14" i="4" s="1"/>
  <c r="C32" i="4"/>
  <c r="C5" i="5" s="1"/>
  <c r="C7" i="5" s="1"/>
  <c r="B2" i="4"/>
  <c r="B3" i="4" s="1"/>
  <c r="C30" i="4" l="1"/>
  <c r="C31" i="4" s="1"/>
  <c r="C6" i="5"/>
  <c r="C8" i="5" s="1"/>
  <c r="C33" i="4"/>
  <c r="B14" i="4"/>
  <c r="C15" i="4"/>
  <c r="C35" i="4" l="1"/>
  <c r="C36" i="4"/>
  <c r="C34" i="4"/>
  <c r="B15" i="4"/>
  <c r="C20" i="4"/>
  <c r="C21" i="4" s="1"/>
  <c r="B20" i="4" l="1"/>
  <c r="B21" i="4" s="1"/>
  <c r="B32" i="4"/>
  <c r="B5" i="5" s="1"/>
  <c r="B7" i="5" s="1"/>
  <c r="B6" i="5" l="1"/>
  <c r="B8" i="5" s="1"/>
  <c r="B30" i="4"/>
  <c r="B31" i="4" s="1"/>
  <c r="B33" i="4"/>
  <c r="C11" i="6"/>
  <c r="D6" i="5" l="1"/>
  <c r="B35" i="4"/>
  <c r="D35" i="4" s="1"/>
  <c r="B11" i="6"/>
  <c r="B22" i="6" l="1"/>
  <c r="B34" i="4"/>
  <c r="B36" i="4"/>
  <c r="D36" i="4" s="1"/>
  <c r="C3" i="6"/>
  <c r="B3" i="6"/>
  <c r="B20" i="6" s="1"/>
  <c r="D11" i="6" l="1"/>
  <c r="D34" i="4"/>
  <c r="C20" i="6"/>
  <c r="C2" i="7" l="1"/>
  <c r="C3" i="7" s="1"/>
  <c r="C21" i="6"/>
  <c r="B2" i="7"/>
  <c r="B3" i="7" s="1"/>
  <c r="B21" i="6"/>
  <c r="C22" i="6" l="1"/>
  <c r="C28" i="6" l="1"/>
  <c r="C8" i="7" s="1"/>
  <c r="C4" i="7"/>
  <c r="C12" i="7" s="1"/>
  <c r="C23" i="6"/>
  <c r="C24" i="6" s="1"/>
  <c r="C25" i="6" s="1"/>
  <c r="C5" i="7" s="1"/>
  <c r="C13" i="7" s="1"/>
  <c r="C5" i="8" s="1"/>
  <c r="B23" i="6"/>
  <c r="B28" i="6"/>
  <c r="B4" i="7"/>
  <c r="B12" i="7" s="1"/>
  <c r="B24" i="6" l="1"/>
  <c r="C26" i="6"/>
  <c r="B4" i="8"/>
  <c r="B8" i="7"/>
  <c r="C14" i="7"/>
  <c r="C4" i="8"/>
  <c r="C30" i="6"/>
  <c r="C6" i="7" l="1"/>
  <c r="C27" i="6"/>
  <c r="C7" i="7" s="1"/>
  <c r="B25" i="6"/>
  <c r="C29" i="6"/>
  <c r="C13" i="8"/>
  <c r="C6" i="8"/>
  <c r="B13" i="8"/>
  <c r="C11" i="7" l="1"/>
  <c r="C15" i="7" s="1"/>
  <c r="C9" i="8" s="1"/>
  <c r="B19" i="8"/>
  <c r="B8" i="9" s="1"/>
  <c r="B4" i="9"/>
  <c r="B13" i="9" s="1"/>
  <c r="B30" i="6"/>
  <c r="B5" i="7"/>
  <c r="B13" i="7" s="1"/>
  <c r="B26" i="6"/>
  <c r="B27" i="6" s="1"/>
  <c r="B14" i="8"/>
  <c r="B15" i="8" s="1"/>
  <c r="B16" i="8" s="1"/>
  <c r="C14" i="8"/>
  <c r="C15" i="8" s="1"/>
  <c r="C16" i="8" s="1"/>
  <c r="C5" i="9" s="1"/>
  <c r="C19" i="8"/>
  <c r="C8" i="9" s="1"/>
  <c r="C4" i="9"/>
  <c r="C13" i="9" s="1"/>
  <c r="C7" i="8" l="1"/>
  <c r="B5" i="9"/>
  <c r="B17" i="8"/>
  <c r="B5" i="8"/>
  <c r="B6" i="8" s="1"/>
  <c r="B14" i="7"/>
  <c r="B6" i="7"/>
  <c r="B29" i="6"/>
  <c r="C16" i="7"/>
  <c r="C14" i="9"/>
  <c r="C15" i="9" s="1"/>
  <c r="C16" i="9" s="1"/>
  <c r="C17" i="9" s="1"/>
  <c r="C19" i="9"/>
  <c r="C17" i="8"/>
  <c r="C20" i="8" s="1"/>
  <c r="C9" i="9" s="1"/>
  <c r="B14" i="9"/>
  <c r="B15" i="9" s="1"/>
  <c r="B16" i="9" s="1"/>
  <c r="B17" i="9" s="1"/>
  <c r="B19" i="9"/>
  <c r="C2" i="8" l="1"/>
  <c r="C3" i="8" s="1"/>
  <c r="C18" i="7"/>
  <c r="B18" i="9"/>
  <c r="B21" i="9" s="1"/>
  <c r="B20" i="9"/>
  <c r="C18" i="9"/>
  <c r="C21" i="9" s="1"/>
  <c r="C20" i="9"/>
  <c r="B6" i="9"/>
  <c r="B20" i="8"/>
  <c r="B9" i="9" s="1"/>
  <c r="B7" i="7"/>
  <c r="B11" i="7" s="1"/>
  <c r="C17" i="7"/>
  <c r="B18" i="8"/>
  <c r="D19" i="9"/>
  <c r="C6" i="9"/>
  <c r="C18" i="8"/>
  <c r="C8" i="8" l="1"/>
  <c r="D18" i="9"/>
  <c r="D20" i="9"/>
  <c r="D21" i="9"/>
  <c r="B7" i="8"/>
  <c r="B15" i="7"/>
  <c r="B16" i="7" s="1"/>
  <c r="B18" i="7" s="1"/>
  <c r="B7" i="9"/>
  <c r="B21" i="8"/>
  <c r="C21" i="8"/>
  <c r="C7" i="9"/>
  <c r="D13" i="10"/>
  <c r="C13" i="10"/>
  <c r="B13" i="10"/>
  <c r="B9" i="8" l="1"/>
  <c r="C14" i="10"/>
  <c r="C15" i="10" s="1"/>
  <c r="D14" i="10"/>
  <c r="D15" i="10" s="1"/>
  <c r="B14" i="10"/>
  <c r="B15" i="10" s="1"/>
  <c r="B17" i="7" l="1"/>
  <c r="B2" i="8"/>
  <c r="D20" i="10"/>
  <c r="D16" i="10"/>
  <c r="B16" i="10"/>
  <c r="B20" i="10"/>
  <c r="C20" i="10"/>
  <c r="C16" i="10"/>
  <c r="B8" i="8" l="1"/>
  <c r="B3" i="8"/>
  <c r="B21" i="10"/>
  <c r="B22" i="10" s="1"/>
  <c r="B32" i="10"/>
  <c r="C21" i="10"/>
  <c r="C22" i="10" s="1"/>
  <c r="C32" i="10"/>
  <c r="D21" i="10"/>
  <c r="D22" i="10" s="1"/>
  <c r="D32" i="10"/>
  <c r="C38" i="10" l="1"/>
  <c r="C33" i="10"/>
  <c r="C34" i="10" s="1"/>
  <c r="C35" i="10" s="1"/>
  <c r="C40" i="10" s="1"/>
  <c r="D38" i="10"/>
  <c r="D33" i="10"/>
  <c r="D34" i="10" s="1"/>
  <c r="D35" i="10" s="1"/>
  <c r="D40" i="10" s="1"/>
  <c r="B38" i="10"/>
  <c r="B33" i="10"/>
  <c r="B34" i="10" s="1"/>
  <c r="B35" i="10" s="1"/>
  <c r="B40" i="10" s="1"/>
  <c r="B36" i="10" l="1"/>
  <c r="B39" i="10" s="1"/>
  <c r="E38" i="10"/>
  <c r="C36" i="10"/>
  <c r="C39" i="10" s="1"/>
  <c r="D36" i="10"/>
  <c r="D39" i="10" s="1"/>
  <c r="E40" i="10"/>
  <c r="E39" i="10" l="1"/>
  <c r="C37" i="10"/>
  <c r="B37" i="10"/>
  <c r="D37" i="10"/>
  <c r="E37" i="10" l="1"/>
  <c r="J23" i="1" s="1"/>
</calcChain>
</file>

<file path=xl/comments1.xml><?xml version="1.0" encoding="utf-8"?>
<comments xmlns="http://schemas.openxmlformats.org/spreadsheetml/2006/main">
  <authors>
    <author>kgb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kgb:</t>
        </r>
        <r>
          <rPr>
            <sz val="9"/>
            <color indexed="81"/>
            <rFont val="Tahoma"/>
            <family val="2"/>
          </rPr>
          <t xml:space="preserve">
Recomputed on "UFP-02A,B-preconc" Sheet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kgb:</t>
        </r>
        <r>
          <rPr>
            <sz val="9"/>
            <color indexed="81"/>
            <rFont val="Tahoma"/>
            <family val="2"/>
          </rPr>
          <t xml:space="preserve">
Likely less than 0.5 wt% UDS -- assumed 0.0 wt% for this case</t>
        </r>
      </text>
    </comment>
  </commentList>
</comments>
</file>

<file path=xl/sharedStrings.xml><?xml version="1.0" encoding="utf-8"?>
<sst xmlns="http://schemas.openxmlformats.org/spreadsheetml/2006/main" count="320" uniqueCount="191">
  <si>
    <t>Tank Farm</t>
  </si>
  <si>
    <t>UFP-02 Leaching, %</t>
  </si>
  <si>
    <t>Add CXP eluate</t>
  </si>
  <si>
    <t>Solids, g UDS/L</t>
  </si>
  <si>
    <t>Sodium, mols Na/L</t>
  </si>
  <si>
    <t>HLP-22A</t>
  </si>
  <si>
    <t>HLP-22A/B/C</t>
  </si>
  <si>
    <t>UFP-01A/B</t>
  </si>
  <si>
    <t>UFP-02A/B</t>
  </si>
  <si>
    <t>Max working volume, gal</t>
  </si>
  <si>
    <t>Heel volume, gal</t>
  </si>
  <si>
    <t>Min. xfer -- in (from prior vessel), gal</t>
  </si>
  <si>
    <t>Target xfr -- in (from prior vessel), gal</t>
  </si>
  <si>
    <t>Max. xfer -- in (from prior vessel), gal</t>
  </si>
  <si>
    <t>Xfer uncertainty, gal</t>
  </si>
  <si>
    <t>mulitple</t>
  </si>
  <si>
    <t>HLP-28A/B/C</t>
  </si>
  <si>
    <t>HFP-01/05</t>
  </si>
  <si>
    <t>HFP-02/06</t>
  </si>
  <si>
    <t>CNP-03 target xfer -- in (vessel), gal</t>
  </si>
  <si>
    <t>Condensate target xfer -- in (ea. vessel), gal</t>
  </si>
  <si>
    <t>NaOH target xfer -- in (vessel), gal</t>
  </si>
  <si>
    <t>HLP-22B</t>
  </si>
  <si>
    <t>HLP-22C</t>
  </si>
  <si>
    <t>LAW (FRP) target xfer -- in (ea. vessel), gal</t>
  </si>
  <si>
    <t>Solids, wt% UDS, 5M Na</t>
  </si>
  <si>
    <t>Solids, wt% UDS, water</t>
  </si>
  <si>
    <t>TF UDS mass, kg</t>
  </si>
  <si>
    <t>TF UDS volume, L</t>
  </si>
  <si>
    <t>TF Slurry Volume (+ Heel), gal</t>
  </si>
  <si>
    <t>TF Slurry Volume (+ Heel), L</t>
  </si>
  <si>
    <t>TF Liquid volume, L</t>
  </si>
  <si>
    <t>TF Liquid mass, kg</t>
  </si>
  <si>
    <t>LAW (FRP) UDS mass, kg</t>
  </si>
  <si>
    <t>LAW (FRP) UDS volume, L</t>
  </si>
  <si>
    <t>LAW (FRP) Liquid volume, L</t>
  </si>
  <si>
    <t>LAW (FRP) Liquid mass, kg</t>
  </si>
  <si>
    <t>LAW (FRP) slurry volume, gal</t>
  </si>
  <si>
    <t>LAW (FRP) slurry mass, kg</t>
  </si>
  <si>
    <t>Condensate slurry volume, gal</t>
  </si>
  <si>
    <t>Condensate slurry volume, L</t>
  </si>
  <si>
    <t>Condensate slurry mass, kg</t>
  </si>
  <si>
    <t>Condensate UDS mass, kg</t>
  </si>
  <si>
    <t>Condensate UDS volume, L</t>
  </si>
  <si>
    <t>Condensate Liquid volume, L</t>
  </si>
  <si>
    <t>Condensate Liquid mass, kg</t>
  </si>
  <si>
    <t>Total Slurry Volume, L</t>
  </si>
  <si>
    <t>Total UDS mass, kg</t>
  </si>
  <si>
    <t>Total Liquid mass, kg</t>
  </si>
  <si>
    <t>Total Slurry mass, kg</t>
  </si>
  <si>
    <t>UDS wt% (total)</t>
  </si>
  <si>
    <t>UFP-01A</t>
  </si>
  <si>
    <t>HLP-22 Slurry Volume (+ Heel), gal</t>
  </si>
  <si>
    <t>HLP-22 Slurry Volume (+ Heel), L</t>
  </si>
  <si>
    <t>UFP-01B</t>
  </si>
  <si>
    <t>UFP-02A</t>
  </si>
  <si>
    <t>UFP-02B</t>
  </si>
  <si>
    <t>(assumed to be water)</t>
  </si>
  <si>
    <t>MADC-1 UDS density, kg UDS/L</t>
  </si>
  <si>
    <t>Na Bulk slurry density, kg BS/L</t>
  </si>
  <si>
    <t>no na Bulk Slurry density, kg BS/L</t>
  </si>
  <si>
    <t>approx. total slurry density, kg/L</t>
  </si>
  <si>
    <t>UDS , kg UDS/L</t>
  </si>
  <si>
    <t>UFP-02 Heel density, kg slurry/L</t>
  </si>
  <si>
    <t>UFP-02 Heel volume, L</t>
  </si>
  <si>
    <t>UFP-02 Heel mass, kg</t>
  </si>
  <si>
    <t>UFP-01 Slurry Volume (+ Heel), gal</t>
  </si>
  <si>
    <t>UFP-01 Slurry Volume (+ Heel), L</t>
  </si>
  <si>
    <t>UFP-02 UDS mass, kg UDS</t>
  </si>
  <si>
    <t>UFP-02 UDS volume, L UDS</t>
  </si>
  <si>
    <t>UFP-02 Liquid volume, L</t>
  </si>
  <si>
    <t>UFP-02 Liquid mass, kg</t>
  </si>
  <si>
    <t>UFP-02 Heel UDS mass, kg UDS</t>
  </si>
  <si>
    <t>NaOH slurry volume, gal</t>
  </si>
  <si>
    <t>NaOH slurry mass, kg</t>
  </si>
  <si>
    <t>NaOH UDS mass, kg</t>
  </si>
  <si>
    <t>NaOH UDS volume, L</t>
  </si>
  <si>
    <t>NaOH Liquid volume, L</t>
  </si>
  <si>
    <t>NaOH Liquid mass, kg</t>
  </si>
  <si>
    <t>19 M NaOH</t>
  </si>
  <si>
    <t>NaOH slurry volume, L</t>
  </si>
  <si>
    <t>LAW (FRP) slurry volume, L</t>
  </si>
  <si>
    <t>UFP-02 Heel Liquid vol., L</t>
  </si>
  <si>
    <t>UFP-02 Heel UDS vol, L UDS</t>
  </si>
  <si>
    <t>UFP-02 Heel Liquid mass, kg</t>
  </si>
  <si>
    <t>Starting</t>
  </si>
  <si>
    <t>Final UDS wt% (total)</t>
  </si>
  <si>
    <t>Final UDS mass, kg</t>
  </si>
  <si>
    <t>UDS mass, kg UDS/L</t>
  </si>
  <si>
    <t>Final Liquid mass, kg</t>
  </si>
  <si>
    <t>Final slurry density, kg/L</t>
  </si>
  <si>
    <t>Final slurry vol., L</t>
  </si>
  <si>
    <t>Final slurry vol., gal</t>
  </si>
  <si>
    <t>UDS, kg UDS/L</t>
  </si>
  <si>
    <t>total slurry density (VA), kg/L</t>
  </si>
  <si>
    <t>total slurry density (M/V), kg/L</t>
  </si>
  <si>
    <t>(from DQO Appendix E)</t>
  </si>
  <si>
    <t>(assuming does NOT contain UDS, e.g., gibbsite and soda lime -- which it probably should. I think this value is 1.13 in the DQO report.)</t>
  </si>
  <si>
    <t>Final Total mass, kg</t>
  </si>
  <si>
    <t>Total Slurry Volume, gal</t>
  </si>
  <si>
    <t>Total UDS vol., L</t>
  </si>
  <si>
    <t>Total Liquid vol., L</t>
  </si>
  <si>
    <t>Concentration</t>
  </si>
  <si>
    <t>Final UDS vol, L</t>
  </si>
  <si>
    <t>Final Liquid vol, L</t>
  </si>
  <si>
    <t>Wash, gal</t>
  </si>
  <si>
    <t>HLP-28A</t>
  </si>
  <si>
    <t>HLP-28B</t>
  </si>
  <si>
    <t>HLP-28C</t>
  </si>
  <si>
    <t>CXP eluate volume, gal</t>
  </si>
  <si>
    <t>CXP eluate volume, L</t>
  </si>
  <si>
    <t>CXP eluate mass, kg</t>
  </si>
  <si>
    <t>CXP eluate UDS mass, kg</t>
  </si>
  <si>
    <t>CXP eluate UDS volume, L</t>
  </si>
  <si>
    <t>CXP eluate Liquid volume, L</t>
  </si>
  <si>
    <t>CXP eluate Liquid mass, kg</t>
  </si>
  <si>
    <t>Total UDS vol, L</t>
  </si>
  <si>
    <t>Final Slurry Volume, L</t>
  </si>
  <si>
    <t>Total Final UDS mass, kg</t>
  </si>
  <si>
    <t>Total Final UDS vol, L</t>
  </si>
  <si>
    <t>Total Final Liquid vol, L</t>
  </si>
  <si>
    <t>UFP-02 Slurry Volume (+ Heel), gal</t>
  </si>
  <si>
    <t>UFP-02 Slurry Volume (+ Heel), L</t>
  </si>
  <si>
    <t>HLP-28 Heel density, kg slurry/L</t>
  </si>
  <si>
    <t>HLP-28 Heel volume, L</t>
  </si>
  <si>
    <t>HLP-28 Heel mass, kg</t>
  </si>
  <si>
    <t>HLP-28 Heel UDS mass, kg UDS</t>
  </si>
  <si>
    <t>HLP-28 Heel UDS vol, L UDS</t>
  </si>
  <si>
    <t>HLP-28 Heel Liquid vol., L</t>
  </si>
  <si>
    <t>HLP-28 Heel Liquid mass, kg</t>
  </si>
  <si>
    <t>HLP-28 UDS mass, kg UDS</t>
  </si>
  <si>
    <t>HLP-28 UDS volume, L UDS</t>
  </si>
  <si>
    <t>HLP-28 Liquid volume, L</t>
  </si>
  <si>
    <t>HLP-28 Liquid mass, kg</t>
  </si>
  <si>
    <t>HLP-28 Heel wt% UDS</t>
  </si>
  <si>
    <t>assuming same as final</t>
  </si>
  <si>
    <t>assuming UDS in water</t>
  </si>
  <si>
    <t>Case assumption xfer (from prior vessel), gal</t>
  </si>
  <si>
    <t>HLP-28 Heel UDS mass, kg UDS/L</t>
  </si>
  <si>
    <t>HLP-22 Heel UDS vol, L</t>
  </si>
  <si>
    <t>HLP-22 Heel UDS mass, kg</t>
  </si>
  <si>
    <t>HLP-22 Heel liquid vol, L</t>
  </si>
  <si>
    <t>HLP-22 Heel liquid mass, kg</t>
  </si>
  <si>
    <t>HLP-22 Heel UDS , kg UDS/L</t>
  </si>
  <si>
    <t>Total liquid vol., L</t>
  </si>
  <si>
    <t>UFP-01 UDS mass, kg</t>
  </si>
  <si>
    <t>UFP-01 UDS volume, L</t>
  </si>
  <si>
    <t>UFP-01 Liquid volume, L</t>
  </si>
  <si>
    <t>UFP-01 Liquid mass, kg</t>
  </si>
  <si>
    <t>Steady state -- no change in UDS due to other transfers -- pass through only case works… Would need to correct for other scenarios</t>
  </si>
  <si>
    <t>UFP-01 Heel UDS mass, kg</t>
  </si>
  <si>
    <t>UFP-01 Heel UDS vol, L</t>
  </si>
  <si>
    <t>UFP-01 Heel liquid vol, L</t>
  </si>
  <si>
    <t>UFP-01 Heel liquid mass, kg</t>
  </si>
  <si>
    <t>UFP-01 Heel UDS , kg UDS/L</t>
  </si>
  <si>
    <t>Total Liquid vol, L</t>
  </si>
  <si>
    <t>UFP-02 Heel UDS wt%</t>
  </si>
  <si>
    <t>UFP-02 final density if Na containing, kg slurry/L</t>
  </si>
  <si>
    <t>gallons equivalent</t>
  </si>
  <si>
    <t>L equivalent</t>
  </si>
  <si>
    <t>kg equivalent</t>
  </si>
  <si>
    <t>kg UDS equivalent</t>
  </si>
  <si>
    <t>L UFP-01 to add to get kg UDS equivalent</t>
  </si>
  <si>
    <t>gal UFP-01 to add</t>
  </si>
  <si>
    <t>Kind of violates conservation of mass…</t>
  </si>
  <si>
    <t>Final Total Slurry mass, kg</t>
  </si>
  <si>
    <t>I have to ignore what I made in the previous, preconc step</t>
  </si>
  <si>
    <t>Use final from previous step</t>
  </si>
  <si>
    <t>Could use this as heel but not</t>
  </si>
  <si>
    <t>kg UDS/L</t>
  </si>
  <si>
    <t>No condensate</t>
  </si>
  <si>
    <t>Two different ways to check</t>
  </si>
  <si>
    <t>No NaOH</t>
  </si>
  <si>
    <t>Diluted more than assumed in inputs…</t>
  </si>
  <si>
    <t>Less than assumed in inputs</t>
  </si>
  <si>
    <t>Assuming a volume loss as well</t>
  </si>
  <si>
    <t>Final slurry density (VA), kg/L</t>
  </si>
  <si>
    <t>Final slurry density (M/V), kg/L</t>
  </si>
  <si>
    <t>Should be target wt%</t>
  </si>
  <si>
    <t>kg UDS in final UFP-02</t>
  </si>
  <si>
    <t>L UDS in final UFP-02</t>
  </si>
  <si>
    <t>For cases where all UDS are from TF feed</t>
  </si>
  <si>
    <t>kg UDS in UFP-02 prior to digestion</t>
  </si>
  <si>
    <t>L UDS in UFP-02 prior to digestion</t>
  </si>
  <si>
    <t>Here's what I compute</t>
  </si>
  <si>
    <t>Heels</t>
  </si>
  <si>
    <t>gal</t>
  </si>
  <si>
    <t>check</t>
  </si>
  <si>
    <t>HLP-28</t>
  </si>
  <si>
    <t>UFP-02 final solids, wt% UDS</t>
  </si>
  <si>
    <t>Diluted in HLP-28 with CXP from CNP-03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</si>
</sst>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rgb="FFFFFF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0" fontId="0" fillId="0" borderId="0" xfId="0" applyNumberFormat="1" applyFont="1"/>
    <xf numFmtId="10" fontId="2" fillId="0" borderId="0" xfId="0" applyNumberFormat="1" applyFont="1"/>
    <xf numFmtId="10" fontId="0" fillId="0" borderId="0" xfId="0" applyNumberFormat="1" applyAlignment="1">
      <alignment horizontal="left"/>
    </xf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Border="1"/>
    <xf numFmtId="0" fontId="1" fillId="2" borderId="0" xfId="0" applyFont="1" applyFill="1" applyBorder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 applyFill="1"/>
    <xf numFmtId="0" fontId="2" fillId="0" borderId="0" xfId="0" applyNumberFormat="1" applyFont="1"/>
    <xf numFmtId="10" fontId="0" fillId="0" borderId="0" xfId="0" applyNumberFormat="1" applyFont="1" applyBorder="1"/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ont="1" applyFill="1"/>
    <xf numFmtId="0" fontId="1" fillId="0" borderId="0" xfId="0" applyFont="1" applyFill="1"/>
    <xf numFmtId="0" fontId="1" fillId="2" borderId="1" xfId="0" applyFont="1" applyFill="1" applyBorder="1"/>
    <xf numFmtId="0" fontId="0" fillId="0" borderId="0" xfId="0" applyNumberFormat="1" applyBorder="1"/>
    <xf numFmtId="0" fontId="0" fillId="2" borderId="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7" xfId="0" applyFill="1" applyBorder="1" applyAlignment="1"/>
    <xf numFmtId="10" fontId="1" fillId="2" borderId="0" xfId="0" applyNumberFormat="1" applyFont="1" applyFill="1"/>
    <xf numFmtId="0" fontId="1" fillId="5" borderId="2" xfId="0" applyFont="1" applyFill="1" applyBorder="1" applyAlignment="1">
      <alignment horizontal="righ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</xdr:row>
      <xdr:rowOff>0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13</xdr:row>
      <xdr:rowOff>23812</xdr:rowOff>
    </xdr:from>
    <xdr:ext cx="1056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𝑈𝐷𝑆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</m:oMath>
              </a14:m>
              <a:r>
                <a:rPr lang="en-US" sz="1100"/>
                <a:t>  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𝑉_𝑇=𝑉_𝑈𝐷𝑆+𝑉_𝑤</a:t>
              </a:r>
              <a:r>
                <a:rPr lang="en-US" sz="1100"/>
                <a:t>   </a:t>
              </a:r>
            </a:p>
          </xdr:txBody>
        </xdr:sp>
      </mc:Fallback>
    </mc:AlternateContent>
    <xdr:clientData/>
  </xdr:oneCellAnchor>
  <xdr:oneCellAnchor>
    <xdr:from>
      <xdr:col>9</xdr:col>
      <xdr:colOff>152400</xdr:colOff>
      <xdr:row>13</xdr:row>
      <xdr:rowOff>23812</xdr:rowOff>
    </xdr:from>
    <xdr:ext cx="9607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𝑉_𝑤=𝑉_𝑇−𝑉_𝑈𝐷𝑆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15</xdr:row>
      <xdr:rowOff>23812</xdr:rowOff>
    </xdr:from>
    <xdr:ext cx="5014514" cy="400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=𝑚_𝑈𝐷𝑆/(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+𝑚_𝑤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〗_𝑈𝐷𝑆/(〖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𝑉_𝑈𝐷𝑆)/(〖𝜌_𝑈𝐷𝑆 𝑉〗_𝑈𝐷𝑆+〖𝜌_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(𝜌_𝑈𝐷𝑆 𝑉_𝑈𝐷𝑆)/(〖𝜌_𝑈𝐷𝑆 𝑉〗_𝑈𝐷𝑆+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𝑉_𝑇−𝑉_𝑈𝐷𝑆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600075</xdr:colOff>
      <xdr:row>18</xdr:row>
      <xdr:rowOff>23812</xdr:rowOff>
    </xdr:from>
    <xdr:ext cx="2654636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(𝑉_𝑇−𝑉_𝑈𝐷𝑆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]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20</xdr:row>
      <xdr:rowOff>52387</xdr:rowOff>
    </xdr:from>
    <xdr:ext cx="2895087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𝑉_𝑈𝐷𝑆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22</xdr:row>
      <xdr:rowOff>100012</xdr:rowOff>
    </xdr:from>
    <xdr:ext cx="2581668" cy="198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𝑉_𝑈𝐷𝑆−𝜌_𝑈𝐷𝑆 𝑉_𝑈𝐷𝑆=−𝜔𝜌_𝑤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24</xdr:row>
      <xdr:rowOff>119062</xdr:rowOff>
    </xdr:from>
    <xdr:ext cx="1766253" cy="390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−𝜔𝜌_𝑤 𝑉_𝑇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581025</xdr:colOff>
      <xdr:row>27</xdr:row>
      <xdr:rowOff>52387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F16" sqref="F16"/>
    </sheetView>
  </sheetViews>
  <sheetFormatPr defaultRowHeight="15" x14ac:dyDescent="0.25"/>
  <cols>
    <col min="1" max="1" width="30.7109375" style="2" bestFit="1" customWidth="1"/>
    <col min="2" max="2" width="10" bestFit="1" customWidth="1"/>
    <col min="3" max="3" width="40.42578125" style="2" bestFit="1" customWidth="1"/>
    <col min="4" max="4" width="12.28515625" bestFit="1" customWidth="1"/>
    <col min="5" max="6" width="10.5703125" bestFit="1" customWidth="1"/>
    <col min="7" max="7" width="12.28515625" bestFit="1" customWidth="1"/>
    <col min="8" max="9" width="10" bestFit="1" customWidth="1"/>
  </cols>
  <sheetData>
    <row r="1" spans="1:19" x14ac:dyDescent="0.25">
      <c r="A1" s="2" t="s">
        <v>1</v>
      </c>
      <c r="B1" s="1">
        <v>0.5</v>
      </c>
      <c r="C1" s="3"/>
    </row>
    <row r="2" spans="1:19" x14ac:dyDescent="0.25">
      <c r="A2" s="2" t="s">
        <v>189</v>
      </c>
      <c r="B2" s="62">
        <v>0.18060000000000001</v>
      </c>
      <c r="C2" s="18" t="s">
        <v>190</v>
      </c>
    </row>
    <row r="3" spans="1:19" x14ac:dyDescent="0.25">
      <c r="A3" s="2" t="s">
        <v>2</v>
      </c>
      <c r="B3" s="1" t="b">
        <v>0</v>
      </c>
      <c r="C3" s="3"/>
    </row>
    <row r="4" spans="1:19" x14ac:dyDescent="0.25">
      <c r="B4" s="1"/>
      <c r="C4" s="3"/>
    </row>
    <row r="5" spans="1:19" x14ac:dyDescent="0.25">
      <c r="A5" s="2" t="s">
        <v>58</v>
      </c>
      <c r="B5" s="9">
        <v>2.899</v>
      </c>
      <c r="C5" s="18" t="s">
        <v>96</v>
      </c>
    </row>
    <row r="6" spans="1:19" x14ac:dyDescent="0.25">
      <c r="A6" s="2" t="s">
        <v>59</v>
      </c>
      <c r="B6" s="26">
        <v>1.4</v>
      </c>
      <c r="C6" s="18" t="s">
        <v>97</v>
      </c>
    </row>
    <row r="7" spans="1:19" x14ac:dyDescent="0.25">
      <c r="A7" s="2" t="s">
        <v>60</v>
      </c>
      <c r="B7" s="9">
        <v>1</v>
      </c>
      <c r="C7" s="18" t="s">
        <v>57</v>
      </c>
    </row>
    <row r="8" spans="1:19" x14ac:dyDescent="0.25">
      <c r="A8" s="2" t="s">
        <v>79</v>
      </c>
      <c r="B8" s="25">
        <v>1.54</v>
      </c>
      <c r="C8" s="3"/>
    </row>
    <row r="9" spans="1:19" x14ac:dyDescent="0.25">
      <c r="B9" s="27"/>
      <c r="C9" s="3"/>
    </row>
    <row r="10" spans="1:19" s="6" customFormat="1" x14ac:dyDescent="0.25">
      <c r="A10" s="5"/>
      <c r="B10" s="6" t="s">
        <v>0</v>
      </c>
      <c r="C10" s="5"/>
      <c r="D10" s="6" t="s">
        <v>6</v>
      </c>
      <c r="E10" s="6" t="s">
        <v>7</v>
      </c>
      <c r="F10" s="6" t="s">
        <v>8</v>
      </c>
      <c r="G10" s="6" t="s">
        <v>16</v>
      </c>
      <c r="H10" s="6" t="s">
        <v>17</v>
      </c>
      <c r="I10" s="6" t="s">
        <v>18</v>
      </c>
    </row>
    <row r="11" spans="1:19" x14ac:dyDescent="0.25">
      <c r="A11" s="2" t="s">
        <v>3</v>
      </c>
      <c r="B11" s="26">
        <v>200</v>
      </c>
      <c r="C11" s="3" t="s">
        <v>9</v>
      </c>
      <c r="D11">
        <v>16300</v>
      </c>
      <c r="E11">
        <v>16300</v>
      </c>
      <c r="F11">
        <v>20300</v>
      </c>
      <c r="G11">
        <v>16300</v>
      </c>
      <c r="H11">
        <v>5500</v>
      </c>
      <c r="I11">
        <v>7208</v>
      </c>
    </row>
    <row r="12" spans="1:19" x14ac:dyDescent="0.25">
      <c r="A12" s="2" t="s">
        <v>4</v>
      </c>
      <c r="B12">
        <v>5</v>
      </c>
      <c r="C12" s="2" t="s">
        <v>10</v>
      </c>
      <c r="D12">
        <v>5000</v>
      </c>
      <c r="E12">
        <v>5000</v>
      </c>
      <c r="F12">
        <v>1000</v>
      </c>
      <c r="G12">
        <v>5000</v>
      </c>
      <c r="H12">
        <v>1214</v>
      </c>
      <c r="I12">
        <v>1401</v>
      </c>
    </row>
    <row r="13" spans="1:19" ht="15.75" thickBot="1" x14ac:dyDescent="0.3">
      <c r="C13" s="2" t="s">
        <v>11</v>
      </c>
      <c r="D13">
        <v>3500</v>
      </c>
      <c r="E13">
        <v>3500</v>
      </c>
      <c r="F13">
        <v>3500</v>
      </c>
      <c r="G13">
        <v>3500</v>
      </c>
      <c r="H13">
        <v>500</v>
      </c>
      <c r="I13">
        <v>250</v>
      </c>
    </row>
    <row r="14" spans="1:19" ht="15.75" thickBot="1" x14ac:dyDescent="0.3">
      <c r="C14" s="2" t="s">
        <v>12</v>
      </c>
      <c r="D14">
        <v>16300</v>
      </c>
      <c r="E14">
        <v>4000</v>
      </c>
      <c r="F14" s="39" t="s">
        <v>15</v>
      </c>
      <c r="G14">
        <v>16300</v>
      </c>
      <c r="H14">
        <v>2610</v>
      </c>
      <c r="I14">
        <v>5500</v>
      </c>
      <c r="L14" s="50"/>
      <c r="M14" s="51"/>
      <c r="N14" s="51"/>
      <c r="O14" s="51"/>
      <c r="P14" s="51"/>
      <c r="Q14" s="51"/>
      <c r="R14" s="51"/>
      <c r="S14" s="52"/>
    </row>
    <row r="15" spans="1:19" ht="15.75" thickBot="1" x14ac:dyDescent="0.3">
      <c r="C15" s="4" t="s">
        <v>137</v>
      </c>
      <c r="D15" s="7">
        <v>11150</v>
      </c>
      <c r="E15" s="7">
        <v>4075</v>
      </c>
      <c r="F15" s="63">
        <f>'UFP-02A,B-preconc'!E8</f>
        <v>53536.233238007546</v>
      </c>
      <c r="G15" s="7">
        <v>12300</v>
      </c>
      <c r="H15" s="7">
        <v>2610</v>
      </c>
      <c r="I15" s="7">
        <v>5500</v>
      </c>
      <c r="L15" s="53"/>
      <c r="M15" s="54"/>
      <c r="N15" s="54"/>
      <c r="O15" s="54"/>
      <c r="P15" s="54"/>
      <c r="Q15" s="54"/>
      <c r="R15" s="54"/>
      <c r="S15" s="55"/>
    </row>
    <row r="16" spans="1:19" x14ac:dyDescent="0.25">
      <c r="C16" s="2" t="s">
        <v>13</v>
      </c>
      <c r="D16">
        <v>16300</v>
      </c>
      <c r="E16">
        <v>16300</v>
      </c>
      <c r="F16">
        <v>16300</v>
      </c>
      <c r="G16">
        <v>16300</v>
      </c>
      <c r="H16">
        <v>4305</v>
      </c>
      <c r="I16">
        <v>5500</v>
      </c>
      <c r="L16" s="53"/>
      <c r="M16" s="54"/>
      <c r="N16" s="54"/>
      <c r="O16" s="54"/>
      <c r="P16" s="54"/>
      <c r="Q16" s="54"/>
      <c r="R16" s="54"/>
      <c r="S16" s="55"/>
    </row>
    <row r="17" spans="1:19" x14ac:dyDescent="0.25">
      <c r="C17" s="2" t="s">
        <v>14</v>
      </c>
      <c r="D17">
        <v>700</v>
      </c>
      <c r="E17">
        <v>700</v>
      </c>
      <c r="F17" s="19">
        <v>700</v>
      </c>
      <c r="G17">
        <v>700</v>
      </c>
      <c r="H17">
        <v>50</v>
      </c>
      <c r="I17">
        <v>50</v>
      </c>
      <c r="L17" s="53"/>
      <c r="M17" s="54"/>
      <c r="N17" s="54"/>
      <c r="O17" s="54"/>
      <c r="P17" s="54"/>
      <c r="Q17" s="54"/>
      <c r="R17" s="54"/>
      <c r="S17" s="55"/>
    </row>
    <row r="18" spans="1:19" x14ac:dyDescent="0.25">
      <c r="C18" s="2" t="s">
        <v>102</v>
      </c>
      <c r="F18">
        <v>12300</v>
      </c>
      <c r="L18" s="53">
        <f>B5*(B2*B7*CONVERT(F18,"gal","l")/(B5-B2*(B5-B7)))</f>
        <v>9537.1025974011627</v>
      </c>
      <c r="M18" s="54" t="s">
        <v>179</v>
      </c>
      <c r="N18" s="54"/>
      <c r="O18" s="54"/>
      <c r="P18" s="54"/>
      <c r="Q18" s="54"/>
      <c r="R18" s="54"/>
      <c r="S18" s="55"/>
    </row>
    <row r="19" spans="1:19" x14ac:dyDescent="0.25">
      <c r="L19" s="53">
        <f>(B2*B7*CONVERT(F18,"gal","l")/(B5-B2*(B5-B7)))</f>
        <v>3289.7904785792211</v>
      </c>
      <c r="M19" s="54" t="s">
        <v>180</v>
      </c>
      <c r="N19" s="54"/>
      <c r="O19" s="54"/>
      <c r="P19" s="54"/>
      <c r="Q19" s="54"/>
      <c r="R19" s="54"/>
      <c r="S19" s="55"/>
    </row>
    <row r="20" spans="1:19" x14ac:dyDescent="0.25">
      <c r="A20" s="2" t="s">
        <v>25</v>
      </c>
      <c r="B20" s="62">
        <v>5.0000000000000001E-3</v>
      </c>
      <c r="C20" s="2" t="s">
        <v>24</v>
      </c>
      <c r="D20">
        <v>5150</v>
      </c>
      <c r="E20">
        <v>12225</v>
      </c>
      <c r="L20" s="53"/>
      <c r="M20" s="54"/>
      <c r="N20" s="54"/>
      <c r="O20" s="54"/>
      <c r="P20" s="54"/>
      <c r="Q20" s="54"/>
      <c r="R20" s="54"/>
      <c r="S20" s="55"/>
    </row>
    <row r="21" spans="1:19" x14ac:dyDescent="0.25">
      <c r="A21" s="2" t="s">
        <v>26</v>
      </c>
      <c r="B21" s="1">
        <v>0</v>
      </c>
      <c r="C21" s="2" t="s">
        <v>20</v>
      </c>
      <c r="D21">
        <v>0</v>
      </c>
      <c r="E21">
        <v>0</v>
      </c>
      <c r="F21" s="7">
        <v>36900</v>
      </c>
      <c r="L21" s="53">
        <f>L18/(1-B1)</f>
        <v>19074.205194802325</v>
      </c>
      <c r="M21" s="54" t="s">
        <v>182</v>
      </c>
      <c r="N21" s="54"/>
      <c r="O21" s="54"/>
      <c r="P21" s="54"/>
      <c r="Q21" s="54"/>
      <c r="R21" s="54"/>
      <c r="S21" s="55"/>
    </row>
    <row r="22" spans="1:19" ht="15.75" thickBot="1" x14ac:dyDescent="0.3">
      <c r="A22" s="2" t="s">
        <v>26</v>
      </c>
      <c r="B22" s="1">
        <v>0</v>
      </c>
      <c r="C22" s="2" t="s">
        <v>21</v>
      </c>
      <c r="F22" s="8">
        <v>4000</v>
      </c>
      <c r="J22" s="19" t="s">
        <v>188</v>
      </c>
      <c r="K22" s="19"/>
      <c r="L22" s="56">
        <f>L21/B5</f>
        <v>6579.5809571584423</v>
      </c>
      <c r="M22" s="57" t="s">
        <v>183</v>
      </c>
      <c r="N22" s="57"/>
      <c r="O22" s="57"/>
      <c r="P22" s="57"/>
      <c r="Q22" s="57"/>
      <c r="R22" s="57"/>
      <c r="S22" s="58"/>
    </row>
    <row r="23" spans="1:19" x14ac:dyDescent="0.25">
      <c r="A23" s="2" t="s">
        <v>26</v>
      </c>
      <c r="B23" s="1">
        <v>0</v>
      </c>
      <c r="C23" s="2" t="s">
        <v>19</v>
      </c>
      <c r="G23" s="19">
        <v>4000</v>
      </c>
      <c r="J23" s="62">
        <f>'HLP-28A,B,C'!E37</f>
        <v>0.15001736194890444</v>
      </c>
      <c r="K23" s="19" t="s">
        <v>187</v>
      </c>
    </row>
    <row r="24" spans="1:19" x14ac:dyDescent="0.25">
      <c r="C24" s="2" t="s">
        <v>105</v>
      </c>
      <c r="F24" s="19">
        <f>F18</f>
        <v>12300</v>
      </c>
    </row>
    <row r="26" spans="1:19" x14ac:dyDescent="0.25">
      <c r="C26" s="2" t="s">
        <v>185</v>
      </c>
      <c r="D26">
        <v>5000</v>
      </c>
      <c r="E26">
        <v>5000</v>
      </c>
      <c r="F26">
        <v>1000</v>
      </c>
      <c r="G26">
        <v>5000</v>
      </c>
      <c r="H26">
        <v>1214</v>
      </c>
      <c r="I26">
        <v>1401</v>
      </c>
    </row>
    <row r="27" spans="1:19" x14ac:dyDescent="0.25">
      <c r="B27">
        <f>B11/1000*3.7854</f>
        <v>0.75708000000000009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9" x14ac:dyDescent="0.25">
      <c r="B28">
        <f>B11/1000/B5</f>
        <v>6.8989306657468094E-2</v>
      </c>
    </row>
    <row r="29" spans="1:19" x14ac:dyDescent="0.25">
      <c r="B29">
        <f>1-B28</f>
        <v>0.93101069334253195</v>
      </c>
    </row>
    <row r="30" spans="1:19" x14ac:dyDescent="0.25">
      <c r="B30">
        <f>B29*B6</f>
        <v>1.3034149706795446</v>
      </c>
    </row>
    <row r="31" spans="1:19" x14ac:dyDescent="0.25">
      <c r="B31">
        <f>(B11/1000)/((B11/1000)+B30)</f>
        <v>0.13303046989721001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37" sqref="C37"/>
    </sheetView>
  </sheetViews>
  <sheetFormatPr defaultRowHeight="15" x14ac:dyDescent="0.25"/>
  <cols>
    <col min="1" max="1" width="31.85546875" style="2" bestFit="1" customWidth="1"/>
    <col min="2" max="5" width="12" bestFit="1" customWidth="1"/>
  </cols>
  <sheetData>
    <row r="1" spans="1:5" x14ac:dyDescent="0.25">
      <c r="A1" s="5"/>
      <c r="B1" s="6" t="s">
        <v>106</v>
      </c>
      <c r="C1" s="6" t="s">
        <v>107</v>
      </c>
      <c r="D1" s="6" t="s">
        <v>108</v>
      </c>
      <c r="E1" s="6"/>
    </row>
    <row r="2" spans="1:5" x14ac:dyDescent="0.25">
      <c r="A2" s="10" t="s">
        <v>121</v>
      </c>
      <c r="B2">
        <f>Inputs!$G15+Inputs!$G12</f>
        <v>17300</v>
      </c>
      <c r="C2">
        <f>Inputs!$G15+Inputs!$G12</f>
        <v>17300</v>
      </c>
      <c r="D2">
        <f>Inputs!$G15+Inputs!$G12</f>
        <v>17300</v>
      </c>
      <c r="E2" s="6"/>
    </row>
    <row r="3" spans="1:5" x14ac:dyDescent="0.25">
      <c r="A3" s="10" t="s">
        <v>122</v>
      </c>
      <c r="B3">
        <f>CONVERT(B2,"gal","l")</f>
        <v>65487.623863199995</v>
      </c>
      <c r="C3">
        <f>CONVERT(C2,"gal","l")</f>
        <v>65487.623863199995</v>
      </c>
      <c r="D3">
        <f>CONVERT(D2,"gal","l")</f>
        <v>65487.623863199995</v>
      </c>
      <c r="E3" s="6"/>
    </row>
    <row r="4" spans="1:5" x14ac:dyDescent="0.25">
      <c r="A4" s="40" t="s">
        <v>134</v>
      </c>
      <c r="B4" s="38">
        <f>Inputs!$B2</f>
        <v>0.18060000000000001</v>
      </c>
      <c r="C4" s="38">
        <f>Inputs!$B2</f>
        <v>0.18060000000000001</v>
      </c>
      <c r="D4" s="38">
        <f>Inputs!$B2</f>
        <v>0.18060000000000001</v>
      </c>
      <c r="E4" s="11" t="s">
        <v>135</v>
      </c>
    </row>
    <row r="5" spans="1:5" x14ac:dyDescent="0.25">
      <c r="A5" s="40" t="s">
        <v>123</v>
      </c>
      <c r="B5" s="7">
        <f>1/(B4/Inputs!$B5+(1-B4)/Inputs!$B7)</f>
        <v>1.1341760377358638</v>
      </c>
      <c r="C5" s="7">
        <f>1/(C4/Inputs!$B5+(1-C4)/Inputs!$B7)</f>
        <v>1.1341760377358638</v>
      </c>
      <c r="D5" s="7">
        <f>1/(D4/Inputs!$B5+(1-D4)/Inputs!$B7)</f>
        <v>1.1341760377358638</v>
      </c>
      <c r="E5" s="11" t="s">
        <v>136</v>
      </c>
    </row>
    <row r="6" spans="1:5" x14ac:dyDescent="0.25">
      <c r="A6" s="40" t="s">
        <v>124</v>
      </c>
      <c r="B6" s="41">
        <f>CONVERT(Inputs!$G12,"gal","l")</f>
        <v>18927.058919999999</v>
      </c>
      <c r="C6" s="41">
        <f>CONVERT(Inputs!$G12,"gal","l")</f>
        <v>18927.058919999999</v>
      </c>
      <c r="D6" s="41">
        <f>CONVERT(Inputs!$G12,"gal","l")</f>
        <v>18927.058919999999</v>
      </c>
      <c r="E6" s="6"/>
    </row>
    <row r="7" spans="1:5" x14ac:dyDescent="0.25">
      <c r="A7" s="40" t="s">
        <v>125</v>
      </c>
      <c r="B7" s="41">
        <f>B5*B6</f>
        <v>21466.616691878837</v>
      </c>
      <c r="C7" s="41">
        <f>C5*C6</f>
        <v>21466.616691878837</v>
      </c>
      <c r="D7" s="41">
        <f>D5*D6</f>
        <v>21466.616691878837</v>
      </c>
      <c r="E7" s="6"/>
    </row>
    <row r="8" spans="1:5" x14ac:dyDescent="0.25">
      <c r="A8" s="40" t="s">
        <v>126</v>
      </c>
      <c r="B8" s="41">
        <f>B7*B4</f>
        <v>3876.8709745533183</v>
      </c>
      <c r="C8" s="41">
        <f>C7*C4</f>
        <v>3876.8709745533183</v>
      </c>
      <c r="D8" s="41">
        <f>D7*D4</f>
        <v>3876.8709745533183</v>
      </c>
      <c r="E8" s="6"/>
    </row>
    <row r="9" spans="1:5" x14ac:dyDescent="0.25">
      <c r="A9" s="40" t="s">
        <v>138</v>
      </c>
      <c r="B9" s="41">
        <f>B8/B6</f>
        <v>0.20483219241509701</v>
      </c>
      <c r="C9" s="41">
        <f>C8/C6</f>
        <v>0.20483219241509701</v>
      </c>
      <c r="D9" s="41">
        <f>D8/D6</f>
        <v>0.20483219241509701</v>
      </c>
      <c r="E9" s="6"/>
    </row>
    <row r="10" spans="1:5" x14ac:dyDescent="0.25">
      <c r="A10" s="40" t="s">
        <v>127</v>
      </c>
      <c r="B10" s="41">
        <f>B8/Inputs!$B5</f>
        <v>1337.3132026744802</v>
      </c>
      <c r="C10" s="41">
        <f>C8/Inputs!$B5</f>
        <v>1337.3132026744802</v>
      </c>
      <c r="D10" s="41">
        <f>D8/Inputs!$B5</f>
        <v>1337.3132026744802</v>
      </c>
      <c r="E10" s="6"/>
    </row>
    <row r="11" spans="1:5" x14ac:dyDescent="0.25">
      <c r="A11" s="40" t="s">
        <v>128</v>
      </c>
      <c r="B11" s="41">
        <f>B6-B10</f>
        <v>17589.745717325521</v>
      </c>
      <c r="C11" s="41">
        <f>C6-C10</f>
        <v>17589.745717325521</v>
      </c>
      <c r="D11" s="41">
        <f>D6-D10</f>
        <v>17589.745717325521</v>
      </c>
      <c r="E11" s="6"/>
    </row>
    <row r="12" spans="1:5" x14ac:dyDescent="0.25">
      <c r="A12" s="40" t="s">
        <v>129</v>
      </c>
      <c r="B12" s="41">
        <f>B11/Inputs!$B7</f>
        <v>17589.745717325521</v>
      </c>
      <c r="C12" s="41">
        <f>C11/Inputs!$B7</f>
        <v>17589.745717325521</v>
      </c>
      <c r="D12" s="41">
        <f>D11/Inputs!$B7</f>
        <v>17589.745717325521</v>
      </c>
      <c r="E12" s="6"/>
    </row>
    <row r="13" spans="1:5" x14ac:dyDescent="0.25">
      <c r="A13" s="10" t="s">
        <v>130</v>
      </c>
      <c r="B13">
        <f>B8+CONVERT(Inputs!$G15,"gal","l")*'UFP-02A,B-Wash'!$D19</f>
        <v>13413.973571954481</v>
      </c>
      <c r="C13">
        <f>C8+CONVERT(Inputs!$G15,"gal","l")*'UFP-02A,B-Wash'!$D19</f>
        <v>13413.973571954481</v>
      </c>
      <c r="D13">
        <f>D8+CONVERT(Inputs!$G15,"gal","l")*'UFP-02A,B-Wash'!$D19</f>
        <v>13413.973571954481</v>
      </c>
      <c r="E13" s="6"/>
    </row>
    <row r="14" spans="1:5" x14ac:dyDescent="0.25">
      <c r="A14" s="10" t="s">
        <v>131</v>
      </c>
      <c r="B14">
        <f>B13/Inputs!$B5</f>
        <v>4627.1036812537013</v>
      </c>
      <c r="C14">
        <f>C13/Inputs!$B5</f>
        <v>4627.1036812537013</v>
      </c>
      <c r="D14">
        <f>D13/Inputs!$B5</f>
        <v>4627.1036812537013</v>
      </c>
      <c r="E14" s="6"/>
    </row>
    <row r="15" spans="1:5" x14ac:dyDescent="0.25">
      <c r="A15" s="10" t="s">
        <v>132</v>
      </c>
      <c r="B15">
        <f>B3-B14</f>
        <v>60860.520181946296</v>
      </c>
      <c r="C15">
        <f>C3-C14</f>
        <v>60860.520181946296</v>
      </c>
      <c r="D15">
        <f>D3-D14</f>
        <v>60860.520181946296</v>
      </c>
      <c r="E15" s="6"/>
    </row>
    <row r="16" spans="1:5" x14ac:dyDescent="0.25">
      <c r="A16" s="10" t="s">
        <v>133</v>
      </c>
      <c r="B16">
        <f>B12+B15*Inputs!$B7</f>
        <v>78450.265899271821</v>
      </c>
      <c r="C16">
        <f>C12+C15*Inputs!$B7</f>
        <v>78450.265899271821</v>
      </c>
      <c r="D16">
        <f>D12+D15*Inputs!$B7</f>
        <v>78450.265899271821</v>
      </c>
      <c r="E16" s="6"/>
    </row>
    <row r="17" spans="1:5" x14ac:dyDescent="0.25">
      <c r="A17" s="12" t="s">
        <v>73</v>
      </c>
      <c r="B17" s="13">
        <v>0</v>
      </c>
      <c r="C17" s="13">
        <v>0</v>
      </c>
      <c r="D17" s="13">
        <v>0</v>
      </c>
      <c r="E17" s="6"/>
    </row>
    <row r="18" spans="1:5" x14ac:dyDescent="0.25">
      <c r="A18" s="10" t="s">
        <v>80</v>
      </c>
      <c r="B18" s="11">
        <f>CONVERT(B17,"gal","l")</f>
        <v>0</v>
      </c>
      <c r="C18" s="11">
        <f>CONVERT(C17,"gal","l")</f>
        <v>0</v>
      </c>
      <c r="D18" s="11">
        <f>CONVERT(D17,"gal","l")</f>
        <v>0</v>
      </c>
      <c r="E18" s="6"/>
    </row>
    <row r="19" spans="1:5" x14ac:dyDescent="0.25">
      <c r="A19" s="10" t="s">
        <v>74</v>
      </c>
      <c r="B19" s="11">
        <f>Inputs!$B8*$B18</f>
        <v>0</v>
      </c>
      <c r="C19" s="11">
        <f>Inputs!$B8*$B18</f>
        <v>0</v>
      </c>
      <c r="D19" s="11">
        <f>Inputs!$B8*$B18</f>
        <v>0</v>
      </c>
      <c r="E19" s="6"/>
    </row>
    <row r="20" spans="1:5" x14ac:dyDescent="0.25">
      <c r="A20" s="10" t="s">
        <v>75</v>
      </c>
      <c r="B20" s="11">
        <f>Inputs!$B22*B15</f>
        <v>0</v>
      </c>
      <c r="C20" s="11">
        <f>Inputs!$B22*C15</f>
        <v>0</v>
      </c>
      <c r="D20" s="11">
        <f>Inputs!$B22*D15</f>
        <v>0</v>
      </c>
      <c r="E20" s="6"/>
    </row>
    <row r="21" spans="1:5" x14ac:dyDescent="0.25">
      <c r="A21" s="10" t="s">
        <v>76</v>
      </c>
      <c r="B21" s="11">
        <f>B20/Inputs!$B5</f>
        <v>0</v>
      </c>
      <c r="C21" s="11">
        <f>C20/Inputs!$B5</f>
        <v>0</v>
      </c>
      <c r="D21" s="11">
        <f>D20/Inputs!$B5</f>
        <v>0</v>
      </c>
      <c r="E21" s="6"/>
    </row>
    <row r="22" spans="1:5" x14ac:dyDescent="0.25">
      <c r="A22" s="10" t="s">
        <v>77</v>
      </c>
      <c r="B22" s="11">
        <f>B18-B21</f>
        <v>0</v>
      </c>
      <c r="C22" s="11">
        <f>C18-C21</f>
        <v>0</v>
      </c>
      <c r="D22" s="11">
        <f>D18-D21</f>
        <v>0</v>
      </c>
      <c r="E22" s="6"/>
    </row>
    <row r="23" spans="1:5" x14ac:dyDescent="0.25">
      <c r="A23" s="10" t="s">
        <v>78</v>
      </c>
      <c r="B23" s="11">
        <f>Inputs!$B8*B18</f>
        <v>0</v>
      </c>
      <c r="C23" s="11">
        <f>Inputs!$B8*C18</f>
        <v>0</v>
      </c>
      <c r="D23" s="11">
        <f>Inputs!$B8*D18</f>
        <v>0</v>
      </c>
      <c r="E23" s="6"/>
    </row>
    <row r="24" spans="1:5" x14ac:dyDescent="0.25">
      <c r="A24" s="12" t="s">
        <v>109</v>
      </c>
      <c r="B24" s="13">
        <f>Inputs!$G23</f>
        <v>4000</v>
      </c>
      <c r="C24" s="13">
        <f>Inputs!$G23</f>
        <v>4000</v>
      </c>
      <c r="D24" s="13">
        <f>Inputs!$G23</f>
        <v>4000</v>
      </c>
      <c r="E24" s="6"/>
    </row>
    <row r="25" spans="1:5" x14ac:dyDescent="0.25">
      <c r="A25" s="10" t="s">
        <v>110</v>
      </c>
      <c r="B25" s="11">
        <f>CONVERT(B24,"gal","l")</f>
        <v>15141.647136</v>
      </c>
      <c r="C25" s="11">
        <f>CONVERT(C24,"gal","l")</f>
        <v>15141.647136</v>
      </c>
      <c r="D25" s="11">
        <f>CONVERT(D24,"gal","l")</f>
        <v>15141.647136</v>
      </c>
      <c r="E25" s="6"/>
    </row>
    <row r="26" spans="1:5" x14ac:dyDescent="0.25">
      <c r="A26" s="10" t="s">
        <v>111</v>
      </c>
      <c r="B26" s="11">
        <f>Inputs!$B7*B25</f>
        <v>15141.647136</v>
      </c>
      <c r="C26" s="11">
        <f>Inputs!$B7*C25</f>
        <v>15141.647136</v>
      </c>
      <c r="D26" s="11">
        <f>Inputs!$B7*D25</f>
        <v>15141.647136</v>
      </c>
      <c r="E26" s="6"/>
    </row>
    <row r="27" spans="1:5" x14ac:dyDescent="0.25">
      <c r="A27" s="10" t="s">
        <v>112</v>
      </c>
      <c r="B27" s="11">
        <f>Inputs!$B23*B26</f>
        <v>0</v>
      </c>
      <c r="C27" s="11">
        <f>Inputs!$B23*C26</f>
        <v>0</v>
      </c>
      <c r="D27" s="11">
        <f>Inputs!$B23*D26</f>
        <v>0</v>
      </c>
      <c r="E27" s="6"/>
    </row>
    <row r="28" spans="1:5" x14ac:dyDescent="0.25">
      <c r="A28" s="10" t="s">
        <v>113</v>
      </c>
      <c r="B28" s="11">
        <f>B27/Inputs!$B5</f>
        <v>0</v>
      </c>
      <c r="C28" s="11">
        <f>C27/Inputs!$B5</f>
        <v>0</v>
      </c>
      <c r="D28" s="11">
        <f>D27/Inputs!$B5</f>
        <v>0</v>
      </c>
      <c r="E28" s="17"/>
    </row>
    <row r="29" spans="1:5" x14ac:dyDescent="0.25">
      <c r="A29" s="10" t="s">
        <v>114</v>
      </c>
      <c r="B29" s="11">
        <f>B25-B28</f>
        <v>15141.647136</v>
      </c>
      <c r="C29" s="11">
        <f>C25-C28</f>
        <v>15141.647136</v>
      </c>
      <c r="D29" s="11">
        <f>D25-D28</f>
        <v>15141.647136</v>
      </c>
      <c r="E29" s="6"/>
    </row>
    <row r="30" spans="1:5" x14ac:dyDescent="0.25">
      <c r="A30" s="10" t="s">
        <v>115</v>
      </c>
      <c r="B30" s="11">
        <f>B29*Inputs!$B7</f>
        <v>15141.647136</v>
      </c>
      <c r="C30" s="11">
        <f>C29*Inputs!$B7</f>
        <v>15141.647136</v>
      </c>
      <c r="D30" s="11">
        <f>D29*Inputs!$B7</f>
        <v>15141.647136</v>
      </c>
      <c r="E30" s="6"/>
    </row>
    <row r="31" spans="1:5" x14ac:dyDescent="0.25">
      <c r="A31" s="12" t="s">
        <v>117</v>
      </c>
      <c r="B31" s="13">
        <f>B3+B18+B25</f>
        <v>80629.270999200002</v>
      </c>
      <c r="C31" s="13">
        <f>C3+C18+C25</f>
        <v>80629.270999200002</v>
      </c>
      <c r="D31" s="13">
        <f>D3+D18+D25</f>
        <v>80629.270999200002</v>
      </c>
      <c r="E31" s="6"/>
    </row>
    <row r="32" spans="1:5" x14ac:dyDescent="0.25">
      <c r="A32" s="10" t="s">
        <v>118</v>
      </c>
      <c r="B32" s="11">
        <f>B13+B20+B27</f>
        <v>13413.973571954481</v>
      </c>
      <c r="C32" s="11">
        <f>C13+C20+C27</f>
        <v>13413.973571954481</v>
      </c>
      <c r="D32" s="11">
        <f>D13+D20+D27</f>
        <v>13413.973571954481</v>
      </c>
    </row>
    <row r="33" spans="1:5" x14ac:dyDescent="0.25">
      <c r="A33" s="10" t="s">
        <v>119</v>
      </c>
      <c r="B33" s="11">
        <f>B32/Inputs!$B5</f>
        <v>4627.1036812537013</v>
      </c>
      <c r="C33" s="11">
        <f>C32/Inputs!$B5</f>
        <v>4627.1036812537013</v>
      </c>
      <c r="D33" s="11">
        <f>D32/Inputs!$B5</f>
        <v>4627.1036812537013</v>
      </c>
    </row>
    <row r="34" spans="1:5" x14ac:dyDescent="0.25">
      <c r="A34" s="10" t="s">
        <v>120</v>
      </c>
      <c r="B34" s="11">
        <f>B31-B33</f>
        <v>76002.167317946296</v>
      </c>
      <c r="C34" s="11">
        <f>C31-C33</f>
        <v>76002.167317946296</v>
      </c>
      <c r="D34" s="11">
        <f>D31-D33</f>
        <v>76002.167317946296</v>
      </c>
    </row>
    <row r="35" spans="1:5" x14ac:dyDescent="0.25">
      <c r="A35" s="10" t="s">
        <v>48</v>
      </c>
      <c r="B35" s="11">
        <f>Inputs!$B7*'HLP-28A,B,C'!B34</f>
        <v>76002.167317946296</v>
      </c>
      <c r="C35" s="11">
        <f>Inputs!$B7*'HLP-28A,B,C'!C34</f>
        <v>76002.167317946296</v>
      </c>
      <c r="D35" s="11">
        <f>Inputs!$B7*'HLP-28A,B,C'!D34</f>
        <v>76002.167317946296</v>
      </c>
    </row>
    <row r="36" spans="1:5" x14ac:dyDescent="0.25">
      <c r="A36" s="10" t="s">
        <v>49</v>
      </c>
      <c r="B36" s="11">
        <f>B32+B35</f>
        <v>89416.14088990078</v>
      </c>
      <c r="C36" s="11">
        <f>C32+C35</f>
        <v>89416.14088990078</v>
      </c>
      <c r="D36" s="11">
        <f>D32+D35</f>
        <v>89416.14088990078</v>
      </c>
    </row>
    <row r="37" spans="1:5" x14ac:dyDescent="0.25">
      <c r="A37" s="10" t="s">
        <v>50</v>
      </c>
      <c r="B37" s="16">
        <f>B32/B36</f>
        <v>0.15001736194890444</v>
      </c>
      <c r="C37" s="16">
        <f>C32/C36</f>
        <v>0.15001736194890444</v>
      </c>
      <c r="D37" s="16">
        <f>D32/D36</f>
        <v>0.15001736194890444</v>
      </c>
      <c r="E37" s="17">
        <f>AVERAGE(B37:D37)</f>
        <v>0.15001736194890444</v>
      </c>
    </row>
    <row r="38" spans="1:5" x14ac:dyDescent="0.25">
      <c r="A38" s="10" t="s">
        <v>88</v>
      </c>
      <c r="B38" s="11">
        <f>B32/B31</f>
        <v>0.1663660529944215</v>
      </c>
      <c r="C38" s="11">
        <f>C32/C31</f>
        <v>0.1663660529944215</v>
      </c>
      <c r="D38" s="11">
        <f>D32/D31</f>
        <v>0.1663660529944215</v>
      </c>
      <c r="E38" s="28">
        <f>AVERAGE(B38:D38)</f>
        <v>0.1663660529944215</v>
      </c>
    </row>
    <row r="39" spans="1:5" x14ac:dyDescent="0.25">
      <c r="A39" s="10" t="s">
        <v>95</v>
      </c>
      <c r="B39">
        <f>B36/B31</f>
        <v>1.1089786597572979</v>
      </c>
      <c r="C39">
        <f>C36/C31</f>
        <v>1.1089786597572979</v>
      </c>
      <c r="D39">
        <f>D36/D31</f>
        <v>1.1089786597572979</v>
      </c>
      <c r="E39" s="28">
        <f>AVERAGE(B39:D39)</f>
        <v>1.1089786597572979</v>
      </c>
    </row>
    <row r="40" spans="1:5" x14ac:dyDescent="0.25">
      <c r="A40" s="10" t="s">
        <v>94</v>
      </c>
      <c r="B40">
        <f>1/((B32/(B32+B35))/Inputs!$B5+(B35/(B32+B35))/Inputs!$B7)</f>
        <v>1.1089786597572979</v>
      </c>
      <c r="C40">
        <f>1/((C32/(C32+C35))/Inputs!$B5+(C35/(C32+C35))/Inputs!$B7)</f>
        <v>1.1089786597572979</v>
      </c>
      <c r="D40">
        <f>1/((D32/(D32+D35))/Inputs!$B5+(D35/(D32+D35))/Inputs!$B7)</f>
        <v>1.1089786597572979</v>
      </c>
      <c r="E40" s="28">
        <f>AVERAGE(B40:D40)</f>
        <v>1.1089786597572979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F33" sqref="F33"/>
    </sheetView>
  </sheetViews>
  <sheetFormatPr defaultRowHeight="15" x14ac:dyDescent="0.25"/>
  <cols>
    <col min="1" max="1" width="30.140625" style="2" bestFit="1" customWidth="1"/>
    <col min="6" max="6" width="35.85546875" bestFit="1" customWidth="1"/>
  </cols>
  <sheetData>
    <row r="1" spans="1:5" s="6" customFormat="1" x14ac:dyDescent="0.25">
      <c r="A1" s="10"/>
      <c r="B1" s="6" t="s">
        <v>5</v>
      </c>
      <c r="C1" s="6" t="s">
        <v>22</v>
      </c>
      <c r="D1" s="6" t="s">
        <v>23</v>
      </c>
    </row>
    <row r="2" spans="1:5" s="6" customFormat="1" x14ac:dyDescent="0.25">
      <c r="A2" s="10" t="s">
        <v>29</v>
      </c>
      <c r="B2" s="11">
        <f>Inputs!$D15+Inputs!$D12</f>
        <v>16150</v>
      </c>
      <c r="C2" s="11">
        <f>Inputs!$D15+Inputs!$D12</f>
        <v>16150</v>
      </c>
      <c r="D2" s="11">
        <f>Inputs!$D15+Inputs!$D12</f>
        <v>16150</v>
      </c>
    </row>
    <row r="3" spans="1:5" s="6" customFormat="1" x14ac:dyDescent="0.25">
      <c r="A3" s="10" t="s">
        <v>30</v>
      </c>
      <c r="B3" s="11">
        <f>CONVERT(B2,"gal","l")</f>
        <v>61134.400311599995</v>
      </c>
      <c r="C3" s="11">
        <f>CONVERT(C2,"gal","l")</f>
        <v>61134.400311599995</v>
      </c>
      <c r="D3" s="11">
        <f>CONVERT(D2,"gal","l")</f>
        <v>61134.400311599995</v>
      </c>
    </row>
    <row r="4" spans="1:5" s="6" customFormat="1" x14ac:dyDescent="0.25">
      <c r="A4" s="40" t="s">
        <v>140</v>
      </c>
      <c r="B4" s="42">
        <f>CONVERT(CONVERT(Inputs!$D12,"gal","l")*Inputs!$B11,"g","kg")</f>
        <v>3785.4117839999999</v>
      </c>
      <c r="C4" s="42">
        <f>CONVERT(CONVERT(Inputs!$D12,"gal","l")*Inputs!$B11,"g","kg")</f>
        <v>3785.4117839999999</v>
      </c>
      <c r="D4" s="42">
        <f>CONVERT(CONVERT(Inputs!$D12,"gal","l")*Inputs!$B11,"g","kg")</f>
        <v>3785.4117839999999</v>
      </c>
      <c r="E4" s="11" t="s">
        <v>149</v>
      </c>
    </row>
    <row r="5" spans="1:5" s="6" customFormat="1" x14ac:dyDescent="0.25">
      <c r="A5" s="40" t="s">
        <v>139</v>
      </c>
      <c r="B5" s="42">
        <f>B4/Inputs!$B5</f>
        <v>1305.7646719558468</v>
      </c>
      <c r="C5" s="42">
        <f>C4/Inputs!$B5</f>
        <v>1305.7646719558468</v>
      </c>
      <c r="D5" s="42">
        <f>D4/Inputs!$B5</f>
        <v>1305.7646719558468</v>
      </c>
      <c r="E5" s="11"/>
    </row>
    <row r="6" spans="1:5" s="6" customFormat="1" x14ac:dyDescent="0.25">
      <c r="A6" s="40" t="s">
        <v>141</v>
      </c>
      <c r="B6" s="42">
        <f>CONVERT(Inputs!$D12,"gal","l")-B5</f>
        <v>17621.294248044152</v>
      </c>
      <c r="C6" s="42">
        <f>CONVERT(Inputs!$D12,"gal","l")-C5</f>
        <v>17621.294248044152</v>
      </c>
      <c r="D6" s="42">
        <f>CONVERT(Inputs!$D12,"gal","l")-D5</f>
        <v>17621.294248044152</v>
      </c>
      <c r="E6" s="11"/>
    </row>
    <row r="7" spans="1:5" s="6" customFormat="1" x14ac:dyDescent="0.25">
      <c r="A7" s="40" t="s">
        <v>142</v>
      </c>
      <c r="B7" s="42">
        <f>B6*Inputs!$B6</f>
        <v>24669.811947261813</v>
      </c>
      <c r="C7" s="42">
        <f>C6*Inputs!$B6</f>
        <v>24669.811947261813</v>
      </c>
      <c r="D7" s="42">
        <f>D6*Inputs!$B6</f>
        <v>24669.811947261813</v>
      </c>
      <c r="E7" s="11"/>
    </row>
    <row r="8" spans="1:5" s="6" customFormat="1" x14ac:dyDescent="0.25">
      <c r="A8" s="40" t="s">
        <v>143</v>
      </c>
      <c r="B8" s="42">
        <f>B4/CONVERT(Inputs!$D12,"gal","l")</f>
        <v>0.2</v>
      </c>
      <c r="C8" s="42">
        <f>C4/CONVERT(Inputs!$D12,"gal","l")</f>
        <v>0.2</v>
      </c>
      <c r="D8" s="42">
        <f>D4/CONVERT(Inputs!$D12,"gal","l")</f>
        <v>0.2</v>
      </c>
      <c r="E8" s="11"/>
    </row>
    <row r="9" spans="1:5" s="6" customFormat="1" x14ac:dyDescent="0.25">
      <c r="A9" s="10" t="s">
        <v>27</v>
      </c>
      <c r="B9" s="11">
        <f>CONVERT(Inputs!$B11*CONVERT(Inputs!$D15, "gal","l"), "g", "kg")+B4</f>
        <v>12226.88006232</v>
      </c>
      <c r="C9" s="11">
        <f>CONVERT(Inputs!$B11*CONVERT(Inputs!$D15, "gal","l"), "g", "kg")+C4</f>
        <v>12226.88006232</v>
      </c>
      <c r="D9" s="11">
        <f>CONVERT(Inputs!$B11*CONVERT(Inputs!$D15, "gal","l"), "g", "kg")+D4</f>
        <v>12226.88006232</v>
      </c>
    </row>
    <row r="10" spans="1:5" s="6" customFormat="1" x14ac:dyDescent="0.25">
      <c r="A10" s="2" t="s">
        <v>28</v>
      </c>
      <c r="B10" s="11">
        <f>B9/Inputs!$B5</f>
        <v>4217.6198904173852</v>
      </c>
      <c r="C10" s="11">
        <f>C9/Inputs!$B5</f>
        <v>4217.6198904173852</v>
      </c>
      <c r="D10" s="11">
        <f>D9/Inputs!$B5</f>
        <v>4217.6198904173852</v>
      </c>
    </row>
    <row r="11" spans="1:5" s="6" customFormat="1" x14ac:dyDescent="0.25">
      <c r="A11" s="10" t="s">
        <v>31</v>
      </c>
      <c r="B11" s="11">
        <f>B3-B10</f>
        <v>56916.780421182608</v>
      </c>
      <c r="C11" s="11">
        <f>C3-C10</f>
        <v>56916.780421182608</v>
      </c>
      <c r="D11" s="11">
        <f>D3-D10</f>
        <v>56916.780421182608</v>
      </c>
    </row>
    <row r="12" spans="1:5" s="6" customFormat="1" x14ac:dyDescent="0.25">
      <c r="A12" s="10" t="s">
        <v>32</v>
      </c>
      <c r="B12" s="11">
        <f>B11*Inputs!$B6</f>
        <v>79683.492589655652</v>
      </c>
      <c r="C12" s="11">
        <f>C11*Inputs!$B6</f>
        <v>79683.492589655652</v>
      </c>
      <c r="D12" s="11">
        <f>D11*Inputs!$B6</f>
        <v>79683.492589655652</v>
      </c>
    </row>
    <row r="13" spans="1:5" s="6" customFormat="1" x14ac:dyDescent="0.25">
      <c r="A13" s="12" t="s">
        <v>37</v>
      </c>
      <c r="B13" s="13">
        <f>Inputs!D20</f>
        <v>5150</v>
      </c>
      <c r="C13" s="13">
        <f>Inputs!D20</f>
        <v>5150</v>
      </c>
      <c r="D13" s="13">
        <f>Inputs!D20</f>
        <v>5150</v>
      </c>
    </row>
    <row r="14" spans="1:5" s="6" customFormat="1" x14ac:dyDescent="0.25">
      <c r="A14" s="10" t="s">
        <v>81</v>
      </c>
      <c r="B14" s="11">
        <f>CONVERT(B13,"gal","l")</f>
        <v>19494.8706876</v>
      </c>
      <c r="C14" s="11">
        <f>CONVERT(C13,"gal","l")</f>
        <v>19494.8706876</v>
      </c>
      <c r="D14" s="11">
        <f>CONVERT(D13,"gal","l")</f>
        <v>19494.8706876</v>
      </c>
    </row>
    <row r="15" spans="1:5" s="6" customFormat="1" x14ac:dyDescent="0.25">
      <c r="A15" s="10" t="s">
        <v>38</v>
      </c>
      <c r="B15" s="11">
        <f>Inputs!$B6*B14</f>
        <v>27292.818962639998</v>
      </c>
      <c r="C15" s="11">
        <f>Inputs!$B6*C14</f>
        <v>27292.818962639998</v>
      </c>
      <c r="D15" s="11">
        <f>Inputs!$B6*D14</f>
        <v>27292.818962639998</v>
      </c>
    </row>
    <row r="16" spans="1:5" s="6" customFormat="1" x14ac:dyDescent="0.25">
      <c r="A16" s="10" t="s">
        <v>33</v>
      </c>
      <c r="B16" s="11">
        <f>Inputs!$B20*B15</f>
        <v>136.46409481320001</v>
      </c>
      <c r="C16" s="11">
        <f>Inputs!$B20*C15</f>
        <v>136.46409481320001</v>
      </c>
      <c r="D16" s="11">
        <f>Inputs!$B20*D15</f>
        <v>136.46409481320001</v>
      </c>
    </row>
    <row r="17" spans="1:4" s="6" customFormat="1" x14ac:dyDescent="0.25">
      <c r="A17" s="10" t="s">
        <v>34</v>
      </c>
      <c r="B17" s="11">
        <f>B16/Inputs!$B5</f>
        <v>47.07281642400828</v>
      </c>
      <c r="C17" s="11">
        <f>C16/Inputs!$B5</f>
        <v>47.07281642400828</v>
      </c>
      <c r="D17" s="11">
        <f>D16/Inputs!$B5</f>
        <v>47.07281642400828</v>
      </c>
    </row>
    <row r="18" spans="1:4" s="6" customFormat="1" x14ac:dyDescent="0.25">
      <c r="A18" s="10" t="s">
        <v>35</v>
      </c>
      <c r="B18" s="11">
        <f>B14-B17</f>
        <v>19447.79787117599</v>
      </c>
      <c r="C18" s="11">
        <f t="shared" ref="C18:D18" si="0">C14-C17</f>
        <v>19447.79787117599</v>
      </c>
      <c r="D18" s="11">
        <f t="shared" si="0"/>
        <v>19447.79787117599</v>
      </c>
    </row>
    <row r="19" spans="1:4" s="6" customFormat="1" x14ac:dyDescent="0.25">
      <c r="A19" s="10" t="s">
        <v>36</v>
      </c>
      <c r="B19" s="11">
        <f>Inputs!$B6*B18</f>
        <v>27226.917019646386</v>
      </c>
      <c r="C19" s="11">
        <f>Inputs!$B6*C18</f>
        <v>27226.917019646386</v>
      </c>
      <c r="D19" s="11">
        <f>Inputs!$B6*D18</f>
        <v>27226.917019646386</v>
      </c>
    </row>
    <row r="20" spans="1:4" s="6" customFormat="1" x14ac:dyDescent="0.25">
      <c r="A20" s="12" t="s">
        <v>39</v>
      </c>
      <c r="B20" s="13">
        <f>Inputs!D21</f>
        <v>0</v>
      </c>
      <c r="C20" s="13">
        <f>Inputs!D21</f>
        <v>0</v>
      </c>
      <c r="D20" s="13">
        <f>Inputs!D21</f>
        <v>0</v>
      </c>
    </row>
    <row r="21" spans="1:4" s="6" customFormat="1" x14ac:dyDescent="0.25">
      <c r="A21" s="10" t="s">
        <v>40</v>
      </c>
      <c r="B21" s="11">
        <f>CONVERT(B20,"gal","l")</f>
        <v>0</v>
      </c>
      <c r="C21" s="11">
        <f>CONVERT(C20,"gal","l")</f>
        <v>0</v>
      </c>
      <c r="D21" s="11">
        <f>CONVERT(D20,"gal","l")</f>
        <v>0</v>
      </c>
    </row>
    <row r="22" spans="1:4" s="6" customFormat="1" x14ac:dyDescent="0.25">
      <c r="A22" s="10" t="s">
        <v>41</v>
      </c>
      <c r="B22" s="11">
        <f>Inputs!$B7*B21</f>
        <v>0</v>
      </c>
      <c r="C22" s="11">
        <f>Inputs!$B7*C21</f>
        <v>0</v>
      </c>
      <c r="D22" s="11">
        <f>Inputs!$B7*D21</f>
        <v>0</v>
      </c>
    </row>
    <row r="23" spans="1:4" s="6" customFormat="1" x14ac:dyDescent="0.25">
      <c r="A23" s="10" t="s">
        <v>42</v>
      </c>
      <c r="B23" s="11">
        <f>Inputs!$B21*B22</f>
        <v>0</v>
      </c>
      <c r="C23" s="11">
        <f>Inputs!$B21*C22</f>
        <v>0</v>
      </c>
      <c r="D23" s="11">
        <f>Inputs!$B21*D22</f>
        <v>0</v>
      </c>
    </row>
    <row r="24" spans="1:4" s="6" customFormat="1" x14ac:dyDescent="0.25">
      <c r="A24" s="10" t="s">
        <v>43</v>
      </c>
      <c r="B24" s="11">
        <f>B23/Inputs!$B5</f>
        <v>0</v>
      </c>
      <c r="C24" s="11">
        <f>C23/Inputs!$B5</f>
        <v>0</v>
      </c>
      <c r="D24" s="11">
        <f>D23/Inputs!$B5</f>
        <v>0</v>
      </c>
    </row>
    <row r="25" spans="1:4" s="6" customFormat="1" x14ac:dyDescent="0.25">
      <c r="A25" s="10" t="s">
        <v>44</v>
      </c>
      <c r="B25" s="11">
        <f>B21-B24</f>
        <v>0</v>
      </c>
      <c r="C25" s="11">
        <f>C21-C24</f>
        <v>0</v>
      </c>
      <c r="D25" s="11">
        <f>D21-D24</f>
        <v>0</v>
      </c>
    </row>
    <row r="26" spans="1:4" s="6" customFormat="1" x14ac:dyDescent="0.25">
      <c r="A26" s="10" t="s">
        <v>45</v>
      </c>
      <c r="B26" s="11">
        <f>B25*Inputs!$B7</f>
        <v>0</v>
      </c>
      <c r="C26" s="11">
        <f>C25*Inputs!$B7</f>
        <v>0</v>
      </c>
      <c r="D26" s="11">
        <f>D25*Inputs!$B7</f>
        <v>0</v>
      </c>
    </row>
    <row r="27" spans="1:4" s="6" customFormat="1" x14ac:dyDescent="0.25">
      <c r="A27" s="12" t="s">
        <v>46</v>
      </c>
      <c r="B27" s="13">
        <f>B3+B14+B21</f>
        <v>80629.270999200002</v>
      </c>
      <c r="C27" s="13">
        <f>C3+C14+C21</f>
        <v>80629.270999200002</v>
      </c>
      <c r="D27" s="13">
        <f>D3+D14+D21</f>
        <v>80629.270999200002</v>
      </c>
    </row>
    <row r="28" spans="1:4" s="6" customFormat="1" x14ac:dyDescent="0.25">
      <c r="A28" s="10" t="s">
        <v>47</v>
      </c>
      <c r="B28" s="11">
        <f>B9+B16+B23</f>
        <v>12363.3441571332</v>
      </c>
      <c r="C28" s="11">
        <f>C9+C16+C23</f>
        <v>12363.3441571332</v>
      </c>
      <c r="D28" s="11">
        <f>D9+D16+D23</f>
        <v>12363.3441571332</v>
      </c>
    </row>
    <row r="29" spans="1:4" s="6" customFormat="1" x14ac:dyDescent="0.25">
      <c r="A29" s="10" t="s">
        <v>116</v>
      </c>
      <c r="B29" s="11">
        <f>B28/Inputs!$B5</f>
        <v>4264.6927068413934</v>
      </c>
      <c r="C29" s="11">
        <f>C28/Inputs!$B5</f>
        <v>4264.6927068413934</v>
      </c>
      <c r="D29" s="11">
        <f>D28/Inputs!$B5</f>
        <v>4264.6927068413934</v>
      </c>
    </row>
    <row r="30" spans="1:4" s="6" customFormat="1" x14ac:dyDescent="0.25">
      <c r="A30" s="10" t="s">
        <v>144</v>
      </c>
      <c r="B30" s="11">
        <f>B27-B29</f>
        <v>76364.578292358608</v>
      </c>
      <c r="C30" s="11">
        <f>C27-C29</f>
        <v>76364.578292358608</v>
      </c>
      <c r="D30" s="11">
        <f>D27-D29</f>
        <v>76364.578292358608</v>
      </c>
    </row>
    <row r="31" spans="1:4" s="6" customFormat="1" x14ac:dyDescent="0.25">
      <c r="A31" s="10" t="s">
        <v>48</v>
      </c>
      <c r="B31" s="11">
        <f>B30*Inputs!$B6</f>
        <v>106910.40960930205</v>
      </c>
      <c r="C31" s="11">
        <f>C30*Inputs!$B6</f>
        <v>106910.40960930205</v>
      </c>
      <c r="D31" s="11">
        <f>D30*Inputs!$B6</f>
        <v>106910.40960930205</v>
      </c>
    </row>
    <row r="32" spans="1:4" s="6" customFormat="1" x14ac:dyDescent="0.25">
      <c r="A32" s="10" t="s">
        <v>49</v>
      </c>
      <c r="B32" s="11">
        <f>B28+B31</f>
        <v>119273.75376643526</v>
      </c>
      <c r="C32" s="11">
        <f t="shared" ref="C32:D32" si="1">C28+C31</f>
        <v>119273.75376643526</v>
      </c>
      <c r="D32" s="11">
        <f t="shared" si="1"/>
        <v>119273.75376643526</v>
      </c>
    </row>
    <row r="33" spans="1:6" s="6" customFormat="1" x14ac:dyDescent="0.25">
      <c r="A33" s="10" t="s">
        <v>50</v>
      </c>
      <c r="B33" s="16">
        <f>B28/B32</f>
        <v>0.10365519459833049</v>
      </c>
      <c r="C33" s="16">
        <f>C28/C32</f>
        <v>0.10365519459833049</v>
      </c>
      <c r="D33" s="16">
        <f>D28/D32</f>
        <v>0.10365519459833049</v>
      </c>
      <c r="E33" s="17">
        <f>AVERAGE(B33:D33)</f>
        <v>0.10365519459833049</v>
      </c>
      <c r="F33" s="64"/>
    </row>
    <row r="34" spans="1:6" s="6" customFormat="1" x14ac:dyDescent="0.25">
      <c r="A34" s="10" t="s">
        <v>62</v>
      </c>
      <c r="B34" s="11">
        <f>B28/B27</f>
        <v>0.15333568075117371</v>
      </c>
      <c r="C34" s="11">
        <f>C28/C27</f>
        <v>0.15333568075117371</v>
      </c>
      <c r="D34" s="11">
        <f>D28/D27</f>
        <v>0.15333568075117371</v>
      </c>
      <c r="E34" s="6">
        <f>AVERAGE(B34:D34)</f>
        <v>0.15333568075117371</v>
      </c>
    </row>
    <row r="35" spans="1:6" x14ac:dyDescent="0.25">
      <c r="A35" s="10" t="s">
        <v>95</v>
      </c>
      <c r="B35">
        <f>B32/B27</f>
        <v>1.4792860246450532</v>
      </c>
      <c r="C35">
        <f>C32/C27</f>
        <v>1.4792860246450532</v>
      </c>
      <c r="D35">
        <f>D32/D27</f>
        <v>1.4792860246450532</v>
      </c>
      <c r="E35" s="6">
        <f>AVERAGE(B35:D35)</f>
        <v>1.4792860246450532</v>
      </c>
    </row>
    <row r="36" spans="1:6" x14ac:dyDescent="0.25">
      <c r="A36" s="2" t="s">
        <v>94</v>
      </c>
      <c r="B36">
        <f>1/((B28/(B28+B31))/Inputs!$B5+(B31/(B28+B31))/Inputs!$B6)</f>
        <v>1.4792860246450532</v>
      </c>
      <c r="C36">
        <f>1/((C28/(C28+C31))/Inputs!$B5+(C31/(C28+C31))/Inputs!$B6)</f>
        <v>1.4792860246450532</v>
      </c>
      <c r="D36">
        <f>1/((D28/(D28+D31))/Inputs!$B5+(D31/(D28+D31))/Inputs!$B6)</f>
        <v>1.4792860246450532</v>
      </c>
      <c r="E36" s="6">
        <f>AVERAGE(B36:D36)</f>
        <v>1.4792860246450532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F29" sqref="F29"/>
    </sheetView>
  </sheetViews>
  <sheetFormatPr defaultRowHeight="15" x14ac:dyDescent="0.25"/>
  <cols>
    <col min="1" max="1" width="31.7109375" style="10" bestFit="1" customWidth="1"/>
    <col min="2" max="4" width="12" bestFit="1" customWidth="1"/>
  </cols>
  <sheetData>
    <row r="1" spans="1:4" s="6" customFormat="1" x14ac:dyDescent="0.25">
      <c r="A1" s="5"/>
      <c r="B1" s="6" t="s">
        <v>51</v>
      </c>
      <c r="C1" s="6" t="s">
        <v>54</v>
      </c>
    </row>
    <row r="2" spans="1:4" x14ac:dyDescent="0.25">
      <c r="A2" s="10" t="s">
        <v>52</v>
      </c>
      <c r="B2">
        <f>Inputs!$E12+Inputs!$E15</f>
        <v>9075</v>
      </c>
      <c r="C2">
        <f>Inputs!$E12+Inputs!$E15</f>
        <v>9075</v>
      </c>
    </row>
    <row r="3" spans="1:4" x14ac:dyDescent="0.25">
      <c r="A3" s="10" t="s">
        <v>53</v>
      </c>
      <c r="B3">
        <f>CONVERT(B2,"gal","l")</f>
        <v>34352.611939800001</v>
      </c>
      <c r="C3">
        <f>CONVERT(B2,"gal","l")</f>
        <v>34352.611939800001</v>
      </c>
    </row>
    <row r="4" spans="1:4" x14ac:dyDescent="0.25">
      <c r="A4" s="40" t="s">
        <v>150</v>
      </c>
      <c r="B4" s="41">
        <f>CONVERT(CONVERT(Inputs!$E12, "gal","l")*Inputs!$B11,"g","kg")</f>
        <v>3785.4117839999999</v>
      </c>
      <c r="C4" s="41">
        <f>CONVERT(CONVERT(Inputs!$E12, "gal","l")*Inputs!$B11,"g","kg")</f>
        <v>3785.4117839999999</v>
      </c>
      <c r="D4" s="11" t="s">
        <v>149</v>
      </c>
    </row>
    <row r="5" spans="1:4" x14ac:dyDescent="0.25">
      <c r="A5" s="40" t="s">
        <v>151</v>
      </c>
      <c r="B5" s="41">
        <f>B4/Inputs!$B5</f>
        <v>1305.7646719558468</v>
      </c>
      <c r="C5" s="41">
        <f>C4/Inputs!$B5</f>
        <v>1305.7646719558468</v>
      </c>
      <c r="D5" s="11"/>
    </row>
    <row r="6" spans="1:4" x14ac:dyDescent="0.25">
      <c r="A6" s="40" t="s">
        <v>152</v>
      </c>
      <c r="B6" s="41">
        <f>B3-B5</f>
        <v>33046.847267844154</v>
      </c>
      <c r="C6" s="41">
        <f>C3-C5</f>
        <v>33046.847267844154</v>
      </c>
      <c r="D6" s="11"/>
    </row>
    <row r="7" spans="1:4" x14ac:dyDescent="0.25">
      <c r="A7" s="40" t="s">
        <v>153</v>
      </c>
      <c r="B7" s="41">
        <f>B6*Inputs!$B6</f>
        <v>46265.586174981814</v>
      </c>
      <c r="C7" s="41">
        <f>C6*Inputs!$B6</f>
        <v>46265.586174981814</v>
      </c>
      <c r="D7" s="11"/>
    </row>
    <row r="8" spans="1:4" x14ac:dyDescent="0.25">
      <c r="A8" s="40" t="s">
        <v>154</v>
      </c>
      <c r="B8" s="41">
        <f>B4/CONVERT(Inputs!$E12,"gal","l")</f>
        <v>0.2</v>
      </c>
      <c r="C8" s="41">
        <f>C4/CONVERT(Inputs!$E12,"gal","l")</f>
        <v>0.2</v>
      </c>
      <c r="D8" s="11"/>
    </row>
    <row r="9" spans="1:4" x14ac:dyDescent="0.25">
      <c r="A9" s="10" t="s">
        <v>145</v>
      </c>
      <c r="B9">
        <f>B4+'HLP-22A,B,C'!$E34*CONVERT(Inputs!$E15,"gal","L")</f>
        <v>6150.6994572543563</v>
      </c>
      <c r="C9">
        <f>C4+'HLP-22A,B,C'!$E34*CONVERT(Inputs!$E15,"gal","L")</f>
        <v>6150.6994572543563</v>
      </c>
    </row>
    <row r="10" spans="1:4" x14ac:dyDescent="0.25">
      <c r="A10" s="10" t="s">
        <v>146</v>
      </c>
      <c r="B10">
        <f>B9/Inputs!$B5</f>
        <v>2121.6624550722167</v>
      </c>
      <c r="C10">
        <f>C9/Inputs!$B5</f>
        <v>2121.6624550722167</v>
      </c>
    </row>
    <row r="11" spans="1:4" x14ac:dyDescent="0.25">
      <c r="A11" s="10" t="s">
        <v>147</v>
      </c>
      <c r="B11">
        <f>B3-B10</f>
        <v>32230.949484727786</v>
      </c>
      <c r="C11">
        <f>C3-C10</f>
        <v>32230.949484727786</v>
      </c>
    </row>
    <row r="12" spans="1:4" x14ac:dyDescent="0.25">
      <c r="A12" s="10" t="s">
        <v>148</v>
      </c>
      <c r="B12">
        <f>B11*Inputs!$B6</f>
        <v>45123.329278618898</v>
      </c>
      <c r="C12">
        <f>C11*Inputs!$B6</f>
        <v>45123.329278618898</v>
      </c>
    </row>
    <row r="13" spans="1:4" x14ac:dyDescent="0.25">
      <c r="A13" s="12" t="s">
        <v>37</v>
      </c>
      <c r="B13" s="13">
        <f>Inputs!$E20</f>
        <v>12225</v>
      </c>
      <c r="C13" s="13">
        <f>Inputs!$E20</f>
        <v>12225</v>
      </c>
    </row>
    <row r="14" spans="1:4" x14ac:dyDescent="0.25">
      <c r="A14" s="10" t="s">
        <v>81</v>
      </c>
      <c r="B14" s="11">
        <f>CONVERT(B13,"gal","l")</f>
        <v>46276.659059400001</v>
      </c>
      <c r="C14" s="11">
        <f>CONVERT(C13,"gal","l")</f>
        <v>46276.659059400001</v>
      </c>
    </row>
    <row r="15" spans="1:4" x14ac:dyDescent="0.25">
      <c r="A15" s="10" t="s">
        <v>38</v>
      </c>
      <c r="B15" s="11">
        <f>Inputs!$B6*B14</f>
        <v>64787.322683159997</v>
      </c>
      <c r="C15" s="11">
        <f>Inputs!$B6*C14</f>
        <v>64787.322683159997</v>
      </c>
    </row>
    <row r="16" spans="1:4" x14ac:dyDescent="0.25">
      <c r="A16" s="10" t="s">
        <v>33</v>
      </c>
      <c r="B16" s="11">
        <f>Inputs!$B20*B15</f>
        <v>323.93661341579997</v>
      </c>
      <c r="C16" s="11">
        <f>Inputs!$B20*C15</f>
        <v>323.93661341579997</v>
      </c>
    </row>
    <row r="17" spans="1:3" x14ac:dyDescent="0.25">
      <c r="A17" s="10" t="s">
        <v>34</v>
      </c>
      <c r="B17" s="11">
        <f>B16/Inputs!$B5</f>
        <v>111.74081180262158</v>
      </c>
      <c r="C17" s="11">
        <f>C16/Inputs!$B5</f>
        <v>111.74081180262158</v>
      </c>
    </row>
    <row r="18" spans="1:3" x14ac:dyDescent="0.25">
      <c r="A18" s="10" t="s">
        <v>35</v>
      </c>
      <c r="B18" s="11">
        <f>B14-B17</f>
        <v>46164.918247597379</v>
      </c>
      <c r="C18" s="11">
        <f>C14-C17</f>
        <v>46164.918247597379</v>
      </c>
    </row>
    <row r="19" spans="1:3" x14ac:dyDescent="0.25">
      <c r="A19" s="10" t="s">
        <v>36</v>
      </c>
      <c r="B19" s="11">
        <f>Inputs!$B6*B18</f>
        <v>64630.885546636324</v>
      </c>
      <c r="C19" s="11">
        <f>Inputs!$B6*C18</f>
        <v>64630.885546636324</v>
      </c>
    </row>
    <row r="20" spans="1:3" x14ac:dyDescent="0.25">
      <c r="A20" s="12" t="s">
        <v>39</v>
      </c>
      <c r="B20" s="13">
        <f>Inputs!E21</f>
        <v>0</v>
      </c>
      <c r="C20" s="13">
        <f>Inputs!E21</f>
        <v>0</v>
      </c>
    </row>
    <row r="21" spans="1:3" x14ac:dyDescent="0.25">
      <c r="A21" s="10" t="s">
        <v>40</v>
      </c>
      <c r="B21" s="11">
        <f>CONVERT(B20,"gal","l")</f>
        <v>0</v>
      </c>
      <c r="C21" s="11">
        <f>CONVERT(C20,"gal","l")</f>
        <v>0</v>
      </c>
    </row>
    <row r="22" spans="1:3" x14ac:dyDescent="0.25">
      <c r="A22" s="10" t="s">
        <v>41</v>
      </c>
      <c r="B22" s="11">
        <f>Inputs!$B7*B21</f>
        <v>0</v>
      </c>
      <c r="C22" s="11">
        <f>Inputs!$B7*C21</f>
        <v>0</v>
      </c>
    </row>
    <row r="23" spans="1:3" x14ac:dyDescent="0.25">
      <c r="A23" s="10" t="s">
        <v>42</v>
      </c>
      <c r="B23" s="11">
        <f>Inputs!$B21*B22</f>
        <v>0</v>
      </c>
      <c r="C23" s="11">
        <f>Inputs!$B21*C22</f>
        <v>0</v>
      </c>
    </row>
    <row r="24" spans="1:3" x14ac:dyDescent="0.25">
      <c r="A24" s="10" t="s">
        <v>43</v>
      </c>
      <c r="B24" s="11">
        <f>B23/Inputs!$B5</f>
        <v>0</v>
      </c>
      <c r="C24" s="11">
        <f>C23/Inputs!$B5</f>
        <v>0</v>
      </c>
    </row>
    <row r="25" spans="1:3" x14ac:dyDescent="0.25">
      <c r="A25" s="10" t="s">
        <v>44</v>
      </c>
      <c r="B25" s="11">
        <f>B21-B24</f>
        <v>0</v>
      </c>
      <c r="C25" s="11">
        <f>C21-C24</f>
        <v>0</v>
      </c>
    </row>
    <row r="26" spans="1:3" x14ac:dyDescent="0.25">
      <c r="A26" s="10" t="s">
        <v>45</v>
      </c>
      <c r="B26" s="11">
        <f>B25*Inputs!$B7</f>
        <v>0</v>
      </c>
      <c r="C26" s="11">
        <f>C25*Inputs!$B7</f>
        <v>0</v>
      </c>
    </row>
    <row r="27" spans="1:3" x14ac:dyDescent="0.25">
      <c r="A27" s="12" t="s">
        <v>46</v>
      </c>
      <c r="B27" s="13">
        <f>B3+B14+B21</f>
        <v>80629.270999200002</v>
      </c>
      <c r="C27" s="13">
        <f>C3+C14+C21</f>
        <v>80629.270999200002</v>
      </c>
    </row>
    <row r="28" spans="1:3" x14ac:dyDescent="0.25">
      <c r="A28" s="10" t="s">
        <v>47</v>
      </c>
      <c r="B28" s="11">
        <f>B9+B16+B23</f>
        <v>6474.6360706701562</v>
      </c>
      <c r="C28" s="11">
        <f>C9+C16+C23</f>
        <v>6474.6360706701562</v>
      </c>
    </row>
    <row r="29" spans="1:3" x14ac:dyDescent="0.25">
      <c r="A29" s="10" t="s">
        <v>100</v>
      </c>
      <c r="B29" s="11">
        <f>B28/Inputs!$B5</f>
        <v>2233.4032668748382</v>
      </c>
      <c r="C29" s="11">
        <f>C28/Inputs!$B5</f>
        <v>2233.4032668748382</v>
      </c>
    </row>
    <row r="30" spans="1:3" x14ac:dyDescent="0.25">
      <c r="A30" s="10" t="s">
        <v>155</v>
      </c>
      <c r="B30" s="11">
        <f>B27-B29</f>
        <v>78395.867732325161</v>
      </c>
      <c r="C30" s="11">
        <f>C27-C29</f>
        <v>78395.867732325161</v>
      </c>
    </row>
    <row r="31" spans="1:3" x14ac:dyDescent="0.25">
      <c r="A31" s="10" t="s">
        <v>48</v>
      </c>
      <c r="B31" s="11">
        <f>Inputs!$B6*B30</f>
        <v>109754.21482525521</v>
      </c>
      <c r="C31" s="11">
        <f>Inputs!$B6*C30</f>
        <v>109754.21482525521</v>
      </c>
    </row>
    <row r="32" spans="1:3" x14ac:dyDescent="0.25">
      <c r="A32" s="10" t="s">
        <v>49</v>
      </c>
      <c r="B32" s="11">
        <f>B28+B31</f>
        <v>116228.85089592537</v>
      </c>
      <c r="C32" s="11">
        <f t="shared" ref="C32" si="0">C28+C31</f>
        <v>116228.85089592537</v>
      </c>
    </row>
    <row r="33" spans="1:5" x14ac:dyDescent="0.25">
      <c r="A33" s="10" t="s">
        <v>50</v>
      </c>
      <c r="B33" s="16">
        <f>B28/B32</f>
        <v>5.5705928612059759E-2</v>
      </c>
      <c r="C33" s="16">
        <f>C28/C32</f>
        <v>5.5705928612059759E-2</v>
      </c>
      <c r="D33" s="17">
        <f>AVERAGE(B33:C33)</f>
        <v>5.5705928612059759E-2</v>
      </c>
    </row>
    <row r="34" spans="1:5" x14ac:dyDescent="0.25">
      <c r="A34" s="10" t="s">
        <v>93</v>
      </c>
      <c r="B34" s="11">
        <f>B28/B27</f>
        <v>8.0301309815071956E-2</v>
      </c>
      <c r="C34" s="11">
        <f>C28/C27</f>
        <v>8.0301309815071956E-2</v>
      </c>
      <c r="D34" s="28">
        <f>AVERAGE(B34:C34)</f>
        <v>8.0301309815071956E-2</v>
      </c>
    </row>
    <row r="35" spans="1:5" x14ac:dyDescent="0.25">
      <c r="A35" s="10" t="s">
        <v>95</v>
      </c>
      <c r="B35">
        <f>B32/B27</f>
        <v>1.4415217880002733</v>
      </c>
      <c r="C35">
        <f>C32/C27</f>
        <v>1.4415217880002733</v>
      </c>
      <c r="D35" s="28">
        <f>AVERAGE(B35:C35)</f>
        <v>1.4415217880002733</v>
      </c>
    </row>
    <row r="36" spans="1:5" x14ac:dyDescent="0.25">
      <c r="A36" s="2" t="s">
        <v>94</v>
      </c>
      <c r="B36">
        <f>1/((B28/(B28+B31))/Inputs!$B5+(B31/(B28+B31))/Inputs!$B6)</f>
        <v>1.4415217880002733</v>
      </c>
      <c r="C36">
        <f>1/((C28/(C28+C31))/Inputs!$B5+(C31/(C28+C31))/Inputs!$B6)</f>
        <v>1.4415217880002733</v>
      </c>
      <c r="D36" s="28">
        <f>AVERAGE(B36:C36)</f>
        <v>1.4415217880002733</v>
      </c>
      <c r="E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E8" sqref="E8"/>
    </sheetView>
  </sheetViews>
  <sheetFormatPr defaultRowHeight="15" x14ac:dyDescent="0.25"/>
  <cols>
    <col min="1" max="1" width="31.85546875" style="10" bestFit="1" customWidth="1"/>
    <col min="2" max="5" width="12" bestFit="1" customWidth="1"/>
    <col min="6" max="6" width="44.140625" bestFit="1" customWidth="1"/>
    <col min="8" max="8" width="21" bestFit="1" customWidth="1"/>
  </cols>
  <sheetData>
    <row r="1" spans="1:8" x14ac:dyDescent="0.25">
      <c r="A1" s="5"/>
      <c r="B1" s="6" t="s">
        <v>55</v>
      </c>
      <c r="C1" s="6" t="s">
        <v>56</v>
      </c>
      <c r="D1" s="6"/>
      <c r="F1" s="19" t="s">
        <v>164</v>
      </c>
    </row>
    <row r="2" spans="1:8" x14ac:dyDescent="0.25">
      <c r="A2" s="10" t="s">
        <v>66</v>
      </c>
      <c r="B2">
        <f>Inputs!$F12+$E8</f>
        <v>54536.233238007546</v>
      </c>
      <c r="C2">
        <f>Inputs!$F12+$E8</f>
        <v>54536.233238007546</v>
      </c>
      <c r="E2">
        <f>'UFP-01A,B'!D35</f>
        <v>1.4415217880002733</v>
      </c>
      <c r="F2" s="30" t="s">
        <v>157</v>
      </c>
    </row>
    <row r="3" spans="1:8" x14ac:dyDescent="0.25">
      <c r="A3" s="10" t="s">
        <v>67</v>
      </c>
      <c r="B3">
        <f>CONVERT(B2,"gal","l")</f>
        <v>206442.09995412623</v>
      </c>
      <c r="C3">
        <f>CONVERT(C2,"gal","l")</f>
        <v>206442.09995412623</v>
      </c>
      <c r="E3">
        <f>Inputs!$F16+Inputs!$F12</f>
        <v>17300</v>
      </c>
      <c r="F3" t="s">
        <v>158</v>
      </c>
    </row>
    <row r="4" spans="1:8" x14ac:dyDescent="0.25">
      <c r="A4" s="40" t="s">
        <v>156</v>
      </c>
      <c r="B4" s="38">
        <f>Inputs!$B2</f>
        <v>0.18060000000000001</v>
      </c>
      <c r="C4" s="38">
        <f>Inputs!$B2</f>
        <v>0.18060000000000001</v>
      </c>
      <c r="E4">
        <f>CONVERT(E3,"gal","L")</f>
        <v>65487.623863199995</v>
      </c>
      <c r="F4" t="s">
        <v>159</v>
      </c>
    </row>
    <row r="5" spans="1:8" x14ac:dyDescent="0.25">
      <c r="A5" s="40" t="s">
        <v>63</v>
      </c>
      <c r="B5" s="7">
        <f>1/(B4/Inputs!$B5+(1-B4)/Inputs!$B7)</f>
        <v>1.1341760377358638</v>
      </c>
      <c r="C5" s="7">
        <f>1/(C4/Inputs!$B5+(1-C4)/Inputs!$B7)</f>
        <v>1.1341760377358638</v>
      </c>
      <c r="E5">
        <f>E2*E4</f>
        <v>94401.836643169416</v>
      </c>
      <c r="F5" t="s">
        <v>160</v>
      </c>
    </row>
    <row r="6" spans="1:8" x14ac:dyDescent="0.25">
      <c r="A6" s="40" t="s">
        <v>64</v>
      </c>
      <c r="B6" s="41">
        <f>CONVERT(Inputs!$F12,"gal","l")</f>
        <v>3785.4117839999999</v>
      </c>
      <c r="C6" s="41">
        <f>CONVERT(Inputs!$F12,"gal","l")</f>
        <v>3785.4117839999999</v>
      </c>
      <c r="E6">
        <f>(Inputs!$B2*E5-B8-B19-B26)</f>
        <v>16273.597502845734</v>
      </c>
      <c r="F6" t="s">
        <v>161</v>
      </c>
      <c r="G6" s="19">
        <f>Inputs!L21-B8-B19-B26</f>
        <v>18298.830999891663</v>
      </c>
      <c r="H6" s="19" t="s">
        <v>184</v>
      </c>
    </row>
    <row r="7" spans="1:8" x14ac:dyDescent="0.25">
      <c r="A7" s="40" t="s">
        <v>65</v>
      </c>
      <c r="B7" s="41">
        <f>B5*B6</f>
        <v>4293.3233383757679</v>
      </c>
      <c r="C7" s="41">
        <f>C5*C6</f>
        <v>4293.3233383757679</v>
      </c>
      <c r="E7">
        <f>E6/'UFP-01A,B'!D34</f>
        <v>202656.68817012623</v>
      </c>
      <c r="F7" t="s">
        <v>162</v>
      </c>
      <c r="G7" s="19">
        <f>CONVERT(G6/'UFP-01A,B'!D34,"l","gal")</f>
        <v>60198.76577516269</v>
      </c>
      <c r="H7" s="19" t="s">
        <v>186</v>
      </c>
    </row>
    <row r="8" spans="1:8" x14ac:dyDescent="0.25">
      <c r="A8" s="40" t="s">
        <v>72</v>
      </c>
      <c r="B8" s="41">
        <f>B7*B4</f>
        <v>775.37419491066373</v>
      </c>
      <c r="C8" s="41">
        <f>C7*C4</f>
        <v>775.37419491066373</v>
      </c>
      <c r="E8">
        <f>CONVERT(E7,"l","gal")</f>
        <v>53536.233238007546</v>
      </c>
      <c r="F8" t="s">
        <v>163</v>
      </c>
    </row>
    <row r="9" spans="1:8" x14ac:dyDescent="0.25">
      <c r="A9" s="40" t="s">
        <v>83</v>
      </c>
      <c r="B9" s="41">
        <f>B8/Inputs!$B5</f>
        <v>267.46264053489608</v>
      </c>
      <c r="C9" s="41">
        <f>C8/Inputs!$B5</f>
        <v>267.46264053489608</v>
      </c>
    </row>
    <row r="10" spans="1:8" x14ac:dyDescent="0.25">
      <c r="A10" s="40" t="s">
        <v>82</v>
      </c>
      <c r="B10" s="41">
        <f>B6-B9</f>
        <v>3517.9491434651036</v>
      </c>
      <c r="C10" s="41">
        <f>C6-C9</f>
        <v>3517.9491434651036</v>
      </c>
      <c r="E10" s="8"/>
      <c r="F10" s="43"/>
    </row>
    <row r="11" spans="1:8" x14ac:dyDescent="0.25">
      <c r="A11" s="40" t="s">
        <v>84</v>
      </c>
      <c r="B11" s="41">
        <f>B10/Inputs!$B7</f>
        <v>3517.9491434651036</v>
      </c>
      <c r="C11" s="41">
        <f>C10/Inputs!$B7</f>
        <v>3517.9491434651036</v>
      </c>
      <c r="E11" s="8"/>
      <c r="F11" s="43"/>
    </row>
    <row r="12" spans="1:8" x14ac:dyDescent="0.25">
      <c r="A12" s="10" t="s">
        <v>68</v>
      </c>
      <c r="B12">
        <f>B8+$G6</f>
        <v>19074.205194802325</v>
      </c>
      <c r="C12">
        <f>C8+$G6</f>
        <v>19074.205194802325</v>
      </c>
      <c r="E12" s="8"/>
      <c r="F12" s="43"/>
    </row>
    <row r="13" spans="1:8" x14ac:dyDescent="0.25">
      <c r="A13" s="10" t="s">
        <v>69</v>
      </c>
      <c r="B13">
        <f>B12/Inputs!$B5</f>
        <v>6579.5809571584423</v>
      </c>
      <c r="C13">
        <f>C12/Inputs!$B5</f>
        <v>6579.5809571584423</v>
      </c>
      <c r="E13" s="8"/>
      <c r="F13" s="8"/>
    </row>
    <row r="14" spans="1:8" x14ac:dyDescent="0.25">
      <c r="A14" s="10" t="s">
        <v>70</v>
      </c>
      <c r="B14">
        <f>B3-B13</f>
        <v>199862.51899696779</v>
      </c>
      <c r="C14">
        <f>C3-C13</f>
        <v>199862.51899696779</v>
      </c>
    </row>
    <row r="15" spans="1:8" x14ac:dyDescent="0.25">
      <c r="A15" s="10" t="s">
        <v>71</v>
      </c>
      <c r="B15">
        <f>B11+B14*Inputs!$B6</f>
        <v>283325.47573921998</v>
      </c>
      <c r="C15">
        <f>C11+C14*Inputs!$B6</f>
        <v>283325.47573921998</v>
      </c>
    </row>
    <row r="16" spans="1:8" x14ac:dyDescent="0.25">
      <c r="A16" s="12" t="s">
        <v>73</v>
      </c>
      <c r="B16" s="13">
        <v>0</v>
      </c>
      <c r="C16" s="13">
        <v>0</v>
      </c>
      <c r="D16" t="s">
        <v>172</v>
      </c>
    </row>
    <row r="17" spans="1:4" x14ac:dyDescent="0.25">
      <c r="A17" s="10" t="s">
        <v>80</v>
      </c>
      <c r="B17" s="11">
        <f>CONVERT(B16,"gal","l")</f>
        <v>0</v>
      </c>
      <c r="C17" s="11">
        <f>CONVERT(C16,"gal","l")</f>
        <v>0</v>
      </c>
    </row>
    <row r="18" spans="1:4" x14ac:dyDescent="0.25">
      <c r="A18" s="10" t="s">
        <v>74</v>
      </c>
      <c r="B18" s="11">
        <f>Inputs!$B8*$B17</f>
        <v>0</v>
      </c>
      <c r="C18" s="11">
        <f>Inputs!$B8*$B17</f>
        <v>0</v>
      </c>
    </row>
    <row r="19" spans="1:4" x14ac:dyDescent="0.25">
      <c r="A19" s="10" t="s">
        <v>75</v>
      </c>
      <c r="B19" s="11">
        <f>Inputs!$B22*B18</f>
        <v>0</v>
      </c>
      <c r="C19" s="11">
        <f>Inputs!$B22*C18</f>
        <v>0</v>
      </c>
    </row>
    <row r="20" spans="1:4" x14ac:dyDescent="0.25">
      <c r="A20" s="10" t="s">
        <v>76</v>
      </c>
      <c r="B20" s="11">
        <f>B19/Inputs!$B5</f>
        <v>0</v>
      </c>
      <c r="C20" s="11">
        <f>C19/Inputs!$B5</f>
        <v>0</v>
      </c>
    </row>
    <row r="21" spans="1:4" x14ac:dyDescent="0.25">
      <c r="A21" s="10" t="s">
        <v>77</v>
      </c>
      <c r="B21" s="11">
        <f>B17-B20</f>
        <v>0</v>
      </c>
      <c r="C21" s="11">
        <f t="shared" ref="C21" si="0">C17-C20</f>
        <v>0</v>
      </c>
    </row>
    <row r="22" spans="1:4" x14ac:dyDescent="0.25">
      <c r="A22" s="10" t="s">
        <v>78</v>
      </c>
      <c r="B22" s="11">
        <f>Inputs!$B8*B17</f>
        <v>0</v>
      </c>
      <c r="C22" s="11">
        <f>Inputs!$B8*C17</f>
        <v>0</v>
      </c>
    </row>
    <row r="23" spans="1:4" x14ac:dyDescent="0.25">
      <c r="A23" s="12" t="s">
        <v>39</v>
      </c>
      <c r="B23" s="13">
        <v>0</v>
      </c>
      <c r="C23" s="13">
        <v>0</v>
      </c>
      <c r="D23" t="s">
        <v>170</v>
      </c>
    </row>
    <row r="24" spans="1:4" x14ac:dyDescent="0.25">
      <c r="A24" s="10" t="s">
        <v>40</v>
      </c>
      <c r="B24" s="11">
        <f>CONVERT(B23,"gal","l")</f>
        <v>0</v>
      </c>
      <c r="C24" s="11">
        <f>CONVERT(C23,"gal","l")</f>
        <v>0</v>
      </c>
    </row>
    <row r="25" spans="1:4" x14ac:dyDescent="0.25">
      <c r="A25" s="10" t="s">
        <v>41</v>
      </c>
      <c r="B25" s="11">
        <f>Inputs!$B7*B24</f>
        <v>0</v>
      </c>
      <c r="C25" s="11">
        <f>Inputs!$B7*C24</f>
        <v>0</v>
      </c>
    </row>
    <row r="26" spans="1:4" x14ac:dyDescent="0.25">
      <c r="A26" s="10" t="s">
        <v>42</v>
      </c>
      <c r="B26" s="11">
        <f>Inputs!$B21*B25</f>
        <v>0</v>
      </c>
      <c r="C26" s="11">
        <f>Inputs!$B21*C25</f>
        <v>0</v>
      </c>
    </row>
    <row r="27" spans="1:4" x14ac:dyDescent="0.25">
      <c r="A27" s="10" t="s">
        <v>43</v>
      </c>
      <c r="B27" s="11">
        <f>B26/Inputs!$B5</f>
        <v>0</v>
      </c>
      <c r="C27" s="11">
        <f>C26/Inputs!$B5</f>
        <v>0</v>
      </c>
    </row>
    <row r="28" spans="1:4" x14ac:dyDescent="0.25">
      <c r="A28" s="10" t="s">
        <v>44</v>
      </c>
      <c r="B28" s="11">
        <f>B24-B27</f>
        <v>0</v>
      </c>
      <c r="C28" s="11">
        <f>C24-C27</f>
        <v>0</v>
      </c>
    </row>
    <row r="29" spans="1:4" x14ac:dyDescent="0.25">
      <c r="A29" s="10" t="s">
        <v>45</v>
      </c>
      <c r="B29" s="11">
        <f>B28*Inputs!$B7</f>
        <v>0</v>
      </c>
      <c r="C29" s="11">
        <f>C28*Inputs!$B7</f>
        <v>0</v>
      </c>
    </row>
    <row r="30" spans="1:4" x14ac:dyDescent="0.25">
      <c r="A30" s="12" t="s">
        <v>46</v>
      </c>
      <c r="B30" s="44">
        <f>B32/'UFP-01A,B'!$D34</f>
        <v>237532.9274046566</v>
      </c>
      <c r="C30" s="44">
        <f>C32/'UFP-01A,B'!$D34</f>
        <v>237532.9274046566</v>
      </c>
    </row>
    <row r="31" spans="1:4" x14ac:dyDescent="0.25">
      <c r="A31" s="14" t="s">
        <v>99</v>
      </c>
      <c r="B31" s="24">
        <f>CONVERT(B30,"l","gal")</f>
        <v>62749.560935127214</v>
      </c>
      <c r="C31" s="24">
        <f>CONVERT(C30,"l","gal")</f>
        <v>62749.560935127214</v>
      </c>
    </row>
    <row r="32" spans="1:4" x14ac:dyDescent="0.25">
      <c r="A32" s="10" t="s">
        <v>47</v>
      </c>
      <c r="B32" s="19">
        <f>B12+B19+B26</f>
        <v>19074.205194802325</v>
      </c>
      <c r="C32" s="19">
        <f>C12+C19+C26</f>
        <v>19074.205194802325</v>
      </c>
    </row>
    <row r="33" spans="1:4" x14ac:dyDescent="0.25">
      <c r="A33" s="10" t="s">
        <v>49</v>
      </c>
      <c r="B33" s="19">
        <f>B32/'UFP-01A,B'!$D33</f>
        <v>342408.89022129966</v>
      </c>
      <c r="C33" s="19">
        <f>C32/'UFP-01A,B'!$D33</f>
        <v>342408.89022129966</v>
      </c>
    </row>
    <row r="34" spans="1:4" x14ac:dyDescent="0.25">
      <c r="A34" s="10" t="s">
        <v>50</v>
      </c>
      <c r="B34" s="16">
        <f>B32/B33</f>
        <v>5.5705928612059759E-2</v>
      </c>
      <c r="C34" s="16">
        <f>C32/C33</f>
        <v>5.5705928612059759E-2</v>
      </c>
      <c r="D34" s="17">
        <f>AVERAGE(B34:C34)</f>
        <v>5.5705928612059759E-2</v>
      </c>
    </row>
    <row r="35" spans="1:4" x14ac:dyDescent="0.25">
      <c r="A35" s="10" t="s">
        <v>88</v>
      </c>
      <c r="B35" s="11">
        <f>B32/B30</f>
        <v>8.0301309815071956E-2</v>
      </c>
      <c r="C35" s="11">
        <f>C32/C30</f>
        <v>8.0301309815071956E-2</v>
      </c>
      <c r="D35" s="28">
        <f>AVERAGE(B35:C35)</f>
        <v>8.0301309815071956E-2</v>
      </c>
    </row>
    <row r="36" spans="1:4" x14ac:dyDescent="0.25">
      <c r="A36" s="10" t="s">
        <v>95</v>
      </c>
      <c r="B36">
        <f>B33/B30</f>
        <v>1.4415217880002731</v>
      </c>
      <c r="C36">
        <f>C33/C30</f>
        <v>1.4415217880002731</v>
      </c>
      <c r="D36" s="28">
        <f>AVERAGE(B36:C36)</f>
        <v>1.4415217880002731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20" zoomScaleNormal="120" workbookViewId="0">
      <selection activeCell="D6" sqref="D6"/>
    </sheetView>
  </sheetViews>
  <sheetFormatPr defaultRowHeight="15" x14ac:dyDescent="0.25"/>
  <cols>
    <col min="1" max="1" width="30.140625" style="21" bestFit="1" customWidth="1"/>
    <col min="2" max="3" width="12" style="21" bestFit="1" customWidth="1"/>
    <col min="4" max="4" width="53.42578125" style="21" bestFit="1" customWidth="1"/>
    <col min="5" max="16384" width="9.140625" style="21"/>
  </cols>
  <sheetData>
    <row r="1" spans="1:4" s="20" customFormat="1" x14ac:dyDescent="0.25">
      <c r="B1" s="20" t="str">
        <f>'UFP-02A,B-preconc'!B1</f>
        <v>UFP-02A</v>
      </c>
      <c r="C1" s="20" t="str">
        <f>'UFP-02A,B-preconc'!C1</f>
        <v>UFP-02B</v>
      </c>
    </row>
    <row r="2" spans="1:4" x14ac:dyDescent="0.25">
      <c r="A2" s="22" t="s">
        <v>86</v>
      </c>
      <c r="B2" s="33">
        <f>Inputs!$B2</f>
        <v>0.18060000000000001</v>
      </c>
      <c r="C2" s="33">
        <f>Inputs!$B2</f>
        <v>0.18060000000000001</v>
      </c>
    </row>
    <row r="3" spans="1:4" x14ac:dyDescent="0.25">
      <c r="A3" s="14" t="s">
        <v>46</v>
      </c>
      <c r="B3" s="45">
        <f>CONVERT(Inputs!$F16+0*Inputs!$F12,"gal","L")</f>
        <v>61702.212079199999</v>
      </c>
      <c r="C3" s="45">
        <f>CONVERT(Inputs!$F16+0*Inputs!$F12,"gal","L")</f>
        <v>61702.212079199999</v>
      </c>
    </row>
    <row r="4" spans="1:4" x14ac:dyDescent="0.25">
      <c r="A4" s="14" t="s">
        <v>99</v>
      </c>
      <c r="B4" s="46">
        <f>CONVERT(B3,"L","gal")</f>
        <v>16300</v>
      </c>
      <c r="C4" s="46">
        <f>CONVERT(C3,"L","gal")</f>
        <v>16300</v>
      </c>
      <c r="D4" s="32" t="s">
        <v>166</v>
      </c>
    </row>
    <row r="5" spans="1:4" x14ac:dyDescent="0.25">
      <c r="A5" s="22" t="s">
        <v>87</v>
      </c>
      <c r="B5" s="21">
        <f>'UFP-02A,B-preconc'!B32</f>
        <v>19074.205194802325</v>
      </c>
      <c r="C5" s="21">
        <f>'UFP-02A,B-preconc'!C32</f>
        <v>19074.205194802325</v>
      </c>
    </row>
    <row r="6" spans="1:4" x14ac:dyDescent="0.25">
      <c r="A6" s="22" t="s">
        <v>165</v>
      </c>
      <c r="B6" s="21">
        <f>B5/B2</f>
        <v>105615.75412404387</v>
      </c>
      <c r="C6" s="21">
        <f>C5/C2</f>
        <v>105615.75412404387</v>
      </c>
      <c r="D6" s="47">
        <f>B5/B6</f>
        <v>0.18060000000000001</v>
      </c>
    </row>
    <row r="7" spans="1:4" x14ac:dyDescent="0.25">
      <c r="A7" s="10" t="s">
        <v>88</v>
      </c>
      <c r="B7" s="21">
        <f>B5/B3</f>
        <v>0.30913324744855131</v>
      </c>
      <c r="C7" s="21">
        <f>C5/C3</f>
        <v>0.30913324744855131</v>
      </c>
      <c r="D7" s="47"/>
    </row>
    <row r="8" spans="1:4" x14ac:dyDescent="0.25">
      <c r="A8" s="10" t="s">
        <v>95</v>
      </c>
      <c r="B8" s="21">
        <f>B6/B3</f>
        <v>1.7117012594050458</v>
      </c>
      <c r="C8" s="21">
        <f>C6/C3</f>
        <v>1.7117012594050458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3" sqref="B13"/>
    </sheetView>
  </sheetViews>
  <sheetFormatPr defaultRowHeight="15" x14ac:dyDescent="0.25"/>
  <cols>
    <col min="1" max="1" width="31.85546875" bestFit="1" customWidth="1"/>
    <col min="2" max="4" width="12" bestFit="1" customWidth="1"/>
    <col min="5" max="5" width="35.85546875" bestFit="1" customWidth="1"/>
  </cols>
  <sheetData>
    <row r="1" spans="1:5" x14ac:dyDescent="0.25">
      <c r="A1" s="5"/>
      <c r="B1" s="6" t="s">
        <v>55</v>
      </c>
      <c r="C1" s="6" t="s">
        <v>56</v>
      </c>
      <c r="D1" s="6"/>
    </row>
    <row r="2" spans="1:5" x14ac:dyDescent="0.25">
      <c r="A2" s="10" t="s">
        <v>121</v>
      </c>
      <c r="B2">
        <f>'UFP-02A,B-postconc'!B4</f>
        <v>16300</v>
      </c>
      <c r="C2">
        <f>'UFP-02A,B-postconc'!C4</f>
        <v>16300</v>
      </c>
      <c r="D2" t="s">
        <v>167</v>
      </c>
    </row>
    <row r="3" spans="1:5" x14ac:dyDescent="0.25">
      <c r="A3" s="10" t="s">
        <v>122</v>
      </c>
      <c r="B3">
        <f>CONVERT(B2,"gal","l")</f>
        <v>61702.212079199999</v>
      </c>
      <c r="C3">
        <f>CONVERT(B2,"gal","l")</f>
        <v>61702.212079199999</v>
      </c>
    </row>
    <row r="4" spans="1:5" x14ac:dyDescent="0.25">
      <c r="A4" s="40" t="s">
        <v>63</v>
      </c>
      <c r="B4" s="7">
        <v>0</v>
      </c>
      <c r="C4" s="7">
        <v>0</v>
      </c>
      <c r="D4" t="s">
        <v>168</v>
      </c>
    </row>
    <row r="5" spans="1:5" x14ac:dyDescent="0.25">
      <c r="A5" s="40" t="s">
        <v>64</v>
      </c>
      <c r="B5" s="41">
        <v>0</v>
      </c>
      <c r="C5" s="41">
        <v>0</v>
      </c>
    </row>
    <row r="6" spans="1:5" x14ac:dyDescent="0.25">
      <c r="A6" s="40" t="s">
        <v>65</v>
      </c>
      <c r="B6" s="41">
        <f>B4*B5</f>
        <v>0</v>
      </c>
      <c r="C6" s="41">
        <f>C4*C5</f>
        <v>0</v>
      </c>
    </row>
    <row r="7" spans="1:5" x14ac:dyDescent="0.25">
      <c r="A7" s="40" t="s">
        <v>72</v>
      </c>
      <c r="B7" s="41">
        <f>B6*Inputs!$B2</f>
        <v>0</v>
      </c>
      <c r="C7" s="41">
        <f>C6*Inputs!$B2</f>
        <v>0</v>
      </c>
    </row>
    <row r="8" spans="1:5" x14ac:dyDescent="0.25">
      <c r="A8" s="40" t="s">
        <v>83</v>
      </c>
      <c r="B8" s="41">
        <f>B7/Inputs!$B5</f>
        <v>0</v>
      </c>
      <c r="C8" s="41">
        <f>C7/Inputs!$B5</f>
        <v>0</v>
      </c>
    </row>
    <row r="9" spans="1:5" x14ac:dyDescent="0.25">
      <c r="A9" s="40" t="s">
        <v>82</v>
      </c>
      <c r="B9" s="41">
        <f>B5-B8</f>
        <v>0</v>
      </c>
      <c r="C9" s="41">
        <f>C5-C8</f>
        <v>0</v>
      </c>
    </row>
    <row r="10" spans="1:5" x14ac:dyDescent="0.25">
      <c r="A10" s="40" t="s">
        <v>84</v>
      </c>
      <c r="B10" s="41">
        <f>B9/Inputs!$B7</f>
        <v>0</v>
      </c>
      <c r="C10" s="41">
        <f>C9/Inputs!$B7</f>
        <v>0</v>
      </c>
    </row>
    <row r="11" spans="1:5" x14ac:dyDescent="0.25">
      <c r="A11" s="10" t="s">
        <v>68</v>
      </c>
      <c r="B11">
        <f>'UFP-02A,B-postconc'!B5</f>
        <v>19074.205194802325</v>
      </c>
      <c r="C11">
        <f>'UFP-02A,B-postconc'!C5</f>
        <v>19074.205194802325</v>
      </c>
      <c r="D11">
        <f>B11/B3</f>
        <v>0.30913324744855131</v>
      </c>
      <c r="E11" t="s">
        <v>169</v>
      </c>
    </row>
    <row r="12" spans="1:5" x14ac:dyDescent="0.25">
      <c r="A12" s="12" t="s">
        <v>73</v>
      </c>
      <c r="B12" s="13">
        <f>Inputs!F22</f>
        <v>4000</v>
      </c>
      <c r="C12" s="13">
        <f>Inputs!F22</f>
        <v>4000</v>
      </c>
    </row>
    <row r="13" spans="1:5" x14ac:dyDescent="0.25">
      <c r="A13" s="10" t="s">
        <v>80</v>
      </c>
      <c r="B13" s="11">
        <f>CONVERT(B12,"gal","l")</f>
        <v>15141.647136</v>
      </c>
      <c r="C13" s="11">
        <f>CONVERT(C12,"gal","l")</f>
        <v>15141.647136</v>
      </c>
    </row>
    <row r="14" spans="1:5" x14ac:dyDescent="0.25">
      <c r="A14" s="10" t="s">
        <v>74</v>
      </c>
      <c r="B14" s="11">
        <f>Inputs!B8*$B13</f>
        <v>23318.136589440001</v>
      </c>
      <c r="C14" s="11">
        <f>Inputs!$B8*$B13</f>
        <v>23318.136589440001</v>
      </c>
    </row>
    <row r="15" spans="1:5" x14ac:dyDescent="0.25">
      <c r="A15" s="10" t="s">
        <v>75</v>
      </c>
      <c r="B15" s="11">
        <f>Inputs!$B22*B14</f>
        <v>0</v>
      </c>
      <c r="C15" s="11">
        <f>Inputs!$B22*C14</f>
        <v>0</v>
      </c>
    </row>
    <row r="16" spans="1:5" x14ac:dyDescent="0.25">
      <c r="A16" s="12" t="s">
        <v>39</v>
      </c>
      <c r="B16" s="13">
        <v>0</v>
      </c>
      <c r="C16" s="13">
        <v>0</v>
      </c>
      <c r="D16" t="s">
        <v>170</v>
      </c>
    </row>
    <row r="17" spans="1:5" x14ac:dyDescent="0.25">
      <c r="A17" s="10" t="s">
        <v>40</v>
      </c>
      <c r="B17" s="11">
        <f>CONVERT(B16,"gal","l")</f>
        <v>0</v>
      </c>
      <c r="C17" s="11">
        <f>CONVERT(C16,"gal","l")</f>
        <v>0</v>
      </c>
    </row>
    <row r="18" spans="1:5" x14ac:dyDescent="0.25">
      <c r="A18" s="10" t="s">
        <v>41</v>
      </c>
      <c r="B18" s="11">
        <f>Inputs!$B7*B17</f>
        <v>0</v>
      </c>
      <c r="C18" s="11">
        <f>Inputs!$B7*C17</f>
        <v>0</v>
      </c>
    </row>
    <row r="19" spans="1:5" x14ac:dyDescent="0.25">
      <c r="A19" s="10" t="s">
        <v>42</v>
      </c>
      <c r="B19" s="11">
        <f>Inputs!$B21*B18</f>
        <v>0</v>
      </c>
      <c r="C19" s="11">
        <f>Inputs!$B21*C18</f>
        <v>0</v>
      </c>
    </row>
    <row r="20" spans="1:5" x14ac:dyDescent="0.25">
      <c r="A20" s="12" t="s">
        <v>46</v>
      </c>
      <c r="B20" s="13">
        <f>B3+B13+B17</f>
        <v>76843.859215200006</v>
      </c>
      <c r="C20" s="13">
        <f>C3+C13+C17</f>
        <v>76843.859215200006</v>
      </c>
    </row>
    <row r="21" spans="1:5" x14ac:dyDescent="0.25">
      <c r="A21" s="14" t="s">
        <v>99</v>
      </c>
      <c r="B21" s="15">
        <f>CONVERT(B20,"l","gal")</f>
        <v>20300.000000000004</v>
      </c>
      <c r="C21" s="15">
        <f>CONVERT(C20,"l","gal")</f>
        <v>20300.000000000004</v>
      </c>
    </row>
    <row r="22" spans="1:5" x14ac:dyDescent="0.25">
      <c r="A22" s="10" t="s">
        <v>47</v>
      </c>
      <c r="B22" s="11">
        <f>B11+B15+B19</f>
        <v>19074.205194802325</v>
      </c>
      <c r="C22" s="11">
        <f>C11+C15+C19</f>
        <v>19074.205194802325</v>
      </c>
    </row>
    <row r="23" spans="1:5" x14ac:dyDescent="0.25">
      <c r="A23" s="10" t="s">
        <v>100</v>
      </c>
      <c r="B23" s="11">
        <f>B22/Inputs!$B5</f>
        <v>6579.5809571584423</v>
      </c>
      <c r="C23" s="11">
        <f>C22/Inputs!$B5</f>
        <v>6579.5809571584423</v>
      </c>
    </row>
    <row r="24" spans="1:5" x14ac:dyDescent="0.25">
      <c r="A24" s="10" t="s">
        <v>101</v>
      </c>
      <c r="B24" s="11">
        <f>(B3-B23)+B13+B17</f>
        <v>70264.278258041566</v>
      </c>
      <c r="C24" s="11">
        <f>C20-C23</f>
        <v>70264.278258041566</v>
      </c>
      <c r="D24" t="s">
        <v>171</v>
      </c>
    </row>
    <row r="25" spans="1:5" x14ac:dyDescent="0.25">
      <c r="A25" s="10" t="s">
        <v>48</v>
      </c>
      <c r="B25" s="11">
        <f>B24*Inputs!$B6</f>
        <v>98369.989561258189</v>
      </c>
      <c r="C25" s="11">
        <f>C24*Inputs!$B6</f>
        <v>98369.989561258189</v>
      </c>
    </row>
    <row r="26" spans="1:5" x14ac:dyDescent="0.25">
      <c r="A26" s="10" t="s">
        <v>49</v>
      </c>
      <c r="B26" s="11">
        <f>B22+B25</f>
        <v>117444.19475606052</v>
      </c>
      <c r="C26" s="11">
        <f>C22+C25</f>
        <v>117444.19475606052</v>
      </c>
    </row>
    <row r="27" spans="1:5" x14ac:dyDescent="0.25">
      <c r="A27" s="10" t="s">
        <v>50</v>
      </c>
      <c r="B27" s="16">
        <f>B22/B26</f>
        <v>0.16241079633114885</v>
      </c>
      <c r="C27" s="16">
        <f>C22/C26</f>
        <v>0.16241079633114885</v>
      </c>
      <c r="D27" s="17"/>
      <c r="E27" s="19" t="s">
        <v>173</v>
      </c>
    </row>
    <row r="28" spans="1:5" x14ac:dyDescent="0.25">
      <c r="A28" s="10" t="s">
        <v>88</v>
      </c>
      <c r="B28" s="11">
        <f>B22/B20</f>
        <v>0.24822029228627518</v>
      </c>
      <c r="C28" s="11">
        <f>C22/C20</f>
        <v>0.24822029228627518</v>
      </c>
      <c r="D28" s="28"/>
    </row>
    <row r="29" spans="1:5" x14ac:dyDescent="0.25">
      <c r="A29" s="10" t="s">
        <v>95</v>
      </c>
      <c r="B29">
        <f>B26/B20</f>
        <v>1.5283484712442659</v>
      </c>
      <c r="C29">
        <f>C26/C20</f>
        <v>1.5283484712442659</v>
      </c>
      <c r="D29" s="28"/>
    </row>
    <row r="30" spans="1:5" x14ac:dyDescent="0.25">
      <c r="A30" s="10" t="s">
        <v>94</v>
      </c>
      <c r="B30">
        <f>1/((B22/(B22+B25))/Inputs!$B5+(B25/(B22+B25))/Inputs!$B6)</f>
        <v>1.5283484712442654</v>
      </c>
      <c r="C30">
        <f>1/((C22/(C22+C25))/Inputs!$B5+(C25/(C22+C25))/Inputs!$B6)</f>
        <v>1.5283484712442654</v>
      </c>
      <c r="D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0" sqref="B10"/>
    </sheetView>
  </sheetViews>
  <sheetFormatPr defaultRowHeight="15" x14ac:dyDescent="0.25"/>
  <cols>
    <col min="1" max="1" width="30.140625" bestFit="1" customWidth="1"/>
    <col min="2" max="3" width="12" bestFit="1" customWidth="1"/>
    <col min="4" max="4" width="29.140625" bestFit="1" customWidth="1"/>
  </cols>
  <sheetData>
    <row r="1" spans="1:4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4" x14ac:dyDescent="0.25">
      <c r="A2" s="14" t="s">
        <v>46</v>
      </c>
      <c r="B2" s="15">
        <f>'UFP-02A,B-NaOH'!B20</f>
        <v>76843.859215200006</v>
      </c>
      <c r="C2" s="15">
        <f>'UFP-02A,B-NaOH'!C20</f>
        <v>76843.859215200006</v>
      </c>
    </row>
    <row r="3" spans="1:4" x14ac:dyDescent="0.25">
      <c r="A3" s="14" t="s">
        <v>99</v>
      </c>
      <c r="B3" s="15">
        <f>CONVERT(B2,"L","gal")</f>
        <v>20300.000000000004</v>
      </c>
      <c r="C3" s="15">
        <f>CONVERT(C2,"L","gal")</f>
        <v>20300.000000000004</v>
      </c>
    </row>
    <row r="4" spans="1:4" x14ac:dyDescent="0.25">
      <c r="A4" s="14" t="s">
        <v>47</v>
      </c>
      <c r="B4" s="15">
        <f>'UFP-02A,B-NaOH'!B22</f>
        <v>19074.205194802325</v>
      </c>
      <c r="C4" s="15">
        <f>'UFP-02A,B-NaOH'!C22</f>
        <v>19074.205194802325</v>
      </c>
    </row>
    <row r="5" spans="1:4" x14ac:dyDescent="0.25">
      <c r="A5" s="14" t="s">
        <v>48</v>
      </c>
      <c r="B5" s="15">
        <f>'UFP-02A,B-NaOH'!B25</f>
        <v>98369.989561258189</v>
      </c>
      <c r="C5" s="15">
        <f>'UFP-02A,B-NaOH'!C25</f>
        <v>98369.989561258189</v>
      </c>
    </row>
    <row r="6" spans="1:4" x14ac:dyDescent="0.25">
      <c r="A6" s="14" t="s">
        <v>49</v>
      </c>
      <c r="B6" s="15">
        <f>'UFP-02A,B-NaOH'!B26</f>
        <v>117444.19475606052</v>
      </c>
      <c r="C6" s="15">
        <f>'UFP-02A,B-NaOH'!C26</f>
        <v>117444.19475606052</v>
      </c>
    </row>
    <row r="7" spans="1:4" x14ac:dyDescent="0.25">
      <c r="A7" s="14" t="s">
        <v>50</v>
      </c>
      <c r="B7" s="29">
        <f>'UFP-02A,B-NaOH'!B27</f>
        <v>0.16241079633114885</v>
      </c>
      <c r="C7" s="29">
        <f>'UFP-02A,B-NaOH'!C27</f>
        <v>0.16241079633114885</v>
      </c>
      <c r="D7" s="19" t="s">
        <v>174</v>
      </c>
    </row>
    <row r="8" spans="1:4" x14ac:dyDescent="0.25">
      <c r="A8" s="14" t="s">
        <v>88</v>
      </c>
      <c r="B8" s="15">
        <f>'UFP-02A,B-NaOH'!B28</f>
        <v>0.24822029228627518</v>
      </c>
      <c r="C8" s="15">
        <f>'UFP-02A,B-NaOH'!C28</f>
        <v>0.24822029228627518</v>
      </c>
    </row>
    <row r="9" spans="1:4" x14ac:dyDescent="0.25">
      <c r="A9" s="14" t="s">
        <v>61</v>
      </c>
      <c r="B9" s="15">
        <f>'UFP-02A,B-NaOH'!B30</f>
        <v>1.5283484712442654</v>
      </c>
      <c r="C9" s="15">
        <f>'UFP-02A,B-NaOH'!C30</f>
        <v>1.5283484712442654</v>
      </c>
    </row>
    <row r="10" spans="1:4" x14ac:dyDescent="0.25">
      <c r="A10" s="21"/>
      <c r="B10" s="21"/>
      <c r="C10" s="21"/>
    </row>
    <row r="11" spans="1:4" x14ac:dyDescent="0.25">
      <c r="A11" s="22" t="s">
        <v>86</v>
      </c>
      <c r="B11" s="23">
        <f>(1-Inputs!$B1)*'UFP-02A,B-Digest'!B7</f>
        <v>8.1205398165574427E-2</v>
      </c>
      <c r="C11" s="23">
        <f>(1-Inputs!$B1)*'UFP-02A,B-Digest'!C7</f>
        <v>8.1205398165574427E-2</v>
      </c>
    </row>
    <row r="12" spans="1:4" x14ac:dyDescent="0.25">
      <c r="A12" s="22" t="s">
        <v>87</v>
      </c>
      <c r="B12" s="21">
        <f>Inputs!$B1*B4</f>
        <v>9537.1025974011627</v>
      </c>
      <c r="C12" s="21">
        <f>Inputs!$B1*C4</f>
        <v>9537.1025974011627</v>
      </c>
    </row>
    <row r="13" spans="1:4" x14ac:dyDescent="0.25">
      <c r="A13" s="22" t="s">
        <v>89</v>
      </c>
      <c r="B13" s="21">
        <f>B5</f>
        <v>98369.989561258189</v>
      </c>
      <c r="C13" s="21">
        <f>C5</f>
        <v>98369.989561258189</v>
      </c>
    </row>
    <row r="14" spans="1:4" x14ac:dyDescent="0.25">
      <c r="A14" s="22" t="s">
        <v>98</v>
      </c>
      <c r="B14" s="21">
        <f>B12+B13</f>
        <v>107907.09215865935</v>
      </c>
      <c r="C14" s="21">
        <f>C12+C13</f>
        <v>107907.09215865935</v>
      </c>
    </row>
    <row r="15" spans="1:4" x14ac:dyDescent="0.25">
      <c r="A15" s="22" t="s">
        <v>90</v>
      </c>
      <c r="B15" s="21">
        <f>1/(B11/Inputs!$B5+(1-B11)/Inputs!$B6)</f>
        <v>1.4613615017155461</v>
      </c>
      <c r="C15" s="21">
        <f>1/(C11/Inputs!$B5+(1-C11)/Inputs!$B6)</f>
        <v>1.4613615017155461</v>
      </c>
    </row>
    <row r="16" spans="1:4" x14ac:dyDescent="0.25">
      <c r="A16" s="22" t="s">
        <v>91</v>
      </c>
      <c r="B16" s="21">
        <f>B14/B15</f>
        <v>73840.108715046372</v>
      </c>
      <c r="C16" s="21">
        <f>C14/C15</f>
        <v>73840.108715046372</v>
      </c>
    </row>
    <row r="17" spans="1:4" x14ac:dyDescent="0.25">
      <c r="A17" s="22" t="s">
        <v>92</v>
      </c>
      <c r="B17" s="31">
        <f>CONVERT(B16,"l","gal")</f>
        <v>19506.493065602601</v>
      </c>
      <c r="C17" s="31">
        <f>CONVERT(C16,"l","gal")</f>
        <v>19506.493065602601</v>
      </c>
      <c r="D17" s="19" t="s">
        <v>175</v>
      </c>
    </row>
    <row r="18" spans="1:4" x14ac:dyDescent="0.25">
      <c r="A18" s="14" t="s">
        <v>88</v>
      </c>
      <c r="B18">
        <f>B12/B16</f>
        <v>0.1291588374308256</v>
      </c>
      <c r="C18">
        <f>C12/C16</f>
        <v>0.1291588374308256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defaultRowHeight="15" x14ac:dyDescent="0.25"/>
  <cols>
    <col min="1" max="1" width="30.140625" bestFit="1" customWidth="1"/>
    <col min="2" max="3" width="12" bestFit="1" customWidth="1"/>
  </cols>
  <sheetData>
    <row r="1" spans="1:3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3" x14ac:dyDescent="0.25">
      <c r="A2" s="14" t="s">
        <v>46</v>
      </c>
      <c r="B2" s="15">
        <f>'UFP-02A,B-Digest'!B16</f>
        <v>73840.108715046372</v>
      </c>
      <c r="C2" s="15">
        <f>'UFP-02A,B-Digest'!C16</f>
        <v>73840.108715046372</v>
      </c>
    </row>
    <row r="3" spans="1:3" x14ac:dyDescent="0.25">
      <c r="A3" s="14" t="s">
        <v>99</v>
      </c>
      <c r="B3" s="15">
        <f>CONVERT(B2,"l","gal")</f>
        <v>19506.493065602601</v>
      </c>
      <c r="C3" s="15">
        <f>CONVERT(C2,"l","gal")</f>
        <v>19506.493065602601</v>
      </c>
    </row>
    <row r="4" spans="1:3" x14ac:dyDescent="0.25">
      <c r="A4" s="14" t="s">
        <v>47</v>
      </c>
      <c r="B4" s="15">
        <f>'UFP-02A,B-Digest'!B12</f>
        <v>9537.1025974011627</v>
      </c>
      <c r="C4" s="15">
        <f>'UFP-02A,B-Digest'!C12</f>
        <v>9537.1025974011627</v>
      </c>
    </row>
    <row r="5" spans="1:3" x14ac:dyDescent="0.25">
      <c r="A5" s="14" t="s">
        <v>48</v>
      </c>
      <c r="B5" s="15">
        <f>'UFP-02A,B-Digest'!B13</f>
        <v>98369.989561258189</v>
      </c>
      <c r="C5" s="15">
        <f>'UFP-02A,B-Digest'!C13</f>
        <v>98369.989561258189</v>
      </c>
    </row>
    <row r="6" spans="1:3" x14ac:dyDescent="0.25">
      <c r="A6" s="14" t="s">
        <v>49</v>
      </c>
      <c r="B6" s="15">
        <f>B4+B5</f>
        <v>107907.09215865935</v>
      </c>
      <c r="C6" s="15">
        <f>C4+C5</f>
        <v>107907.09215865935</v>
      </c>
    </row>
    <row r="7" spans="1:3" x14ac:dyDescent="0.25">
      <c r="A7" s="14" t="s">
        <v>50</v>
      </c>
      <c r="B7" s="29">
        <f>'UFP-02A,B-Digest'!B11</f>
        <v>8.1205398165574427E-2</v>
      </c>
      <c r="C7" s="29">
        <f>'UFP-02A,B-Digest'!C11</f>
        <v>8.1205398165574427E-2</v>
      </c>
    </row>
    <row r="8" spans="1:3" x14ac:dyDescent="0.25">
      <c r="A8" s="14" t="s">
        <v>88</v>
      </c>
      <c r="B8" s="15">
        <f>B4/B2</f>
        <v>0.1291588374308256</v>
      </c>
      <c r="C8" s="15">
        <f>C4/C2</f>
        <v>0.1291588374308256</v>
      </c>
    </row>
    <row r="9" spans="1:3" x14ac:dyDescent="0.25">
      <c r="A9" s="14" t="s">
        <v>95</v>
      </c>
      <c r="B9" s="15">
        <f>'UFP-02A,B-Digest'!B15</f>
        <v>1.4613615017155461</v>
      </c>
      <c r="C9" s="15">
        <f>'UFP-02A,B-Digest'!C15</f>
        <v>1.4613615017155461</v>
      </c>
    </row>
    <row r="10" spans="1:3" x14ac:dyDescent="0.25">
      <c r="A10" s="21"/>
      <c r="B10" s="21"/>
      <c r="C10" s="21"/>
    </row>
    <row r="11" spans="1:3" x14ac:dyDescent="0.25">
      <c r="A11" s="22" t="s">
        <v>92</v>
      </c>
      <c r="B11" s="31">
        <f>Inputs!$F18</f>
        <v>12300</v>
      </c>
      <c r="C11" s="31">
        <f>Inputs!$F18</f>
        <v>12300</v>
      </c>
    </row>
    <row r="12" spans="1:3" x14ac:dyDescent="0.25">
      <c r="A12" s="22" t="s">
        <v>91</v>
      </c>
      <c r="B12" s="21">
        <f>CONVERT(B11,"gal","l")</f>
        <v>46560.564943199999</v>
      </c>
      <c r="C12" s="21">
        <f>CONVERT(C11,"gal","l")</f>
        <v>46560.564943199999</v>
      </c>
    </row>
    <row r="13" spans="1:3" x14ac:dyDescent="0.25">
      <c r="A13" s="22" t="s">
        <v>87</v>
      </c>
      <c r="B13" s="21">
        <f>B4</f>
        <v>9537.1025974011627</v>
      </c>
      <c r="C13" s="21">
        <f>C4</f>
        <v>9537.1025974011627</v>
      </c>
    </row>
    <row r="14" spans="1:3" x14ac:dyDescent="0.25">
      <c r="A14" s="22" t="s">
        <v>103</v>
      </c>
      <c r="B14" s="21">
        <f>B13/Inputs!$B5</f>
        <v>3289.7904785792211</v>
      </c>
      <c r="C14" s="21">
        <f>C13/Inputs!$B5</f>
        <v>3289.7904785792211</v>
      </c>
    </row>
    <row r="15" spans="1:3" x14ac:dyDescent="0.25">
      <c r="A15" s="22" t="s">
        <v>104</v>
      </c>
      <c r="B15" s="21">
        <f>B12-B14</f>
        <v>43270.774464620779</v>
      </c>
      <c r="C15" s="21">
        <f>C12-C14</f>
        <v>43270.774464620779</v>
      </c>
    </row>
    <row r="16" spans="1:3" x14ac:dyDescent="0.25">
      <c r="A16" s="22" t="s">
        <v>89</v>
      </c>
      <c r="B16" s="21">
        <f>B15*Inputs!$B6</f>
        <v>60579.084250469088</v>
      </c>
      <c r="C16" s="21">
        <f>C15*Inputs!$B6</f>
        <v>60579.084250469088</v>
      </c>
    </row>
    <row r="17" spans="1:3" x14ac:dyDescent="0.25">
      <c r="A17" s="22" t="s">
        <v>98</v>
      </c>
      <c r="B17" s="21">
        <f>B13+B16</f>
        <v>70116.186847870253</v>
      </c>
      <c r="C17" s="21">
        <f>C13+C16</f>
        <v>70116.186847870253</v>
      </c>
    </row>
    <row r="18" spans="1:3" x14ac:dyDescent="0.25">
      <c r="A18" s="22" t="s">
        <v>86</v>
      </c>
      <c r="B18" s="23">
        <f>B13/B17</f>
        <v>0.13601855757064529</v>
      </c>
      <c r="C18" s="23">
        <f>C13/C17</f>
        <v>0.13601855757064529</v>
      </c>
    </row>
    <row r="19" spans="1:3" x14ac:dyDescent="0.25">
      <c r="A19" s="14" t="s">
        <v>88</v>
      </c>
      <c r="B19">
        <f>B13/B12</f>
        <v>0.20483219241509701</v>
      </c>
      <c r="C19">
        <f>C13/C12</f>
        <v>0.20483219241509701</v>
      </c>
    </row>
    <row r="20" spans="1:3" x14ac:dyDescent="0.25">
      <c r="A20" s="14" t="s">
        <v>177</v>
      </c>
      <c r="B20">
        <f>B17/B12</f>
        <v>1.5059135758641706</v>
      </c>
      <c r="C20">
        <f>C17/C12</f>
        <v>1.5059135758641706</v>
      </c>
    </row>
    <row r="21" spans="1:3" x14ac:dyDescent="0.25">
      <c r="A21" s="22" t="s">
        <v>176</v>
      </c>
      <c r="B21" s="21">
        <f>1/(B18/Inputs!$B5+(1-B18)/Inputs!$B6)</f>
        <v>1.5059135758641704</v>
      </c>
      <c r="C21" s="21">
        <f>1/(C18/Inputs!$B5+(1-C18)/Inputs!$B6)</f>
        <v>1.5059135758641704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37" sqref="K37"/>
    </sheetView>
  </sheetViews>
  <sheetFormatPr defaultRowHeight="15" x14ac:dyDescent="0.25"/>
  <cols>
    <col min="1" max="1" width="28.7109375" bestFit="1" customWidth="1"/>
    <col min="2" max="4" width="12" bestFit="1" customWidth="1"/>
    <col min="5" max="5" width="20.140625" bestFit="1" customWidth="1"/>
  </cols>
  <sheetData>
    <row r="1" spans="1:16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16" x14ac:dyDescent="0.25">
      <c r="A2" s="14" t="s">
        <v>46</v>
      </c>
      <c r="B2" s="15">
        <f>'UFP-02A,B-Conc'!B12</f>
        <v>46560.564943199999</v>
      </c>
      <c r="C2" s="15">
        <f>'UFP-02A,B-Conc'!C12</f>
        <v>46560.564943199999</v>
      </c>
    </row>
    <row r="3" spans="1:16" x14ac:dyDescent="0.25">
      <c r="A3" s="14" t="s">
        <v>99</v>
      </c>
      <c r="B3" s="15">
        <f>CONVERT(B2,"l","gal")</f>
        <v>12300</v>
      </c>
      <c r="C3" s="15">
        <f>CONVERT(C2,"l","gal")</f>
        <v>12300</v>
      </c>
    </row>
    <row r="4" spans="1:16" x14ac:dyDescent="0.25">
      <c r="A4" s="14" t="s">
        <v>47</v>
      </c>
      <c r="B4" s="15">
        <f>'UFP-02A,B-Conc'!B13</f>
        <v>9537.1025974011627</v>
      </c>
      <c r="C4" s="15">
        <f>'UFP-02A,B-Conc'!C13</f>
        <v>9537.1025974011627</v>
      </c>
      <c r="D4" s="7">
        <f>Inputs!L18</f>
        <v>9537.1025974011627</v>
      </c>
    </row>
    <row r="5" spans="1:16" x14ac:dyDescent="0.25">
      <c r="A5" s="14" t="s">
        <v>48</v>
      </c>
      <c r="B5" s="34">
        <f>'UFP-02A,B-Conc'!B16</f>
        <v>60579.084250469088</v>
      </c>
      <c r="C5" s="34">
        <f>'UFP-02A,B-Conc'!C16</f>
        <v>60579.084250469088</v>
      </c>
    </row>
    <row r="6" spans="1:16" x14ac:dyDescent="0.25">
      <c r="A6" s="14" t="s">
        <v>49</v>
      </c>
      <c r="B6" s="34">
        <f>'UFP-02A,B-Conc'!B17</f>
        <v>70116.186847870253</v>
      </c>
      <c r="C6" s="34">
        <f>'UFP-02A,B-Conc'!C17</f>
        <v>70116.186847870253</v>
      </c>
    </row>
    <row r="7" spans="1:16" x14ac:dyDescent="0.25">
      <c r="A7" s="14" t="s">
        <v>50</v>
      </c>
      <c r="B7" s="35">
        <f>'UFP-02A,B-Conc'!B18</f>
        <v>0.13601855757064529</v>
      </c>
      <c r="C7" s="35">
        <f>'UFP-02A,B-Conc'!C18</f>
        <v>0.13601855757064529</v>
      </c>
    </row>
    <row r="8" spans="1:16" x14ac:dyDescent="0.25">
      <c r="A8" s="14" t="s">
        <v>88</v>
      </c>
      <c r="B8" s="34">
        <f>'UFP-02A,B-Conc'!B19</f>
        <v>0.20483219241509701</v>
      </c>
      <c r="C8" s="34">
        <f>'UFP-02A,B-Conc'!C19</f>
        <v>0.20483219241509701</v>
      </c>
    </row>
    <row r="9" spans="1:16" x14ac:dyDescent="0.25">
      <c r="A9" s="14" t="str">
        <f>'UFP-02A,B-Conc'!A20</f>
        <v>Final slurry density (M/V), kg/L</v>
      </c>
      <c r="B9" s="34">
        <f>'UFP-02A,B-Conc'!B20</f>
        <v>1.5059135758641706</v>
      </c>
      <c r="C9" s="34">
        <f>'UFP-02A,B-Conc'!C20</f>
        <v>1.5059135758641706</v>
      </c>
    </row>
    <row r="10" spans="1:16" ht="15.75" thickBot="1" x14ac:dyDescent="0.3">
      <c r="A10" s="21"/>
      <c r="B10" s="36"/>
      <c r="C10" s="36"/>
    </row>
    <row r="11" spans="1:16" x14ac:dyDescent="0.25">
      <c r="A11" s="22" t="s">
        <v>92</v>
      </c>
      <c r="B11" s="31">
        <f>Inputs!$F24</f>
        <v>12300</v>
      </c>
      <c r="C11" s="31">
        <f>Inputs!$F24</f>
        <v>12300</v>
      </c>
      <c r="H11" s="50"/>
      <c r="I11" s="51"/>
      <c r="J11" s="51"/>
      <c r="K11" s="51"/>
      <c r="L11" s="51"/>
      <c r="M11" s="51"/>
      <c r="N11" s="51"/>
      <c r="O11" s="51"/>
      <c r="P11" s="52"/>
    </row>
    <row r="12" spans="1:16" x14ac:dyDescent="0.25">
      <c r="A12" s="22" t="s">
        <v>91</v>
      </c>
      <c r="B12" s="36">
        <f>CONVERT(B11,"gal","l")</f>
        <v>46560.564943199999</v>
      </c>
      <c r="C12" s="36">
        <f>CONVERT(C11,"gal","l")</f>
        <v>46560.564943199999</v>
      </c>
      <c r="H12" s="53" t="s">
        <v>181</v>
      </c>
      <c r="I12" s="54"/>
      <c r="J12" s="54"/>
      <c r="K12" s="54"/>
      <c r="L12" s="54"/>
      <c r="M12" s="54"/>
      <c r="N12" s="54"/>
      <c r="O12" s="54"/>
      <c r="P12" s="55"/>
    </row>
    <row r="13" spans="1:16" x14ac:dyDescent="0.25">
      <c r="A13" s="22" t="s">
        <v>87</v>
      </c>
      <c r="B13" s="36">
        <f>B4</f>
        <v>9537.1025974011627</v>
      </c>
      <c r="C13" s="36">
        <f>C4</f>
        <v>9537.1025974011627</v>
      </c>
      <c r="H13" s="53"/>
      <c r="I13" s="54"/>
      <c r="J13" s="54"/>
      <c r="K13" s="54"/>
      <c r="L13" s="54"/>
      <c r="M13" s="54"/>
      <c r="N13" s="54"/>
      <c r="O13" s="54"/>
      <c r="P13" s="55"/>
    </row>
    <row r="14" spans="1:16" x14ac:dyDescent="0.25">
      <c r="A14" s="22" t="s">
        <v>103</v>
      </c>
      <c r="B14" s="36">
        <f>B13/Inputs!$B5</f>
        <v>3289.7904785792211</v>
      </c>
      <c r="C14" s="36">
        <f>C13/Inputs!$B5</f>
        <v>3289.7904785792211</v>
      </c>
      <c r="H14" s="53"/>
      <c r="I14" s="54"/>
      <c r="J14" s="54"/>
      <c r="K14" s="54"/>
      <c r="L14" s="54"/>
      <c r="M14" s="54"/>
      <c r="N14" s="54"/>
      <c r="O14" s="54"/>
      <c r="P14" s="55"/>
    </row>
    <row r="15" spans="1:16" x14ac:dyDescent="0.25">
      <c r="A15" s="22" t="s">
        <v>104</v>
      </c>
      <c r="B15" s="36">
        <f>B12-B14</f>
        <v>43270.774464620779</v>
      </c>
      <c r="C15" s="36">
        <f>C12-C14</f>
        <v>43270.774464620779</v>
      </c>
      <c r="H15" s="53"/>
      <c r="I15" s="54"/>
      <c r="J15" s="54"/>
      <c r="K15" s="54"/>
      <c r="L15" s="54"/>
      <c r="M15" s="54"/>
      <c r="N15" s="54"/>
      <c r="O15" s="54"/>
      <c r="P15" s="55"/>
    </row>
    <row r="16" spans="1:16" x14ac:dyDescent="0.25">
      <c r="A16" s="22" t="s">
        <v>89</v>
      </c>
      <c r="B16" s="36">
        <f>B15*Inputs!$B7</f>
        <v>43270.774464620779</v>
      </c>
      <c r="C16" s="36">
        <f>C15*Inputs!$B7</f>
        <v>43270.774464620779</v>
      </c>
      <c r="H16" s="53"/>
      <c r="I16" s="54"/>
      <c r="J16" s="54"/>
      <c r="K16" s="54"/>
      <c r="L16" s="54"/>
      <c r="M16" s="54"/>
      <c r="N16" s="54"/>
      <c r="O16" s="54"/>
      <c r="P16" s="55"/>
    </row>
    <row r="17" spans="1:16" s="49" customFormat="1" x14ac:dyDescent="0.25">
      <c r="A17" s="22" t="s">
        <v>98</v>
      </c>
      <c r="B17" s="48">
        <f>B13+B16</f>
        <v>52807.877062021944</v>
      </c>
      <c r="C17" s="48">
        <f>C13+C16</f>
        <v>52807.877062021944</v>
      </c>
      <c r="H17" s="59"/>
      <c r="I17" s="60"/>
      <c r="J17" s="60"/>
      <c r="K17" s="60"/>
      <c r="L17" s="60"/>
      <c r="M17" s="60"/>
      <c r="N17" s="60"/>
      <c r="O17" s="60"/>
      <c r="P17" s="61"/>
    </row>
    <row r="18" spans="1:16" x14ac:dyDescent="0.25">
      <c r="A18" s="22" t="s">
        <v>86</v>
      </c>
      <c r="B18" s="37">
        <f>B13/B17</f>
        <v>0.18059999999999998</v>
      </c>
      <c r="C18" s="37">
        <f>C13/C17</f>
        <v>0.18059999999999998</v>
      </c>
      <c r="D18" s="1">
        <f>AVERAGE(B18:C18)</f>
        <v>0.18059999999999998</v>
      </c>
      <c r="E18" s="19" t="s">
        <v>178</v>
      </c>
      <c r="H18" s="53"/>
      <c r="I18" s="54"/>
      <c r="J18" s="54"/>
      <c r="K18" s="54"/>
      <c r="L18" s="54"/>
      <c r="M18" s="54"/>
      <c r="N18" s="54"/>
      <c r="O18" s="54"/>
      <c r="P18" s="55"/>
    </row>
    <row r="19" spans="1:16" x14ac:dyDescent="0.25">
      <c r="A19" s="14" t="s">
        <v>88</v>
      </c>
      <c r="B19" s="8">
        <f>B13/B12</f>
        <v>0.20483219241509701</v>
      </c>
      <c r="C19" s="8">
        <f>C13/C12</f>
        <v>0.20483219241509701</v>
      </c>
      <c r="D19" s="9">
        <f>AVERAGE(B19:C19)</f>
        <v>0.20483219241509701</v>
      </c>
      <c r="H19" s="53"/>
      <c r="I19" s="54"/>
      <c r="J19" s="54"/>
      <c r="K19" s="54"/>
      <c r="L19" s="54"/>
      <c r="M19" s="54"/>
      <c r="N19" s="54"/>
      <c r="O19" s="54"/>
      <c r="P19" s="55"/>
    </row>
    <row r="20" spans="1:16" x14ac:dyDescent="0.25">
      <c r="A20" s="14" t="s">
        <v>177</v>
      </c>
      <c r="B20" s="8">
        <f>B17/B12</f>
        <v>1.1341760377358638</v>
      </c>
      <c r="C20" s="8">
        <f>C17/C12</f>
        <v>1.1341760377358638</v>
      </c>
      <c r="D20" s="9">
        <f>AVERAGE(B20:C20)</f>
        <v>1.1341760377358638</v>
      </c>
      <c r="H20" s="53"/>
      <c r="I20" s="54"/>
      <c r="J20" s="54"/>
      <c r="K20" s="54"/>
      <c r="L20" s="54"/>
      <c r="M20" s="54"/>
      <c r="N20" s="54"/>
      <c r="O20" s="54"/>
      <c r="P20" s="55"/>
    </row>
    <row r="21" spans="1:16" x14ac:dyDescent="0.25">
      <c r="A21" s="22" t="s">
        <v>176</v>
      </c>
      <c r="B21" s="36">
        <f>1/(B18/Inputs!$B5+(1-B18)/Inputs!$B7)</f>
        <v>1.1341760377358638</v>
      </c>
      <c r="C21" s="36">
        <f>1/(C18/Inputs!$B5+(1-C18)/Inputs!$B7)</f>
        <v>1.1341760377358638</v>
      </c>
      <c r="D21" s="9">
        <f>AVERAGE(B21:C21)</f>
        <v>1.1341760377358638</v>
      </c>
      <c r="H21" s="53"/>
      <c r="I21" s="54"/>
      <c r="J21" s="54"/>
      <c r="K21" s="54"/>
      <c r="L21" s="54"/>
      <c r="M21" s="54"/>
      <c r="N21" s="54"/>
      <c r="O21" s="54"/>
      <c r="P21" s="55"/>
    </row>
    <row r="22" spans="1:16" x14ac:dyDescent="0.25">
      <c r="H22" s="53"/>
      <c r="I22" s="54"/>
      <c r="J22" s="54"/>
      <c r="K22" s="54"/>
      <c r="L22" s="54"/>
      <c r="M22" s="54"/>
      <c r="N22" s="54"/>
      <c r="O22" s="54"/>
      <c r="P22" s="55"/>
    </row>
    <row r="23" spans="1:16" x14ac:dyDescent="0.25">
      <c r="H23" s="53"/>
      <c r="I23" s="54"/>
      <c r="J23" s="54"/>
      <c r="K23" s="54"/>
      <c r="L23" s="54"/>
      <c r="M23" s="54"/>
      <c r="N23" s="54"/>
      <c r="O23" s="54"/>
      <c r="P23" s="55"/>
    </row>
    <row r="24" spans="1:16" x14ac:dyDescent="0.25">
      <c r="H24" s="53"/>
      <c r="I24" s="54"/>
      <c r="J24" s="54"/>
      <c r="K24" s="54"/>
      <c r="L24" s="54"/>
      <c r="M24" s="54"/>
      <c r="N24" s="54"/>
      <c r="O24" s="54"/>
      <c r="P24" s="55"/>
    </row>
    <row r="25" spans="1:16" x14ac:dyDescent="0.25">
      <c r="H25" s="53"/>
      <c r="I25" s="54"/>
      <c r="J25" s="54"/>
      <c r="K25" s="54"/>
      <c r="L25" s="54"/>
      <c r="M25" s="54"/>
      <c r="N25" s="54"/>
      <c r="O25" s="54"/>
      <c r="P25" s="55"/>
    </row>
    <row r="26" spans="1:16" x14ac:dyDescent="0.25">
      <c r="H26" s="53"/>
      <c r="I26" s="54"/>
      <c r="J26" s="54"/>
      <c r="K26" s="54"/>
      <c r="L26" s="54"/>
      <c r="M26" s="54"/>
      <c r="N26" s="54"/>
      <c r="O26" s="54"/>
      <c r="P26" s="55"/>
    </row>
    <row r="27" spans="1:16" x14ac:dyDescent="0.25">
      <c r="H27" s="53"/>
      <c r="I27" s="54"/>
      <c r="J27" s="54"/>
      <c r="K27" s="54"/>
      <c r="L27" s="54"/>
      <c r="M27" s="54"/>
      <c r="N27" s="54"/>
      <c r="O27" s="54"/>
      <c r="P27" s="55"/>
    </row>
    <row r="28" spans="1:16" x14ac:dyDescent="0.25">
      <c r="H28" s="53"/>
      <c r="I28" s="54"/>
      <c r="J28" s="54"/>
      <c r="K28" s="54"/>
      <c r="L28" s="54"/>
      <c r="M28" s="54"/>
      <c r="N28" s="54"/>
      <c r="O28" s="54"/>
      <c r="P28" s="55"/>
    </row>
    <row r="29" spans="1:16" x14ac:dyDescent="0.25">
      <c r="H29" s="53"/>
      <c r="I29" s="54"/>
      <c r="J29" s="54"/>
      <c r="K29" s="54"/>
      <c r="L29" s="54"/>
      <c r="M29" s="54"/>
      <c r="N29" s="54"/>
      <c r="O29" s="54"/>
      <c r="P29" s="55"/>
    </row>
    <row r="30" spans="1:16" ht="15.75" thickBot="1" x14ac:dyDescent="0.3">
      <c r="H30" s="56"/>
      <c r="I30" s="57"/>
      <c r="J30" s="57"/>
      <c r="K30" s="57"/>
      <c r="L30" s="57"/>
      <c r="M30" s="57"/>
      <c r="N30" s="57"/>
      <c r="O30" s="57"/>
      <c r="P30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HLP-22A,B,C</vt:lpstr>
      <vt:lpstr>UFP-01A,B</vt:lpstr>
      <vt:lpstr>UFP-02A,B-preconc</vt:lpstr>
      <vt:lpstr>UFP-02A,B-postconc</vt:lpstr>
      <vt:lpstr>UFP-02A,B-NaOH</vt:lpstr>
      <vt:lpstr>UFP-02A,B-Digest</vt:lpstr>
      <vt:lpstr>UFP-02A,B-Conc</vt:lpstr>
      <vt:lpstr>UFP-02A,B-Wash</vt:lpstr>
      <vt:lpstr>HLP-28A,B,C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kgb</dc:creator>
  <cp:lastModifiedBy>kgb</cp:lastModifiedBy>
  <dcterms:created xsi:type="dcterms:W3CDTF">2016-08-19T13:47:33Z</dcterms:created>
  <dcterms:modified xsi:type="dcterms:W3CDTF">2016-09-01T17:09:42Z</dcterms:modified>
</cp:coreProperties>
</file>